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jpeg" ContentType="image/jpeg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" yWindow="0" windowWidth="15315" windowHeight="8085"/>
  </bookViews>
  <sheets>
    <sheet name="Master" sheetId="1" r:id="rId1"/>
    <sheet name="Bills" sheetId="2" r:id="rId2"/>
    <sheet name="Extra deduc" sheetId="3" r:id="rId3"/>
    <sheet name="GA55 Summry" sheetId="4" r:id="rId4"/>
    <sheet name="DV-IDENTITY-0" sheetId="5" state="hidden" r:id="rId5"/>
    <sheet name="COMPUTATION" sheetId="6" r:id="rId6"/>
  </sheets>
  <definedNames>
    <definedName name="_xlnm.Print_Area" localSheetId="5">COMPUTATION!$A$1:$O$65</definedName>
    <definedName name="_xlnm.Print_Area" localSheetId="2">'Extra deduc'!$E$2:$L$20</definedName>
    <definedName name="_xlnm.Print_Area" localSheetId="3">'GA55 Summry'!$A$1:$AA$29</definedName>
    <definedName name="Z_8E92581F_007A_4A12_99AF_FBD8FA5F0BC8_.wvu.Cols" localSheetId="1" hidden="1">Bills!$A:$A,Bills!$AJ:$IV</definedName>
    <definedName name="Z_8E92581F_007A_4A12_99AF_FBD8FA5F0BC8_.wvu.Cols" localSheetId="5" hidden="1">COMPUTATION!$W:$AA</definedName>
    <definedName name="Z_8E92581F_007A_4A12_99AF_FBD8FA5F0BC8_.wvu.Cols" localSheetId="2" hidden="1">'Extra deduc'!$C:$D,'Extra deduc'!$AO:$AP</definedName>
    <definedName name="Z_8E92581F_007A_4A12_99AF_FBD8FA5F0BC8_.wvu.Cols" localSheetId="3" hidden="1">'GA55 Summry'!$CH:$CI,'GA55 Summry'!$CK:$CK</definedName>
    <definedName name="Z_8E92581F_007A_4A12_99AF_FBD8FA5F0BC8_.wvu.PrintArea" localSheetId="5" hidden="1">COMPUTATION!$A$1:$O$65</definedName>
    <definedName name="Z_8E92581F_007A_4A12_99AF_FBD8FA5F0BC8_.wvu.PrintArea" localSheetId="2" hidden="1">'Extra deduc'!$E$2:$L$20</definedName>
    <definedName name="Z_8E92581F_007A_4A12_99AF_FBD8FA5F0BC8_.wvu.PrintArea" localSheetId="3" hidden="1">'GA55 Summry'!$A$1:$AA$29</definedName>
    <definedName name="Z_8E92581F_007A_4A12_99AF_FBD8FA5F0BC8_.wvu.Rows" localSheetId="1" hidden="1">Bills!$41:$43</definedName>
  </definedNames>
  <calcPr calcId="124519" iterate="1"/>
</workbook>
</file>

<file path=xl/calcChain.xml><?xml version="1.0" encoding="utf-8"?>
<calcChain xmlns="http://schemas.openxmlformats.org/spreadsheetml/2006/main">
  <c r="G5" i="3"/>
  <c r="X56" i="6"/>
  <c r="O53"/>
  <c r="O52"/>
  <c r="O51"/>
  <c r="O43"/>
  <c r="O42"/>
  <c r="O41"/>
  <c r="O40"/>
  <c r="O39"/>
  <c r="O38"/>
  <c r="O37"/>
  <c r="O36"/>
  <c r="O44" s="1"/>
  <c r="O33"/>
  <c r="M29"/>
  <c r="G29"/>
  <c r="M28"/>
  <c r="G28"/>
  <c r="M27"/>
  <c r="G27"/>
  <c r="M26"/>
  <c r="M25"/>
  <c r="M24"/>
  <c r="G24"/>
  <c r="M23"/>
  <c r="G23"/>
  <c r="M22"/>
  <c r="G22"/>
  <c r="M21"/>
  <c r="E16"/>
  <c r="E15"/>
  <c r="O16" s="1"/>
  <c r="I13"/>
  <c r="F13"/>
  <c r="D13"/>
  <c r="K13" s="1"/>
  <c r="O14" s="1"/>
  <c r="K11"/>
  <c r="K8"/>
  <c r="K7"/>
  <c r="N3"/>
  <c r="J3"/>
  <c r="D3"/>
  <c r="A1"/>
  <c r="CX251" i="5"/>
  <c r="CW251"/>
  <c r="CV251"/>
  <c r="CU251"/>
  <c r="CT251"/>
  <c r="CS251"/>
  <c r="CR251"/>
  <c r="CQ251"/>
  <c r="CP251"/>
  <c r="CO251"/>
  <c r="CN251"/>
  <c r="CM251"/>
  <c r="CL251"/>
  <c r="CK251"/>
  <c r="CJ251"/>
  <c r="CI251"/>
  <c r="CH251"/>
  <c r="CG251"/>
  <c r="CF251"/>
  <c r="CE251"/>
  <c r="CD251"/>
  <c r="CC251"/>
  <c r="CB251"/>
  <c r="CA251"/>
  <c r="BZ251"/>
  <c r="BY251"/>
  <c r="BX251"/>
  <c r="BW251"/>
  <c r="BV251"/>
  <c r="BU251"/>
  <c r="BT251"/>
  <c r="BS251"/>
  <c r="BR251"/>
  <c r="BQ251"/>
  <c r="BP251"/>
  <c r="BO251"/>
  <c r="BN251"/>
  <c r="BM251"/>
  <c r="BL251"/>
  <c r="BK251"/>
  <c r="BJ251"/>
  <c r="BI251"/>
  <c r="BH251"/>
  <c r="BG251"/>
  <c r="BF251"/>
  <c r="BE251"/>
  <c r="BD251"/>
  <c r="BC251"/>
  <c r="BB251"/>
  <c r="BA251"/>
  <c r="AZ251"/>
  <c r="AY251"/>
  <c r="AX251"/>
  <c r="AW251"/>
  <c r="AV251"/>
  <c r="AU251"/>
  <c r="AT251"/>
  <c r="AS251"/>
  <c r="AR251"/>
  <c r="AQ251"/>
  <c r="AP251"/>
  <c r="AO251"/>
  <c r="AN251"/>
  <c r="AM251"/>
  <c r="AL251"/>
  <c r="AK251"/>
  <c r="AJ251"/>
  <c r="AI251"/>
  <c r="AH251"/>
  <c r="AG251"/>
  <c r="AF251"/>
  <c r="AE251"/>
  <c r="AD251"/>
  <c r="AC251"/>
  <c r="AB251"/>
  <c r="AA251"/>
  <c r="Z251"/>
  <c r="Y251"/>
  <c r="X251"/>
  <c r="W251"/>
  <c r="V251"/>
  <c r="U251"/>
  <c r="T251"/>
  <c r="S251"/>
  <c r="R251"/>
  <c r="Q251"/>
  <c r="P251"/>
  <c r="O251"/>
  <c r="N251"/>
  <c r="M251"/>
  <c r="L251"/>
  <c r="K251"/>
  <c r="J251"/>
  <c r="I251"/>
  <c r="H251"/>
  <c r="G251"/>
  <c r="F251"/>
  <c r="E251"/>
  <c r="D251"/>
  <c r="C251"/>
  <c r="B251"/>
  <c r="A251"/>
  <c r="IV250"/>
  <c r="IU250"/>
  <c r="IT250"/>
  <c r="IS250"/>
  <c r="IR250"/>
  <c r="IQ250"/>
  <c r="IP250"/>
  <c r="IO250"/>
  <c r="IN250"/>
  <c r="IM250"/>
  <c r="IL250"/>
  <c r="IK250"/>
  <c r="IJ250"/>
  <c r="II250"/>
  <c r="IH250"/>
  <c r="IG250"/>
  <c r="IF250"/>
  <c r="IE250"/>
  <c r="ID250"/>
  <c r="IC250"/>
  <c r="IB250"/>
  <c r="IA250"/>
  <c r="HZ250"/>
  <c r="HY250"/>
  <c r="HX250"/>
  <c r="HW250"/>
  <c r="HV250"/>
  <c r="HU250"/>
  <c r="HT250"/>
  <c r="HS250"/>
  <c r="HR250"/>
  <c r="HQ250"/>
  <c r="HP250"/>
  <c r="HO250"/>
  <c r="HN250"/>
  <c r="HM250"/>
  <c r="HL250"/>
  <c r="HK250"/>
  <c r="HJ250"/>
  <c r="HI250"/>
  <c r="HH250"/>
  <c r="HG250"/>
  <c r="HF250"/>
  <c r="HE250"/>
  <c r="HD250"/>
  <c r="HC250"/>
  <c r="HB250"/>
  <c r="HA250"/>
  <c r="GZ250"/>
  <c r="GY250"/>
  <c r="GX250"/>
  <c r="GW250"/>
  <c r="GV250"/>
  <c r="GU250"/>
  <c r="GT250"/>
  <c r="GS250"/>
  <c r="GR250"/>
  <c r="GQ250"/>
  <c r="GP250"/>
  <c r="GO250"/>
  <c r="GN250"/>
  <c r="GM250"/>
  <c r="GL250"/>
  <c r="GK250"/>
  <c r="GJ250"/>
  <c r="GI250"/>
  <c r="GH250"/>
  <c r="GG250"/>
  <c r="GF250"/>
  <c r="GE250"/>
  <c r="GD250"/>
  <c r="GC250"/>
  <c r="GB250"/>
  <c r="GA250"/>
  <c r="FZ250"/>
  <c r="FY250"/>
  <c r="FX250"/>
  <c r="FW250"/>
  <c r="FV250"/>
  <c r="FU250"/>
  <c r="FT250"/>
  <c r="FS250"/>
  <c r="FR250"/>
  <c r="FQ250"/>
  <c r="FP250"/>
  <c r="FO250"/>
  <c r="FN250"/>
  <c r="FM250"/>
  <c r="FL250"/>
  <c r="FK250"/>
  <c r="FJ250"/>
  <c r="FI250"/>
  <c r="FH250"/>
  <c r="FG250"/>
  <c r="FF250"/>
  <c r="FE250"/>
  <c r="FD250"/>
  <c r="FC250"/>
  <c r="FB250"/>
  <c r="FA250"/>
  <c r="EZ250"/>
  <c r="EY250"/>
  <c r="EX250"/>
  <c r="EW250"/>
  <c r="EV250"/>
  <c r="EU250"/>
  <c r="ET250"/>
  <c r="ES250"/>
  <c r="ER250"/>
  <c r="EQ250"/>
  <c r="EP250"/>
  <c r="EO250"/>
  <c r="EN250"/>
  <c r="EM250"/>
  <c r="EL250"/>
  <c r="EK250"/>
  <c r="EJ250"/>
  <c r="EI250"/>
  <c r="EH250"/>
  <c r="EG250"/>
  <c r="EF250"/>
  <c r="EE250"/>
  <c r="ED250"/>
  <c r="EC250"/>
  <c r="EB250"/>
  <c r="EA250"/>
  <c r="DZ250"/>
  <c r="DY250"/>
  <c r="DX250"/>
  <c r="DW250"/>
  <c r="DV250"/>
  <c r="DU250"/>
  <c r="DT250"/>
  <c r="DS250"/>
  <c r="DR250"/>
  <c r="DQ250"/>
  <c r="DP250"/>
  <c r="DO250"/>
  <c r="DN250"/>
  <c r="DM250"/>
  <c r="DL250"/>
  <c r="DK250"/>
  <c r="DJ250"/>
  <c r="DI250"/>
  <c r="DH250"/>
  <c r="DG250"/>
  <c r="DF250"/>
  <c r="DE250"/>
  <c r="DD250"/>
  <c r="DC250"/>
  <c r="DB250"/>
  <c r="DA250"/>
  <c r="CZ250"/>
  <c r="CY250"/>
  <c r="CX250"/>
  <c r="CW250"/>
  <c r="CV250"/>
  <c r="CU250"/>
  <c r="CT250"/>
  <c r="CS250"/>
  <c r="CR250"/>
  <c r="CQ250"/>
  <c r="CP250"/>
  <c r="CO250"/>
  <c r="CN250"/>
  <c r="CM250"/>
  <c r="CL250"/>
  <c r="CK250"/>
  <c r="CJ250"/>
  <c r="CI250"/>
  <c r="CH250"/>
  <c r="CG250"/>
  <c r="CF250"/>
  <c r="CE250"/>
  <c r="CD250"/>
  <c r="CC250"/>
  <c r="CB250"/>
  <c r="CA250"/>
  <c r="BZ250"/>
  <c r="BY250"/>
  <c r="BX250"/>
  <c r="BW250"/>
  <c r="BV250"/>
  <c r="BU250"/>
  <c r="BT250"/>
  <c r="BS250"/>
  <c r="BR250"/>
  <c r="BQ250"/>
  <c r="BP250"/>
  <c r="BO250"/>
  <c r="BN250"/>
  <c r="BM250"/>
  <c r="BL250"/>
  <c r="BK250"/>
  <c r="BJ250"/>
  <c r="BI250"/>
  <c r="BH250"/>
  <c r="BG250"/>
  <c r="BF250"/>
  <c r="BE250"/>
  <c r="BD250"/>
  <c r="BC250"/>
  <c r="BB250"/>
  <c r="BA250"/>
  <c r="AZ250"/>
  <c r="AY250"/>
  <c r="AX250"/>
  <c r="AW250"/>
  <c r="AV250"/>
  <c r="AU250"/>
  <c r="AT250"/>
  <c r="AS250"/>
  <c r="AR250"/>
  <c r="AQ250"/>
  <c r="AP250"/>
  <c r="AO250"/>
  <c r="AN250"/>
  <c r="AM250"/>
  <c r="AL250"/>
  <c r="AK250"/>
  <c r="AJ250"/>
  <c r="AI250"/>
  <c r="AH250"/>
  <c r="AG250"/>
  <c r="AF250"/>
  <c r="AE250"/>
  <c r="AD250"/>
  <c r="AC250"/>
  <c r="AB250"/>
  <c r="AA250"/>
  <c r="Z250"/>
  <c r="Y250"/>
  <c r="X250"/>
  <c r="W250"/>
  <c r="V250"/>
  <c r="U250"/>
  <c r="T250"/>
  <c r="S250"/>
  <c r="R250"/>
  <c r="Q250"/>
  <c r="P250"/>
  <c r="O250"/>
  <c r="N250"/>
  <c r="M250"/>
  <c r="L250"/>
  <c r="K250"/>
  <c r="J250"/>
  <c r="I250"/>
  <c r="H250"/>
  <c r="G250"/>
  <c r="F250"/>
  <c r="E250"/>
  <c r="D250"/>
  <c r="C250"/>
  <c r="B250"/>
  <c r="A250"/>
  <c r="IV249"/>
  <c r="IU249"/>
  <c r="IT249"/>
  <c r="IS249"/>
  <c r="IR249"/>
  <c r="IQ249"/>
  <c r="IP249"/>
  <c r="IO249"/>
  <c r="IN249"/>
  <c r="IM249"/>
  <c r="IL249"/>
  <c r="IK249"/>
  <c r="IJ249"/>
  <c r="II249"/>
  <c r="IH249"/>
  <c r="IG249"/>
  <c r="IF249"/>
  <c r="IE249"/>
  <c r="ID249"/>
  <c r="IC249"/>
  <c r="IB249"/>
  <c r="IA249"/>
  <c r="HZ249"/>
  <c r="HY249"/>
  <c r="HX249"/>
  <c r="HW249"/>
  <c r="HV249"/>
  <c r="HU249"/>
  <c r="HT249"/>
  <c r="HS249"/>
  <c r="HR249"/>
  <c r="HQ249"/>
  <c r="HP249"/>
  <c r="HO249"/>
  <c r="HN249"/>
  <c r="HM249"/>
  <c r="HL249"/>
  <c r="HK249"/>
  <c r="HJ249"/>
  <c r="HI249"/>
  <c r="HH249"/>
  <c r="HG249"/>
  <c r="HF249"/>
  <c r="HE249"/>
  <c r="HD249"/>
  <c r="HC249"/>
  <c r="HB249"/>
  <c r="HA249"/>
  <c r="GZ249"/>
  <c r="GY249"/>
  <c r="GX249"/>
  <c r="GW249"/>
  <c r="GV249"/>
  <c r="GU249"/>
  <c r="GT249"/>
  <c r="GS249"/>
  <c r="GR249"/>
  <c r="GQ249"/>
  <c r="GP249"/>
  <c r="GO249"/>
  <c r="GN249"/>
  <c r="GM249"/>
  <c r="GL249"/>
  <c r="GK249"/>
  <c r="GJ249"/>
  <c r="GI249"/>
  <c r="GH249"/>
  <c r="GG249"/>
  <c r="GF249"/>
  <c r="GE249"/>
  <c r="GD249"/>
  <c r="GC249"/>
  <c r="GB249"/>
  <c r="GA249"/>
  <c r="FZ249"/>
  <c r="FY249"/>
  <c r="FX249"/>
  <c r="FW249"/>
  <c r="FV249"/>
  <c r="FU249"/>
  <c r="FT249"/>
  <c r="FS249"/>
  <c r="FR249"/>
  <c r="FQ249"/>
  <c r="FP249"/>
  <c r="FO249"/>
  <c r="FN249"/>
  <c r="FM249"/>
  <c r="FL249"/>
  <c r="FK249"/>
  <c r="FJ249"/>
  <c r="FI249"/>
  <c r="FH249"/>
  <c r="FG249"/>
  <c r="FF249"/>
  <c r="FE249"/>
  <c r="FD249"/>
  <c r="FC249"/>
  <c r="FB249"/>
  <c r="FA249"/>
  <c r="EZ249"/>
  <c r="EY249"/>
  <c r="EX249"/>
  <c r="EW249"/>
  <c r="EV249"/>
  <c r="EU249"/>
  <c r="ET249"/>
  <c r="ES249"/>
  <c r="ER249"/>
  <c r="EQ249"/>
  <c r="EP249"/>
  <c r="EO249"/>
  <c r="EN249"/>
  <c r="EM249"/>
  <c r="EL249"/>
  <c r="EK249"/>
  <c r="EJ249"/>
  <c r="EI249"/>
  <c r="EH249"/>
  <c r="EG249"/>
  <c r="EF249"/>
  <c r="EE249"/>
  <c r="ED249"/>
  <c r="EC249"/>
  <c r="EB249"/>
  <c r="EA249"/>
  <c r="DZ249"/>
  <c r="DY249"/>
  <c r="DX249"/>
  <c r="DW249"/>
  <c r="DV249"/>
  <c r="DU249"/>
  <c r="DT249"/>
  <c r="DS249"/>
  <c r="DR249"/>
  <c r="DQ249"/>
  <c r="DP249"/>
  <c r="DO249"/>
  <c r="DN249"/>
  <c r="DM249"/>
  <c r="DL249"/>
  <c r="DK249"/>
  <c r="DJ249"/>
  <c r="DI249"/>
  <c r="DH249"/>
  <c r="DG249"/>
  <c r="DF249"/>
  <c r="DE249"/>
  <c r="DD249"/>
  <c r="DC249"/>
  <c r="DB249"/>
  <c r="DA249"/>
  <c r="CZ249"/>
  <c r="CY249"/>
  <c r="CX249"/>
  <c r="CW249"/>
  <c r="CV249"/>
  <c r="CU249"/>
  <c r="CT249"/>
  <c r="CS249"/>
  <c r="CR249"/>
  <c r="CQ249"/>
  <c r="CP249"/>
  <c r="CO249"/>
  <c r="CN249"/>
  <c r="CM249"/>
  <c r="CL249"/>
  <c r="CK249"/>
  <c r="CJ249"/>
  <c r="CI249"/>
  <c r="CH249"/>
  <c r="CG249"/>
  <c r="CF249"/>
  <c r="CE249"/>
  <c r="CD249"/>
  <c r="CC249"/>
  <c r="CB249"/>
  <c r="CA249"/>
  <c r="BZ249"/>
  <c r="BY249"/>
  <c r="BX249"/>
  <c r="BW249"/>
  <c r="BV249"/>
  <c r="BU249"/>
  <c r="BT249"/>
  <c r="BS249"/>
  <c r="BR249"/>
  <c r="BQ249"/>
  <c r="BP249"/>
  <c r="BO249"/>
  <c r="BN249"/>
  <c r="BM249"/>
  <c r="BL249"/>
  <c r="BK249"/>
  <c r="BJ249"/>
  <c r="BI249"/>
  <c r="BH249"/>
  <c r="BG249"/>
  <c r="BF249"/>
  <c r="BE249"/>
  <c r="BD249"/>
  <c r="BC249"/>
  <c r="BB249"/>
  <c r="BA249"/>
  <c r="AZ249"/>
  <c r="AY249"/>
  <c r="AX249"/>
  <c r="AW249"/>
  <c r="AV249"/>
  <c r="AU249"/>
  <c r="AT249"/>
  <c r="AS249"/>
  <c r="AR249"/>
  <c r="AQ249"/>
  <c r="AP249"/>
  <c r="AO249"/>
  <c r="AN249"/>
  <c r="AM249"/>
  <c r="AL249"/>
  <c r="AK249"/>
  <c r="AJ249"/>
  <c r="AI249"/>
  <c r="AH249"/>
  <c r="AG249"/>
  <c r="AF249"/>
  <c r="AE249"/>
  <c r="AD249"/>
  <c r="AC249"/>
  <c r="AB249"/>
  <c r="AA249"/>
  <c r="Z249"/>
  <c r="Y249"/>
  <c r="X249"/>
  <c r="W249"/>
  <c r="V249"/>
  <c r="U249"/>
  <c r="T249"/>
  <c r="S249"/>
  <c r="R249"/>
  <c r="Q249"/>
  <c r="P249"/>
  <c r="O249"/>
  <c r="N249"/>
  <c r="M249"/>
  <c r="L249"/>
  <c r="K249"/>
  <c r="J249"/>
  <c r="I249"/>
  <c r="H249"/>
  <c r="G249"/>
  <c r="F249"/>
  <c r="E249"/>
  <c r="D249"/>
  <c r="C249"/>
  <c r="B249"/>
  <c r="A249"/>
  <c r="IV248"/>
  <c r="IU248"/>
  <c r="IT248"/>
  <c r="IS248"/>
  <c r="IR248"/>
  <c r="IQ248"/>
  <c r="IP248"/>
  <c r="IO248"/>
  <c r="IN248"/>
  <c r="IM248"/>
  <c r="IL248"/>
  <c r="IK248"/>
  <c r="IJ248"/>
  <c r="II248"/>
  <c r="IH248"/>
  <c r="IG248"/>
  <c r="IF248"/>
  <c r="IE248"/>
  <c r="ID248"/>
  <c r="IC248"/>
  <c r="IB248"/>
  <c r="IA248"/>
  <c r="HZ248"/>
  <c r="HY248"/>
  <c r="HX248"/>
  <c r="HW248"/>
  <c r="HV248"/>
  <c r="HU248"/>
  <c r="HT248"/>
  <c r="HS248"/>
  <c r="HR248"/>
  <c r="HQ248"/>
  <c r="HP248"/>
  <c r="HO248"/>
  <c r="HN248"/>
  <c r="HM248"/>
  <c r="HL248"/>
  <c r="HK248"/>
  <c r="HJ248"/>
  <c r="HI248"/>
  <c r="HH248"/>
  <c r="HG248"/>
  <c r="HF248"/>
  <c r="HE248"/>
  <c r="HD248"/>
  <c r="HC248"/>
  <c r="HB248"/>
  <c r="HA248"/>
  <c r="GZ248"/>
  <c r="GY248"/>
  <c r="GX248"/>
  <c r="GW248"/>
  <c r="GV248"/>
  <c r="GU248"/>
  <c r="GT248"/>
  <c r="GS248"/>
  <c r="GR248"/>
  <c r="GQ248"/>
  <c r="GP248"/>
  <c r="GO248"/>
  <c r="GN248"/>
  <c r="GM248"/>
  <c r="GL248"/>
  <c r="GK248"/>
  <c r="GJ248"/>
  <c r="GI248"/>
  <c r="GH248"/>
  <c r="GG248"/>
  <c r="GF248"/>
  <c r="GE248"/>
  <c r="GD248"/>
  <c r="GC248"/>
  <c r="GB248"/>
  <c r="GA248"/>
  <c r="FZ248"/>
  <c r="FY248"/>
  <c r="FX248"/>
  <c r="FW248"/>
  <c r="FV248"/>
  <c r="FU248"/>
  <c r="FT248"/>
  <c r="FS248"/>
  <c r="FR248"/>
  <c r="FQ248"/>
  <c r="FP248"/>
  <c r="FO248"/>
  <c r="FN248"/>
  <c r="FM248"/>
  <c r="FL248"/>
  <c r="FK248"/>
  <c r="FJ248"/>
  <c r="FI248"/>
  <c r="FH248"/>
  <c r="FG248"/>
  <c r="FF248"/>
  <c r="FE248"/>
  <c r="FD248"/>
  <c r="FC248"/>
  <c r="FB248"/>
  <c r="FA248"/>
  <c r="EZ248"/>
  <c r="EY248"/>
  <c r="EX248"/>
  <c r="EW248"/>
  <c r="EV248"/>
  <c r="EU248"/>
  <c r="ET248"/>
  <c r="ES248"/>
  <c r="ER248"/>
  <c r="EQ248"/>
  <c r="EP248"/>
  <c r="EO248"/>
  <c r="EN248"/>
  <c r="EM248"/>
  <c r="EL248"/>
  <c r="EK248"/>
  <c r="EJ248"/>
  <c r="EI248"/>
  <c r="EH248"/>
  <c r="EG248"/>
  <c r="EF248"/>
  <c r="EE248"/>
  <c r="ED248"/>
  <c r="EC248"/>
  <c r="EB248"/>
  <c r="EA248"/>
  <c r="DZ248"/>
  <c r="DY248"/>
  <c r="DX248"/>
  <c r="DW248"/>
  <c r="DV248"/>
  <c r="DU248"/>
  <c r="DT248"/>
  <c r="DS248"/>
  <c r="DR248"/>
  <c r="DQ248"/>
  <c r="DP248"/>
  <c r="DO248"/>
  <c r="DN248"/>
  <c r="DM248"/>
  <c r="DL248"/>
  <c r="DK248"/>
  <c r="DJ248"/>
  <c r="DI248"/>
  <c r="DH248"/>
  <c r="DG248"/>
  <c r="DF248"/>
  <c r="DE248"/>
  <c r="DD248"/>
  <c r="DC248"/>
  <c r="DB248"/>
  <c r="DA248"/>
  <c r="CZ248"/>
  <c r="CY248"/>
  <c r="CX248"/>
  <c r="CW248"/>
  <c r="CV248"/>
  <c r="CU248"/>
  <c r="CT248"/>
  <c r="CS248"/>
  <c r="CR248"/>
  <c r="CQ248"/>
  <c r="CP248"/>
  <c r="CO248"/>
  <c r="CN248"/>
  <c r="CM248"/>
  <c r="CL248"/>
  <c r="CK248"/>
  <c r="CJ248"/>
  <c r="CI248"/>
  <c r="CH248"/>
  <c r="CG248"/>
  <c r="CF248"/>
  <c r="CE248"/>
  <c r="CD248"/>
  <c r="CC248"/>
  <c r="CB248"/>
  <c r="CA248"/>
  <c r="BZ248"/>
  <c r="BY248"/>
  <c r="BX248"/>
  <c r="BW248"/>
  <c r="BV248"/>
  <c r="BU248"/>
  <c r="BT248"/>
  <c r="BS248"/>
  <c r="BR248"/>
  <c r="BQ248"/>
  <c r="BP248"/>
  <c r="BO248"/>
  <c r="BN248"/>
  <c r="BM248"/>
  <c r="BL248"/>
  <c r="BK248"/>
  <c r="BJ248"/>
  <c r="BI248"/>
  <c r="BH248"/>
  <c r="BG248"/>
  <c r="BF248"/>
  <c r="BE248"/>
  <c r="BD248"/>
  <c r="BC248"/>
  <c r="BB248"/>
  <c r="BA248"/>
  <c r="AZ248"/>
  <c r="AY248"/>
  <c r="AX248"/>
  <c r="AW248"/>
  <c r="AV248"/>
  <c r="AU248"/>
  <c r="AT248"/>
  <c r="AS248"/>
  <c r="AR248"/>
  <c r="AQ248"/>
  <c r="AP248"/>
  <c r="AO248"/>
  <c r="AN248"/>
  <c r="AM248"/>
  <c r="AL248"/>
  <c r="AK248"/>
  <c r="AJ248"/>
  <c r="AI248"/>
  <c r="AH248"/>
  <c r="AG248"/>
  <c r="AF248"/>
  <c r="AE248"/>
  <c r="AD248"/>
  <c r="AC248"/>
  <c r="AB248"/>
  <c r="AA248"/>
  <c r="Z248"/>
  <c r="Y248"/>
  <c r="X248"/>
  <c r="W248"/>
  <c r="V248"/>
  <c r="U248"/>
  <c r="T248"/>
  <c r="S248"/>
  <c r="R248"/>
  <c r="Q248"/>
  <c r="P248"/>
  <c r="O248"/>
  <c r="N248"/>
  <c r="M248"/>
  <c r="L248"/>
  <c r="K248"/>
  <c r="J248"/>
  <c r="I248"/>
  <c r="H248"/>
  <c r="G248"/>
  <c r="F248"/>
  <c r="E248"/>
  <c r="D248"/>
  <c r="C248"/>
  <c r="B248"/>
  <c r="A248"/>
  <c r="IV247"/>
  <c r="IU247"/>
  <c r="IT247"/>
  <c r="IS247"/>
  <c r="IR247"/>
  <c r="IQ247"/>
  <c r="IP247"/>
  <c r="IO247"/>
  <c r="IN247"/>
  <c r="IM247"/>
  <c r="IL247"/>
  <c r="IK247"/>
  <c r="IJ247"/>
  <c r="II247"/>
  <c r="IH247"/>
  <c r="IG247"/>
  <c r="IF247"/>
  <c r="IE247"/>
  <c r="ID247"/>
  <c r="IC247"/>
  <c r="IB247"/>
  <c r="IA247"/>
  <c r="HZ247"/>
  <c r="HY247"/>
  <c r="HX247"/>
  <c r="HW247"/>
  <c r="HV247"/>
  <c r="HU247"/>
  <c r="HT247"/>
  <c r="HS247"/>
  <c r="HR247"/>
  <c r="HQ247"/>
  <c r="HP247"/>
  <c r="HO247"/>
  <c r="HN247"/>
  <c r="HM247"/>
  <c r="HL247"/>
  <c r="HK247"/>
  <c r="HJ247"/>
  <c r="HI247"/>
  <c r="HH247"/>
  <c r="HG247"/>
  <c r="HF247"/>
  <c r="HE247"/>
  <c r="HD247"/>
  <c r="HC247"/>
  <c r="HB247"/>
  <c r="HA247"/>
  <c r="GZ247"/>
  <c r="GY247"/>
  <c r="GX247"/>
  <c r="GW247"/>
  <c r="GV247"/>
  <c r="GU247"/>
  <c r="GT247"/>
  <c r="GS247"/>
  <c r="GR247"/>
  <c r="GQ247"/>
  <c r="GP247"/>
  <c r="GO247"/>
  <c r="GN247"/>
  <c r="GM247"/>
  <c r="GL247"/>
  <c r="GK247"/>
  <c r="GJ247"/>
  <c r="GI247"/>
  <c r="GH247"/>
  <c r="GG247"/>
  <c r="GF247"/>
  <c r="GE247"/>
  <c r="GD247"/>
  <c r="GC247"/>
  <c r="GB247"/>
  <c r="GA247"/>
  <c r="FZ247"/>
  <c r="FY247"/>
  <c r="FX247"/>
  <c r="FW247"/>
  <c r="FV247"/>
  <c r="FU247"/>
  <c r="FT247"/>
  <c r="FS247"/>
  <c r="FR247"/>
  <c r="FQ247"/>
  <c r="FP247"/>
  <c r="FO247"/>
  <c r="FN247"/>
  <c r="FM247"/>
  <c r="FL247"/>
  <c r="FK247"/>
  <c r="FJ247"/>
  <c r="FI247"/>
  <c r="FH247"/>
  <c r="FG247"/>
  <c r="FF247"/>
  <c r="FE247"/>
  <c r="FD247"/>
  <c r="FC247"/>
  <c r="FB247"/>
  <c r="FA247"/>
  <c r="EZ247"/>
  <c r="EY247"/>
  <c r="EX247"/>
  <c r="EW247"/>
  <c r="EV247"/>
  <c r="EU247"/>
  <c r="ET247"/>
  <c r="ES247"/>
  <c r="ER247"/>
  <c r="EQ247"/>
  <c r="EP247"/>
  <c r="EO247"/>
  <c r="EN247"/>
  <c r="EM247"/>
  <c r="EL247"/>
  <c r="EK247"/>
  <c r="EJ247"/>
  <c r="EI247"/>
  <c r="EH247"/>
  <c r="EG247"/>
  <c r="EF247"/>
  <c r="EE247"/>
  <c r="ED247"/>
  <c r="EC247"/>
  <c r="EB247"/>
  <c r="EA247"/>
  <c r="DZ247"/>
  <c r="DY247"/>
  <c r="DX247"/>
  <c r="DW247"/>
  <c r="DV247"/>
  <c r="DU247"/>
  <c r="DT247"/>
  <c r="DS247"/>
  <c r="DR247"/>
  <c r="DQ247"/>
  <c r="DP247"/>
  <c r="DO247"/>
  <c r="DN247"/>
  <c r="DM247"/>
  <c r="DL247"/>
  <c r="DK247"/>
  <c r="DJ247"/>
  <c r="DI247"/>
  <c r="DH247"/>
  <c r="DG247"/>
  <c r="DF247"/>
  <c r="DE247"/>
  <c r="DD247"/>
  <c r="DC247"/>
  <c r="DB247"/>
  <c r="DA247"/>
  <c r="CZ247"/>
  <c r="CY247"/>
  <c r="CX247"/>
  <c r="CW247"/>
  <c r="CV247"/>
  <c r="CU247"/>
  <c r="CT247"/>
  <c r="CS247"/>
  <c r="CR247"/>
  <c r="CQ247"/>
  <c r="CP247"/>
  <c r="CO247"/>
  <c r="CN247"/>
  <c r="CM247"/>
  <c r="CL247"/>
  <c r="CK247"/>
  <c r="CJ247"/>
  <c r="CI247"/>
  <c r="CH247"/>
  <c r="CG247"/>
  <c r="CF247"/>
  <c r="CE247"/>
  <c r="CD247"/>
  <c r="CC247"/>
  <c r="CB247"/>
  <c r="CA247"/>
  <c r="BZ247"/>
  <c r="BY247"/>
  <c r="BX247"/>
  <c r="BW247"/>
  <c r="BV247"/>
  <c r="BU247"/>
  <c r="BT247"/>
  <c r="BS247"/>
  <c r="BR247"/>
  <c r="BQ247"/>
  <c r="BP247"/>
  <c r="BO247"/>
  <c r="BN247"/>
  <c r="BM247"/>
  <c r="BL247"/>
  <c r="BK247"/>
  <c r="BJ247"/>
  <c r="BI247"/>
  <c r="BH247"/>
  <c r="BG247"/>
  <c r="BF247"/>
  <c r="BE247"/>
  <c r="BD247"/>
  <c r="BC247"/>
  <c r="BB247"/>
  <c r="BA247"/>
  <c r="AZ247"/>
  <c r="AY247"/>
  <c r="AX247"/>
  <c r="AW247"/>
  <c r="AV247"/>
  <c r="AU247"/>
  <c r="AT247"/>
  <c r="AS247"/>
  <c r="AR247"/>
  <c r="AQ247"/>
  <c r="AP247"/>
  <c r="AO247"/>
  <c r="AN247"/>
  <c r="AM247"/>
  <c r="AL247"/>
  <c r="AK247"/>
  <c r="AJ247"/>
  <c r="AI247"/>
  <c r="AH247"/>
  <c r="AG247"/>
  <c r="AF247"/>
  <c r="AE247"/>
  <c r="AD247"/>
  <c r="AC247"/>
  <c r="AB247"/>
  <c r="AA247"/>
  <c r="Z247"/>
  <c r="Y247"/>
  <c r="X247"/>
  <c r="W247"/>
  <c r="V247"/>
  <c r="U247"/>
  <c r="T247"/>
  <c r="S247"/>
  <c r="R247"/>
  <c r="Q247"/>
  <c r="P247"/>
  <c r="O247"/>
  <c r="N247"/>
  <c r="M247"/>
  <c r="L247"/>
  <c r="K247"/>
  <c r="J247"/>
  <c r="I247"/>
  <c r="H247"/>
  <c r="G247"/>
  <c r="F247"/>
  <c r="E247"/>
  <c r="D247"/>
  <c r="C247"/>
  <c r="B247"/>
  <c r="A247"/>
  <c r="IV246"/>
  <c r="IU246"/>
  <c r="IT246"/>
  <c r="IS246"/>
  <c r="IR246"/>
  <c r="IQ246"/>
  <c r="IP246"/>
  <c r="IO246"/>
  <c r="IN246"/>
  <c r="IM246"/>
  <c r="IL246"/>
  <c r="IK246"/>
  <c r="IJ246"/>
  <c r="II246"/>
  <c r="IH246"/>
  <c r="IG246"/>
  <c r="IF246"/>
  <c r="IE246"/>
  <c r="ID246"/>
  <c r="IC246"/>
  <c r="IB246"/>
  <c r="IA246"/>
  <c r="HZ246"/>
  <c r="HY246"/>
  <c r="HX246"/>
  <c r="HW246"/>
  <c r="HV246"/>
  <c r="HU246"/>
  <c r="HT246"/>
  <c r="HS246"/>
  <c r="HR246"/>
  <c r="HQ246"/>
  <c r="HP246"/>
  <c r="HO246"/>
  <c r="HN246"/>
  <c r="HM246"/>
  <c r="HL246"/>
  <c r="HK246"/>
  <c r="HJ246"/>
  <c r="HI246"/>
  <c r="HH246"/>
  <c r="HG246"/>
  <c r="HF246"/>
  <c r="HE246"/>
  <c r="HD246"/>
  <c r="HC246"/>
  <c r="HB246"/>
  <c r="HA246"/>
  <c r="GZ246"/>
  <c r="GY246"/>
  <c r="GX246"/>
  <c r="GW246"/>
  <c r="GV246"/>
  <c r="GU246"/>
  <c r="GT246"/>
  <c r="GS246"/>
  <c r="GR246"/>
  <c r="GQ246"/>
  <c r="GP246"/>
  <c r="GO246"/>
  <c r="GN246"/>
  <c r="GM246"/>
  <c r="GL246"/>
  <c r="GK246"/>
  <c r="GJ246"/>
  <c r="GI246"/>
  <c r="GH246"/>
  <c r="GG246"/>
  <c r="GF246"/>
  <c r="GE246"/>
  <c r="GD246"/>
  <c r="GC246"/>
  <c r="GB246"/>
  <c r="GA246"/>
  <c r="FZ246"/>
  <c r="FY246"/>
  <c r="FX246"/>
  <c r="FW246"/>
  <c r="FV246"/>
  <c r="FU246"/>
  <c r="FT246"/>
  <c r="FS246"/>
  <c r="FR246"/>
  <c r="FQ246"/>
  <c r="FP246"/>
  <c r="FO246"/>
  <c r="FN246"/>
  <c r="FM246"/>
  <c r="FL246"/>
  <c r="FK246"/>
  <c r="FJ246"/>
  <c r="FI246"/>
  <c r="FH246"/>
  <c r="FG246"/>
  <c r="FF246"/>
  <c r="FE246"/>
  <c r="FD246"/>
  <c r="FC246"/>
  <c r="FB246"/>
  <c r="FA246"/>
  <c r="EZ246"/>
  <c r="EY246"/>
  <c r="EX246"/>
  <c r="EW246"/>
  <c r="EV246"/>
  <c r="EU246"/>
  <c r="ET246"/>
  <c r="ES246"/>
  <c r="ER246"/>
  <c r="EQ246"/>
  <c r="EP246"/>
  <c r="EO246"/>
  <c r="EN246"/>
  <c r="EM246"/>
  <c r="EL246"/>
  <c r="EK246"/>
  <c r="EJ246"/>
  <c r="EI246"/>
  <c r="EH246"/>
  <c r="EG246"/>
  <c r="EF246"/>
  <c r="EE246"/>
  <c r="ED246"/>
  <c r="EC246"/>
  <c r="EB246"/>
  <c r="EA246"/>
  <c r="DZ246"/>
  <c r="DY246"/>
  <c r="DX246"/>
  <c r="DW246"/>
  <c r="DV246"/>
  <c r="DU246"/>
  <c r="DT246"/>
  <c r="DS246"/>
  <c r="DR246"/>
  <c r="DQ246"/>
  <c r="DP246"/>
  <c r="DO246"/>
  <c r="DN246"/>
  <c r="DM246"/>
  <c r="DL246"/>
  <c r="DK246"/>
  <c r="DJ246"/>
  <c r="DI246"/>
  <c r="DH246"/>
  <c r="DG246"/>
  <c r="DF246"/>
  <c r="DE246"/>
  <c r="DD246"/>
  <c r="DC246"/>
  <c r="DB246"/>
  <c r="DA246"/>
  <c r="CZ246"/>
  <c r="CY246"/>
  <c r="CX246"/>
  <c r="CW246"/>
  <c r="CV246"/>
  <c r="CU246"/>
  <c r="CT246"/>
  <c r="CS246"/>
  <c r="CR246"/>
  <c r="CQ246"/>
  <c r="CP246"/>
  <c r="CO246"/>
  <c r="CN246"/>
  <c r="CM246"/>
  <c r="CL246"/>
  <c r="CK246"/>
  <c r="CJ246"/>
  <c r="CI246"/>
  <c r="CH246"/>
  <c r="CG246"/>
  <c r="CF246"/>
  <c r="CE246"/>
  <c r="CD246"/>
  <c r="CC246"/>
  <c r="CB246"/>
  <c r="CA246"/>
  <c r="BZ246"/>
  <c r="BY246"/>
  <c r="BX246"/>
  <c r="BW246"/>
  <c r="BV246"/>
  <c r="BU246"/>
  <c r="BT246"/>
  <c r="BS246"/>
  <c r="BR246"/>
  <c r="BQ246"/>
  <c r="BP246"/>
  <c r="BO246"/>
  <c r="BN246"/>
  <c r="BM246"/>
  <c r="BL246"/>
  <c r="BK246"/>
  <c r="BJ246"/>
  <c r="BI246"/>
  <c r="BH246"/>
  <c r="BG246"/>
  <c r="BF246"/>
  <c r="BE246"/>
  <c r="BD246"/>
  <c r="BC246"/>
  <c r="BB246"/>
  <c r="BA246"/>
  <c r="AZ246"/>
  <c r="AY246"/>
  <c r="AX246"/>
  <c r="AW246"/>
  <c r="AV246"/>
  <c r="AU246"/>
  <c r="AT246"/>
  <c r="AS246"/>
  <c r="AR246"/>
  <c r="AQ246"/>
  <c r="AP246"/>
  <c r="AO246"/>
  <c r="AN246"/>
  <c r="AM246"/>
  <c r="AL246"/>
  <c r="AK246"/>
  <c r="AJ246"/>
  <c r="AI246"/>
  <c r="AH246"/>
  <c r="AG246"/>
  <c r="AF246"/>
  <c r="AE246"/>
  <c r="AD246"/>
  <c r="AC246"/>
  <c r="AB246"/>
  <c r="AA246"/>
  <c r="Z246"/>
  <c r="Y246"/>
  <c r="X246"/>
  <c r="W246"/>
  <c r="V246"/>
  <c r="U246"/>
  <c r="T246"/>
  <c r="S246"/>
  <c r="R246"/>
  <c r="Q246"/>
  <c r="P246"/>
  <c r="O246"/>
  <c r="N246"/>
  <c r="M246"/>
  <c r="L246"/>
  <c r="K246"/>
  <c r="J246"/>
  <c r="I246"/>
  <c r="H246"/>
  <c r="G246"/>
  <c r="F246"/>
  <c r="E246"/>
  <c r="D246"/>
  <c r="C246"/>
  <c r="B246"/>
  <c r="A246"/>
  <c r="IV245"/>
  <c r="IU245"/>
  <c r="IT245"/>
  <c r="IS245"/>
  <c r="IR245"/>
  <c r="IQ245"/>
  <c r="IP245"/>
  <c r="IO245"/>
  <c r="IN245"/>
  <c r="IM245"/>
  <c r="IL245"/>
  <c r="IK245"/>
  <c r="IJ245"/>
  <c r="II245"/>
  <c r="IH245"/>
  <c r="IG245"/>
  <c r="IF245"/>
  <c r="IE245"/>
  <c r="ID245"/>
  <c r="IC245"/>
  <c r="IB245"/>
  <c r="IA245"/>
  <c r="HZ245"/>
  <c r="HY245"/>
  <c r="HX245"/>
  <c r="HW245"/>
  <c r="HV245"/>
  <c r="HU245"/>
  <c r="HT245"/>
  <c r="HS245"/>
  <c r="HR245"/>
  <c r="HQ245"/>
  <c r="HP245"/>
  <c r="HO245"/>
  <c r="HN245"/>
  <c r="HM245"/>
  <c r="HL245"/>
  <c r="HK245"/>
  <c r="HJ245"/>
  <c r="HI245"/>
  <c r="HH245"/>
  <c r="HG245"/>
  <c r="HF245"/>
  <c r="HE245"/>
  <c r="HD245"/>
  <c r="HC245"/>
  <c r="HB245"/>
  <c r="HA245"/>
  <c r="GZ245"/>
  <c r="GY245"/>
  <c r="GX245"/>
  <c r="GW245"/>
  <c r="GV245"/>
  <c r="GU245"/>
  <c r="GT245"/>
  <c r="GS245"/>
  <c r="GR245"/>
  <c r="GQ245"/>
  <c r="GP245"/>
  <c r="GO245"/>
  <c r="GN245"/>
  <c r="GM245"/>
  <c r="GL245"/>
  <c r="GK245"/>
  <c r="GJ245"/>
  <c r="GI245"/>
  <c r="GH245"/>
  <c r="GG245"/>
  <c r="GF245"/>
  <c r="GE245"/>
  <c r="GD245"/>
  <c r="GC245"/>
  <c r="GB245"/>
  <c r="GA245"/>
  <c r="FZ245"/>
  <c r="FY245"/>
  <c r="FX245"/>
  <c r="FW245"/>
  <c r="FV245"/>
  <c r="FU245"/>
  <c r="FT245"/>
  <c r="FS245"/>
  <c r="FR245"/>
  <c r="FQ245"/>
  <c r="FP245"/>
  <c r="FO245"/>
  <c r="FN245"/>
  <c r="FM245"/>
  <c r="FL245"/>
  <c r="FK245"/>
  <c r="FJ245"/>
  <c r="FI245"/>
  <c r="FH245"/>
  <c r="FG245"/>
  <c r="FF245"/>
  <c r="FE245"/>
  <c r="FD245"/>
  <c r="FC245"/>
  <c r="FB245"/>
  <c r="FA245"/>
  <c r="EZ245"/>
  <c r="EY245"/>
  <c r="EX245"/>
  <c r="EW245"/>
  <c r="EV245"/>
  <c r="EU245"/>
  <c r="ET245"/>
  <c r="ES245"/>
  <c r="ER245"/>
  <c r="EQ245"/>
  <c r="EP245"/>
  <c r="EO245"/>
  <c r="EN245"/>
  <c r="EM245"/>
  <c r="EL245"/>
  <c r="EK245"/>
  <c r="EJ245"/>
  <c r="EI245"/>
  <c r="EH245"/>
  <c r="EG245"/>
  <c r="EF245"/>
  <c r="EE245"/>
  <c r="ED245"/>
  <c r="EC245"/>
  <c r="EB245"/>
  <c r="EA245"/>
  <c r="DZ245"/>
  <c r="DY245"/>
  <c r="DX245"/>
  <c r="DW245"/>
  <c r="DV245"/>
  <c r="DU245"/>
  <c r="DT245"/>
  <c r="DS245"/>
  <c r="DR245"/>
  <c r="DQ245"/>
  <c r="DP245"/>
  <c r="DO245"/>
  <c r="DN245"/>
  <c r="DM245"/>
  <c r="DL245"/>
  <c r="DK245"/>
  <c r="DJ245"/>
  <c r="DI245"/>
  <c r="DH245"/>
  <c r="DG245"/>
  <c r="DF245"/>
  <c r="DE245"/>
  <c r="DD245"/>
  <c r="DC245"/>
  <c r="DB245"/>
  <c r="DA245"/>
  <c r="CZ245"/>
  <c r="CY245"/>
  <c r="CX245"/>
  <c r="CW245"/>
  <c r="CV245"/>
  <c r="CU245"/>
  <c r="CT245"/>
  <c r="CS245"/>
  <c r="CR245"/>
  <c r="CQ245"/>
  <c r="CP245"/>
  <c r="CO245"/>
  <c r="CN245"/>
  <c r="CM245"/>
  <c r="CL245"/>
  <c r="CK245"/>
  <c r="CJ245"/>
  <c r="CI245"/>
  <c r="CH245"/>
  <c r="CG245"/>
  <c r="CF245"/>
  <c r="CE245"/>
  <c r="CD245"/>
  <c r="CC245"/>
  <c r="CB245"/>
  <c r="CA245"/>
  <c r="BZ245"/>
  <c r="BY245"/>
  <c r="BX245"/>
  <c r="BW245"/>
  <c r="BV245"/>
  <c r="BU245"/>
  <c r="BT245"/>
  <c r="BS245"/>
  <c r="BR245"/>
  <c r="BQ245"/>
  <c r="BP245"/>
  <c r="BO245"/>
  <c r="BN245"/>
  <c r="BM245"/>
  <c r="BL245"/>
  <c r="BK245"/>
  <c r="BJ245"/>
  <c r="BI245"/>
  <c r="BH245"/>
  <c r="BG245"/>
  <c r="BF245"/>
  <c r="BE245"/>
  <c r="BD245"/>
  <c r="BC245"/>
  <c r="BB245"/>
  <c r="BA245"/>
  <c r="AZ245"/>
  <c r="AY245"/>
  <c r="AX245"/>
  <c r="AW245"/>
  <c r="AV245"/>
  <c r="AU245"/>
  <c r="AT245"/>
  <c r="AS245"/>
  <c r="AR245"/>
  <c r="AQ245"/>
  <c r="AP245"/>
  <c r="AO245"/>
  <c r="AN245"/>
  <c r="AM245"/>
  <c r="AL245"/>
  <c r="AK245"/>
  <c r="AJ245"/>
  <c r="AI245"/>
  <c r="AH245"/>
  <c r="AG245"/>
  <c r="AF245"/>
  <c r="AE245"/>
  <c r="AD245"/>
  <c r="AC245"/>
  <c r="AB245"/>
  <c r="AA245"/>
  <c r="Z245"/>
  <c r="Y245"/>
  <c r="X245"/>
  <c r="W245"/>
  <c r="V245"/>
  <c r="U245"/>
  <c r="T245"/>
  <c r="S245"/>
  <c r="R245"/>
  <c r="Q245"/>
  <c r="P245"/>
  <c r="O245"/>
  <c r="N245"/>
  <c r="M245"/>
  <c r="L245"/>
  <c r="K245"/>
  <c r="J245"/>
  <c r="I245"/>
  <c r="H245"/>
  <c r="G245"/>
  <c r="F245"/>
  <c r="E245"/>
  <c r="D245"/>
  <c r="C245"/>
  <c r="B245"/>
  <c r="A245"/>
  <c r="IV244"/>
  <c r="IU244"/>
  <c r="IT244"/>
  <c r="IS244"/>
  <c r="IR244"/>
  <c r="IQ244"/>
  <c r="IP244"/>
  <c r="IO244"/>
  <c r="IN244"/>
  <c r="IM244"/>
  <c r="IL244"/>
  <c r="IK244"/>
  <c r="IJ244"/>
  <c r="II244"/>
  <c r="IH244"/>
  <c r="IG244"/>
  <c r="IF244"/>
  <c r="IE244"/>
  <c r="ID244"/>
  <c r="IC244"/>
  <c r="IB244"/>
  <c r="IA244"/>
  <c r="HZ244"/>
  <c r="HY244"/>
  <c r="HX244"/>
  <c r="HW244"/>
  <c r="HV244"/>
  <c r="HU244"/>
  <c r="HT244"/>
  <c r="HS244"/>
  <c r="HR244"/>
  <c r="HQ244"/>
  <c r="HP244"/>
  <c r="HO244"/>
  <c r="HN244"/>
  <c r="HM244"/>
  <c r="HL244"/>
  <c r="HK244"/>
  <c r="HJ244"/>
  <c r="HI244"/>
  <c r="HH244"/>
  <c r="HG244"/>
  <c r="HF244"/>
  <c r="HE244"/>
  <c r="HD244"/>
  <c r="HC244"/>
  <c r="HB244"/>
  <c r="HA244"/>
  <c r="GZ244"/>
  <c r="GY244"/>
  <c r="GX244"/>
  <c r="GW244"/>
  <c r="GV244"/>
  <c r="GU244"/>
  <c r="GT244"/>
  <c r="GS244"/>
  <c r="GR244"/>
  <c r="GQ244"/>
  <c r="GP244"/>
  <c r="GO244"/>
  <c r="GN244"/>
  <c r="GM244"/>
  <c r="GL244"/>
  <c r="GK244"/>
  <c r="GJ244"/>
  <c r="GI244"/>
  <c r="GH244"/>
  <c r="GG244"/>
  <c r="GF244"/>
  <c r="GE244"/>
  <c r="GD244"/>
  <c r="GC244"/>
  <c r="GB244"/>
  <c r="GA244"/>
  <c r="FZ244"/>
  <c r="FY244"/>
  <c r="FX244"/>
  <c r="FW244"/>
  <c r="FV244"/>
  <c r="FU244"/>
  <c r="FT244"/>
  <c r="FS244"/>
  <c r="FR244"/>
  <c r="FQ244"/>
  <c r="FP244"/>
  <c r="FO244"/>
  <c r="FN244"/>
  <c r="FM244"/>
  <c r="FL244"/>
  <c r="FK244"/>
  <c r="FJ244"/>
  <c r="FI244"/>
  <c r="FH244"/>
  <c r="FG244"/>
  <c r="FF244"/>
  <c r="FE244"/>
  <c r="FD244"/>
  <c r="FC244"/>
  <c r="FB244"/>
  <c r="FA244"/>
  <c r="EZ244"/>
  <c r="EY244"/>
  <c r="EX244"/>
  <c r="EW244"/>
  <c r="EV244"/>
  <c r="EU244"/>
  <c r="ET244"/>
  <c r="ES244"/>
  <c r="ER244"/>
  <c r="EQ244"/>
  <c r="EP244"/>
  <c r="EO244"/>
  <c r="EN244"/>
  <c r="EM244"/>
  <c r="EL244"/>
  <c r="EK244"/>
  <c r="EJ244"/>
  <c r="EI244"/>
  <c r="EH244"/>
  <c r="EG244"/>
  <c r="EF244"/>
  <c r="EE244"/>
  <c r="ED244"/>
  <c r="EC244"/>
  <c r="EB244"/>
  <c r="EA244"/>
  <c r="DZ244"/>
  <c r="DY244"/>
  <c r="DX244"/>
  <c r="DW244"/>
  <c r="DV244"/>
  <c r="DU244"/>
  <c r="DT244"/>
  <c r="DS244"/>
  <c r="DR244"/>
  <c r="DQ244"/>
  <c r="DP244"/>
  <c r="DO244"/>
  <c r="DN244"/>
  <c r="DM244"/>
  <c r="DL244"/>
  <c r="DK244"/>
  <c r="DJ244"/>
  <c r="DI244"/>
  <c r="DH244"/>
  <c r="DG244"/>
  <c r="DF244"/>
  <c r="DE244"/>
  <c r="DD244"/>
  <c r="DC244"/>
  <c r="DB244"/>
  <c r="DA244"/>
  <c r="CZ244"/>
  <c r="CY244"/>
  <c r="CX244"/>
  <c r="CW244"/>
  <c r="CV244"/>
  <c r="CU244"/>
  <c r="CT244"/>
  <c r="CS244"/>
  <c r="CR244"/>
  <c r="CQ244"/>
  <c r="CP244"/>
  <c r="CO244"/>
  <c r="CN244"/>
  <c r="CM244"/>
  <c r="CL244"/>
  <c r="CK244"/>
  <c r="CJ244"/>
  <c r="CI244"/>
  <c r="CH244"/>
  <c r="CG244"/>
  <c r="CF244"/>
  <c r="CE244"/>
  <c r="CD244"/>
  <c r="CC244"/>
  <c r="CB244"/>
  <c r="CA244"/>
  <c r="BZ244"/>
  <c r="BY244"/>
  <c r="BX244"/>
  <c r="BW244"/>
  <c r="BV244"/>
  <c r="BU244"/>
  <c r="BT244"/>
  <c r="BS244"/>
  <c r="BR244"/>
  <c r="BQ244"/>
  <c r="BP244"/>
  <c r="BO244"/>
  <c r="BN244"/>
  <c r="BM244"/>
  <c r="BL244"/>
  <c r="BK244"/>
  <c r="BJ244"/>
  <c r="BI244"/>
  <c r="BH244"/>
  <c r="BG244"/>
  <c r="BF244"/>
  <c r="BE244"/>
  <c r="BD244"/>
  <c r="BC244"/>
  <c r="BB244"/>
  <c r="BA244"/>
  <c r="AZ244"/>
  <c r="AY244"/>
  <c r="AX244"/>
  <c r="AW244"/>
  <c r="AV244"/>
  <c r="AU244"/>
  <c r="AT244"/>
  <c r="AS244"/>
  <c r="AR244"/>
  <c r="AQ244"/>
  <c r="AP244"/>
  <c r="AO244"/>
  <c r="AN244"/>
  <c r="AM244"/>
  <c r="AL244"/>
  <c r="AK244"/>
  <c r="AJ244"/>
  <c r="AI244"/>
  <c r="AH244"/>
  <c r="AG244"/>
  <c r="AF244"/>
  <c r="AE244"/>
  <c r="AD244"/>
  <c r="AC244"/>
  <c r="AB244"/>
  <c r="AA244"/>
  <c r="Z244"/>
  <c r="Y244"/>
  <c r="X244"/>
  <c r="W244"/>
  <c r="V244"/>
  <c r="U244"/>
  <c r="T244"/>
  <c r="S244"/>
  <c r="R244"/>
  <c r="Q244"/>
  <c r="P244"/>
  <c r="O244"/>
  <c r="N244"/>
  <c r="M244"/>
  <c r="L244"/>
  <c r="K244"/>
  <c r="J244"/>
  <c r="I244"/>
  <c r="H244"/>
  <c r="G244"/>
  <c r="F244"/>
  <c r="E244"/>
  <c r="D244"/>
  <c r="C244"/>
  <c r="B244"/>
  <c r="A244"/>
  <c r="IV243"/>
  <c r="IU243"/>
  <c r="IT243"/>
  <c r="IS243"/>
  <c r="IR243"/>
  <c r="IQ243"/>
  <c r="IP243"/>
  <c r="IO243"/>
  <c r="IN243"/>
  <c r="IM243"/>
  <c r="IL243"/>
  <c r="IK243"/>
  <c r="IJ243"/>
  <c r="II243"/>
  <c r="IH243"/>
  <c r="IG243"/>
  <c r="IF243"/>
  <c r="IE243"/>
  <c r="ID243"/>
  <c r="IC243"/>
  <c r="IB243"/>
  <c r="IA243"/>
  <c r="HZ243"/>
  <c r="HY243"/>
  <c r="HX243"/>
  <c r="HW243"/>
  <c r="HV243"/>
  <c r="HU243"/>
  <c r="HT243"/>
  <c r="HS243"/>
  <c r="HR243"/>
  <c r="HQ243"/>
  <c r="HP243"/>
  <c r="HO243"/>
  <c r="HN243"/>
  <c r="HM243"/>
  <c r="HL243"/>
  <c r="HK243"/>
  <c r="HJ243"/>
  <c r="HI243"/>
  <c r="HH243"/>
  <c r="HG243"/>
  <c r="HF243"/>
  <c r="HE243"/>
  <c r="HD243"/>
  <c r="HC243"/>
  <c r="HB243"/>
  <c r="HA243"/>
  <c r="GZ243"/>
  <c r="GY243"/>
  <c r="GX243"/>
  <c r="GW243"/>
  <c r="GV243"/>
  <c r="GU243"/>
  <c r="GT243"/>
  <c r="GS243"/>
  <c r="GR243"/>
  <c r="GQ243"/>
  <c r="GP243"/>
  <c r="GO243"/>
  <c r="GN243"/>
  <c r="GM243"/>
  <c r="GL243"/>
  <c r="GK243"/>
  <c r="GJ243"/>
  <c r="GI243"/>
  <c r="GH243"/>
  <c r="GG243"/>
  <c r="GF243"/>
  <c r="GE243"/>
  <c r="GD243"/>
  <c r="GC243"/>
  <c r="GB243"/>
  <c r="GA243"/>
  <c r="FZ243"/>
  <c r="FY243"/>
  <c r="FX243"/>
  <c r="FW243"/>
  <c r="FV243"/>
  <c r="FU243"/>
  <c r="FT243"/>
  <c r="FS243"/>
  <c r="FR243"/>
  <c r="FQ243"/>
  <c r="FP243"/>
  <c r="FO243"/>
  <c r="FN243"/>
  <c r="FM243"/>
  <c r="FL243"/>
  <c r="FK243"/>
  <c r="FJ243"/>
  <c r="FI243"/>
  <c r="FH243"/>
  <c r="FG243"/>
  <c r="FF243"/>
  <c r="FE243"/>
  <c r="FD243"/>
  <c r="FC243"/>
  <c r="FB243"/>
  <c r="FA243"/>
  <c r="EZ243"/>
  <c r="EY243"/>
  <c r="EX243"/>
  <c r="EW243"/>
  <c r="EV243"/>
  <c r="EU243"/>
  <c r="ET243"/>
  <c r="ES243"/>
  <c r="ER243"/>
  <c r="EQ243"/>
  <c r="EP243"/>
  <c r="EO243"/>
  <c r="EN243"/>
  <c r="EM243"/>
  <c r="EL243"/>
  <c r="EK243"/>
  <c r="EJ243"/>
  <c r="EI243"/>
  <c r="EH243"/>
  <c r="EG243"/>
  <c r="EF243"/>
  <c r="EE243"/>
  <c r="ED243"/>
  <c r="EC243"/>
  <c r="EB243"/>
  <c r="EA243"/>
  <c r="DZ243"/>
  <c r="DY243"/>
  <c r="DX243"/>
  <c r="DW243"/>
  <c r="DV243"/>
  <c r="DU243"/>
  <c r="DT243"/>
  <c r="DS243"/>
  <c r="DR243"/>
  <c r="DQ243"/>
  <c r="DP243"/>
  <c r="DO243"/>
  <c r="DN243"/>
  <c r="DM243"/>
  <c r="DL243"/>
  <c r="DK243"/>
  <c r="DJ243"/>
  <c r="DI243"/>
  <c r="DH243"/>
  <c r="DG243"/>
  <c r="DF243"/>
  <c r="DE243"/>
  <c r="DD243"/>
  <c r="DC243"/>
  <c r="DB243"/>
  <c r="DA243"/>
  <c r="CZ243"/>
  <c r="CY243"/>
  <c r="CX243"/>
  <c r="CW243"/>
  <c r="CV243"/>
  <c r="CU243"/>
  <c r="CT243"/>
  <c r="CS243"/>
  <c r="CR243"/>
  <c r="CQ243"/>
  <c r="CP243"/>
  <c r="CO243"/>
  <c r="CN243"/>
  <c r="CM243"/>
  <c r="CL243"/>
  <c r="CK243"/>
  <c r="CJ243"/>
  <c r="CI243"/>
  <c r="CH243"/>
  <c r="CG243"/>
  <c r="CF243"/>
  <c r="CE243"/>
  <c r="CD243"/>
  <c r="CC243"/>
  <c r="CB243"/>
  <c r="CA243"/>
  <c r="BZ243"/>
  <c r="BY243"/>
  <c r="BX243"/>
  <c r="BW243"/>
  <c r="BV243"/>
  <c r="BU243"/>
  <c r="BT243"/>
  <c r="BS243"/>
  <c r="BR243"/>
  <c r="BQ243"/>
  <c r="BP243"/>
  <c r="BO243"/>
  <c r="BN243"/>
  <c r="BM243"/>
  <c r="BL243"/>
  <c r="BK243"/>
  <c r="BJ243"/>
  <c r="BI243"/>
  <c r="BH243"/>
  <c r="BG243"/>
  <c r="BF243"/>
  <c r="BE243"/>
  <c r="BD243"/>
  <c r="BC243"/>
  <c r="BB243"/>
  <c r="BA243"/>
  <c r="AZ243"/>
  <c r="AY243"/>
  <c r="AX243"/>
  <c r="AW243"/>
  <c r="AV243"/>
  <c r="AU243"/>
  <c r="AT243"/>
  <c r="AS243"/>
  <c r="AR243"/>
  <c r="AQ243"/>
  <c r="AP243"/>
  <c r="AO243"/>
  <c r="AN243"/>
  <c r="AM243"/>
  <c r="AL243"/>
  <c r="AK243"/>
  <c r="AJ243"/>
  <c r="AI243"/>
  <c r="AH243"/>
  <c r="AG243"/>
  <c r="AF243"/>
  <c r="AE243"/>
  <c r="AD243"/>
  <c r="AC243"/>
  <c r="AB243"/>
  <c r="AA243"/>
  <c r="Z243"/>
  <c r="Y243"/>
  <c r="X243"/>
  <c r="W243"/>
  <c r="V243"/>
  <c r="U243"/>
  <c r="T243"/>
  <c r="S243"/>
  <c r="R243"/>
  <c r="Q243"/>
  <c r="P243"/>
  <c r="O243"/>
  <c r="N243"/>
  <c r="M243"/>
  <c r="L243"/>
  <c r="K243"/>
  <c r="J243"/>
  <c r="I243"/>
  <c r="H243"/>
  <c r="G243"/>
  <c r="F243"/>
  <c r="E243"/>
  <c r="D243"/>
  <c r="C243"/>
  <c r="B243"/>
  <c r="A243"/>
  <c r="IV242"/>
  <c r="IU242"/>
  <c r="IT242"/>
  <c r="IS242"/>
  <c r="IR242"/>
  <c r="IQ242"/>
  <c r="IP242"/>
  <c r="IO242"/>
  <c r="IN242"/>
  <c r="IM242"/>
  <c r="IL242"/>
  <c r="IK242"/>
  <c r="IJ242"/>
  <c r="II242"/>
  <c r="IH242"/>
  <c r="IG242"/>
  <c r="IF242"/>
  <c r="IE242"/>
  <c r="ID242"/>
  <c r="IC242"/>
  <c r="IB242"/>
  <c r="IA242"/>
  <c r="HZ242"/>
  <c r="HY242"/>
  <c r="HX242"/>
  <c r="HW242"/>
  <c r="HV242"/>
  <c r="HU242"/>
  <c r="HT242"/>
  <c r="HS242"/>
  <c r="HR242"/>
  <c r="HQ242"/>
  <c r="HP242"/>
  <c r="HO242"/>
  <c r="HN242"/>
  <c r="HM242"/>
  <c r="HL242"/>
  <c r="HK242"/>
  <c r="HJ242"/>
  <c r="HI242"/>
  <c r="HH242"/>
  <c r="HG242"/>
  <c r="HF242"/>
  <c r="HE242"/>
  <c r="HD242"/>
  <c r="HC242"/>
  <c r="HB242"/>
  <c r="HA242"/>
  <c r="GZ242"/>
  <c r="GY242"/>
  <c r="GX242"/>
  <c r="GW242"/>
  <c r="GV242"/>
  <c r="GU242"/>
  <c r="GT242"/>
  <c r="GS242"/>
  <c r="GR242"/>
  <c r="GQ242"/>
  <c r="GP242"/>
  <c r="GO242"/>
  <c r="GN242"/>
  <c r="GM242"/>
  <c r="GL242"/>
  <c r="GK242"/>
  <c r="GJ242"/>
  <c r="GI242"/>
  <c r="GH242"/>
  <c r="GG242"/>
  <c r="GF242"/>
  <c r="GE242"/>
  <c r="GD242"/>
  <c r="GC242"/>
  <c r="GB242"/>
  <c r="GA242"/>
  <c r="FZ242"/>
  <c r="FY242"/>
  <c r="FX242"/>
  <c r="FW242"/>
  <c r="FV242"/>
  <c r="FU242"/>
  <c r="FT242"/>
  <c r="FS242"/>
  <c r="FR242"/>
  <c r="FQ242"/>
  <c r="FP242"/>
  <c r="FO242"/>
  <c r="FN242"/>
  <c r="FM242"/>
  <c r="FL242"/>
  <c r="FK242"/>
  <c r="FJ242"/>
  <c r="FI242"/>
  <c r="FH242"/>
  <c r="FG242"/>
  <c r="FF242"/>
  <c r="FE242"/>
  <c r="FD242"/>
  <c r="FC242"/>
  <c r="FB242"/>
  <c r="FA242"/>
  <c r="EZ242"/>
  <c r="EY242"/>
  <c r="EX242"/>
  <c r="EW242"/>
  <c r="EV242"/>
  <c r="EU242"/>
  <c r="ET242"/>
  <c r="ES242"/>
  <c r="ER242"/>
  <c r="EQ242"/>
  <c r="EP242"/>
  <c r="EO242"/>
  <c r="EN242"/>
  <c r="EM242"/>
  <c r="EL242"/>
  <c r="EK242"/>
  <c r="EJ242"/>
  <c r="EI242"/>
  <c r="EH242"/>
  <c r="EG242"/>
  <c r="EF242"/>
  <c r="EE242"/>
  <c r="ED242"/>
  <c r="EC242"/>
  <c r="EB242"/>
  <c r="EA242"/>
  <c r="DZ242"/>
  <c r="DY242"/>
  <c r="DX242"/>
  <c r="DW242"/>
  <c r="DV242"/>
  <c r="DU242"/>
  <c r="DT242"/>
  <c r="DS242"/>
  <c r="DR242"/>
  <c r="DQ242"/>
  <c r="DP242"/>
  <c r="DO242"/>
  <c r="DN242"/>
  <c r="DM242"/>
  <c r="DL242"/>
  <c r="DK242"/>
  <c r="DJ242"/>
  <c r="DI242"/>
  <c r="DH242"/>
  <c r="DG242"/>
  <c r="DF242"/>
  <c r="DE242"/>
  <c r="DD242"/>
  <c r="DC242"/>
  <c r="DB242"/>
  <c r="DA242"/>
  <c r="CZ242"/>
  <c r="CY242"/>
  <c r="CX242"/>
  <c r="CW242"/>
  <c r="CV242"/>
  <c r="CU242"/>
  <c r="CT242"/>
  <c r="CS242"/>
  <c r="CR242"/>
  <c r="CQ242"/>
  <c r="CP242"/>
  <c r="CO242"/>
  <c r="CN242"/>
  <c r="CM242"/>
  <c r="CL242"/>
  <c r="CK242"/>
  <c r="CJ242"/>
  <c r="CI242"/>
  <c r="CH242"/>
  <c r="CG242"/>
  <c r="CF242"/>
  <c r="CE242"/>
  <c r="CD242"/>
  <c r="CC242"/>
  <c r="CB242"/>
  <c r="CA242"/>
  <c r="BZ242"/>
  <c r="BY242"/>
  <c r="BX242"/>
  <c r="BW242"/>
  <c r="BV242"/>
  <c r="BU242"/>
  <c r="BT242"/>
  <c r="BS242"/>
  <c r="BR242"/>
  <c r="BQ242"/>
  <c r="BP242"/>
  <c r="BO242"/>
  <c r="BN242"/>
  <c r="BM242"/>
  <c r="BL242"/>
  <c r="BK242"/>
  <c r="BJ242"/>
  <c r="BI242"/>
  <c r="BH242"/>
  <c r="BG242"/>
  <c r="BF242"/>
  <c r="BE242"/>
  <c r="BD242"/>
  <c r="BC242"/>
  <c r="BB242"/>
  <c r="BA242"/>
  <c r="AZ242"/>
  <c r="AY242"/>
  <c r="AX242"/>
  <c r="AW242"/>
  <c r="AV242"/>
  <c r="AU242"/>
  <c r="AT242"/>
  <c r="AS242"/>
  <c r="AR242"/>
  <c r="AQ242"/>
  <c r="AP242"/>
  <c r="AO242"/>
  <c r="AN242"/>
  <c r="AM242"/>
  <c r="AL242"/>
  <c r="AK242"/>
  <c r="AJ242"/>
  <c r="AI242"/>
  <c r="AH242"/>
  <c r="AG242"/>
  <c r="AF242"/>
  <c r="AE242"/>
  <c r="AD242"/>
  <c r="AC242"/>
  <c r="AB242"/>
  <c r="AA242"/>
  <c r="Z242"/>
  <c r="Y242"/>
  <c r="X242"/>
  <c r="W242"/>
  <c r="V242"/>
  <c r="U242"/>
  <c r="T242"/>
  <c r="S242"/>
  <c r="R242"/>
  <c r="Q242"/>
  <c r="P242"/>
  <c r="O242"/>
  <c r="N242"/>
  <c r="M242"/>
  <c r="L242"/>
  <c r="K242"/>
  <c r="J242"/>
  <c r="I242"/>
  <c r="H242"/>
  <c r="G242"/>
  <c r="F242"/>
  <c r="E242"/>
  <c r="D242"/>
  <c r="C242"/>
  <c r="B242"/>
  <c r="A242"/>
  <c r="IV241"/>
  <c r="IU241"/>
  <c r="IT241"/>
  <c r="IS241"/>
  <c r="IR241"/>
  <c r="IQ241"/>
  <c r="IP241"/>
  <c r="IO241"/>
  <c r="IN241"/>
  <c r="IM241"/>
  <c r="IL241"/>
  <c r="IK241"/>
  <c r="IJ241"/>
  <c r="II241"/>
  <c r="IH241"/>
  <c r="IG241"/>
  <c r="IF241"/>
  <c r="IE241"/>
  <c r="ID241"/>
  <c r="IC241"/>
  <c r="IB241"/>
  <c r="IA241"/>
  <c r="HZ241"/>
  <c r="HY241"/>
  <c r="HX241"/>
  <c r="HW241"/>
  <c r="HV241"/>
  <c r="HU241"/>
  <c r="HT241"/>
  <c r="HS241"/>
  <c r="HR241"/>
  <c r="HQ241"/>
  <c r="HP241"/>
  <c r="HO241"/>
  <c r="HN241"/>
  <c r="HM241"/>
  <c r="HL241"/>
  <c r="HK241"/>
  <c r="HJ241"/>
  <c r="HI241"/>
  <c r="HH241"/>
  <c r="HG241"/>
  <c r="HF241"/>
  <c r="HE241"/>
  <c r="HD241"/>
  <c r="HC241"/>
  <c r="HB241"/>
  <c r="HA241"/>
  <c r="GZ241"/>
  <c r="GY241"/>
  <c r="GX241"/>
  <c r="GW241"/>
  <c r="GV241"/>
  <c r="GU241"/>
  <c r="GT241"/>
  <c r="GS241"/>
  <c r="GR241"/>
  <c r="GQ241"/>
  <c r="GP241"/>
  <c r="GO241"/>
  <c r="GN241"/>
  <c r="GM241"/>
  <c r="GL241"/>
  <c r="GK241"/>
  <c r="GJ241"/>
  <c r="GI241"/>
  <c r="GH241"/>
  <c r="GG241"/>
  <c r="GF241"/>
  <c r="GE241"/>
  <c r="GD241"/>
  <c r="GC241"/>
  <c r="GB241"/>
  <c r="GA241"/>
  <c r="FZ241"/>
  <c r="FY241"/>
  <c r="FX241"/>
  <c r="FW241"/>
  <c r="FV241"/>
  <c r="FU241"/>
  <c r="FT241"/>
  <c r="FS241"/>
  <c r="FR241"/>
  <c r="FQ241"/>
  <c r="FP241"/>
  <c r="FO241"/>
  <c r="FN241"/>
  <c r="FM241"/>
  <c r="FL241"/>
  <c r="FK241"/>
  <c r="FJ241"/>
  <c r="FI241"/>
  <c r="FH241"/>
  <c r="FG241"/>
  <c r="FF241"/>
  <c r="FE241"/>
  <c r="FD241"/>
  <c r="FC241"/>
  <c r="FB241"/>
  <c r="FA241"/>
  <c r="EZ241"/>
  <c r="EY241"/>
  <c r="EX241"/>
  <c r="EW241"/>
  <c r="EV241"/>
  <c r="EU241"/>
  <c r="ET241"/>
  <c r="ES241"/>
  <c r="ER241"/>
  <c r="EQ241"/>
  <c r="EP241"/>
  <c r="EO241"/>
  <c r="EN241"/>
  <c r="EM241"/>
  <c r="EL241"/>
  <c r="EK241"/>
  <c r="EJ241"/>
  <c r="EI241"/>
  <c r="EH241"/>
  <c r="EG241"/>
  <c r="EF241"/>
  <c r="EE241"/>
  <c r="ED241"/>
  <c r="EC241"/>
  <c r="EB241"/>
  <c r="EA241"/>
  <c r="DZ241"/>
  <c r="DY241"/>
  <c r="DX241"/>
  <c r="DW241"/>
  <c r="DV241"/>
  <c r="DU241"/>
  <c r="DT241"/>
  <c r="DS241"/>
  <c r="DR241"/>
  <c r="DQ241"/>
  <c r="DP241"/>
  <c r="DO241"/>
  <c r="DN241"/>
  <c r="DM241"/>
  <c r="DL241"/>
  <c r="DK241"/>
  <c r="DJ241"/>
  <c r="DI241"/>
  <c r="DH241"/>
  <c r="DG241"/>
  <c r="DF241"/>
  <c r="DE241"/>
  <c r="DD241"/>
  <c r="DC241"/>
  <c r="DB241"/>
  <c r="DA241"/>
  <c r="CZ241"/>
  <c r="CY241"/>
  <c r="CX241"/>
  <c r="CW241"/>
  <c r="CV241"/>
  <c r="CU241"/>
  <c r="CT241"/>
  <c r="CS241"/>
  <c r="CR241"/>
  <c r="CQ241"/>
  <c r="CP241"/>
  <c r="CO241"/>
  <c r="CN241"/>
  <c r="CM241"/>
  <c r="CL241"/>
  <c r="CK241"/>
  <c r="CJ241"/>
  <c r="CI241"/>
  <c r="CH241"/>
  <c r="CG241"/>
  <c r="CF241"/>
  <c r="CE241"/>
  <c r="CD241"/>
  <c r="CC241"/>
  <c r="CB241"/>
  <c r="CA241"/>
  <c r="BZ241"/>
  <c r="BY241"/>
  <c r="BX241"/>
  <c r="BW241"/>
  <c r="BV241"/>
  <c r="BU241"/>
  <c r="BT241"/>
  <c r="BS241"/>
  <c r="BR241"/>
  <c r="BQ241"/>
  <c r="BP241"/>
  <c r="BO241"/>
  <c r="BN241"/>
  <c r="BM241"/>
  <c r="BL241"/>
  <c r="BK241"/>
  <c r="BJ241"/>
  <c r="BI241"/>
  <c r="BH241"/>
  <c r="BG241"/>
  <c r="BF241"/>
  <c r="BE241"/>
  <c r="BD241"/>
  <c r="BC241"/>
  <c r="BB241"/>
  <c r="BA241"/>
  <c r="AZ241"/>
  <c r="AY241"/>
  <c r="AX241"/>
  <c r="AW241"/>
  <c r="AV241"/>
  <c r="AU241"/>
  <c r="AT241"/>
  <c r="AS241"/>
  <c r="AR241"/>
  <c r="AQ241"/>
  <c r="AP241"/>
  <c r="AO241"/>
  <c r="AN241"/>
  <c r="AM241"/>
  <c r="AL241"/>
  <c r="AK241"/>
  <c r="AJ241"/>
  <c r="AI241"/>
  <c r="AH241"/>
  <c r="AG241"/>
  <c r="AF241"/>
  <c r="AE241"/>
  <c r="AD241"/>
  <c r="AC241"/>
  <c r="AB241"/>
  <c r="AA241"/>
  <c r="Z241"/>
  <c r="Y241"/>
  <c r="X241"/>
  <c r="W241"/>
  <c r="V241"/>
  <c r="U241"/>
  <c r="T241"/>
  <c r="S241"/>
  <c r="R241"/>
  <c r="Q241"/>
  <c r="P241"/>
  <c r="O241"/>
  <c r="N241"/>
  <c r="M241"/>
  <c r="L241"/>
  <c r="K241"/>
  <c r="J241"/>
  <c r="I241"/>
  <c r="H241"/>
  <c r="G241"/>
  <c r="F241"/>
  <c r="E241"/>
  <c r="D241"/>
  <c r="C241"/>
  <c r="B241"/>
  <c r="A241"/>
  <c r="IV240"/>
  <c r="IU240"/>
  <c r="IT240"/>
  <c r="IS240"/>
  <c r="IR240"/>
  <c r="IQ240"/>
  <c r="IP240"/>
  <c r="IO240"/>
  <c r="IN240"/>
  <c r="IM240"/>
  <c r="IL240"/>
  <c r="IK240"/>
  <c r="IJ240"/>
  <c r="II240"/>
  <c r="IH240"/>
  <c r="IG240"/>
  <c r="IF240"/>
  <c r="IE240"/>
  <c r="ID240"/>
  <c r="IC240"/>
  <c r="IB240"/>
  <c r="IA240"/>
  <c r="HZ240"/>
  <c r="HY240"/>
  <c r="HX240"/>
  <c r="HW240"/>
  <c r="HV240"/>
  <c r="HU240"/>
  <c r="HT240"/>
  <c r="HS240"/>
  <c r="HR240"/>
  <c r="HQ240"/>
  <c r="HP240"/>
  <c r="HO240"/>
  <c r="HN240"/>
  <c r="HM240"/>
  <c r="HL240"/>
  <c r="HK240"/>
  <c r="HJ240"/>
  <c r="HI240"/>
  <c r="HH240"/>
  <c r="HG240"/>
  <c r="HF240"/>
  <c r="HE240"/>
  <c r="HD240"/>
  <c r="HC240"/>
  <c r="HB240"/>
  <c r="HA240"/>
  <c r="GZ240"/>
  <c r="GY240"/>
  <c r="GX240"/>
  <c r="GW240"/>
  <c r="GV240"/>
  <c r="GU240"/>
  <c r="GT240"/>
  <c r="GS240"/>
  <c r="GR240"/>
  <c r="GQ240"/>
  <c r="GP240"/>
  <c r="GO240"/>
  <c r="GN240"/>
  <c r="GM240"/>
  <c r="GL240"/>
  <c r="GK240"/>
  <c r="GJ240"/>
  <c r="GI240"/>
  <c r="GH240"/>
  <c r="GG240"/>
  <c r="GF240"/>
  <c r="GE240"/>
  <c r="GD240"/>
  <c r="GC240"/>
  <c r="GB240"/>
  <c r="GA240"/>
  <c r="FZ240"/>
  <c r="FY240"/>
  <c r="FX240"/>
  <c r="FW240"/>
  <c r="FV240"/>
  <c r="FU240"/>
  <c r="FT240"/>
  <c r="FS240"/>
  <c r="FR240"/>
  <c r="FQ240"/>
  <c r="FP240"/>
  <c r="FO240"/>
  <c r="FN240"/>
  <c r="FM240"/>
  <c r="FL240"/>
  <c r="FK240"/>
  <c r="FJ240"/>
  <c r="FI240"/>
  <c r="FH240"/>
  <c r="FG240"/>
  <c r="FF240"/>
  <c r="FE240"/>
  <c r="FD240"/>
  <c r="FC240"/>
  <c r="FB240"/>
  <c r="FA240"/>
  <c r="EZ240"/>
  <c r="EY240"/>
  <c r="EX240"/>
  <c r="EW240"/>
  <c r="EV240"/>
  <c r="EU240"/>
  <c r="ET240"/>
  <c r="ES240"/>
  <c r="ER240"/>
  <c r="EQ240"/>
  <c r="EP240"/>
  <c r="EO240"/>
  <c r="EN240"/>
  <c r="EM240"/>
  <c r="EL240"/>
  <c r="EK240"/>
  <c r="EJ240"/>
  <c r="EI240"/>
  <c r="EH240"/>
  <c r="EG240"/>
  <c r="EF240"/>
  <c r="EE240"/>
  <c r="ED240"/>
  <c r="EC240"/>
  <c r="EB240"/>
  <c r="EA240"/>
  <c r="DZ240"/>
  <c r="DY240"/>
  <c r="DX240"/>
  <c r="DW240"/>
  <c r="DV240"/>
  <c r="DU240"/>
  <c r="DT240"/>
  <c r="DS240"/>
  <c r="DR240"/>
  <c r="DQ240"/>
  <c r="DP240"/>
  <c r="DO240"/>
  <c r="DN240"/>
  <c r="DM240"/>
  <c r="DL240"/>
  <c r="DK240"/>
  <c r="DJ240"/>
  <c r="DI240"/>
  <c r="DH240"/>
  <c r="DG240"/>
  <c r="DF240"/>
  <c r="DE240"/>
  <c r="DD240"/>
  <c r="DC240"/>
  <c r="DB240"/>
  <c r="DA240"/>
  <c r="CZ240"/>
  <c r="CY240"/>
  <c r="CX240"/>
  <c r="CW240"/>
  <c r="CV240"/>
  <c r="CU240"/>
  <c r="CT240"/>
  <c r="CS240"/>
  <c r="CR240"/>
  <c r="CQ240"/>
  <c r="CP240"/>
  <c r="CO240"/>
  <c r="CN240"/>
  <c r="CM240"/>
  <c r="CL240"/>
  <c r="CK240"/>
  <c r="CJ240"/>
  <c r="CI240"/>
  <c r="CH240"/>
  <c r="CG240"/>
  <c r="CF240"/>
  <c r="CE240"/>
  <c r="CD240"/>
  <c r="CC240"/>
  <c r="CB240"/>
  <c r="CA240"/>
  <c r="BZ240"/>
  <c r="BY240"/>
  <c r="BX240"/>
  <c r="BW240"/>
  <c r="BV240"/>
  <c r="BU240"/>
  <c r="BT240"/>
  <c r="BS240"/>
  <c r="BR240"/>
  <c r="BQ240"/>
  <c r="BP240"/>
  <c r="BO240"/>
  <c r="BN240"/>
  <c r="BM240"/>
  <c r="BL240"/>
  <c r="BK240"/>
  <c r="BJ240"/>
  <c r="BI240"/>
  <c r="BH240"/>
  <c r="BG240"/>
  <c r="BF240"/>
  <c r="BE240"/>
  <c r="BD240"/>
  <c r="BC240"/>
  <c r="BB240"/>
  <c r="BA240"/>
  <c r="AZ240"/>
  <c r="AY240"/>
  <c r="AX240"/>
  <c r="AW240"/>
  <c r="AV240"/>
  <c r="AU240"/>
  <c r="AT240"/>
  <c r="AS240"/>
  <c r="AR240"/>
  <c r="AQ240"/>
  <c r="AP240"/>
  <c r="AO240"/>
  <c r="AN240"/>
  <c r="AM240"/>
  <c r="AL240"/>
  <c r="AK240"/>
  <c r="AJ240"/>
  <c r="AI240"/>
  <c r="AH240"/>
  <c r="AG240"/>
  <c r="AF240"/>
  <c r="AE240"/>
  <c r="AD240"/>
  <c r="AC240"/>
  <c r="AB240"/>
  <c r="AA240"/>
  <c r="Z240"/>
  <c r="Y240"/>
  <c r="X240"/>
  <c r="W240"/>
  <c r="V240"/>
  <c r="U240"/>
  <c r="T240"/>
  <c r="S240"/>
  <c r="R240"/>
  <c r="Q240"/>
  <c r="P240"/>
  <c r="O240"/>
  <c r="N240"/>
  <c r="M240"/>
  <c r="L240"/>
  <c r="K240"/>
  <c r="J240"/>
  <c r="I240"/>
  <c r="H240"/>
  <c r="G240"/>
  <c r="F240"/>
  <c r="E240"/>
  <c r="D240"/>
  <c r="C240"/>
  <c r="B240"/>
  <c r="A240"/>
  <c r="IV239"/>
  <c r="IU239"/>
  <c r="IT239"/>
  <c r="IS239"/>
  <c r="IR239"/>
  <c r="IQ239"/>
  <c r="IP239"/>
  <c r="IO239"/>
  <c r="IN239"/>
  <c r="IM239"/>
  <c r="IL239"/>
  <c r="IK239"/>
  <c r="IJ239"/>
  <c r="II239"/>
  <c r="IH239"/>
  <c r="IG239"/>
  <c r="IF239"/>
  <c r="IE239"/>
  <c r="ID239"/>
  <c r="IC239"/>
  <c r="IB239"/>
  <c r="IA239"/>
  <c r="HZ239"/>
  <c r="HY239"/>
  <c r="HX239"/>
  <c r="HW239"/>
  <c r="HV239"/>
  <c r="HU239"/>
  <c r="HT239"/>
  <c r="HS239"/>
  <c r="HR239"/>
  <c r="HQ239"/>
  <c r="HP239"/>
  <c r="HO239"/>
  <c r="HN239"/>
  <c r="HM239"/>
  <c r="HL239"/>
  <c r="HK239"/>
  <c r="HJ239"/>
  <c r="HI239"/>
  <c r="HH239"/>
  <c r="HG239"/>
  <c r="HF239"/>
  <c r="HE239"/>
  <c r="HD239"/>
  <c r="HC239"/>
  <c r="HB239"/>
  <c r="HA239"/>
  <c r="GZ239"/>
  <c r="GY239"/>
  <c r="GX239"/>
  <c r="GW239"/>
  <c r="GV239"/>
  <c r="GU239"/>
  <c r="GT239"/>
  <c r="GS239"/>
  <c r="GR239"/>
  <c r="GQ239"/>
  <c r="GP239"/>
  <c r="GO239"/>
  <c r="GN239"/>
  <c r="GM239"/>
  <c r="GL239"/>
  <c r="GK239"/>
  <c r="GJ239"/>
  <c r="GI239"/>
  <c r="GH239"/>
  <c r="GG239"/>
  <c r="GF239"/>
  <c r="GE239"/>
  <c r="GD239"/>
  <c r="GC239"/>
  <c r="GB239"/>
  <c r="GA239"/>
  <c r="FZ239"/>
  <c r="FY239"/>
  <c r="FX239"/>
  <c r="FW239"/>
  <c r="FV239"/>
  <c r="FU239"/>
  <c r="FT239"/>
  <c r="FS239"/>
  <c r="FR239"/>
  <c r="FQ239"/>
  <c r="FP239"/>
  <c r="FO239"/>
  <c r="FN239"/>
  <c r="FM239"/>
  <c r="FL239"/>
  <c r="FK239"/>
  <c r="FJ239"/>
  <c r="FI239"/>
  <c r="FH239"/>
  <c r="FG239"/>
  <c r="FF239"/>
  <c r="FE239"/>
  <c r="FD239"/>
  <c r="FC239"/>
  <c r="FB239"/>
  <c r="FA239"/>
  <c r="EZ239"/>
  <c r="EY239"/>
  <c r="EX239"/>
  <c r="EW239"/>
  <c r="EV239"/>
  <c r="EU239"/>
  <c r="ET239"/>
  <c r="ES239"/>
  <c r="ER239"/>
  <c r="EQ239"/>
  <c r="EP239"/>
  <c r="EO239"/>
  <c r="EN239"/>
  <c r="EM239"/>
  <c r="EL239"/>
  <c r="EK239"/>
  <c r="EJ239"/>
  <c r="EI239"/>
  <c r="EH239"/>
  <c r="EG239"/>
  <c r="EF239"/>
  <c r="EE239"/>
  <c r="ED239"/>
  <c r="EC239"/>
  <c r="EB239"/>
  <c r="EA239"/>
  <c r="DZ239"/>
  <c r="DY239"/>
  <c r="DX239"/>
  <c r="DW239"/>
  <c r="DV239"/>
  <c r="DU239"/>
  <c r="DT239"/>
  <c r="DS239"/>
  <c r="DR239"/>
  <c r="DQ239"/>
  <c r="DP239"/>
  <c r="DO239"/>
  <c r="DN239"/>
  <c r="DM239"/>
  <c r="DL239"/>
  <c r="DK239"/>
  <c r="DJ239"/>
  <c r="DI239"/>
  <c r="DH239"/>
  <c r="DG239"/>
  <c r="DF239"/>
  <c r="DE239"/>
  <c r="DD239"/>
  <c r="DC239"/>
  <c r="DB239"/>
  <c r="DA239"/>
  <c r="CZ239"/>
  <c r="CY239"/>
  <c r="CX239"/>
  <c r="CW239"/>
  <c r="CV239"/>
  <c r="CU239"/>
  <c r="CT239"/>
  <c r="CS239"/>
  <c r="CR239"/>
  <c r="CQ239"/>
  <c r="CP239"/>
  <c r="CO239"/>
  <c r="CN239"/>
  <c r="CM239"/>
  <c r="CL239"/>
  <c r="CK239"/>
  <c r="CJ239"/>
  <c r="CI239"/>
  <c r="CH239"/>
  <c r="CG239"/>
  <c r="CF239"/>
  <c r="CE239"/>
  <c r="CD239"/>
  <c r="CC239"/>
  <c r="CB239"/>
  <c r="CA239"/>
  <c r="BZ239"/>
  <c r="BY239"/>
  <c r="BX239"/>
  <c r="BW239"/>
  <c r="BV239"/>
  <c r="BU239"/>
  <c r="BT239"/>
  <c r="BS239"/>
  <c r="BR239"/>
  <c r="BQ239"/>
  <c r="BP239"/>
  <c r="BO239"/>
  <c r="BN239"/>
  <c r="BM239"/>
  <c r="BL239"/>
  <c r="BK239"/>
  <c r="BJ239"/>
  <c r="BI239"/>
  <c r="BH239"/>
  <c r="BG239"/>
  <c r="BF239"/>
  <c r="BE239"/>
  <c r="BD239"/>
  <c r="BC239"/>
  <c r="BB239"/>
  <c r="BA239"/>
  <c r="AZ239"/>
  <c r="AY239"/>
  <c r="AX239"/>
  <c r="AW239"/>
  <c r="AV239"/>
  <c r="AU239"/>
  <c r="AT239"/>
  <c r="AS239"/>
  <c r="AR239"/>
  <c r="AQ239"/>
  <c r="AP239"/>
  <c r="AO239"/>
  <c r="AN239"/>
  <c r="AM239"/>
  <c r="AL239"/>
  <c r="AK239"/>
  <c r="AJ239"/>
  <c r="AI239"/>
  <c r="AH239"/>
  <c r="AG239"/>
  <c r="AF239"/>
  <c r="AE239"/>
  <c r="AD239"/>
  <c r="AC239"/>
  <c r="AB239"/>
  <c r="AA239"/>
  <c r="Z239"/>
  <c r="Y239"/>
  <c r="X239"/>
  <c r="W239"/>
  <c r="V239"/>
  <c r="U239"/>
  <c r="T239"/>
  <c r="S239"/>
  <c r="R239"/>
  <c r="Q239"/>
  <c r="P239"/>
  <c r="O239"/>
  <c r="N239"/>
  <c r="M239"/>
  <c r="L239"/>
  <c r="K239"/>
  <c r="J239"/>
  <c r="I239"/>
  <c r="H239"/>
  <c r="G239"/>
  <c r="F239"/>
  <c r="E239"/>
  <c r="D239"/>
  <c r="C239"/>
  <c r="B239"/>
  <c r="A239"/>
  <c r="IV238"/>
  <c r="IU238"/>
  <c r="IT238"/>
  <c r="IS238"/>
  <c r="IR238"/>
  <c r="IQ238"/>
  <c r="IP238"/>
  <c r="IO238"/>
  <c r="IN238"/>
  <c r="IM238"/>
  <c r="IL238"/>
  <c r="IK238"/>
  <c r="IJ238"/>
  <c r="II238"/>
  <c r="IH238"/>
  <c r="IG238"/>
  <c r="IF238"/>
  <c r="IE238"/>
  <c r="ID238"/>
  <c r="IC238"/>
  <c r="IB238"/>
  <c r="IA238"/>
  <c r="HZ238"/>
  <c r="HY238"/>
  <c r="HX238"/>
  <c r="HW238"/>
  <c r="HV238"/>
  <c r="HU238"/>
  <c r="HT238"/>
  <c r="HS238"/>
  <c r="HR238"/>
  <c r="HQ238"/>
  <c r="HP238"/>
  <c r="HO238"/>
  <c r="HN238"/>
  <c r="HM238"/>
  <c r="HL238"/>
  <c r="HK238"/>
  <c r="HJ238"/>
  <c r="HI238"/>
  <c r="HH238"/>
  <c r="HG238"/>
  <c r="HF238"/>
  <c r="HE238"/>
  <c r="HD238"/>
  <c r="HC238"/>
  <c r="HB238"/>
  <c r="HA238"/>
  <c r="GZ238"/>
  <c r="GY238"/>
  <c r="GX238"/>
  <c r="GW238"/>
  <c r="GV238"/>
  <c r="GU238"/>
  <c r="GT238"/>
  <c r="GS238"/>
  <c r="GR238"/>
  <c r="GQ238"/>
  <c r="GP238"/>
  <c r="GO238"/>
  <c r="GN238"/>
  <c r="GM238"/>
  <c r="GL238"/>
  <c r="GK238"/>
  <c r="GJ238"/>
  <c r="GI238"/>
  <c r="GH238"/>
  <c r="GG238"/>
  <c r="GF238"/>
  <c r="GE238"/>
  <c r="GD238"/>
  <c r="GC238"/>
  <c r="GB238"/>
  <c r="GA238"/>
  <c r="FZ238"/>
  <c r="FY238"/>
  <c r="FX238"/>
  <c r="FW238"/>
  <c r="FV238"/>
  <c r="FU238"/>
  <c r="FT238"/>
  <c r="FS238"/>
  <c r="FR238"/>
  <c r="FQ238"/>
  <c r="FP238"/>
  <c r="FO238"/>
  <c r="FN238"/>
  <c r="FM238"/>
  <c r="FL238"/>
  <c r="FK238"/>
  <c r="FJ238"/>
  <c r="FI238"/>
  <c r="FH238"/>
  <c r="FG238"/>
  <c r="FF238"/>
  <c r="FE238"/>
  <c r="FD238"/>
  <c r="FC238"/>
  <c r="FB238"/>
  <c r="FA238"/>
  <c r="EZ238"/>
  <c r="EY238"/>
  <c r="EX238"/>
  <c r="EW238"/>
  <c r="EV238"/>
  <c r="EU238"/>
  <c r="ET238"/>
  <c r="ES238"/>
  <c r="ER238"/>
  <c r="EQ238"/>
  <c r="EP238"/>
  <c r="EO238"/>
  <c r="EN238"/>
  <c r="EM238"/>
  <c r="EL238"/>
  <c r="EK238"/>
  <c r="EJ238"/>
  <c r="EI238"/>
  <c r="EH238"/>
  <c r="EG238"/>
  <c r="EF238"/>
  <c r="EE238"/>
  <c r="ED238"/>
  <c r="EC238"/>
  <c r="EB238"/>
  <c r="EA238"/>
  <c r="DZ238"/>
  <c r="DY238"/>
  <c r="DX238"/>
  <c r="DW238"/>
  <c r="DV238"/>
  <c r="DU238"/>
  <c r="DT238"/>
  <c r="DS238"/>
  <c r="DR238"/>
  <c r="DQ238"/>
  <c r="DP238"/>
  <c r="DO238"/>
  <c r="DN238"/>
  <c r="DM238"/>
  <c r="DL238"/>
  <c r="DK238"/>
  <c r="DJ238"/>
  <c r="DI238"/>
  <c r="DH238"/>
  <c r="DG238"/>
  <c r="DF238"/>
  <c r="DE238"/>
  <c r="DD238"/>
  <c r="DC238"/>
  <c r="DB238"/>
  <c r="DA238"/>
  <c r="CZ238"/>
  <c r="CY238"/>
  <c r="CX238"/>
  <c r="CW238"/>
  <c r="CV238"/>
  <c r="CU238"/>
  <c r="CT238"/>
  <c r="CS238"/>
  <c r="CR238"/>
  <c r="CQ238"/>
  <c r="CP238"/>
  <c r="CO238"/>
  <c r="CN238"/>
  <c r="CM238"/>
  <c r="CL238"/>
  <c r="CK238"/>
  <c r="CJ238"/>
  <c r="CI238"/>
  <c r="CH238"/>
  <c r="CG238"/>
  <c r="CF238"/>
  <c r="CE238"/>
  <c r="CD238"/>
  <c r="CC238"/>
  <c r="CB238"/>
  <c r="CA238"/>
  <c r="BZ238"/>
  <c r="BY238"/>
  <c r="BX238"/>
  <c r="BW238"/>
  <c r="BV238"/>
  <c r="BU238"/>
  <c r="BT238"/>
  <c r="BS238"/>
  <c r="BR238"/>
  <c r="BQ238"/>
  <c r="BP238"/>
  <c r="BO238"/>
  <c r="BN238"/>
  <c r="BM238"/>
  <c r="BL238"/>
  <c r="BK238"/>
  <c r="BJ238"/>
  <c r="BI238"/>
  <c r="BH238"/>
  <c r="BG238"/>
  <c r="BF238"/>
  <c r="BE238"/>
  <c r="BD238"/>
  <c r="BC238"/>
  <c r="BB238"/>
  <c r="BA238"/>
  <c r="AZ238"/>
  <c r="AY238"/>
  <c r="AX238"/>
  <c r="AW238"/>
  <c r="AV238"/>
  <c r="AU238"/>
  <c r="AT238"/>
  <c r="AS238"/>
  <c r="AR238"/>
  <c r="AQ238"/>
  <c r="AP238"/>
  <c r="AO238"/>
  <c r="AN238"/>
  <c r="AM238"/>
  <c r="AL238"/>
  <c r="AK238"/>
  <c r="AJ238"/>
  <c r="AI238"/>
  <c r="AH238"/>
  <c r="AG238"/>
  <c r="AF238"/>
  <c r="AE238"/>
  <c r="AD238"/>
  <c r="AC238"/>
  <c r="AB238"/>
  <c r="AA238"/>
  <c r="Z238"/>
  <c r="Y238"/>
  <c r="X238"/>
  <c r="W238"/>
  <c r="V238"/>
  <c r="U238"/>
  <c r="T238"/>
  <c r="S238"/>
  <c r="R238"/>
  <c r="Q238"/>
  <c r="P238"/>
  <c r="O238"/>
  <c r="N238"/>
  <c r="M238"/>
  <c r="L238"/>
  <c r="K238"/>
  <c r="J238"/>
  <c r="I238"/>
  <c r="H238"/>
  <c r="G238"/>
  <c r="F238"/>
  <c r="E238"/>
  <c r="D238"/>
  <c r="C238"/>
  <c r="B238"/>
  <c r="A238"/>
  <c r="IV237"/>
  <c r="IU237"/>
  <c r="IT237"/>
  <c r="IS237"/>
  <c r="IR237"/>
  <c r="IQ237"/>
  <c r="IP237"/>
  <c r="IO237"/>
  <c r="IN237"/>
  <c r="IM237"/>
  <c r="IL237"/>
  <c r="IK237"/>
  <c r="IJ237"/>
  <c r="II237"/>
  <c r="IH237"/>
  <c r="IG237"/>
  <c r="IF237"/>
  <c r="IE237"/>
  <c r="ID237"/>
  <c r="IC237"/>
  <c r="IB237"/>
  <c r="IA237"/>
  <c r="HZ237"/>
  <c r="HY237"/>
  <c r="HX237"/>
  <c r="HW237"/>
  <c r="HV237"/>
  <c r="HU237"/>
  <c r="HT237"/>
  <c r="HS237"/>
  <c r="HR237"/>
  <c r="HQ237"/>
  <c r="HP237"/>
  <c r="HO237"/>
  <c r="HN237"/>
  <c r="HM237"/>
  <c r="HL237"/>
  <c r="HK237"/>
  <c r="HJ237"/>
  <c r="HI237"/>
  <c r="HH237"/>
  <c r="HG237"/>
  <c r="HF237"/>
  <c r="HE237"/>
  <c r="HD237"/>
  <c r="HC237"/>
  <c r="HB237"/>
  <c r="HA237"/>
  <c r="GZ237"/>
  <c r="GY237"/>
  <c r="GX237"/>
  <c r="GW237"/>
  <c r="GV237"/>
  <c r="GU237"/>
  <c r="GT237"/>
  <c r="GS237"/>
  <c r="GR237"/>
  <c r="GQ237"/>
  <c r="GP237"/>
  <c r="GO237"/>
  <c r="GN237"/>
  <c r="GM237"/>
  <c r="GL237"/>
  <c r="GK237"/>
  <c r="GJ237"/>
  <c r="GI237"/>
  <c r="GH237"/>
  <c r="GG237"/>
  <c r="GF237"/>
  <c r="GE237"/>
  <c r="GD237"/>
  <c r="GC237"/>
  <c r="GB237"/>
  <c r="GA237"/>
  <c r="FZ237"/>
  <c r="FY237"/>
  <c r="FX237"/>
  <c r="FW237"/>
  <c r="FV237"/>
  <c r="FU237"/>
  <c r="FT237"/>
  <c r="FS237"/>
  <c r="FR237"/>
  <c r="FQ237"/>
  <c r="FP237"/>
  <c r="FO237"/>
  <c r="FN237"/>
  <c r="FM237"/>
  <c r="FL237"/>
  <c r="FK237"/>
  <c r="FJ237"/>
  <c r="FI237"/>
  <c r="FH237"/>
  <c r="FG237"/>
  <c r="FF237"/>
  <c r="FE237"/>
  <c r="FD237"/>
  <c r="FC237"/>
  <c r="FB237"/>
  <c r="FA237"/>
  <c r="EZ237"/>
  <c r="EY237"/>
  <c r="EX237"/>
  <c r="EW237"/>
  <c r="EV237"/>
  <c r="EU237"/>
  <c r="ET237"/>
  <c r="ES237"/>
  <c r="ER237"/>
  <c r="EQ237"/>
  <c r="EP237"/>
  <c r="EO237"/>
  <c r="EN237"/>
  <c r="EM237"/>
  <c r="EL237"/>
  <c r="EK237"/>
  <c r="EJ237"/>
  <c r="EI237"/>
  <c r="EH237"/>
  <c r="EG237"/>
  <c r="EF237"/>
  <c r="EE237"/>
  <c r="ED237"/>
  <c r="EC237"/>
  <c r="EB237"/>
  <c r="EA237"/>
  <c r="DZ237"/>
  <c r="DY237"/>
  <c r="DX237"/>
  <c r="DW237"/>
  <c r="DV237"/>
  <c r="DU237"/>
  <c r="DT237"/>
  <c r="DS237"/>
  <c r="DR237"/>
  <c r="DQ237"/>
  <c r="DP237"/>
  <c r="DO237"/>
  <c r="DN237"/>
  <c r="DM237"/>
  <c r="DL237"/>
  <c r="DK237"/>
  <c r="DJ237"/>
  <c r="DI237"/>
  <c r="DH237"/>
  <c r="DG237"/>
  <c r="DF237"/>
  <c r="DE237"/>
  <c r="DD237"/>
  <c r="DC237"/>
  <c r="DB237"/>
  <c r="DA237"/>
  <c r="CZ237"/>
  <c r="CY237"/>
  <c r="CX237"/>
  <c r="CW237"/>
  <c r="CV237"/>
  <c r="CU237"/>
  <c r="CT237"/>
  <c r="CS237"/>
  <c r="CR237"/>
  <c r="CQ237"/>
  <c r="CP237"/>
  <c r="CO237"/>
  <c r="CN237"/>
  <c r="CM237"/>
  <c r="CL237"/>
  <c r="CK237"/>
  <c r="CJ237"/>
  <c r="CI237"/>
  <c r="CH237"/>
  <c r="CG237"/>
  <c r="CF237"/>
  <c r="CE237"/>
  <c r="CD237"/>
  <c r="CC237"/>
  <c r="CB237"/>
  <c r="CA237"/>
  <c r="BZ237"/>
  <c r="BY237"/>
  <c r="BX237"/>
  <c r="BW237"/>
  <c r="BV237"/>
  <c r="BU237"/>
  <c r="BT237"/>
  <c r="BS237"/>
  <c r="BR237"/>
  <c r="BQ237"/>
  <c r="BP237"/>
  <c r="BO237"/>
  <c r="BN237"/>
  <c r="BM237"/>
  <c r="BL237"/>
  <c r="BK237"/>
  <c r="BJ237"/>
  <c r="BI237"/>
  <c r="BH237"/>
  <c r="BG237"/>
  <c r="BF237"/>
  <c r="BE237"/>
  <c r="BD237"/>
  <c r="BC237"/>
  <c r="BB237"/>
  <c r="BA237"/>
  <c r="AZ237"/>
  <c r="AY237"/>
  <c r="AX237"/>
  <c r="AW237"/>
  <c r="AV237"/>
  <c r="AU237"/>
  <c r="AT237"/>
  <c r="AS237"/>
  <c r="AR237"/>
  <c r="AQ237"/>
  <c r="AP237"/>
  <c r="AO237"/>
  <c r="AN237"/>
  <c r="AM237"/>
  <c r="AL237"/>
  <c r="AK237"/>
  <c r="AJ237"/>
  <c r="AI237"/>
  <c r="AH237"/>
  <c r="AG237"/>
  <c r="AF237"/>
  <c r="AE237"/>
  <c r="AD237"/>
  <c r="AC237"/>
  <c r="AB237"/>
  <c r="AA237"/>
  <c r="Z237"/>
  <c r="Y237"/>
  <c r="X237"/>
  <c r="W237"/>
  <c r="V237"/>
  <c r="U237"/>
  <c r="T237"/>
  <c r="S237"/>
  <c r="R237"/>
  <c r="Q237"/>
  <c r="P237"/>
  <c r="O237"/>
  <c r="N237"/>
  <c r="M237"/>
  <c r="L237"/>
  <c r="K237"/>
  <c r="J237"/>
  <c r="I237"/>
  <c r="H237"/>
  <c r="G237"/>
  <c r="F237"/>
  <c r="E237"/>
  <c r="D237"/>
  <c r="C237"/>
  <c r="B237"/>
  <c r="A237"/>
  <c r="IV236"/>
  <c r="IU236"/>
  <c r="IT236"/>
  <c r="IS236"/>
  <c r="IR236"/>
  <c r="IQ236"/>
  <c r="IP236"/>
  <c r="IO236"/>
  <c r="IN236"/>
  <c r="IM236"/>
  <c r="IL236"/>
  <c r="IK236"/>
  <c r="IJ236"/>
  <c r="II236"/>
  <c r="IH236"/>
  <c r="IG236"/>
  <c r="IF236"/>
  <c r="IE236"/>
  <c r="ID236"/>
  <c r="IC236"/>
  <c r="IB236"/>
  <c r="IA236"/>
  <c r="HZ236"/>
  <c r="HY236"/>
  <c r="HX236"/>
  <c r="HW236"/>
  <c r="HV236"/>
  <c r="HU236"/>
  <c r="HT236"/>
  <c r="HS236"/>
  <c r="HR236"/>
  <c r="HQ236"/>
  <c r="HP236"/>
  <c r="HO236"/>
  <c r="HN236"/>
  <c r="HM236"/>
  <c r="HL236"/>
  <c r="HK236"/>
  <c r="HJ236"/>
  <c r="HI236"/>
  <c r="HH236"/>
  <c r="HG236"/>
  <c r="HF236"/>
  <c r="HE236"/>
  <c r="HD236"/>
  <c r="HC236"/>
  <c r="HB236"/>
  <c r="HA236"/>
  <c r="GZ236"/>
  <c r="GY236"/>
  <c r="GX236"/>
  <c r="GW236"/>
  <c r="GV236"/>
  <c r="GU236"/>
  <c r="GT236"/>
  <c r="GS236"/>
  <c r="GR236"/>
  <c r="GQ236"/>
  <c r="GP236"/>
  <c r="GO236"/>
  <c r="GN236"/>
  <c r="GM236"/>
  <c r="GL236"/>
  <c r="GK236"/>
  <c r="GJ236"/>
  <c r="GI236"/>
  <c r="GH236"/>
  <c r="GG236"/>
  <c r="GF236"/>
  <c r="GE236"/>
  <c r="GD236"/>
  <c r="GC236"/>
  <c r="GB236"/>
  <c r="GA236"/>
  <c r="FZ236"/>
  <c r="FY236"/>
  <c r="FX236"/>
  <c r="FW236"/>
  <c r="FV236"/>
  <c r="FU236"/>
  <c r="FT236"/>
  <c r="FS236"/>
  <c r="FR236"/>
  <c r="FQ236"/>
  <c r="FP236"/>
  <c r="FO236"/>
  <c r="FN236"/>
  <c r="FM236"/>
  <c r="FL236"/>
  <c r="FK236"/>
  <c r="FJ236"/>
  <c r="FI236"/>
  <c r="FH236"/>
  <c r="FG236"/>
  <c r="FF236"/>
  <c r="FE236"/>
  <c r="FD236"/>
  <c r="FC236"/>
  <c r="FB236"/>
  <c r="FA236"/>
  <c r="EZ236"/>
  <c r="EY236"/>
  <c r="EX236"/>
  <c r="EW236"/>
  <c r="EV236"/>
  <c r="EU236"/>
  <c r="ET236"/>
  <c r="ES236"/>
  <c r="ER236"/>
  <c r="EQ236"/>
  <c r="EP236"/>
  <c r="EO236"/>
  <c r="EN236"/>
  <c r="EM236"/>
  <c r="EL236"/>
  <c r="EK236"/>
  <c r="EJ236"/>
  <c r="EI236"/>
  <c r="EH236"/>
  <c r="EG236"/>
  <c r="EF236"/>
  <c r="EE236"/>
  <c r="ED236"/>
  <c r="EC236"/>
  <c r="EB236"/>
  <c r="EA236"/>
  <c r="DZ236"/>
  <c r="DY236"/>
  <c r="DX236"/>
  <c r="DW236"/>
  <c r="DV236"/>
  <c r="DU236"/>
  <c r="DT236"/>
  <c r="DS236"/>
  <c r="DR236"/>
  <c r="DQ236"/>
  <c r="DP236"/>
  <c r="DO236"/>
  <c r="DN236"/>
  <c r="DM236"/>
  <c r="DL236"/>
  <c r="DK236"/>
  <c r="DJ236"/>
  <c r="DI236"/>
  <c r="DH236"/>
  <c r="DG236"/>
  <c r="DF236"/>
  <c r="DE236"/>
  <c r="DD236"/>
  <c r="DC236"/>
  <c r="DB236"/>
  <c r="DA236"/>
  <c r="CZ236"/>
  <c r="CY236"/>
  <c r="CX236"/>
  <c r="CW236"/>
  <c r="CV236"/>
  <c r="CU236"/>
  <c r="CT236"/>
  <c r="CS236"/>
  <c r="CR236"/>
  <c r="CQ236"/>
  <c r="CP236"/>
  <c r="CO236"/>
  <c r="CN236"/>
  <c r="CM236"/>
  <c r="CL236"/>
  <c r="CK236"/>
  <c r="CJ236"/>
  <c r="CI236"/>
  <c r="CH236"/>
  <c r="CG236"/>
  <c r="CF236"/>
  <c r="CE236"/>
  <c r="CD236"/>
  <c r="CC236"/>
  <c r="CB236"/>
  <c r="CA236"/>
  <c r="BZ236"/>
  <c r="BY236"/>
  <c r="BX236"/>
  <c r="BW236"/>
  <c r="BV236"/>
  <c r="BU236"/>
  <c r="BT236"/>
  <c r="BS236"/>
  <c r="BR236"/>
  <c r="BQ236"/>
  <c r="BP236"/>
  <c r="BO236"/>
  <c r="BN236"/>
  <c r="BM236"/>
  <c r="BL236"/>
  <c r="BK236"/>
  <c r="BJ236"/>
  <c r="BI236"/>
  <c r="BH236"/>
  <c r="BG236"/>
  <c r="BF236"/>
  <c r="BE236"/>
  <c r="BD236"/>
  <c r="BC236"/>
  <c r="BB236"/>
  <c r="BA236"/>
  <c r="AZ236"/>
  <c r="AY236"/>
  <c r="AX236"/>
  <c r="AW236"/>
  <c r="AV236"/>
  <c r="AU236"/>
  <c r="AT236"/>
  <c r="AS236"/>
  <c r="AR236"/>
  <c r="AQ236"/>
  <c r="AP236"/>
  <c r="AO236"/>
  <c r="AN236"/>
  <c r="AM236"/>
  <c r="AL236"/>
  <c r="AK236"/>
  <c r="AJ236"/>
  <c r="AI236"/>
  <c r="AH236"/>
  <c r="AG236"/>
  <c r="AF236"/>
  <c r="AE236"/>
  <c r="AD236"/>
  <c r="AC236"/>
  <c r="AB236"/>
  <c r="AA236"/>
  <c r="Z236"/>
  <c r="Y236"/>
  <c r="X236"/>
  <c r="W236"/>
  <c r="V236"/>
  <c r="U236"/>
  <c r="T236"/>
  <c r="S236"/>
  <c r="R236"/>
  <c r="Q236"/>
  <c r="P236"/>
  <c r="O236"/>
  <c r="N236"/>
  <c r="M236"/>
  <c r="L236"/>
  <c r="K236"/>
  <c r="J236"/>
  <c r="I236"/>
  <c r="H236"/>
  <c r="G236"/>
  <c r="F236"/>
  <c r="E236"/>
  <c r="D236"/>
  <c r="C236"/>
  <c r="B236"/>
  <c r="A236"/>
  <c r="IV235"/>
  <c r="IU235"/>
  <c r="IT235"/>
  <c r="IS235"/>
  <c r="IR235"/>
  <c r="IQ235"/>
  <c r="IP235"/>
  <c r="IO235"/>
  <c r="IN235"/>
  <c r="IM235"/>
  <c r="IL235"/>
  <c r="IK235"/>
  <c r="IJ235"/>
  <c r="II235"/>
  <c r="IH235"/>
  <c r="IG235"/>
  <c r="IF235"/>
  <c r="IE235"/>
  <c r="ID235"/>
  <c r="IC235"/>
  <c r="IB235"/>
  <c r="IA235"/>
  <c r="HZ235"/>
  <c r="HY235"/>
  <c r="HX235"/>
  <c r="HW235"/>
  <c r="HV235"/>
  <c r="HU235"/>
  <c r="HT235"/>
  <c r="HS235"/>
  <c r="HR235"/>
  <c r="HQ235"/>
  <c r="HP235"/>
  <c r="HO235"/>
  <c r="HN235"/>
  <c r="HM235"/>
  <c r="HL235"/>
  <c r="HK235"/>
  <c r="HJ235"/>
  <c r="HI235"/>
  <c r="HH235"/>
  <c r="HG235"/>
  <c r="HF235"/>
  <c r="HE235"/>
  <c r="HD235"/>
  <c r="HC235"/>
  <c r="HB235"/>
  <c r="HA235"/>
  <c r="GZ235"/>
  <c r="GY235"/>
  <c r="GX235"/>
  <c r="GW235"/>
  <c r="GV235"/>
  <c r="GU235"/>
  <c r="GT235"/>
  <c r="GS235"/>
  <c r="GR235"/>
  <c r="GQ235"/>
  <c r="GP235"/>
  <c r="GO235"/>
  <c r="GN235"/>
  <c r="GM235"/>
  <c r="GL235"/>
  <c r="GK235"/>
  <c r="GJ235"/>
  <c r="GI235"/>
  <c r="GH235"/>
  <c r="GG235"/>
  <c r="GF235"/>
  <c r="GE235"/>
  <c r="GD235"/>
  <c r="GC235"/>
  <c r="GB235"/>
  <c r="GA235"/>
  <c r="FZ235"/>
  <c r="FY235"/>
  <c r="FX235"/>
  <c r="FW235"/>
  <c r="FV235"/>
  <c r="FU235"/>
  <c r="FT235"/>
  <c r="FS235"/>
  <c r="FR235"/>
  <c r="FQ235"/>
  <c r="FP235"/>
  <c r="FO235"/>
  <c r="FN235"/>
  <c r="FM235"/>
  <c r="FL235"/>
  <c r="FK235"/>
  <c r="FJ235"/>
  <c r="FI235"/>
  <c r="FH235"/>
  <c r="FG235"/>
  <c r="FF235"/>
  <c r="FE235"/>
  <c r="FD235"/>
  <c r="FC235"/>
  <c r="FB235"/>
  <c r="FA235"/>
  <c r="EZ235"/>
  <c r="EY235"/>
  <c r="EX235"/>
  <c r="EW235"/>
  <c r="EV235"/>
  <c r="EU235"/>
  <c r="ET235"/>
  <c r="ES235"/>
  <c r="ER235"/>
  <c r="EQ235"/>
  <c r="EP235"/>
  <c r="EO235"/>
  <c r="EN235"/>
  <c r="EM235"/>
  <c r="EL235"/>
  <c r="EK235"/>
  <c r="EJ235"/>
  <c r="EI235"/>
  <c r="EH235"/>
  <c r="EG235"/>
  <c r="EF235"/>
  <c r="EE235"/>
  <c r="ED235"/>
  <c r="EC235"/>
  <c r="EB235"/>
  <c r="EA235"/>
  <c r="DZ235"/>
  <c r="DY235"/>
  <c r="DX235"/>
  <c r="DW235"/>
  <c r="DV235"/>
  <c r="DU235"/>
  <c r="DT235"/>
  <c r="DS235"/>
  <c r="DR235"/>
  <c r="DQ235"/>
  <c r="DP235"/>
  <c r="DO235"/>
  <c r="DN235"/>
  <c r="DM235"/>
  <c r="DL235"/>
  <c r="DK235"/>
  <c r="DJ235"/>
  <c r="DI235"/>
  <c r="DH235"/>
  <c r="DG235"/>
  <c r="DF235"/>
  <c r="DE235"/>
  <c r="DD235"/>
  <c r="DC235"/>
  <c r="DB235"/>
  <c r="DA235"/>
  <c r="CZ235"/>
  <c r="CY235"/>
  <c r="CX235"/>
  <c r="CW235"/>
  <c r="CV235"/>
  <c r="CU235"/>
  <c r="CT235"/>
  <c r="CS235"/>
  <c r="CR235"/>
  <c r="CQ235"/>
  <c r="CP235"/>
  <c r="CO235"/>
  <c r="CN235"/>
  <c r="CM235"/>
  <c r="CL235"/>
  <c r="CK235"/>
  <c r="CJ235"/>
  <c r="CI235"/>
  <c r="CH235"/>
  <c r="CG235"/>
  <c r="CF235"/>
  <c r="CE235"/>
  <c r="CD235"/>
  <c r="CC235"/>
  <c r="CB235"/>
  <c r="CA235"/>
  <c r="BZ235"/>
  <c r="BY235"/>
  <c r="BX235"/>
  <c r="BW235"/>
  <c r="BV235"/>
  <c r="BU235"/>
  <c r="BT235"/>
  <c r="BS235"/>
  <c r="BR235"/>
  <c r="BQ235"/>
  <c r="BP235"/>
  <c r="BO235"/>
  <c r="BN235"/>
  <c r="BM235"/>
  <c r="BL235"/>
  <c r="BK235"/>
  <c r="BJ235"/>
  <c r="BI235"/>
  <c r="BH235"/>
  <c r="BG235"/>
  <c r="BF235"/>
  <c r="BE235"/>
  <c r="BD235"/>
  <c r="BC235"/>
  <c r="BB235"/>
  <c r="BA235"/>
  <c r="AZ235"/>
  <c r="AY235"/>
  <c r="AX235"/>
  <c r="AW235"/>
  <c r="AV235"/>
  <c r="AU235"/>
  <c r="AT235"/>
  <c r="AS235"/>
  <c r="AR235"/>
  <c r="AQ235"/>
  <c r="AP235"/>
  <c r="AO235"/>
  <c r="AN235"/>
  <c r="AM235"/>
  <c r="AL235"/>
  <c r="AK235"/>
  <c r="AJ235"/>
  <c r="AI235"/>
  <c r="AH235"/>
  <c r="AG235"/>
  <c r="AF235"/>
  <c r="AE235"/>
  <c r="AD235"/>
  <c r="AC235"/>
  <c r="AB235"/>
  <c r="AA235"/>
  <c r="Z235"/>
  <c r="Y235"/>
  <c r="X235"/>
  <c r="W235"/>
  <c r="V235"/>
  <c r="U235"/>
  <c r="T235"/>
  <c r="S235"/>
  <c r="R235"/>
  <c r="Q235"/>
  <c r="P235"/>
  <c r="O235"/>
  <c r="N235"/>
  <c r="M235"/>
  <c r="L235"/>
  <c r="K235"/>
  <c r="J235"/>
  <c r="I235"/>
  <c r="H235"/>
  <c r="G235"/>
  <c r="F235"/>
  <c r="E235"/>
  <c r="D235"/>
  <c r="C235"/>
  <c r="B235"/>
  <c r="A235"/>
  <c r="IV234"/>
  <c r="IU234"/>
  <c r="IT234"/>
  <c r="IS234"/>
  <c r="IR234"/>
  <c r="IQ234"/>
  <c r="IP234"/>
  <c r="IO234"/>
  <c r="IN234"/>
  <c r="IM234"/>
  <c r="IL234"/>
  <c r="IK234"/>
  <c r="IJ234"/>
  <c r="II234"/>
  <c r="IH234"/>
  <c r="IG234"/>
  <c r="IF234"/>
  <c r="IE234"/>
  <c r="ID234"/>
  <c r="IC234"/>
  <c r="IB234"/>
  <c r="IA234"/>
  <c r="HZ234"/>
  <c r="HY234"/>
  <c r="HX234"/>
  <c r="HW234"/>
  <c r="HV234"/>
  <c r="HU234"/>
  <c r="HT234"/>
  <c r="HS234"/>
  <c r="HR234"/>
  <c r="HQ234"/>
  <c r="HP234"/>
  <c r="HO234"/>
  <c r="HN234"/>
  <c r="HM234"/>
  <c r="HL234"/>
  <c r="HK234"/>
  <c r="HJ234"/>
  <c r="HI234"/>
  <c r="HH234"/>
  <c r="HG234"/>
  <c r="HF234"/>
  <c r="HE234"/>
  <c r="HD234"/>
  <c r="HC234"/>
  <c r="HB234"/>
  <c r="HA234"/>
  <c r="GZ234"/>
  <c r="GY234"/>
  <c r="GX234"/>
  <c r="GW234"/>
  <c r="GV234"/>
  <c r="GU234"/>
  <c r="GT234"/>
  <c r="GS234"/>
  <c r="GR234"/>
  <c r="GQ234"/>
  <c r="GP234"/>
  <c r="GO234"/>
  <c r="GN234"/>
  <c r="GM234"/>
  <c r="GL234"/>
  <c r="GK234"/>
  <c r="GJ234"/>
  <c r="GI234"/>
  <c r="GH234"/>
  <c r="GG234"/>
  <c r="GF234"/>
  <c r="GE234"/>
  <c r="GD234"/>
  <c r="GC234"/>
  <c r="GB234"/>
  <c r="GA234"/>
  <c r="FZ234"/>
  <c r="FY234"/>
  <c r="FX234"/>
  <c r="FW234"/>
  <c r="FV234"/>
  <c r="FU234"/>
  <c r="FT234"/>
  <c r="FS234"/>
  <c r="FR234"/>
  <c r="FQ234"/>
  <c r="FP234"/>
  <c r="FO234"/>
  <c r="FN234"/>
  <c r="FM234"/>
  <c r="FL234"/>
  <c r="FK234"/>
  <c r="FJ234"/>
  <c r="FI234"/>
  <c r="FH234"/>
  <c r="FG234"/>
  <c r="FF234"/>
  <c r="FE234"/>
  <c r="FD234"/>
  <c r="FC234"/>
  <c r="FB234"/>
  <c r="FA234"/>
  <c r="EZ234"/>
  <c r="EY234"/>
  <c r="EX234"/>
  <c r="EW234"/>
  <c r="EV234"/>
  <c r="EU234"/>
  <c r="ET234"/>
  <c r="ES234"/>
  <c r="ER234"/>
  <c r="EQ234"/>
  <c r="EP234"/>
  <c r="EO234"/>
  <c r="EN234"/>
  <c r="EM234"/>
  <c r="EL234"/>
  <c r="EK234"/>
  <c r="EJ234"/>
  <c r="EI234"/>
  <c r="EH234"/>
  <c r="EG234"/>
  <c r="EF234"/>
  <c r="EE234"/>
  <c r="ED234"/>
  <c r="EC234"/>
  <c r="EB234"/>
  <c r="EA234"/>
  <c r="DZ234"/>
  <c r="DY234"/>
  <c r="DX234"/>
  <c r="DW234"/>
  <c r="DV234"/>
  <c r="DU234"/>
  <c r="DT234"/>
  <c r="DS234"/>
  <c r="DR234"/>
  <c r="DQ234"/>
  <c r="DP234"/>
  <c r="DO234"/>
  <c r="DN234"/>
  <c r="DM234"/>
  <c r="DL234"/>
  <c r="DK234"/>
  <c r="DJ234"/>
  <c r="DI234"/>
  <c r="DH234"/>
  <c r="DG234"/>
  <c r="DF234"/>
  <c r="DE234"/>
  <c r="DD234"/>
  <c r="DC234"/>
  <c r="DB234"/>
  <c r="DA234"/>
  <c r="CZ234"/>
  <c r="CY234"/>
  <c r="CX234"/>
  <c r="CW234"/>
  <c r="CV234"/>
  <c r="CU234"/>
  <c r="CT234"/>
  <c r="CS234"/>
  <c r="CR234"/>
  <c r="CQ234"/>
  <c r="CP234"/>
  <c r="CO234"/>
  <c r="CN234"/>
  <c r="CM234"/>
  <c r="CL234"/>
  <c r="CK234"/>
  <c r="CJ234"/>
  <c r="CI234"/>
  <c r="CH234"/>
  <c r="CG234"/>
  <c r="CF234"/>
  <c r="CE234"/>
  <c r="CD234"/>
  <c r="CC234"/>
  <c r="CB234"/>
  <c r="CA234"/>
  <c r="BZ234"/>
  <c r="BY234"/>
  <c r="BX234"/>
  <c r="BW234"/>
  <c r="BV234"/>
  <c r="BU234"/>
  <c r="BT234"/>
  <c r="BS234"/>
  <c r="BR234"/>
  <c r="BQ234"/>
  <c r="BP234"/>
  <c r="BO234"/>
  <c r="BN234"/>
  <c r="BM234"/>
  <c r="BL234"/>
  <c r="BK234"/>
  <c r="BJ234"/>
  <c r="BI234"/>
  <c r="BH234"/>
  <c r="BG234"/>
  <c r="BF234"/>
  <c r="BE234"/>
  <c r="BD234"/>
  <c r="BC234"/>
  <c r="BB234"/>
  <c r="BA234"/>
  <c r="AZ234"/>
  <c r="AY234"/>
  <c r="AX234"/>
  <c r="AW234"/>
  <c r="AV234"/>
  <c r="AU234"/>
  <c r="AT234"/>
  <c r="AS234"/>
  <c r="AR234"/>
  <c r="AQ234"/>
  <c r="AP234"/>
  <c r="AO234"/>
  <c r="AN234"/>
  <c r="AM234"/>
  <c r="AL234"/>
  <c r="AK234"/>
  <c r="AJ234"/>
  <c r="AI234"/>
  <c r="AH234"/>
  <c r="AG234"/>
  <c r="AF234"/>
  <c r="AE234"/>
  <c r="AD234"/>
  <c r="AC234"/>
  <c r="AB234"/>
  <c r="AA234"/>
  <c r="Z234"/>
  <c r="Y234"/>
  <c r="X234"/>
  <c r="W234"/>
  <c r="V234"/>
  <c r="U234"/>
  <c r="T234"/>
  <c r="S234"/>
  <c r="R234"/>
  <c r="Q234"/>
  <c r="P234"/>
  <c r="O234"/>
  <c r="N234"/>
  <c r="M234"/>
  <c r="L234"/>
  <c r="K234"/>
  <c r="J234"/>
  <c r="I234"/>
  <c r="H234"/>
  <c r="G234"/>
  <c r="F234"/>
  <c r="E234"/>
  <c r="D234"/>
  <c r="C234"/>
  <c r="B234"/>
  <c r="A234"/>
  <c r="IV233"/>
  <c r="IU233"/>
  <c r="IT233"/>
  <c r="IS233"/>
  <c r="IR233"/>
  <c r="IQ233"/>
  <c r="IP233"/>
  <c r="IO233"/>
  <c r="IN233"/>
  <c r="IM233"/>
  <c r="IL233"/>
  <c r="IK233"/>
  <c r="IJ233"/>
  <c r="II233"/>
  <c r="IH233"/>
  <c r="IG233"/>
  <c r="IF233"/>
  <c r="IE233"/>
  <c r="ID233"/>
  <c r="IC233"/>
  <c r="IB233"/>
  <c r="IA233"/>
  <c r="HZ233"/>
  <c r="HY233"/>
  <c r="HX233"/>
  <c r="HW233"/>
  <c r="HV233"/>
  <c r="HU233"/>
  <c r="HT233"/>
  <c r="HS233"/>
  <c r="HR233"/>
  <c r="HQ233"/>
  <c r="HP233"/>
  <c r="HO233"/>
  <c r="HN233"/>
  <c r="HM233"/>
  <c r="HL233"/>
  <c r="HK233"/>
  <c r="HJ233"/>
  <c r="HI233"/>
  <c r="HH233"/>
  <c r="HG233"/>
  <c r="HF233"/>
  <c r="HE233"/>
  <c r="HD233"/>
  <c r="HC233"/>
  <c r="HB233"/>
  <c r="HA233"/>
  <c r="GZ233"/>
  <c r="GY233"/>
  <c r="GX233"/>
  <c r="GW233"/>
  <c r="GV233"/>
  <c r="GU233"/>
  <c r="GT233"/>
  <c r="GS233"/>
  <c r="GR233"/>
  <c r="GQ233"/>
  <c r="GP233"/>
  <c r="GO233"/>
  <c r="GN233"/>
  <c r="GM233"/>
  <c r="GL233"/>
  <c r="GK233"/>
  <c r="GJ233"/>
  <c r="GI233"/>
  <c r="GH233"/>
  <c r="GG233"/>
  <c r="GF233"/>
  <c r="GE233"/>
  <c r="GD233"/>
  <c r="GC233"/>
  <c r="GB233"/>
  <c r="GA233"/>
  <c r="FZ233"/>
  <c r="FY233"/>
  <c r="FX233"/>
  <c r="FW233"/>
  <c r="FV233"/>
  <c r="FU233"/>
  <c r="FT233"/>
  <c r="FS233"/>
  <c r="FR233"/>
  <c r="FQ233"/>
  <c r="FP233"/>
  <c r="FO233"/>
  <c r="FN233"/>
  <c r="FM233"/>
  <c r="FL233"/>
  <c r="FK233"/>
  <c r="FJ233"/>
  <c r="FI233"/>
  <c r="FH233"/>
  <c r="FG233"/>
  <c r="FF233"/>
  <c r="FE233"/>
  <c r="FD233"/>
  <c r="FC233"/>
  <c r="FB233"/>
  <c r="FA233"/>
  <c r="EZ233"/>
  <c r="EY233"/>
  <c r="EX233"/>
  <c r="EW233"/>
  <c r="EV233"/>
  <c r="EU233"/>
  <c r="ET233"/>
  <c r="ES233"/>
  <c r="ER233"/>
  <c r="EQ233"/>
  <c r="EP233"/>
  <c r="EO233"/>
  <c r="EN233"/>
  <c r="EM233"/>
  <c r="EL233"/>
  <c r="EK233"/>
  <c r="EJ233"/>
  <c r="EI233"/>
  <c r="EH233"/>
  <c r="EG233"/>
  <c r="EF233"/>
  <c r="EE233"/>
  <c r="ED233"/>
  <c r="EC233"/>
  <c r="EB233"/>
  <c r="EA233"/>
  <c r="DZ233"/>
  <c r="DY233"/>
  <c r="DX233"/>
  <c r="DW233"/>
  <c r="DV233"/>
  <c r="DU233"/>
  <c r="DT233"/>
  <c r="DS233"/>
  <c r="DR233"/>
  <c r="DQ233"/>
  <c r="DP233"/>
  <c r="DO233"/>
  <c r="DN233"/>
  <c r="DM233"/>
  <c r="DL233"/>
  <c r="DK233"/>
  <c r="DJ233"/>
  <c r="DI233"/>
  <c r="DH233"/>
  <c r="DG233"/>
  <c r="DF233"/>
  <c r="DE233"/>
  <c r="DD233"/>
  <c r="DC233"/>
  <c r="DB233"/>
  <c r="DA233"/>
  <c r="CZ233"/>
  <c r="CY233"/>
  <c r="CX233"/>
  <c r="CW233"/>
  <c r="CV233"/>
  <c r="CU233"/>
  <c r="CT233"/>
  <c r="CS233"/>
  <c r="CR233"/>
  <c r="CQ233"/>
  <c r="CP233"/>
  <c r="CO233"/>
  <c r="CN233"/>
  <c r="CM233"/>
  <c r="CL233"/>
  <c r="CK233"/>
  <c r="CJ233"/>
  <c r="CI233"/>
  <c r="CH233"/>
  <c r="CG233"/>
  <c r="CF233"/>
  <c r="CE233"/>
  <c r="CD233"/>
  <c r="CC233"/>
  <c r="CB233"/>
  <c r="CA233"/>
  <c r="BZ233"/>
  <c r="BY233"/>
  <c r="BX233"/>
  <c r="BW233"/>
  <c r="BV233"/>
  <c r="BU233"/>
  <c r="BT233"/>
  <c r="BS233"/>
  <c r="BR233"/>
  <c r="BQ233"/>
  <c r="BP233"/>
  <c r="BO233"/>
  <c r="BN233"/>
  <c r="BM233"/>
  <c r="BL233"/>
  <c r="BK233"/>
  <c r="BJ233"/>
  <c r="BI233"/>
  <c r="BH233"/>
  <c r="BG233"/>
  <c r="BF233"/>
  <c r="BE233"/>
  <c r="BD233"/>
  <c r="BC233"/>
  <c r="BB233"/>
  <c r="BA233"/>
  <c r="AZ233"/>
  <c r="AY233"/>
  <c r="AX233"/>
  <c r="AW233"/>
  <c r="AV233"/>
  <c r="AU233"/>
  <c r="AT233"/>
  <c r="AS233"/>
  <c r="AR233"/>
  <c r="AQ233"/>
  <c r="AP233"/>
  <c r="AO233"/>
  <c r="AN233"/>
  <c r="AM233"/>
  <c r="AL233"/>
  <c r="AK233"/>
  <c r="AJ233"/>
  <c r="AI233"/>
  <c r="AH233"/>
  <c r="AG233"/>
  <c r="AF233"/>
  <c r="AE233"/>
  <c r="AD233"/>
  <c r="AC233"/>
  <c r="AB233"/>
  <c r="AA233"/>
  <c r="Z233"/>
  <c r="Y233"/>
  <c r="X233"/>
  <c r="W233"/>
  <c r="V233"/>
  <c r="U233"/>
  <c r="T233"/>
  <c r="S233"/>
  <c r="R233"/>
  <c r="Q233"/>
  <c r="P233"/>
  <c r="O233"/>
  <c r="N233"/>
  <c r="M233"/>
  <c r="L233"/>
  <c r="K233"/>
  <c r="J233"/>
  <c r="I233"/>
  <c r="H233"/>
  <c r="G233"/>
  <c r="F233"/>
  <c r="E233"/>
  <c r="D233"/>
  <c r="C233"/>
  <c r="B233"/>
  <c r="A233"/>
  <c r="IV232"/>
  <c r="IU232"/>
  <c r="IT232"/>
  <c r="IS232"/>
  <c r="IR232"/>
  <c r="IQ232"/>
  <c r="IP232"/>
  <c r="IO232"/>
  <c r="IN232"/>
  <c r="IM232"/>
  <c r="IL232"/>
  <c r="IK232"/>
  <c r="IJ232"/>
  <c r="II232"/>
  <c r="IH232"/>
  <c r="IG232"/>
  <c r="IF232"/>
  <c r="IE232"/>
  <c r="ID232"/>
  <c r="IC232"/>
  <c r="IB232"/>
  <c r="IA232"/>
  <c r="HZ232"/>
  <c r="HY232"/>
  <c r="HX232"/>
  <c r="HW232"/>
  <c r="HV232"/>
  <c r="HU232"/>
  <c r="HT232"/>
  <c r="HS232"/>
  <c r="HR232"/>
  <c r="HQ232"/>
  <c r="HP232"/>
  <c r="HO232"/>
  <c r="HN232"/>
  <c r="HM232"/>
  <c r="HL232"/>
  <c r="HK232"/>
  <c r="HJ232"/>
  <c r="HI232"/>
  <c r="HH232"/>
  <c r="HG232"/>
  <c r="HF232"/>
  <c r="HE232"/>
  <c r="HD232"/>
  <c r="HC232"/>
  <c r="HB232"/>
  <c r="HA232"/>
  <c r="GZ232"/>
  <c r="GY232"/>
  <c r="GX232"/>
  <c r="GW232"/>
  <c r="GV232"/>
  <c r="GU232"/>
  <c r="GT232"/>
  <c r="GS232"/>
  <c r="GR232"/>
  <c r="GQ232"/>
  <c r="GP232"/>
  <c r="GO232"/>
  <c r="GN232"/>
  <c r="GM232"/>
  <c r="GL232"/>
  <c r="GK232"/>
  <c r="GJ232"/>
  <c r="GI232"/>
  <c r="GH232"/>
  <c r="GG232"/>
  <c r="GF232"/>
  <c r="GE232"/>
  <c r="GD232"/>
  <c r="GC232"/>
  <c r="GB232"/>
  <c r="GA232"/>
  <c r="FZ232"/>
  <c r="FY232"/>
  <c r="FX232"/>
  <c r="FW232"/>
  <c r="FV232"/>
  <c r="FU232"/>
  <c r="FT232"/>
  <c r="FS232"/>
  <c r="FR232"/>
  <c r="FQ232"/>
  <c r="FP232"/>
  <c r="FO232"/>
  <c r="FN232"/>
  <c r="FM232"/>
  <c r="FL232"/>
  <c r="FK232"/>
  <c r="FJ232"/>
  <c r="FI232"/>
  <c r="FH232"/>
  <c r="FG232"/>
  <c r="FF232"/>
  <c r="FE232"/>
  <c r="FD232"/>
  <c r="FC232"/>
  <c r="FB232"/>
  <c r="FA232"/>
  <c r="EZ232"/>
  <c r="EY232"/>
  <c r="EX232"/>
  <c r="EW232"/>
  <c r="EV232"/>
  <c r="EU232"/>
  <c r="ET232"/>
  <c r="ES232"/>
  <c r="ER232"/>
  <c r="EQ232"/>
  <c r="EP232"/>
  <c r="EO232"/>
  <c r="EN232"/>
  <c r="EM232"/>
  <c r="EL232"/>
  <c r="EK232"/>
  <c r="EJ232"/>
  <c r="EI232"/>
  <c r="EH232"/>
  <c r="EG232"/>
  <c r="EF232"/>
  <c r="EE232"/>
  <c r="ED232"/>
  <c r="EC232"/>
  <c r="EB232"/>
  <c r="EA232"/>
  <c r="DZ232"/>
  <c r="DY232"/>
  <c r="DX232"/>
  <c r="DW232"/>
  <c r="DV232"/>
  <c r="DU232"/>
  <c r="DT232"/>
  <c r="DS232"/>
  <c r="DR232"/>
  <c r="DQ232"/>
  <c r="DP232"/>
  <c r="DO232"/>
  <c r="DN232"/>
  <c r="DM232"/>
  <c r="DL232"/>
  <c r="DK232"/>
  <c r="DJ232"/>
  <c r="DI232"/>
  <c r="DH232"/>
  <c r="DG232"/>
  <c r="DF232"/>
  <c r="DE232"/>
  <c r="DD232"/>
  <c r="DC232"/>
  <c r="DB232"/>
  <c r="DA232"/>
  <c r="CZ232"/>
  <c r="CY232"/>
  <c r="CX232"/>
  <c r="CW232"/>
  <c r="CV232"/>
  <c r="CU232"/>
  <c r="CT232"/>
  <c r="CS232"/>
  <c r="CR232"/>
  <c r="CQ232"/>
  <c r="CP232"/>
  <c r="CO232"/>
  <c r="CN232"/>
  <c r="CM232"/>
  <c r="CL232"/>
  <c r="CK232"/>
  <c r="CJ232"/>
  <c r="CI232"/>
  <c r="CH232"/>
  <c r="CG232"/>
  <c r="CF232"/>
  <c r="CE232"/>
  <c r="CD232"/>
  <c r="CC232"/>
  <c r="CB232"/>
  <c r="CA232"/>
  <c r="BZ232"/>
  <c r="BY232"/>
  <c r="BX232"/>
  <c r="BW232"/>
  <c r="BV232"/>
  <c r="BU232"/>
  <c r="BT232"/>
  <c r="BS232"/>
  <c r="BR232"/>
  <c r="BQ232"/>
  <c r="BP232"/>
  <c r="BO232"/>
  <c r="BN232"/>
  <c r="BM232"/>
  <c r="BL232"/>
  <c r="BK232"/>
  <c r="BJ232"/>
  <c r="BI232"/>
  <c r="BH232"/>
  <c r="BG232"/>
  <c r="BF232"/>
  <c r="BE232"/>
  <c r="BD232"/>
  <c r="BC232"/>
  <c r="BB232"/>
  <c r="BA232"/>
  <c r="AZ232"/>
  <c r="AY232"/>
  <c r="AX232"/>
  <c r="AW232"/>
  <c r="AV232"/>
  <c r="AU232"/>
  <c r="AT232"/>
  <c r="AS232"/>
  <c r="AR232"/>
  <c r="AQ232"/>
  <c r="AP232"/>
  <c r="AO232"/>
  <c r="AN232"/>
  <c r="AM232"/>
  <c r="AL232"/>
  <c r="AK232"/>
  <c r="AJ232"/>
  <c r="AI232"/>
  <c r="AH232"/>
  <c r="AG232"/>
  <c r="AF232"/>
  <c r="AE232"/>
  <c r="AD232"/>
  <c r="AC232"/>
  <c r="AB232"/>
  <c r="AA232"/>
  <c r="Z232"/>
  <c r="Y232"/>
  <c r="X232"/>
  <c r="W232"/>
  <c r="V232"/>
  <c r="U232"/>
  <c r="T232"/>
  <c r="S232"/>
  <c r="R232"/>
  <c r="Q232"/>
  <c r="P232"/>
  <c r="O232"/>
  <c r="N232"/>
  <c r="M232"/>
  <c r="L232"/>
  <c r="K232"/>
  <c r="J232"/>
  <c r="I232"/>
  <c r="H232"/>
  <c r="G232"/>
  <c r="F232"/>
  <c r="E232"/>
  <c r="D232"/>
  <c r="C232"/>
  <c r="B232"/>
  <c r="A232"/>
  <c r="IV231"/>
  <c r="IU231"/>
  <c r="IT231"/>
  <c r="IS231"/>
  <c r="IR231"/>
  <c r="IQ231"/>
  <c r="IP231"/>
  <c r="IO231"/>
  <c r="IN231"/>
  <c r="IM231"/>
  <c r="IL231"/>
  <c r="IK231"/>
  <c r="IJ231"/>
  <c r="II231"/>
  <c r="IH231"/>
  <c r="IG231"/>
  <c r="IF231"/>
  <c r="IE231"/>
  <c r="ID231"/>
  <c r="IC231"/>
  <c r="IB231"/>
  <c r="IA231"/>
  <c r="HZ231"/>
  <c r="HY231"/>
  <c r="HX231"/>
  <c r="HW231"/>
  <c r="HV231"/>
  <c r="HU231"/>
  <c r="HT231"/>
  <c r="HS231"/>
  <c r="HR231"/>
  <c r="HQ231"/>
  <c r="HP231"/>
  <c r="HO231"/>
  <c r="HN231"/>
  <c r="HM231"/>
  <c r="HL231"/>
  <c r="HK231"/>
  <c r="HJ231"/>
  <c r="HI231"/>
  <c r="HH231"/>
  <c r="HG231"/>
  <c r="HF231"/>
  <c r="HE231"/>
  <c r="HD231"/>
  <c r="HC231"/>
  <c r="HB231"/>
  <c r="HA231"/>
  <c r="GZ231"/>
  <c r="GY231"/>
  <c r="GX231"/>
  <c r="GW231"/>
  <c r="GV231"/>
  <c r="GU231"/>
  <c r="GT231"/>
  <c r="GS231"/>
  <c r="GR231"/>
  <c r="GQ231"/>
  <c r="GP231"/>
  <c r="GO231"/>
  <c r="GN231"/>
  <c r="GM231"/>
  <c r="GL231"/>
  <c r="GK231"/>
  <c r="GJ231"/>
  <c r="GI231"/>
  <c r="GH231"/>
  <c r="GG231"/>
  <c r="GF231"/>
  <c r="GE231"/>
  <c r="GD231"/>
  <c r="GC231"/>
  <c r="GB231"/>
  <c r="GA231"/>
  <c r="FZ231"/>
  <c r="FY231"/>
  <c r="FX231"/>
  <c r="FW231"/>
  <c r="FV231"/>
  <c r="FU231"/>
  <c r="FT231"/>
  <c r="FS231"/>
  <c r="FR231"/>
  <c r="FQ231"/>
  <c r="FP231"/>
  <c r="FO231"/>
  <c r="FN231"/>
  <c r="FM231"/>
  <c r="FL231"/>
  <c r="FK231"/>
  <c r="FJ231"/>
  <c r="FI231"/>
  <c r="FH231"/>
  <c r="FG231"/>
  <c r="FF231"/>
  <c r="FE231"/>
  <c r="FD231"/>
  <c r="FC231"/>
  <c r="FB231"/>
  <c r="FA231"/>
  <c r="EZ231"/>
  <c r="EY231"/>
  <c r="EX231"/>
  <c r="EW231"/>
  <c r="EV231"/>
  <c r="EU231"/>
  <c r="ET231"/>
  <c r="ES231"/>
  <c r="ER231"/>
  <c r="EQ231"/>
  <c r="EP231"/>
  <c r="EO231"/>
  <c r="EN231"/>
  <c r="EM231"/>
  <c r="EL231"/>
  <c r="EK231"/>
  <c r="EJ231"/>
  <c r="EI231"/>
  <c r="EH231"/>
  <c r="EG231"/>
  <c r="EF231"/>
  <c r="EE231"/>
  <c r="ED231"/>
  <c r="EC231"/>
  <c r="EB231"/>
  <c r="EA231"/>
  <c r="DZ231"/>
  <c r="DY231"/>
  <c r="DX231"/>
  <c r="DW231"/>
  <c r="DV231"/>
  <c r="DU231"/>
  <c r="DT231"/>
  <c r="DS231"/>
  <c r="DR231"/>
  <c r="DQ231"/>
  <c r="DP231"/>
  <c r="DO231"/>
  <c r="DN231"/>
  <c r="DM231"/>
  <c r="DL231"/>
  <c r="DK231"/>
  <c r="DJ231"/>
  <c r="DI231"/>
  <c r="DH231"/>
  <c r="DG231"/>
  <c r="DF231"/>
  <c r="DE231"/>
  <c r="DD231"/>
  <c r="DC231"/>
  <c r="DB231"/>
  <c r="DA231"/>
  <c r="CZ231"/>
  <c r="CY231"/>
  <c r="CX231"/>
  <c r="CW231"/>
  <c r="CV231"/>
  <c r="CU231"/>
  <c r="CT231"/>
  <c r="CS231"/>
  <c r="CR231"/>
  <c r="CQ231"/>
  <c r="CP231"/>
  <c r="CO231"/>
  <c r="CN231"/>
  <c r="CM231"/>
  <c r="CL231"/>
  <c r="CK231"/>
  <c r="CJ231"/>
  <c r="CI231"/>
  <c r="CH231"/>
  <c r="CG231"/>
  <c r="CF231"/>
  <c r="CE231"/>
  <c r="CD231"/>
  <c r="CC231"/>
  <c r="CB231"/>
  <c r="CA231"/>
  <c r="BZ231"/>
  <c r="BY231"/>
  <c r="BX231"/>
  <c r="BW231"/>
  <c r="BV231"/>
  <c r="BU231"/>
  <c r="BT231"/>
  <c r="BS231"/>
  <c r="BR231"/>
  <c r="BQ231"/>
  <c r="BP231"/>
  <c r="BO231"/>
  <c r="BN231"/>
  <c r="BM231"/>
  <c r="BL231"/>
  <c r="BK231"/>
  <c r="BJ231"/>
  <c r="BI231"/>
  <c r="BH231"/>
  <c r="BG231"/>
  <c r="BF231"/>
  <c r="BE231"/>
  <c r="BD231"/>
  <c r="BC231"/>
  <c r="BB231"/>
  <c r="BA231"/>
  <c r="AZ231"/>
  <c r="AY231"/>
  <c r="AX231"/>
  <c r="AW231"/>
  <c r="AV231"/>
  <c r="AU231"/>
  <c r="AT231"/>
  <c r="AS231"/>
  <c r="AR231"/>
  <c r="AQ231"/>
  <c r="AP231"/>
  <c r="AO231"/>
  <c r="AN231"/>
  <c r="AM231"/>
  <c r="AL231"/>
  <c r="AK231"/>
  <c r="AJ231"/>
  <c r="AI231"/>
  <c r="AH231"/>
  <c r="AG231"/>
  <c r="AF231"/>
  <c r="AE231"/>
  <c r="AD231"/>
  <c r="AC231"/>
  <c r="AB231"/>
  <c r="AA231"/>
  <c r="Z231"/>
  <c r="Y231"/>
  <c r="X231"/>
  <c r="W231"/>
  <c r="V231"/>
  <c r="U231"/>
  <c r="T231"/>
  <c r="S231"/>
  <c r="R231"/>
  <c r="Q231"/>
  <c r="P231"/>
  <c r="O231"/>
  <c r="N231"/>
  <c r="M231"/>
  <c r="L231"/>
  <c r="K231"/>
  <c r="J231"/>
  <c r="I231"/>
  <c r="H231"/>
  <c r="G231"/>
  <c r="F231"/>
  <c r="E231"/>
  <c r="D231"/>
  <c r="C231"/>
  <c r="B231"/>
  <c r="A231"/>
  <c r="IV230"/>
  <c r="IU230"/>
  <c r="IT230"/>
  <c r="IS230"/>
  <c r="IR230"/>
  <c r="IQ230"/>
  <c r="IP230"/>
  <c r="IO230"/>
  <c r="IN230"/>
  <c r="IM230"/>
  <c r="IL230"/>
  <c r="IK230"/>
  <c r="IJ230"/>
  <c r="II230"/>
  <c r="IH230"/>
  <c r="IG230"/>
  <c r="IF230"/>
  <c r="IE230"/>
  <c r="ID230"/>
  <c r="IC230"/>
  <c r="IB230"/>
  <c r="IA230"/>
  <c r="HZ230"/>
  <c r="HY230"/>
  <c r="HX230"/>
  <c r="HW230"/>
  <c r="HV230"/>
  <c r="HU230"/>
  <c r="HT230"/>
  <c r="HS230"/>
  <c r="HR230"/>
  <c r="HQ230"/>
  <c r="HP230"/>
  <c r="HO230"/>
  <c r="HN230"/>
  <c r="HM230"/>
  <c r="HL230"/>
  <c r="HK230"/>
  <c r="HJ230"/>
  <c r="HI230"/>
  <c r="HH230"/>
  <c r="HG230"/>
  <c r="HF230"/>
  <c r="HE230"/>
  <c r="HD230"/>
  <c r="HC230"/>
  <c r="HB230"/>
  <c r="HA230"/>
  <c r="GZ230"/>
  <c r="GY230"/>
  <c r="GX230"/>
  <c r="GW230"/>
  <c r="GV230"/>
  <c r="GU230"/>
  <c r="GT230"/>
  <c r="GS230"/>
  <c r="GR230"/>
  <c r="GQ230"/>
  <c r="GP230"/>
  <c r="GO230"/>
  <c r="GN230"/>
  <c r="GM230"/>
  <c r="GL230"/>
  <c r="GK230"/>
  <c r="GJ230"/>
  <c r="GI230"/>
  <c r="GH230"/>
  <c r="GG230"/>
  <c r="GF230"/>
  <c r="GE230"/>
  <c r="GD230"/>
  <c r="GC230"/>
  <c r="GB230"/>
  <c r="GA230"/>
  <c r="FZ230"/>
  <c r="FY230"/>
  <c r="FX230"/>
  <c r="FW230"/>
  <c r="FV230"/>
  <c r="FU230"/>
  <c r="FT230"/>
  <c r="FS230"/>
  <c r="FR230"/>
  <c r="FQ230"/>
  <c r="FP230"/>
  <c r="FO230"/>
  <c r="FN230"/>
  <c r="FM230"/>
  <c r="FL230"/>
  <c r="FK230"/>
  <c r="FJ230"/>
  <c r="FI230"/>
  <c r="FH230"/>
  <c r="FG230"/>
  <c r="FF230"/>
  <c r="FE230"/>
  <c r="FD230"/>
  <c r="FC230"/>
  <c r="FB230"/>
  <c r="FA230"/>
  <c r="EZ230"/>
  <c r="EY230"/>
  <c r="EX230"/>
  <c r="EW230"/>
  <c r="EV230"/>
  <c r="EU230"/>
  <c r="ET230"/>
  <c r="ES230"/>
  <c r="ER230"/>
  <c r="EQ230"/>
  <c r="EP230"/>
  <c r="EO230"/>
  <c r="EN230"/>
  <c r="EM230"/>
  <c r="EL230"/>
  <c r="EK230"/>
  <c r="EJ230"/>
  <c r="EI230"/>
  <c r="EH230"/>
  <c r="EG230"/>
  <c r="EF230"/>
  <c r="EE230"/>
  <c r="ED230"/>
  <c r="EC230"/>
  <c r="EB230"/>
  <c r="EA230"/>
  <c r="DZ230"/>
  <c r="DY230"/>
  <c r="DX230"/>
  <c r="DW230"/>
  <c r="DV230"/>
  <c r="DU230"/>
  <c r="DT230"/>
  <c r="DS230"/>
  <c r="DR230"/>
  <c r="DQ230"/>
  <c r="DP230"/>
  <c r="DO230"/>
  <c r="DN230"/>
  <c r="DM230"/>
  <c r="DL230"/>
  <c r="DK230"/>
  <c r="DJ230"/>
  <c r="DI230"/>
  <c r="DH230"/>
  <c r="DG230"/>
  <c r="DF230"/>
  <c r="DE230"/>
  <c r="DD230"/>
  <c r="DC230"/>
  <c r="DB230"/>
  <c r="DA230"/>
  <c r="CZ230"/>
  <c r="CY230"/>
  <c r="CX230"/>
  <c r="CW230"/>
  <c r="CV230"/>
  <c r="CU230"/>
  <c r="CT230"/>
  <c r="CS230"/>
  <c r="CR230"/>
  <c r="CQ230"/>
  <c r="CP230"/>
  <c r="CO230"/>
  <c r="CN230"/>
  <c r="CM230"/>
  <c r="CL230"/>
  <c r="CK230"/>
  <c r="CJ230"/>
  <c r="CI230"/>
  <c r="CH230"/>
  <c r="CG230"/>
  <c r="CF230"/>
  <c r="CE230"/>
  <c r="CD230"/>
  <c r="CC230"/>
  <c r="CB230"/>
  <c r="CA230"/>
  <c r="BZ230"/>
  <c r="BY230"/>
  <c r="BX230"/>
  <c r="BW230"/>
  <c r="BV230"/>
  <c r="BU230"/>
  <c r="BT230"/>
  <c r="BS230"/>
  <c r="BR230"/>
  <c r="BQ230"/>
  <c r="BP230"/>
  <c r="BO230"/>
  <c r="BN230"/>
  <c r="BM230"/>
  <c r="BL230"/>
  <c r="BK230"/>
  <c r="BJ230"/>
  <c r="BI230"/>
  <c r="BH230"/>
  <c r="BG230"/>
  <c r="BF230"/>
  <c r="BE230"/>
  <c r="BD230"/>
  <c r="BC230"/>
  <c r="BB230"/>
  <c r="BA230"/>
  <c r="AZ230"/>
  <c r="AY230"/>
  <c r="AX230"/>
  <c r="AW230"/>
  <c r="AV230"/>
  <c r="AU230"/>
  <c r="AT230"/>
  <c r="AS230"/>
  <c r="AR230"/>
  <c r="AQ230"/>
  <c r="AP230"/>
  <c r="AO230"/>
  <c r="AN230"/>
  <c r="AM230"/>
  <c r="AL230"/>
  <c r="AK230"/>
  <c r="AJ230"/>
  <c r="AI230"/>
  <c r="AH230"/>
  <c r="AG230"/>
  <c r="AF230"/>
  <c r="AE230"/>
  <c r="AD230"/>
  <c r="AC230"/>
  <c r="AB230"/>
  <c r="AA230"/>
  <c r="Z230"/>
  <c r="Y230"/>
  <c r="X230"/>
  <c r="W230"/>
  <c r="V230"/>
  <c r="U230"/>
  <c r="T230"/>
  <c r="S230"/>
  <c r="R230"/>
  <c r="Q230"/>
  <c r="P230"/>
  <c r="O230"/>
  <c r="N230"/>
  <c r="M230"/>
  <c r="L230"/>
  <c r="K230"/>
  <c r="J230"/>
  <c r="I230"/>
  <c r="H230"/>
  <c r="G230"/>
  <c r="F230"/>
  <c r="E230"/>
  <c r="D230"/>
  <c r="C230"/>
  <c r="B230"/>
  <c r="A230"/>
  <c r="IV229"/>
  <c r="IU229"/>
  <c r="IT229"/>
  <c r="IS229"/>
  <c r="IR229"/>
  <c r="IQ229"/>
  <c r="IP229"/>
  <c r="IO229"/>
  <c r="IN229"/>
  <c r="IM229"/>
  <c r="IL229"/>
  <c r="IK229"/>
  <c r="IJ229"/>
  <c r="II229"/>
  <c r="IH229"/>
  <c r="IG229"/>
  <c r="IF229"/>
  <c r="IE229"/>
  <c r="ID229"/>
  <c r="IC229"/>
  <c r="IB229"/>
  <c r="IA229"/>
  <c r="HZ229"/>
  <c r="HY229"/>
  <c r="HX229"/>
  <c r="HW229"/>
  <c r="HV229"/>
  <c r="HU229"/>
  <c r="HT229"/>
  <c r="HS229"/>
  <c r="HR229"/>
  <c r="HQ229"/>
  <c r="HP229"/>
  <c r="HO229"/>
  <c r="HN229"/>
  <c r="HM229"/>
  <c r="HL229"/>
  <c r="HK229"/>
  <c r="HJ229"/>
  <c r="HI229"/>
  <c r="HH229"/>
  <c r="HG229"/>
  <c r="HF229"/>
  <c r="HE229"/>
  <c r="HD229"/>
  <c r="HC229"/>
  <c r="HB229"/>
  <c r="HA229"/>
  <c r="GZ229"/>
  <c r="GY229"/>
  <c r="GX229"/>
  <c r="GW229"/>
  <c r="GV229"/>
  <c r="GU229"/>
  <c r="GT229"/>
  <c r="GS229"/>
  <c r="GR229"/>
  <c r="GQ229"/>
  <c r="GP229"/>
  <c r="GO229"/>
  <c r="GN229"/>
  <c r="GM229"/>
  <c r="GL229"/>
  <c r="GK229"/>
  <c r="GJ229"/>
  <c r="GI229"/>
  <c r="GH229"/>
  <c r="GG229"/>
  <c r="GF229"/>
  <c r="GE229"/>
  <c r="GD229"/>
  <c r="GC229"/>
  <c r="GB229"/>
  <c r="GA229"/>
  <c r="FZ229"/>
  <c r="FY229"/>
  <c r="FX229"/>
  <c r="FW229"/>
  <c r="FV229"/>
  <c r="FU229"/>
  <c r="FT229"/>
  <c r="FS229"/>
  <c r="FR229"/>
  <c r="FQ229"/>
  <c r="FP229"/>
  <c r="FO229"/>
  <c r="FN229"/>
  <c r="FM229"/>
  <c r="FL229"/>
  <c r="FK229"/>
  <c r="FJ229"/>
  <c r="FI229"/>
  <c r="FH229"/>
  <c r="FG229"/>
  <c r="FF229"/>
  <c r="FE229"/>
  <c r="FD229"/>
  <c r="FC229"/>
  <c r="FB229"/>
  <c r="FA229"/>
  <c r="EZ229"/>
  <c r="EY229"/>
  <c r="EX229"/>
  <c r="EW229"/>
  <c r="EV229"/>
  <c r="EU229"/>
  <c r="ET229"/>
  <c r="ES229"/>
  <c r="ER229"/>
  <c r="EQ229"/>
  <c r="EP229"/>
  <c r="EO229"/>
  <c r="EN229"/>
  <c r="EM229"/>
  <c r="EL229"/>
  <c r="EK229"/>
  <c r="EJ229"/>
  <c r="EI229"/>
  <c r="EH229"/>
  <c r="EG229"/>
  <c r="EF229"/>
  <c r="EE229"/>
  <c r="ED229"/>
  <c r="EC229"/>
  <c r="EB229"/>
  <c r="EA229"/>
  <c r="DZ229"/>
  <c r="DY229"/>
  <c r="DX229"/>
  <c r="DW229"/>
  <c r="DV229"/>
  <c r="DU229"/>
  <c r="DT229"/>
  <c r="DS229"/>
  <c r="DR229"/>
  <c r="DQ229"/>
  <c r="DP229"/>
  <c r="DO229"/>
  <c r="DN229"/>
  <c r="DM229"/>
  <c r="DL229"/>
  <c r="DK229"/>
  <c r="DJ229"/>
  <c r="DI229"/>
  <c r="DH229"/>
  <c r="DG229"/>
  <c r="DF229"/>
  <c r="DE229"/>
  <c r="DD229"/>
  <c r="DC229"/>
  <c r="DB229"/>
  <c r="DA229"/>
  <c r="CZ229"/>
  <c r="CY229"/>
  <c r="CX229"/>
  <c r="CW229"/>
  <c r="CV229"/>
  <c r="CU229"/>
  <c r="CT229"/>
  <c r="CS229"/>
  <c r="CR229"/>
  <c r="CQ229"/>
  <c r="CP229"/>
  <c r="CO229"/>
  <c r="CN229"/>
  <c r="CM229"/>
  <c r="CL229"/>
  <c r="CK229"/>
  <c r="CJ229"/>
  <c r="CI229"/>
  <c r="CH229"/>
  <c r="CG229"/>
  <c r="CF229"/>
  <c r="CE229"/>
  <c r="CD229"/>
  <c r="CC229"/>
  <c r="CB229"/>
  <c r="CA229"/>
  <c r="BZ229"/>
  <c r="BY229"/>
  <c r="BX229"/>
  <c r="BW229"/>
  <c r="BV229"/>
  <c r="BU229"/>
  <c r="BT229"/>
  <c r="BS229"/>
  <c r="BR229"/>
  <c r="BQ229"/>
  <c r="BP229"/>
  <c r="BO229"/>
  <c r="BN229"/>
  <c r="BM229"/>
  <c r="BL229"/>
  <c r="BK229"/>
  <c r="BJ229"/>
  <c r="BI229"/>
  <c r="BH229"/>
  <c r="BG229"/>
  <c r="BF229"/>
  <c r="BE229"/>
  <c r="BD229"/>
  <c r="BC229"/>
  <c r="BB229"/>
  <c r="BA229"/>
  <c r="AZ229"/>
  <c r="AY229"/>
  <c r="AX229"/>
  <c r="AW229"/>
  <c r="AV229"/>
  <c r="AU229"/>
  <c r="AT229"/>
  <c r="AS229"/>
  <c r="AR229"/>
  <c r="AQ229"/>
  <c r="AP229"/>
  <c r="AO229"/>
  <c r="AN229"/>
  <c r="AM229"/>
  <c r="AL229"/>
  <c r="AK229"/>
  <c r="AJ229"/>
  <c r="AI229"/>
  <c r="AH229"/>
  <c r="AG229"/>
  <c r="AF229"/>
  <c r="AE229"/>
  <c r="AD229"/>
  <c r="AC229"/>
  <c r="AB229"/>
  <c r="AA229"/>
  <c r="Z229"/>
  <c r="Y229"/>
  <c r="X229"/>
  <c r="W229"/>
  <c r="V229"/>
  <c r="U229"/>
  <c r="T229"/>
  <c r="S229"/>
  <c r="R229"/>
  <c r="Q229"/>
  <c r="P229"/>
  <c r="O229"/>
  <c r="N229"/>
  <c r="M229"/>
  <c r="L229"/>
  <c r="K229"/>
  <c r="J229"/>
  <c r="I229"/>
  <c r="H229"/>
  <c r="G229"/>
  <c r="F229"/>
  <c r="E229"/>
  <c r="D229"/>
  <c r="C229"/>
  <c r="B229"/>
  <c r="A229"/>
  <c r="IV228"/>
  <c r="IU228"/>
  <c r="IT228"/>
  <c r="IS228"/>
  <c r="IR228"/>
  <c r="IQ228"/>
  <c r="IP228"/>
  <c r="IO228"/>
  <c r="IN228"/>
  <c r="IM228"/>
  <c r="IL228"/>
  <c r="IK228"/>
  <c r="IJ228"/>
  <c r="II228"/>
  <c r="IH228"/>
  <c r="IG228"/>
  <c r="IF228"/>
  <c r="IE228"/>
  <c r="ID228"/>
  <c r="IC228"/>
  <c r="IB228"/>
  <c r="IA228"/>
  <c r="HZ228"/>
  <c r="HY228"/>
  <c r="HX228"/>
  <c r="HW228"/>
  <c r="HV228"/>
  <c r="HU228"/>
  <c r="HT228"/>
  <c r="HS228"/>
  <c r="HR228"/>
  <c r="HQ228"/>
  <c r="HP228"/>
  <c r="HO228"/>
  <c r="HN228"/>
  <c r="HM228"/>
  <c r="HL228"/>
  <c r="HK228"/>
  <c r="HJ228"/>
  <c r="HI228"/>
  <c r="HH228"/>
  <c r="HG228"/>
  <c r="HF228"/>
  <c r="HE228"/>
  <c r="HD228"/>
  <c r="HC228"/>
  <c r="HB228"/>
  <c r="HA228"/>
  <c r="GZ228"/>
  <c r="GY228"/>
  <c r="GX228"/>
  <c r="GW228"/>
  <c r="GV228"/>
  <c r="GU228"/>
  <c r="GT228"/>
  <c r="GS228"/>
  <c r="GR228"/>
  <c r="GQ228"/>
  <c r="GP228"/>
  <c r="GO228"/>
  <c r="GN228"/>
  <c r="GM228"/>
  <c r="GL228"/>
  <c r="GK228"/>
  <c r="GJ228"/>
  <c r="GI228"/>
  <c r="GH228"/>
  <c r="GG228"/>
  <c r="GF228"/>
  <c r="GE228"/>
  <c r="GD228"/>
  <c r="GC228"/>
  <c r="GB228"/>
  <c r="GA228"/>
  <c r="FZ228"/>
  <c r="FY228"/>
  <c r="FX228"/>
  <c r="FW228"/>
  <c r="FV228"/>
  <c r="FU228"/>
  <c r="FT228"/>
  <c r="FS228"/>
  <c r="FR228"/>
  <c r="FQ228"/>
  <c r="FP228"/>
  <c r="FO228"/>
  <c r="FN228"/>
  <c r="FM228"/>
  <c r="FL228"/>
  <c r="FK228"/>
  <c r="FJ228"/>
  <c r="FI228"/>
  <c r="FH228"/>
  <c r="FG228"/>
  <c r="FF228"/>
  <c r="FE228"/>
  <c r="FD228"/>
  <c r="FC228"/>
  <c r="FB228"/>
  <c r="FA228"/>
  <c r="EZ228"/>
  <c r="EY228"/>
  <c r="EX228"/>
  <c r="EW228"/>
  <c r="EV228"/>
  <c r="EU228"/>
  <c r="ET228"/>
  <c r="ES228"/>
  <c r="ER228"/>
  <c r="EQ228"/>
  <c r="EP228"/>
  <c r="EO228"/>
  <c r="EN228"/>
  <c r="EM228"/>
  <c r="EL228"/>
  <c r="EK228"/>
  <c r="EJ228"/>
  <c r="EI228"/>
  <c r="EH228"/>
  <c r="EG228"/>
  <c r="EF228"/>
  <c r="EE228"/>
  <c r="ED228"/>
  <c r="EC228"/>
  <c r="EB228"/>
  <c r="EA228"/>
  <c r="DZ228"/>
  <c r="DY228"/>
  <c r="DX228"/>
  <c r="DW228"/>
  <c r="DV228"/>
  <c r="DU228"/>
  <c r="DT228"/>
  <c r="DS228"/>
  <c r="DR228"/>
  <c r="DQ228"/>
  <c r="DP228"/>
  <c r="DO228"/>
  <c r="DN228"/>
  <c r="DM228"/>
  <c r="DL228"/>
  <c r="DK228"/>
  <c r="DJ228"/>
  <c r="DI228"/>
  <c r="DH228"/>
  <c r="DG228"/>
  <c r="DF228"/>
  <c r="DE228"/>
  <c r="DD228"/>
  <c r="DC228"/>
  <c r="DB228"/>
  <c r="DA228"/>
  <c r="CZ228"/>
  <c r="CY228"/>
  <c r="CX228"/>
  <c r="CW228"/>
  <c r="CV228"/>
  <c r="CU228"/>
  <c r="CT228"/>
  <c r="CS228"/>
  <c r="CR228"/>
  <c r="CQ228"/>
  <c r="CP228"/>
  <c r="CO228"/>
  <c r="CN228"/>
  <c r="CM228"/>
  <c r="CL228"/>
  <c r="CK228"/>
  <c r="CJ228"/>
  <c r="CI228"/>
  <c r="CH228"/>
  <c r="CG228"/>
  <c r="CF228"/>
  <c r="CE228"/>
  <c r="CD228"/>
  <c r="CC228"/>
  <c r="CB228"/>
  <c r="CA228"/>
  <c r="BZ228"/>
  <c r="BY228"/>
  <c r="BX228"/>
  <c r="BW228"/>
  <c r="BV228"/>
  <c r="BU228"/>
  <c r="BT228"/>
  <c r="BS228"/>
  <c r="BR228"/>
  <c r="BQ228"/>
  <c r="BP228"/>
  <c r="BO228"/>
  <c r="BN228"/>
  <c r="BM228"/>
  <c r="BL228"/>
  <c r="BK228"/>
  <c r="BJ228"/>
  <c r="BI228"/>
  <c r="BH228"/>
  <c r="BG228"/>
  <c r="BF228"/>
  <c r="BE228"/>
  <c r="BD228"/>
  <c r="BC228"/>
  <c r="BB228"/>
  <c r="BA228"/>
  <c r="AZ228"/>
  <c r="AY228"/>
  <c r="AX228"/>
  <c r="AW228"/>
  <c r="AV228"/>
  <c r="AU228"/>
  <c r="AT228"/>
  <c r="AS228"/>
  <c r="AR228"/>
  <c r="AQ228"/>
  <c r="AP228"/>
  <c r="AO228"/>
  <c r="AN228"/>
  <c r="AM228"/>
  <c r="AL228"/>
  <c r="AK228"/>
  <c r="AJ228"/>
  <c r="AI228"/>
  <c r="AH228"/>
  <c r="AG228"/>
  <c r="AF228"/>
  <c r="AE228"/>
  <c r="AD228"/>
  <c r="AC228"/>
  <c r="AB228"/>
  <c r="AA228"/>
  <c r="Z228"/>
  <c r="Y228"/>
  <c r="X228"/>
  <c r="W228"/>
  <c r="V228"/>
  <c r="U228"/>
  <c r="T228"/>
  <c r="S228"/>
  <c r="R228"/>
  <c r="Q228"/>
  <c r="P228"/>
  <c r="O228"/>
  <c r="N228"/>
  <c r="M228"/>
  <c r="L228"/>
  <c r="K228"/>
  <c r="J228"/>
  <c r="I228"/>
  <c r="H228"/>
  <c r="G228"/>
  <c r="F228"/>
  <c r="E228"/>
  <c r="D228"/>
  <c r="C228"/>
  <c r="B228"/>
  <c r="A228"/>
  <c r="IV227"/>
  <c r="IU227"/>
  <c r="IT227"/>
  <c r="IS227"/>
  <c r="IR227"/>
  <c r="IQ227"/>
  <c r="IP227"/>
  <c r="IO227"/>
  <c r="IN227"/>
  <c r="IM227"/>
  <c r="IL227"/>
  <c r="IK227"/>
  <c r="IJ227"/>
  <c r="II227"/>
  <c r="IH227"/>
  <c r="IG227"/>
  <c r="IF227"/>
  <c r="IE227"/>
  <c r="ID227"/>
  <c r="IC227"/>
  <c r="IB227"/>
  <c r="IA227"/>
  <c r="HZ227"/>
  <c r="HY227"/>
  <c r="HX227"/>
  <c r="HW227"/>
  <c r="HV227"/>
  <c r="HU227"/>
  <c r="HT227"/>
  <c r="HS227"/>
  <c r="HR227"/>
  <c r="HQ227"/>
  <c r="HP227"/>
  <c r="HO227"/>
  <c r="HN227"/>
  <c r="HM227"/>
  <c r="HL227"/>
  <c r="HK227"/>
  <c r="HJ227"/>
  <c r="HI227"/>
  <c r="HH227"/>
  <c r="HG227"/>
  <c r="HF227"/>
  <c r="HE227"/>
  <c r="HD227"/>
  <c r="HC227"/>
  <c r="HB227"/>
  <c r="HA227"/>
  <c r="GZ227"/>
  <c r="GY227"/>
  <c r="GX227"/>
  <c r="GW227"/>
  <c r="GV227"/>
  <c r="GU227"/>
  <c r="GT227"/>
  <c r="GS227"/>
  <c r="GR227"/>
  <c r="GQ227"/>
  <c r="GP227"/>
  <c r="GO227"/>
  <c r="GN227"/>
  <c r="GM227"/>
  <c r="GL227"/>
  <c r="GK227"/>
  <c r="GJ227"/>
  <c r="GI227"/>
  <c r="GH227"/>
  <c r="GG227"/>
  <c r="GF227"/>
  <c r="GE227"/>
  <c r="GD227"/>
  <c r="GC227"/>
  <c r="GB227"/>
  <c r="GA227"/>
  <c r="FZ227"/>
  <c r="FY227"/>
  <c r="FX227"/>
  <c r="FW227"/>
  <c r="FV227"/>
  <c r="FU227"/>
  <c r="FT227"/>
  <c r="FS227"/>
  <c r="FR227"/>
  <c r="FQ227"/>
  <c r="FP227"/>
  <c r="FO227"/>
  <c r="FN227"/>
  <c r="FM227"/>
  <c r="FL227"/>
  <c r="FK227"/>
  <c r="FJ227"/>
  <c r="FI227"/>
  <c r="FH227"/>
  <c r="FG227"/>
  <c r="FF227"/>
  <c r="FE227"/>
  <c r="FD227"/>
  <c r="FC227"/>
  <c r="FB227"/>
  <c r="FA227"/>
  <c r="EZ227"/>
  <c r="EY227"/>
  <c r="EX227"/>
  <c r="EW227"/>
  <c r="EV227"/>
  <c r="EU227"/>
  <c r="ET227"/>
  <c r="ES227"/>
  <c r="ER227"/>
  <c r="EQ227"/>
  <c r="EP227"/>
  <c r="EO227"/>
  <c r="EN227"/>
  <c r="EM227"/>
  <c r="EL227"/>
  <c r="EK227"/>
  <c r="EJ227"/>
  <c r="EI227"/>
  <c r="EH227"/>
  <c r="EG227"/>
  <c r="EF227"/>
  <c r="EE227"/>
  <c r="ED227"/>
  <c r="EC227"/>
  <c r="EB227"/>
  <c r="EA227"/>
  <c r="DZ227"/>
  <c r="DY227"/>
  <c r="DX227"/>
  <c r="DW227"/>
  <c r="DV227"/>
  <c r="DU227"/>
  <c r="DT227"/>
  <c r="DS227"/>
  <c r="DR227"/>
  <c r="DQ227"/>
  <c r="DP227"/>
  <c r="DO227"/>
  <c r="DN227"/>
  <c r="DM227"/>
  <c r="DL227"/>
  <c r="DK227"/>
  <c r="DJ227"/>
  <c r="DI227"/>
  <c r="DH227"/>
  <c r="DG227"/>
  <c r="DF227"/>
  <c r="DE227"/>
  <c r="DD227"/>
  <c r="DC227"/>
  <c r="DB227"/>
  <c r="DA227"/>
  <c r="CZ227"/>
  <c r="CY227"/>
  <c r="CX227"/>
  <c r="CW227"/>
  <c r="CV227"/>
  <c r="CU227"/>
  <c r="CT227"/>
  <c r="CS227"/>
  <c r="CR227"/>
  <c r="CQ227"/>
  <c r="CP227"/>
  <c r="CO227"/>
  <c r="CN227"/>
  <c r="CM227"/>
  <c r="CL227"/>
  <c r="CK227"/>
  <c r="CJ227"/>
  <c r="CI227"/>
  <c r="CH227"/>
  <c r="CG227"/>
  <c r="CF227"/>
  <c r="CE227"/>
  <c r="CD227"/>
  <c r="CC227"/>
  <c r="CB227"/>
  <c r="CA227"/>
  <c r="BZ227"/>
  <c r="BY227"/>
  <c r="BX227"/>
  <c r="BW227"/>
  <c r="BV227"/>
  <c r="BU227"/>
  <c r="BT227"/>
  <c r="BS227"/>
  <c r="BR227"/>
  <c r="BQ227"/>
  <c r="BP227"/>
  <c r="BO227"/>
  <c r="BN227"/>
  <c r="BM227"/>
  <c r="BL227"/>
  <c r="BK227"/>
  <c r="BJ227"/>
  <c r="BI227"/>
  <c r="BH227"/>
  <c r="BG227"/>
  <c r="BF227"/>
  <c r="BE227"/>
  <c r="BD227"/>
  <c r="BC227"/>
  <c r="BB227"/>
  <c r="BA227"/>
  <c r="AZ227"/>
  <c r="AY227"/>
  <c r="AX227"/>
  <c r="AW227"/>
  <c r="AV227"/>
  <c r="AU227"/>
  <c r="AT227"/>
  <c r="AS227"/>
  <c r="AR227"/>
  <c r="AQ227"/>
  <c r="AP227"/>
  <c r="AO227"/>
  <c r="AN227"/>
  <c r="AM227"/>
  <c r="AL227"/>
  <c r="AK227"/>
  <c r="AJ227"/>
  <c r="AI227"/>
  <c r="AH227"/>
  <c r="AG227"/>
  <c r="AF227"/>
  <c r="AE227"/>
  <c r="AD227"/>
  <c r="AC227"/>
  <c r="AB227"/>
  <c r="AA227"/>
  <c r="Z227"/>
  <c r="Y227"/>
  <c r="X227"/>
  <c r="W227"/>
  <c r="V227"/>
  <c r="U227"/>
  <c r="T227"/>
  <c r="S227"/>
  <c r="R227"/>
  <c r="Q227"/>
  <c r="P227"/>
  <c r="O227"/>
  <c r="N227"/>
  <c r="M227"/>
  <c r="L227"/>
  <c r="K227"/>
  <c r="J227"/>
  <c r="I227"/>
  <c r="H227"/>
  <c r="G227"/>
  <c r="F227"/>
  <c r="E227"/>
  <c r="D227"/>
  <c r="C227"/>
  <c r="B227"/>
  <c r="A227"/>
  <c r="IV226"/>
  <c r="IU226"/>
  <c r="IT226"/>
  <c r="IS226"/>
  <c r="IR226"/>
  <c r="IQ226"/>
  <c r="IP226"/>
  <c r="IO226"/>
  <c r="IN226"/>
  <c r="IM226"/>
  <c r="IL226"/>
  <c r="IK226"/>
  <c r="IJ226"/>
  <c r="II226"/>
  <c r="IH226"/>
  <c r="IG226"/>
  <c r="IF226"/>
  <c r="IE226"/>
  <c r="ID226"/>
  <c r="IC226"/>
  <c r="IB226"/>
  <c r="IA226"/>
  <c r="HZ226"/>
  <c r="HY226"/>
  <c r="HX226"/>
  <c r="HW226"/>
  <c r="HV226"/>
  <c r="HU226"/>
  <c r="HT226"/>
  <c r="HS226"/>
  <c r="HR226"/>
  <c r="HQ226"/>
  <c r="HP226"/>
  <c r="HO226"/>
  <c r="HN226"/>
  <c r="HM226"/>
  <c r="HL226"/>
  <c r="HK226"/>
  <c r="HJ226"/>
  <c r="HI226"/>
  <c r="HH226"/>
  <c r="HG226"/>
  <c r="HF226"/>
  <c r="HE226"/>
  <c r="HD226"/>
  <c r="HC226"/>
  <c r="HB226"/>
  <c r="HA226"/>
  <c r="GZ226"/>
  <c r="GY226"/>
  <c r="GX226"/>
  <c r="GW226"/>
  <c r="GV226"/>
  <c r="GU226"/>
  <c r="GT226"/>
  <c r="GS226"/>
  <c r="GR226"/>
  <c r="GQ226"/>
  <c r="GP226"/>
  <c r="GO226"/>
  <c r="GN226"/>
  <c r="GM226"/>
  <c r="GL226"/>
  <c r="GK226"/>
  <c r="GJ226"/>
  <c r="GI226"/>
  <c r="GH226"/>
  <c r="GG226"/>
  <c r="GF226"/>
  <c r="GE226"/>
  <c r="GD226"/>
  <c r="GC226"/>
  <c r="GB226"/>
  <c r="GA226"/>
  <c r="FZ226"/>
  <c r="FY226"/>
  <c r="FX226"/>
  <c r="FW226"/>
  <c r="FV226"/>
  <c r="FU226"/>
  <c r="FT226"/>
  <c r="FS226"/>
  <c r="FR226"/>
  <c r="FQ226"/>
  <c r="FP226"/>
  <c r="FO226"/>
  <c r="FN226"/>
  <c r="FM226"/>
  <c r="FL226"/>
  <c r="FK226"/>
  <c r="FJ226"/>
  <c r="FI226"/>
  <c r="FH226"/>
  <c r="FG226"/>
  <c r="FF226"/>
  <c r="FE226"/>
  <c r="FD226"/>
  <c r="FC226"/>
  <c r="FB226"/>
  <c r="FA226"/>
  <c r="EZ226"/>
  <c r="EY226"/>
  <c r="EX226"/>
  <c r="EW226"/>
  <c r="EV226"/>
  <c r="EU226"/>
  <c r="ET226"/>
  <c r="ES226"/>
  <c r="ER226"/>
  <c r="EQ226"/>
  <c r="EP226"/>
  <c r="EO226"/>
  <c r="EN226"/>
  <c r="EM226"/>
  <c r="EL226"/>
  <c r="EK226"/>
  <c r="EJ226"/>
  <c r="EI226"/>
  <c r="EH226"/>
  <c r="EG226"/>
  <c r="EF226"/>
  <c r="EE226"/>
  <c r="ED226"/>
  <c r="EC226"/>
  <c r="EB226"/>
  <c r="EA226"/>
  <c r="DZ226"/>
  <c r="DY226"/>
  <c r="DX226"/>
  <c r="DW226"/>
  <c r="DV226"/>
  <c r="DU226"/>
  <c r="DT226"/>
  <c r="DS226"/>
  <c r="DR226"/>
  <c r="DQ226"/>
  <c r="DP226"/>
  <c r="DO226"/>
  <c r="DN226"/>
  <c r="DM226"/>
  <c r="DL226"/>
  <c r="DK226"/>
  <c r="DJ226"/>
  <c r="DI226"/>
  <c r="DH226"/>
  <c r="DG226"/>
  <c r="DF226"/>
  <c r="DE226"/>
  <c r="DD226"/>
  <c r="DC226"/>
  <c r="DB226"/>
  <c r="DA226"/>
  <c r="CZ226"/>
  <c r="CY226"/>
  <c r="CX226"/>
  <c r="CW226"/>
  <c r="CV226"/>
  <c r="CU226"/>
  <c r="CT226"/>
  <c r="CS226"/>
  <c r="CR226"/>
  <c r="CQ226"/>
  <c r="CP226"/>
  <c r="CO226"/>
  <c r="CN226"/>
  <c r="CM226"/>
  <c r="CL226"/>
  <c r="CK226"/>
  <c r="CJ226"/>
  <c r="CI226"/>
  <c r="CH226"/>
  <c r="CG226"/>
  <c r="CF226"/>
  <c r="CE226"/>
  <c r="CD226"/>
  <c r="CC226"/>
  <c r="CB226"/>
  <c r="CA226"/>
  <c r="BZ226"/>
  <c r="BY226"/>
  <c r="BX226"/>
  <c r="BW226"/>
  <c r="BV226"/>
  <c r="BU226"/>
  <c r="BT226"/>
  <c r="BS226"/>
  <c r="BR226"/>
  <c r="BQ226"/>
  <c r="BP226"/>
  <c r="BO226"/>
  <c r="BN226"/>
  <c r="BM226"/>
  <c r="BL226"/>
  <c r="BK226"/>
  <c r="BJ226"/>
  <c r="BI226"/>
  <c r="BH226"/>
  <c r="BG226"/>
  <c r="BF226"/>
  <c r="BE226"/>
  <c r="BD226"/>
  <c r="BC226"/>
  <c r="BB226"/>
  <c r="BA226"/>
  <c r="AZ226"/>
  <c r="AY226"/>
  <c r="AX226"/>
  <c r="AW226"/>
  <c r="AV226"/>
  <c r="AU226"/>
  <c r="AT226"/>
  <c r="AS226"/>
  <c r="AR226"/>
  <c r="AQ226"/>
  <c r="AP226"/>
  <c r="AO226"/>
  <c r="AN226"/>
  <c r="AM226"/>
  <c r="AL226"/>
  <c r="AK226"/>
  <c r="AJ226"/>
  <c r="AI226"/>
  <c r="AH226"/>
  <c r="AG226"/>
  <c r="AF226"/>
  <c r="AE226"/>
  <c r="AD226"/>
  <c r="AC226"/>
  <c r="AB226"/>
  <c r="AA226"/>
  <c r="Z226"/>
  <c r="Y226"/>
  <c r="X226"/>
  <c r="W226"/>
  <c r="V226"/>
  <c r="U226"/>
  <c r="T226"/>
  <c r="S226"/>
  <c r="R226"/>
  <c r="Q226"/>
  <c r="P226"/>
  <c r="O226"/>
  <c r="N226"/>
  <c r="M226"/>
  <c r="L226"/>
  <c r="K226"/>
  <c r="J226"/>
  <c r="I226"/>
  <c r="H226"/>
  <c r="G226"/>
  <c r="F226"/>
  <c r="E226"/>
  <c r="D226"/>
  <c r="C226"/>
  <c r="B226"/>
  <c r="A226"/>
  <c r="IV225"/>
  <c r="IU225"/>
  <c r="IT225"/>
  <c r="IS225"/>
  <c r="IR225"/>
  <c r="IQ225"/>
  <c r="IP225"/>
  <c r="IO225"/>
  <c r="IN225"/>
  <c r="IM225"/>
  <c r="IL225"/>
  <c r="IK225"/>
  <c r="IJ225"/>
  <c r="II225"/>
  <c r="IH225"/>
  <c r="IG225"/>
  <c r="IF225"/>
  <c r="IE225"/>
  <c r="ID225"/>
  <c r="IC225"/>
  <c r="IB225"/>
  <c r="IA225"/>
  <c r="HZ225"/>
  <c r="HY225"/>
  <c r="HX225"/>
  <c r="HW225"/>
  <c r="HV225"/>
  <c r="HU225"/>
  <c r="HT225"/>
  <c r="HS225"/>
  <c r="HR225"/>
  <c r="HQ225"/>
  <c r="HP225"/>
  <c r="HO225"/>
  <c r="HN225"/>
  <c r="HM225"/>
  <c r="HL225"/>
  <c r="HK225"/>
  <c r="HJ225"/>
  <c r="HI225"/>
  <c r="HH225"/>
  <c r="HG225"/>
  <c r="HF225"/>
  <c r="HE225"/>
  <c r="HD225"/>
  <c r="HC225"/>
  <c r="HB225"/>
  <c r="HA225"/>
  <c r="GZ225"/>
  <c r="GY225"/>
  <c r="GX225"/>
  <c r="GW225"/>
  <c r="GV225"/>
  <c r="GU225"/>
  <c r="GT225"/>
  <c r="GS225"/>
  <c r="GR225"/>
  <c r="GQ225"/>
  <c r="GP225"/>
  <c r="GO225"/>
  <c r="GN225"/>
  <c r="GM225"/>
  <c r="GL225"/>
  <c r="GK225"/>
  <c r="GJ225"/>
  <c r="GI225"/>
  <c r="GH225"/>
  <c r="GG225"/>
  <c r="GF225"/>
  <c r="GE225"/>
  <c r="GD225"/>
  <c r="GC225"/>
  <c r="GB225"/>
  <c r="GA225"/>
  <c r="FZ225"/>
  <c r="FY225"/>
  <c r="FX225"/>
  <c r="FW225"/>
  <c r="FV225"/>
  <c r="FU225"/>
  <c r="FT225"/>
  <c r="FS225"/>
  <c r="FR225"/>
  <c r="FQ225"/>
  <c r="FP225"/>
  <c r="FO225"/>
  <c r="FN225"/>
  <c r="FM225"/>
  <c r="FL225"/>
  <c r="FK225"/>
  <c r="FJ225"/>
  <c r="FI225"/>
  <c r="FH225"/>
  <c r="FG225"/>
  <c r="FF225"/>
  <c r="FE225"/>
  <c r="FD225"/>
  <c r="FC225"/>
  <c r="FB225"/>
  <c r="FA225"/>
  <c r="EZ225"/>
  <c r="EY225"/>
  <c r="EX225"/>
  <c r="EW225"/>
  <c r="EV225"/>
  <c r="EU225"/>
  <c r="ET225"/>
  <c r="ES225"/>
  <c r="ER225"/>
  <c r="EQ225"/>
  <c r="EP225"/>
  <c r="EO225"/>
  <c r="EN225"/>
  <c r="EM225"/>
  <c r="EL225"/>
  <c r="EK225"/>
  <c r="EJ225"/>
  <c r="EI225"/>
  <c r="EH225"/>
  <c r="EG225"/>
  <c r="EF225"/>
  <c r="EE225"/>
  <c r="ED225"/>
  <c r="EC225"/>
  <c r="EB225"/>
  <c r="EA225"/>
  <c r="DZ225"/>
  <c r="DY225"/>
  <c r="DX225"/>
  <c r="DW225"/>
  <c r="DV225"/>
  <c r="DU225"/>
  <c r="DT225"/>
  <c r="DS225"/>
  <c r="DR225"/>
  <c r="DQ225"/>
  <c r="DP225"/>
  <c r="DO225"/>
  <c r="DN225"/>
  <c r="DM225"/>
  <c r="DL225"/>
  <c r="DK225"/>
  <c r="DJ225"/>
  <c r="DI225"/>
  <c r="DH225"/>
  <c r="DG225"/>
  <c r="DF225"/>
  <c r="DE225"/>
  <c r="DD225"/>
  <c r="DC225"/>
  <c r="DB225"/>
  <c r="DA225"/>
  <c r="CZ225"/>
  <c r="CY225"/>
  <c r="CX225"/>
  <c r="CW225"/>
  <c r="CV225"/>
  <c r="CU225"/>
  <c r="CT225"/>
  <c r="CS225"/>
  <c r="CR225"/>
  <c r="CQ225"/>
  <c r="CP225"/>
  <c r="CO225"/>
  <c r="CN225"/>
  <c r="CM225"/>
  <c r="CL225"/>
  <c r="CK225"/>
  <c r="CJ225"/>
  <c r="CI225"/>
  <c r="CH225"/>
  <c r="CG225"/>
  <c r="CF225"/>
  <c r="CE225"/>
  <c r="CD225"/>
  <c r="CC225"/>
  <c r="CB225"/>
  <c r="CA225"/>
  <c r="BZ225"/>
  <c r="BY225"/>
  <c r="BX225"/>
  <c r="BW225"/>
  <c r="BV225"/>
  <c r="BU225"/>
  <c r="BT225"/>
  <c r="BS225"/>
  <c r="BR225"/>
  <c r="BQ225"/>
  <c r="BP225"/>
  <c r="BO225"/>
  <c r="BN225"/>
  <c r="BM225"/>
  <c r="BL225"/>
  <c r="BK225"/>
  <c r="BJ225"/>
  <c r="BI225"/>
  <c r="BH225"/>
  <c r="BG225"/>
  <c r="BF225"/>
  <c r="BE225"/>
  <c r="BD225"/>
  <c r="BC225"/>
  <c r="BB225"/>
  <c r="BA225"/>
  <c r="AZ225"/>
  <c r="AY225"/>
  <c r="AX225"/>
  <c r="AW225"/>
  <c r="AV225"/>
  <c r="AU225"/>
  <c r="AT225"/>
  <c r="AS225"/>
  <c r="AR225"/>
  <c r="AQ225"/>
  <c r="AP225"/>
  <c r="AO225"/>
  <c r="AN225"/>
  <c r="AM225"/>
  <c r="AL225"/>
  <c r="AK225"/>
  <c r="AJ225"/>
  <c r="AI225"/>
  <c r="AH225"/>
  <c r="AG225"/>
  <c r="AF225"/>
  <c r="AE225"/>
  <c r="AD225"/>
  <c r="AC225"/>
  <c r="AB225"/>
  <c r="AA225"/>
  <c r="Z225"/>
  <c r="Y225"/>
  <c r="X225"/>
  <c r="W225"/>
  <c r="V225"/>
  <c r="U225"/>
  <c r="T225"/>
  <c r="S225"/>
  <c r="R225"/>
  <c r="Q225"/>
  <c r="P225"/>
  <c r="O225"/>
  <c r="N225"/>
  <c r="M225"/>
  <c r="L225"/>
  <c r="K225"/>
  <c r="J225"/>
  <c r="I225"/>
  <c r="H225"/>
  <c r="G225"/>
  <c r="F225"/>
  <c r="E225"/>
  <c r="D225"/>
  <c r="C225"/>
  <c r="B225"/>
  <c r="A225"/>
  <c r="IV224"/>
  <c r="IU224"/>
  <c r="IT224"/>
  <c r="IS224"/>
  <c r="IR224"/>
  <c r="IQ224"/>
  <c r="IP224"/>
  <c r="IO224"/>
  <c r="IN224"/>
  <c r="IM224"/>
  <c r="IL224"/>
  <c r="IK224"/>
  <c r="IJ224"/>
  <c r="II224"/>
  <c r="IH224"/>
  <c r="IG224"/>
  <c r="IF224"/>
  <c r="IE224"/>
  <c r="ID224"/>
  <c r="IC224"/>
  <c r="IB224"/>
  <c r="IA224"/>
  <c r="HZ224"/>
  <c r="HY224"/>
  <c r="HX224"/>
  <c r="HW224"/>
  <c r="HV224"/>
  <c r="HU224"/>
  <c r="HT224"/>
  <c r="HS224"/>
  <c r="HR224"/>
  <c r="HQ224"/>
  <c r="HP224"/>
  <c r="HO224"/>
  <c r="HN224"/>
  <c r="HM224"/>
  <c r="HL224"/>
  <c r="HK224"/>
  <c r="HJ224"/>
  <c r="HI224"/>
  <c r="HH224"/>
  <c r="HG224"/>
  <c r="HF224"/>
  <c r="HE224"/>
  <c r="HD224"/>
  <c r="HC224"/>
  <c r="HB224"/>
  <c r="HA224"/>
  <c r="GZ224"/>
  <c r="GY224"/>
  <c r="GX224"/>
  <c r="GW224"/>
  <c r="GV224"/>
  <c r="GU224"/>
  <c r="GT224"/>
  <c r="GS224"/>
  <c r="GR224"/>
  <c r="GQ224"/>
  <c r="GP224"/>
  <c r="GO224"/>
  <c r="GN224"/>
  <c r="GM224"/>
  <c r="GL224"/>
  <c r="GK224"/>
  <c r="GJ224"/>
  <c r="GI224"/>
  <c r="GH224"/>
  <c r="GG224"/>
  <c r="GF224"/>
  <c r="GE224"/>
  <c r="GD224"/>
  <c r="GC224"/>
  <c r="GB224"/>
  <c r="GA224"/>
  <c r="FZ224"/>
  <c r="FY224"/>
  <c r="FX224"/>
  <c r="FW224"/>
  <c r="FV224"/>
  <c r="FU224"/>
  <c r="FT224"/>
  <c r="FS224"/>
  <c r="FR224"/>
  <c r="FQ224"/>
  <c r="FP224"/>
  <c r="FO224"/>
  <c r="FN224"/>
  <c r="FM224"/>
  <c r="FL224"/>
  <c r="FK224"/>
  <c r="FJ224"/>
  <c r="FI224"/>
  <c r="FH224"/>
  <c r="FG224"/>
  <c r="FF224"/>
  <c r="FE224"/>
  <c r="FD224"/>
  <c r="FC224"/>
  <c r="FB224"/>
  <c r="FA224"/>
  <c r="EZ224"/>
  <c r="EY224"/>
  <c r="EX224"/>
  <c r="EW224"/>
  <c r="EV224"/>
  <c r="EU224"/>
  <c r="ET224"/>
  <c r="ES224"/>
  <c r="ER224"/>
  <c r="EQ224"/>
  <c r="EP224"/>
  <c r="EO224"/>
  <c r="EN224"/>
  <c r="EM224"/>
  <c r="EL224"/>
  <c r="EK224"/>
  <c r="EJ224"/>
  <c r="EI224"/>
  <c r="EH224"/>
  <c r="EG224"/>
  <c r="EF224"/>
  <c r="EE224"/>
  <c r="ED224"/>
  <c r="EC224"/>
  <c r="EB224"/>
  <c r="EA224"/>
  <c r="DZ224"/>
  <c r="DY224"/>
  <c r="DX224"/>
  <c r="DW224"/>
  <c r="DV224"/>
  <c r="DU224"/>
  <c r="DT224"/>
  <c r="DS224"/>
  <c r="DR224"/>
  <c r="DQ224"/>
  <c r="DP224"/>
  <c r="DO224"/>
  <c r="DN224"/>
  <c r="DM224"/>
  <c r="DL224"/>
  <c r="DK224"/>
  <c r="DJ224"/>
  <c r="DI224"/>
  <c r="DH224"/>
  <c r="DG224"/>
  <c r="DF224"/>
  <c r="DE224"/>
  <c r="DD224"/>
  <c r="DC224"/>
  <c r="DB224"/>
  <c r="DA224"/>
  <c r="CZ224"/>
  <c r="CY224"/>
  <c r="CX224"/>
  <c r="CW224"/>
  <c r="CV224"/>
  <c r="CU224"/>
  <c r="CT224"/>
  <c r="CS224"/>
  <c r="CR224"/>
  <c r="CQ224"/>
  <c r="CP224"/>
  <c r="CO224"/>
  <c r="CN224"/>
  <c r="CM224"/>
  <c r="CL224"/>
  <c r="CK224"/>
  <c r="CJ224"/>
  <c r="CI224"/>
  <c r="CH224"/>
  <c r="CG224"/>
  <c r="CF224"/>
  <c r="CE224"/>
  <c r="CD224"/>
  <c r="CC224"/>
  <c r="CB224"/>
  <c r="CA224"/>
  <c r="BZ224"/>
  <c r="BY224"/>
  <c r="BX224"/>
  <c r="BW224"/>
  <c r="BV224"/>
  <c r="BU224"/>
  <c r="BT224"/>
  <c r="BS224"/>
  <c r="BR224"/>
  <c r="BQ224"/>
  <c r="BP224"/>
  <c r="BO224"/>
  <c r="BN224"/>
  <c r="BM224"/>
  <c r="BL224"/>
  <c r="BK224"/>
  <c r="BJ224"/>
  <c r="BI224"/>
  <c r="BH224"/>
  <c r="BG224"/>
  <c r="BF224"/>
  <c r="BE224"/>
  <c r="BD224"/>
  <c r="BC224"/>
  <c r="BB224"/>
  <c r="BA224"/>
  <c r="AZ224"/>
  <c r="AY224"/>
  <c r="AX224"/>
  <c r="AW224"/>
  <c r="AV224"/>
  <c r="AU224"/>
  <c r="AT224"/>
  <c r="AS224"/>
  <c r="AR224"/>
  <c r="AQ224"/>
  <c r="AP224"/>
  <c r="AO224"/>
  <c r="AN224"/>
  <c r="AM224"/>
  <c r="AL224"/>
  <c r="AK224"/>
  <c r="AJ224"/>
  <c r="AI224"/>
  <c r="AH224"/>
  <c r="AG224"/>
  <c r="AF224"/>
  <c r="AE224"/>
  <c r="AD224"/>
  <c r="AC224"/>
  <c r="AB224"/>
  <c r="AA224"/>
  <c r="Z224"/>
  <c r="Y224"/>
  <c r="X224"/>
  <c r="W224"/>
  <c r="V224"/>
  <c r="U224"/>
  <c r="T224"/>
  <c r="S224"/>
  <c r="R224"/>
  <c r="Q224"/>
  <c r="P224"/>
  <c r="O224"/>
  <c r="N224"/>
  <c r="M224"/>
  <c r="L224"/>
  <c r="K224"/>
  <c r="J224"/>
  <c r="I224"/>
  <c r="H224"/>
  <c r="G224"/>
  <c r="F224"/>
  <c r="E224"/>
  <c r="D224"/>
  <c r="C224"/>
  <c r="B224"/>
  <c r="A224"/>
  <c r="IV223"/>
  <c r="IU223"/>
  <c r="IT223"/>
  <c r="IS223"/>
  <c r="IR223"/>
  <c r="IQ223"/>
  <c r="IP223"/>
  <c r="IO223"/>
  <c r="IN223"/>
  <c r="IM223"/>
  <c r="IL223"/>
  <c r="IK223"/>
  <c r="IJ223"/>
  <c r="II223"/>
  <c r="IH223"/>
  <c r="IG223"/>
  <c r="IF223"/>
  <c r="IE223"/>
  <c r="ID223"/>
  <c r="IC223"/>
  <c r="IB223"/>
  <c r="IA223"/>
  <c r="HZ223"/>
  <c r="HY223"/>
  <c r="HX223"/>
  <c r="HW223"/>
  <c r="HV223"/>
  <c r="HU223"/>
  <c r="HT223"/>
  <c r="HS223"/>
  <c r="HR223"/>
  <c r="HQ223"/>
  <c r="HP223"/>
  <c r="HO223"/>
  <c r="HN223"/>
  <c r="HM223"/>
  <c r="HL223"/>
  <c r="HK223"/>
  <c r="HJ223"/>
  <c r="HI223"/>
  <c r="HH223"/>
  <c r="HG223"/>
  <c r="HF223"/>
  <c r="HE223"/>
  <c r="HD223"/>
  <c r="HC223"/>
  <c r="HB223"/>
  <c r="HA223"/>
  <c r="GZ223"/>
  <c r="GY223"/>
  <c r="GX223"/>
  <c r="GW223"/>
  <c r="GV223"/>
  <c r="GU223"/>
  <c r="GT223"/>
  <c r="GS223"/>
  <c r="GR223"/>
  <c r="GQ223"/>
  <c r="GP223"/>
  <c r="GO223"/>
  <c r="GN223"/>
  <c r="GM223"/>
  <c r="GL223"/>
  <c r="GK223"/>
  <c r="GJ223"/>
  <c r="GI223"/>
  <c r="GH223"/>
  <c r="GG223"/>
  <c r="GF223"/>
  <c r="GE223"/>
  <c r="GD223"/>
  <c r="GC223"/>
  <c r="GB223"/>
  <c r="GA223"/>
  <c r="FZ223"/>
  <c r="FY223"/>
  <c r="FX223"/>
  <c r="FW223"/>
  <c r="FV223"/>
  <c r="FU223"/>
  <c r="FT223"/>
  <c r="FS223"/>
  <c r="FR223"/>
  <c r="FQ223"/>
  <c r="FP223"/>
  <c r="FO223"/>
  <c r="FN223"/>
  <c r="FM223"/>
  <c r="FL223"/>
  <c r="FK223"/>
  <c r="FJ223"/>
  <c r="FI223"/>
  <c r="FH223"/>
  <c r="FG223"/>
  <c r="FF223"/>
  <c r="FE223"/>
  <c r="FD223"/>
  <c r="FC223"/>
  <c r="FB223"/>
  <c r="FA223"/>
  <c r="EZ223"/>
  <c r="EY223"/>
  <c r="EX223"/>
  <c r="EW223"/>
  <c r="EV223"/>
  <c r="EU223"/>
  <c r="ET223"/>
  <c r="ES223"/>
  <c r="ER223"/>
  <c r="EQ223"/>
  <c r="EP223"/>
  <c r="EO223"/>
  <c r="EN223"/>
  <c r="EM223"/>
  <c r="EL223"/>
  <c r="EK223"/>
  <c r="EJ223"/>
  <c r="EI223"/>
  <c r="EH223"/>
  <c r="EG223"/>
  <c r="EF223"/>
  <c r="EE223"/>
  <c r="ED223"/>
  <c r="EC223"/>
  <c r="EB223"/>
  <c r="EA223"/>
  <c r="DZ223"/>
  <c r="DY223"/>
  <c r="DX223"/>
  <c r="DW223"/>
  <c r="DV223"/>
  <c r="DU223"/>
  <c r="DT223"/>
  <c r="DS223"/>
  <c r="DR223"/>
  <c r="DQ223"/>
  <c r="DP223"/>
  <c r="DO223"/>
  <c r="DN223"/>
  <c r="DM223"/>
  <c r="DL223"/>
  <c r="DK223"/>
  <c r="DJ223"/>
  <c r="DI223"/>
  <c r="DH223"/>
  <c r="DG223"/>
  <c r="DF223"/>
  <c r="DE223"/>
  <c r="DD223"/>
  <c r="DC223"/>
  <c r="DB223"/>
  <c r="DA223"/>
  <c r="CZ223"/>
  <c r="CY223"/>
  <c r="CX223"/>
  <c r="CW223"/>
  <c r="CV223"/>
  <c r="CU223"/>
  <c r="CT223"/>
  <c r="CS223"/>
  <c r="CR223"/>
  <c r="CQ223"/>
  <c r="CP223"/>
  <c r="CO223"/>
  <c r="CN223"/>
  <c r="CM223"/>
  <c r="CL223"/>
  <c r="CK223"/>
  <c r="CJ223"/>
  <c r="CI223"/>
  <c r="CH223"/>
  <c r="CG223"/>
  <c r="CF223"/>
  <c r="CE223"/>
  <c r="CD223"/>
  <c r="CC223"/>
  <c r="CB223"/>
  <c r="CA223"/>
  <c r="BZ223"/>
  <c r="BY223"/>
  <c r="BX223"/>
  <c r="BW223"/>
  <c r="BV223"/>
  <c r="BU223"/>
  <c r="BT223"/>
  <c r="BS223"/>
  <c r="BR223"/>
  <c r="BQ223"/>
  <c r="BP223"/>
  <c r="BO223"/>
  <c r="BN223"/>
  <c r="BM223"/>
  <c r="BL223"/>
  <c r="BK223"/>
  <c r="BJ223"/>
  <c r="BI223"/>
  <c r="BH223"/>
  <c r="BG223"/>
  <c r="BF223"/>
  <c r="BE223"/>
  <c r="BD223"/>
  <c r="BC223"/>
  <c r="BB223"/>
  <c r="BA223"/>
  <c r="AZ223"/>
  <c r="AY223"/>
  <c r="AX223"/>
  <c r="AW223"/>
  <c r="AV223"/>
  <c r="AU223"/>
  <c r="AT223"/>
  <c r="AS223"/>
  <c r="AR223"/>
  <c r="AQ223"/>
  <c r="AP223"/>
  <c r="AO223"/>
  <c r="AN223"/>
  <c r="AM223"/>
  <c r="AL223"/>
  <c r="AK223"/>
  <c r="AJ223"/>
  <c r="AI223"/>
  <c r="AH223"/>
  <c r="AG223"/>
  <c r="AF223"/>
  <c r="AE223"/>
  <c r="AD223"/>
  <c r="AC223"/>
  <c r="AB223"/>
  <c r="AA223"/>
  <c r="Z223"/>
  <c r="Y223"/>
  <c r="X223"/>
  <c r="W223"/>
  <c r="V223"/>
  <c r="U223"/>
  <c r="T223"/>
  <c r="S223"/>
  <c r="R223"/>
  <c r="Q223"/>
  <c r="P223"/>
  <c r="O223"/>
  <c r="N223"/>
  <c r="M223"/>
  <c r="L223"/>
  <c r="K223"/>
  <c r="J223"/>
  <c r="I223"/>
  <c r="H223"/>
  <c r="G223"/>
  <c r="F223"/>
  <c r="E223"/>
  <c r="D223"/>
  <c r="C223"/>
  <c r="B223"/>
  <c r="A223"/>
  <c r="IV222"/>
  <c r="IU222"/>
  <c r="IT222"/>
  <c r="IS222"/>
  <c r="IR222"/>
  <c r="IQ222"/>
  <c r="IP222"/>
  <c r="IO222"/>
  <c r="IN222"/>
  <c r="IM222"/>
  <c r="IL222"/>
  <c r="IK222"/>
  <c r="IJ222"/>
  <c r="II222"/>
  <c r="IH222"/>
  <c r="IG222"/>
  <c r="IF222"/>
  <c r="IE222"/>
  <c r="ID222"/>
  <c r="IC222"/>
  <c r="IB222"/>
  <c r="IA222"/>
  <c r="HZ222"/>
  <c r="HY222"/>
  <c r="HX222"/>
  <c r="HW222"/>
  <c r="HV222"/>
  <c r="HU222"/>
  <c r="HT222"/>
  <c r="HS222"/>
  <c r="HR222"/>
  <c r="HQ222"/>
  <c r="HP222"/>
  <c r="HO222"/>
  <c r="HN222"/>
  <c r="HM222"/>
  <c r="HL222"/>
  <c r="HK222"/>
  <c r="HJ222"/>
  <c r="HI222"/>
  <c r="HH222"/>
  <c r="HG222"/>
  <c r="HF222"/>
  <c r="HE222"/>
  <c r="HD222"/>
  <c r="HC222"/>
  <c r="HB222"/>
  <c r="HA222"/>
  <c r="GZ222"/>
  <c r="GY222"/>
  <c r="GX222"/>
  <c r="GW222"/>
  <c r="GV222"/>
  <c r="GU222"/>
  <c r="GT222"/>
  <c r="GS222"/>
  <c r="GR222"/>
  <c r="GQ222"/>
  <c r="GP222"/>
  <c r="GO222"/>
  <c r="GN222"/>
  <c r="GM222"/>
  <c r="GL222"/>
  <c r="GK222"/>
  <c r="GJ222"/>
  <c r="GI222"/>
  <c r="GH222"/>
  <c r="GG222"/>
  <c r="GF222"/>
  <c r="GE222"/>
  <c r="GD222"/>
  <c r="GC222"/>
  <c r="GB222"/>
  <c r="GA222"/>
  <c r="FZ222"/>
  <c r="FY222"/>
  <c r="FX222"/>
  <c r="FW222"/>
  <c r="FV222"/>
  <c r="FU222"/>
  <c r="FT222"/>
  <c r="FS222"/>
  <c r="FR222"/>
  <c r="FQ222"/>
  <c r="FP222"/>
  <c r="FO222"/>
  <c r="FN222"/>
  <c r="FM222"/>
  <c r="FL222"/>
  <c r="FK222"/>
  <c r="FJ222"/>
  <c r="FI222"/>
  <c r="FH222"/>
  <c r="FG222"/>
  <c r="FF222"/>
  <c r="FE222"/>
  <c r="FD222"/>
  <c r="FC222"/>
  <c r="FB222"/>
  <c r="FA222"/>
  <c r="EZ222"/>
  <c r="EY222"/>
  <c r="EX222"/>
  <c r="EW222"/>
  <c r="EV222"/>
  <c r="EU222"/>
  <c r="ET222"/>
  <c r="ES222"/>
  <c r="ER222"/>
  <c r="EQ222"/>
  <c r="EP222"/>
  <c r="EO222"/>
  <c r="EN222"/>
  <c r="EM222"/>
  <c r="EL222"/>
  <c r="EK222"/>
  <c r="EJ222"/>
  <c r="EI222"/>
  <c r="EH222"/>
  <c r="EG222"/>
  <c r="EF222"/>
  <c r="EE222"/>
  <c r="ED222"/>
  <c r="EC222"/>
  <c r="EB222"/>
  <c r="EA222"/>
  <c r="DZ222"/>
  <c r="DY222"/>
  <c r="DX222"/>
  <c r="DW222"/>
  <c r="DV222"/>
  <c r="DU222"/>
  <c r="DT222"/>
  <c r="DS222"/>
  <c r="DR222"/>
  <c r="DQ222"/>
  <c r="DP222"/>
  <c r="DO222"/>
  <c r="DN222"/>
  <c r="DM222"/>
  <c r="DL222"/>
  <c r="DK222"/>
  <c r="DJ222"/>
  <c r="DI222"/>
  <c r="DH222"/>
  <c r="DG222"/>
  <c r="DF222"/>
  <c r="DE222"/>
  <c r="DD222"/>
  <c r="DC222"/>
  <c r="DB222"/>
  <c r="DA222"/>
  <c r="CZ222"/>
  <c r="CY222"/>
  <c r="CX222"/>
  <c r="CW222"/>
  <c r="CV222"/>
  <c r="CU222"/>
  <c r="CT222"/>
  <c r="CS222"/>
  <c r="CR222"/>
  <c r="CQ222"/>
  <c r="CP222"/>
  <c r="CO222"/>
  <c r="CN222"/>
  <c r="CM222"/>
  <c r="CL222"/>
  <c r="CK222"/>
  <c r="CJ222"/>
  <c r="CI222"/>
  <c r="CH222"/>
  <c r="CG222"/>
  <c r="CF222"/>
  <c r="CE222"/>
  <c r="CD222"/>
  <c r="CC222"/>
  <c r="CB222"/>
  <c r="CA222"/>
  <c r="BZ222"/>
  <c r="BY222"/>
  <c r="BX222"/>
  <c r="BW222"/>
  <c r="BV222"/>
  <c r="BU222"/>
  <c r="BT222"/>
  <c r="BS222"/>
  <c r="BR222"/>
  <c r="BQ222"/>
  <c r="BP222"/>
  <c r="BO222"/>
  <c r="BN222"/>
  <c r="BM222"/>
  <c r="BL222"/>
  <c r="BK222"/>
  <c r="BJ222"/>
  <c r="BI222"/>
  <c r="BH222"/>
  <c r="BG222"/>
  <c r="BF222"/>
  <c r="BE222"/>
  <c r="BD222"/>
  <c r="BC222"/>
  <c r="BB222"/>
  <c r="BA222"/>
  <c r="AZ222"/>
  <c r="AY222"/>
  <c r="AX222"/>
  <c r="AW222"/>
  <c r="AV222"/>
  <c r="AU222"/>
  <c r="AT222"/>
  <c r="AS222"/>
  <c r="AR222"/>
  <c r="AQ222"/>
  <c r="AP222"/>
  <c r="AO222"/>
  <c r="AN222"/>
  <c r="AM222"/>
  <c r="AL222"/>
  <c r="AK222"/>
  <c r="AJ222"/>
  <c r="AI222"/>
  <c r="AH222"/>
  <c r="AG222"/>
  <c r="AF222"/>
  <c r="AE222"/>
  <c r="AD222"/>
  <c r="AC222"/>
  <c r="AB222"/>
  <c r="AA222"/>
  <c r="Z222"/>
  <c r="Y222"/>
  <c r="X222"/>
  <c r="W222"/>
  <c r="V222"/>
  <c r="U222"/>
  <c r="T222"/>
  <c r="S222"/>
  <c r="R222"/>
  <c r="Q222"/>
  <c r="P222"/>
  <c r="O222"/>
  <c r="N222"/>
  <c r="M222"/>
  <c r="L222"/>
  <c r="K222"/>
  <c r="J222"/>
  <c r="I222"/>
  <c r="H222"/>
  <c r="G222"/>
  <c r="F222"/>
  <c r="E222"/>
  <c r="D222"/>
  <c r="C222"/>
  <c r="B222"/>
  <c r="A222"/>
  <c r="IV221"/>
  <c r="IU221"/>
  <c r="IT221"/>
  <c r="IS221"/>
  <c r="IR221"/>
  <c r="IQ221"/>
  <c r="IP221"/>
  <c r="IO221"/>
  <c r="IN221"/>
  <c r="IM221"/>
  <c r="IL221"/>
  <c r="IK221"/>
  <c r="IJ221"/>
  <c r="II221"/>
  <c r="IH221"/>
  <c r="IG221"/>
  <c r="IF221"/>
  <c r="IE221"/>
  <c r="ID221"/>
  <c r="IC221"/>
  <c r="IB221"/>
  <c r="IA221"/>
  <c r="HZ221"/>
  <c r="HY221"/>
  <c r="HX221"/>
  <c r="HW221"/>
  <c r="HV221"/>
  <c r="HU221"/>
  <c r="HT221"/>
  <c r="HS221"/>
  <c r="HR221"/>
  <c r="HQ221"/>
  <c r="HP221"/>
  <c r="HO221"/>
  <c r="HN221"/>
  <c r="HM221"/>
  <c r="HL221"/>
  <c r="HK221"/>
  <c r="HJ221"/>
  <c r="HI221"/>
  <c r="HH221"/>
  <c r="HG221"/>
  <c r="HF221"/>
  <c r="HE221"/>
  <c r="HD221"/>
  <c r="HC221"/>
  <c r="HB221"/>
  <c r="HA221"/>
  <c r="GZ221"/>
  <c r="GY221"/>
  <c r="GX221"/>
  <c r="GW221"/>
  <c r="GV221"/>
  <c r="GU221"/>
  <c r="GT221"/>
  <c r="GS221"/>
  <c r="GR221"/>
  <c r="GQ221"/>
  <c r="GP221"/>
  <c r="GO221"/>
  <c r="GN221"/>
  <c r="GM221"/>
  <c r="GL221"/>
  <c r="GK221"/>
  <c r="GJ221"/>
  <c r="GI221"/>
  <c r="GH221"/>
  <c r="GG221"/>
  <c r="GF221"/>
  <c r="GE221"/>
  <c r="GD221"/>
  <c r="GC221"/>
  <c r="GB221"/>
  <c r="GA221"/>
  <c r="FZ221"/>
  <c r="FY221"/>
  <c r="FX221"/>
  <c r="FW221"/>
  <c r="FV221"/>
  <c r="FU221"/>
  <c r="FT221"/>
  <c r="FS221"/>
  <c r="FR221"/>
  <c r="FQ221"/>
  <c r="FP221"/>
  <c r="FO221"/>
  <c r="FN221"/>
  <c r="FM221"/>
  <c r="FL221"/>
  <c r="FK221"/>
  <c r="FJ221"/>
  <c r="FI221"/>
  <c r="FH221"/>
  <c r="FG221"/>
  <c r="FF221"/>
  <c r="FE221"/>
  <c r="FD221"/>
  <c r="FC221"/>
  <c r="FB221"/>
  <c r="FA221"/>
  <c r="EZ221"/>
  <c r="EY221"/>
  <c r="EX221"/>
  <c r="EW221"/>
  <c r="EV221"/>
  <c r="EU221"/>
  <c r="ET221"/>
  <c r="ES221"/>
  <c r="ER221"/>
  <c r="EQ221"/>
  <c r="EP221"/>
  <c r="EO221"/>
  <c r="EN221"/>
  <c r="EM221"/>
  <c r="EL221"/>
  <c r="EK221"/>
  <c r="EJ221"/>
  <c r="EI221"/>
  <c r="EH221"/>
  <c r="EG221"/>
  <c r="EF221"/>
  <c r="EE221"/>
  <c r="ED221"/>
  <c r="EC221"/>
  <c r="EB221"/>
  <c r="EA221"/>
  <c r="DZ221"/>
  <c r="DY221"/>
  <c r="DX221"/>
  <c r="DW221"/>
  <c r="DV221"/>
  <c r="DU221"/>
  <c r="DT221"/>
  <c r="DS221"/>
  <c r="DR221"/>
  <c r="DQ221"/>
  <c r="DP221"/>
  <c r="DO221"/>
  <c r="DN221"/>
  <c r="DM221"/>
  <c r="DL221"/>
  <c r="DK221"/>
  <c r="DJ221"/>
  <c r="DI221"/>
  <c r="DH221"/>
  <c r="DG221"/>
  <c r="DF221"/>
  <c r="DE221"/>
  <c r="DD221"/>
  <c r="DC221"/>
  <c r="DB221"/>
  <c r="DA221"/>
  <c r="CZ221"/>
  <c r="CY221"/>
  <c r="CX221"/>
  <c r="CW221"/>
  <c r="CV221"/>
  <c r="CU221"/>
  <c r="CT221"/>
  <c r="CS221"/>
  <c r="CR221"/>
  <c r="CQ221"/>
  <c r="CP221"/>
  <c r="CO221"/>
  <c r="CN221"/>
  <c r="CM221"/>
  <c r="CL221"/>
  <c r="CK221"/>
  <c r="CJ221"/>
  <c r="CI221"/>
  <c r="CH221"/>
  <c r="CG221"/>
  <c r="CF221"/>
  <c r="CE221"/>
  <c r="CD221"/>
  <c r="CC221"/>
  <c r="CB221"/>
  <c r="CA221"/>
  <c r="BZ221"/>
  <c r="BY221"/>
  <c r="BX221"/>
  <c r="BW221"/>
  <c r="BV221"/>
  <c r="BU221"/>
  <c r="BT221"/>
  <c r="BS221"/>
  <c r="BR221"/>
  <c r="BQ221"/>
  <c r="BP221"/>
  <c r="BO221"/>
  <c r="BN221"/>
  <c r="BM221"/>
  <c r="BL221"/>
  <c r="BK221"/>
  <c r="BJ221"/>
  <c r="BI221"/>
  <c r="BH221"/>
  <c r="BG221"/>
  <c r="BF221"/>
  <c r="BE221"/>
  <c r="BD221"/>
  <c r="BC221"/>
  <c r="BB221"/>
  <c r="BA221"/>
  <c r="AZ221"/>
  <c r="AY221"/>
  <c r="AX221"/>
  <c r="AW221"/>
  <c r="AV221"/>
  <c r="AU221"/>
  <c r="AT221"/>
  <c r="AS221"/>
  <c r="AR221"/>
  <c r="AQ221"/>
  <c r="AP221"/>
  <c r="AO221"/>
  <c r="AN221"/>
  <c r="AM221"/>
  <c r="AL221"/>
  <c r="AK221"/>
  <c r="AJ221"/>
  <c r="AI221"/>
  <c r="AH221"/>
  <c r="AG221"/>
  <c r="AF221"/>
  <c r="AE221"/>
  <c r="AD221"/>
  <c r="AC221"/>
  <c r="AB221"/>
  <c r="AA221"/>
  <c r="Z221"/>
  <c r="Y221"/>
  <c r="X221"/>
  <c r="W221"/>
  <c r="V221"/>
  <c r="U221"/>
  <c r="T221"/>
  <c r="S221"/>
  <c r="R221"/>
  <c r="Q221"/>
  <c r="P221"/>
  <c r="O221"/>
  <c r="N221"/>
  <c r="M221"/>
  <c r="L221"/>
  <c r="K221"/>
  <c r="J221"/>
  <c r="I221"/>
  <c r="H221"/>
  <c r="G221"/>
  <c r="F221"/>
  <c r="E221"/>
  <c r="D221"/>
  <c r="C221"/>
  <c r="B221"/>
  <c r="A221"/>
  <c r="IV220"/>
  <c r="IU220"/>
  <c r="IT220"/>
  <c r="IS220"/>
  <c r="IR220"/>
  <c r="IQ220"/>
  <c r="IP220"/>
  <c r="IO220"/>
  <c r="IN220"/>
  <c r="IM220"/>
  <c r="IL220"/>
  <c r="IK220"/>
  <c r="IJ220"/>
  <c r="II220"/>
  <c r="IH220"/>
  <c r="IG220"/>
  <c r="IF220"/>
  <c r="IE220"/>
  <c r="ID220"/>
  <c r="IC220"/>
  <c r="IB220"/>
  <c r="IA220"/>
  <c r="HZ220"/>
  <c r="HY220"/>
  <c r="HX220"/>
  <c r="HW220"/>
  <c r="HV220"/>
  <c r="HU220"/>
  <c r="HT220"/>
  <c r="HS220"/>
  <c r="HR220"/>
  <c r="HQ220"/>
  <c r="HP220"/>
  <c r="HO220"/>
  <c r="HN220"/>
  <c r="HM220"/>
  <c r="HL220"/>
  <c r="HK220"/>
  <c r="HJ220"/>
  <c r="HI220"/>
  <c r="HH220"/>
  <c r="HG220"/>
  <c r="HF220"/>
  <c r="HE220"/>
  <c r="HD220"/>
  <c r="HC220"/>
  <c r="HB220"/>
  <c r="HA220"/>
  <c r="GZ220"/>
  <c r="GY220"/>
  <c r="GX220"/>
  <c r="GW220"/>
  <c r="GV220"/>
  <c r="GU220"/>
  <c r="GT220"/>
  <c r="GS220"/>
  <c r="GR220"/>
  <c r="GQ220"/>
  <c r="GP220"/>
  <c r="GO220"/>
  <c r="GN220"/>
  <c r="GM220"/>
  <c r="GL220"/>
  <c r="GK220"/>
  <c r="GJ220"/>
  <c r="GI220"/>
  <c r="GH220"/>
  <c r="GG220"/>
  <c r="GF220"/>
  <c r="GE220"/>
  <c r="GD220"/>
  <c r="GC220"/>
  <c r="GB220"/>
  <c r="GA220"/>
  <c r="FZ220"/>
  <c r="FY220"/>
  <c r="FX220"/>
  <c r="FW220"/>
  <c r="FV220"/>
  <c r="FU220"/>
  <c r="FT220"/>
  <c r="FS220"/>
  <c r="FR220"/>
  <c r="FQ220"/>
  <c r="FP220"/>
  <c r="FO220"/>
  <c r="FN220"/>
  <c r="FM220"/>
  <c r="FL220"/>
  <c r="FK220"/>
  <c r="FJ220"/>
  <c r="FI220"/>
  <c r="FH220"/>
  <c r="FG220"/>
  <c r="FF220"/>
  <c r="FE220"/>
  <c r="FD220"/>
  <c r="FC220"/>
  <c r="FB220"/>
  <c r="FA220"/>
  <c r="EZ220"/>
  <c r="EY220"/>
  <c r="EX220"/>
  <c r="EW220"/>
  <c r="EV220"/>
  <c r="EU220"/>
  <c r="ET220"/>
  <c r="ES220"/>
  <c r="ER220"/>
  <c r="EQ220"/>
  <c r="EP220"/>
  <c r="EO220"/>
  <c r="EN220"/>
  <c r="EM220"/>
  <c r="EL220"/>
  <c r="EK220"/>
  <c r="EJ220"/>
  <c r="EI220"/>
  <c r="EH220"/>
  <c r="EG220"/>
  <c r="EF220"/>
  <c r="EE220"/>
  <c r="ED220"/>
  <c r="EC220"/>
  <c r="EB220"/>
  <c r="EA220"/>
  <c r="DZ220"/>
  <c r="DY220"/>
  <c r="DX220"/>
  <c r="DW220"/>
  <c r="DV220"/>
  <c r="DU220"/>
  <c r="DT220"/>
  <c r="DS220"/>
  <c r="DR220"/>
  <c r="DQ220"/>
  <c r="DP220"/>
  <c r="DO220"/>
  <c r="DN220"/>
  <c r="DM220"/>
  <c r="DL220"/>
  <c r="DK220"/>
  <c r="DJ220"/>
  <c r="DI220"/>
  <c r="DH220"/>
  <c r="DG220"/>
  <c r="DF220"/>
  <c r="DE220"/>
  <c r="DD220"/>
  <c r="DC220"/>
  <c r="DB220"/>
  <c r="DA220"/>
  <c r="CZ220"/>
  <c r="CY220"/>
  <c r="CX220"/>
  <c r="CW220"/>
  <c r="CV220"/>
  <c r="CU220"/>
  <c r="CT220"/>
  <c r="CS220"/>
  <c r="CR220"/>
  <c r="CQ220"/>
  <c r="CP220"/>
  <c r="CO220"/>
  <c r="CN220"/>
  <c r="CM220"/>
  <c r="CL220"/>
  <c r="CK220"/>
  <c r="CJ220"/>
  <c r="CI220"/>
  <c r="CH220"/>
  <c r="CG220"/>
  <c r="CF220"/>
  <c r="CE220"/>
  <c r="CD220"/>
  <c r="CC220"/>
  <c r="CB220"/>
  <c r="CA220"/>
  <c r="BZ220"/>
  <c r="BY220"/>
  <c r="BX220"/>
  <c r="BW220"/>
  <c r="BV220"/>
  <c r="BU220"/>
  <c r="BT220"/>
  <c r="BS220"/>
  <c r="BR220"/>
  <c r="BQ220"/>
  <c r="BP220"/>
  <c r="BO220"/>
  <c r="BN220"/>
  <c r="BM220"/>
  <c r="BL220"/>
  <c r="BK220"/>
  <c r="BJ220"/>
  <c r="BI220"/>
  <c r="BH220"/>
  <c r="BG220"/>
  <c r="BF220"/>
  <c r="BE220"/>
  <c r="BD220"/>
  <c r="BC220"/>
  <c r="BB220"/>
  <c r="BA220"/>
  <c r="AZ220"/>
  <c r="AY220"/>
  <c r="AX220"/>
  <c r="AW220"/>
  <c r="AV220"/>
  <c r="AU220"/>
  <c r="AT220"/>
  <c r="AS220"/>
  <c r="AR220"/>
  <c r="AQ220"/>
  <c r="AP220"/>
  <c r="AO220"/>
  <c r="AN220"/>
  <c r="AM220"/>
  <c r="AL220"/>
  <c r="AK220"/>
  <c r="AJ220"/>
  <c r="AI220"/>
  <c r="AH220"/>
  <c r="AG220"/>
  <c r="AF220"/>
  <c r="AE220"/>
  <c r="AD220"/>
  <c r="AC220"/>
  <c r="AB220"/>
  <c r="AA220"/>
  <c r="Z220"/>
  <c r="Y220"/>
  <c r="X220"/>
  <c r="W220"/>
  <c r="V220"/>
  <c r="U220"/>
  <c r="T220"/>
  <c r="S220"/>
  <c r="R220"/>
  <c r="Q220"/>
  <c r="P220"/>
  <c r="O220"/>
  <c r="N220"/>
  <c r="M220"/>
  <c r="L220"/>
  <c r="K220"/>
  <c r="J220"/>
  <c r="I220"/>
  <c r="H220"/>
  <c r="G220"/>
  <c r="F220"/>
  <c r="E220"/>
  <c r="D220"/>
  <c r="C220"/>
  <c r="B220"/>
  <c r="A220"/>
  <c r="IV219"/>
  <c r="IU219"/>
  <c r="IT219"/>
  <c r="IS219"/>
  <c r="IR219"/>
  <c r="IQ219"/>
  <c r="IP219"/>
  <c r="IO219"/>
  <c r="IN219"/>
  <c r="IM219"/>
  <c r="IL219"/>
  <c r="IK219"/>
  <c r="IJ219"/>
  <c r="II219"/>
  <c r="IH219"/>
  <c r="IG219"/>
  <c r="IF219"/>
  <c r="IE219"/>
  <c r="ID219"/>
  <c r="IC219"/>
  <c r="IB219"/>
  <c r="IA219"/>
  <c r="HZ219"/>
  <c r="HY219"/>
  <c r="HX219"/>
  <c r="HW219"/>
  <c r="HV219"/>
  <c r="HU219"/>
  <c r="HT219"/>
  <c r="HS219"/>
  <c r="HR219"/>
  <c r="HQ219"/>
  <c r="HP219"/>
  <c r="HO219"/>
  <c r="HN219"/>
  <c r="HM219"/>
  <c r="HL219"/>
  <c r="HK219"/>
  <c r="HJ219"/>
  <c r="HI219"/>
  <c r="HH219"/>
  <c r="HG219"/>
  <c r="HF219"/>
  <c r="HE219"/>
  <c r="HD219"/>
  <c r="HC219"/>
  <c r="HB219"/>
  <c r="HA219"/>
  <c r="GZ219"/>
  <c r="GY219"/>
  <c r="GX219"/>
  <c r="GW219"/>
  <c r="GV219"/>
  <c r="GU219"/>
  <c r="GT219"/>
  <c r="GS219"/>
  <c r="GR219"/>
  <c r="GQ219"/>
  <c r="GP219"/>
  <c r="GO219"/>
  <c r="GN219"/>
  <c r="GM219"/>
  <c r="GL219"/>
  <c r="GK219"/>
  <c r="GJ219"/>
  <c r="GI219"/>
  <c r="GH219"/>
  <c r="GG219"/>
  <c r="GF219"/>
  <c r="GE219"/>
  <c r="GD219"/>
  <c r="GC219"/>
  <c r="GB219"/>
  <c r="GA219"/>
  <c r="FZ219"/>
  <c r="FY219"/>
  <c r="FX219"/>
  <c r="FW219"/>
  <c r="FV219"/>
  <c r="FU219"/>
  <c r="FT219"/>
  <c r="FS219"/>
  <c r="FR219"/>
  <c r="FQ219"/>
  <c r="FP219"/>
  <c r="FO219"/>
  <c r="FN219"/>
  <c r="FM219"/>
  <c r="FL219"/>
  <c r="FK219"/>
  <c r="FJ219"/>
  <c r="FI219"/>
  <c r="FH219"/>
  <c r="FG219"/>
  <c r="FF219"/>
  <c r="FE219"/>
  <c r="FD219"/>
  <c r="FC219"/>
  <c r="FB219"/>
  <c r="FA219"/>
  <c r="EZ219"/>
  <c r="EY219"/>
  <c r="EX219"/>
  <c r="EW219"/>
  <c r="EV219"/>
  <c r="EU219"/>
  <c r="ET219"/>
  <c r="ES219"/>
  <c r="ER219"/>
  <c r="EQ219"/>
  <c r="EP219"/>
  <c r="EO219"/>
  <c r="EN219"/>
  <c r="EM219"/>
  <c r="EL219"/>
  <c r="EK219"/>
  <c r="EJ219"/>
  <c r="EI219"/>
  <c r="EH219"/>
  <c r="EG219"/>
  <c r="EF219"/>
  <c r="EE219"/>
  <c r="ED219"/>
  <c r="EC219"/>
  <c r="EB219"/>
  <c r="EA219"/>
  <c r="DZ219"/>
  <c r="DY219"/>
  <c r="DX219"/>
  <c r="DW219"/>
  <c r="DV219"/>
  <c r="DU219"/>
  <c r="DT219"/>
  <c r="DS219"/>
  <c r="DR219"/>
  <c r="DQ219"/>
  <c r="DP219"/>
  <c r="DO219"/>
  <c r="DN219"/>
  <c r="DM219"/>
  <c r="DL219"/>
  <c r="DK219"/>
  <c r="DJ219"/>
  <c r="DI219"/>
  <c r="DH219"/>
  <c r="DG219"/>
  <c r="DF219"/>
  <c r="DE219"/>
  <c r="DD219"/>
  <c r="DC219"/>
  <c r="DB219"/>
  <c r="DA219"/>
  <c r="CZ219"/>
  <c r="CY219"/>
  <c r="CX219"/>
  <c r="CW219"/>
  <c r="CV219"/>
  <c r="CU219"/>
  <c r="CT219"/>
  <c r="CS219"/>
  <c r="CR219"/>
  <c r="CQ219"/>
  <c r="CP219"/>
  <c r="CO219"/>
  <c r="CN219"/>
  <c r="CM219"/>
  <c r="CL219"/>
  <c r="CK219"/>
  <c r="CJ219"/>
  <c r="CI219"/>
  <c r="CH219"/>
  <c r="CG219"/>
  <c r="CF219"/>
  <c r="CE219"/>
  <c r="CD219"/>
  <c r="CC219"/>
  <c r="CB219"/>
  <c r="CA219"/>
  <c r="BZ219"/>
  <c r="BY219"/>
  <c r="BX219"/>
  <c r="BW219"/>
  <c r="BV219"/>
  <c r="BU219"/>
  <c r="BT219"/>
  <c r="BS219"/>
  <c r="BR219"/>
  <c r="BQ219"/>
  <c r="BP219"/>
  <c r="BO219"/>
  <c r="BN219"/>
  <c r="BM219"/>
  <c r="BL219"/>
  <c r="BK219"/>
  <c r="BJ219"/>
  <c r="BI219"/>
  <c r="BH219"/>
  <c r="BG219"/>
  <c r="BF219"/>
  <c r="BE219"/>
  <c r="BD219"/>
  <c r="BC219"/>
  <c r="BB219"/>
  <c r="BA219"/>
  <c r="AZ219"/>
  <c r="AY219"/>
  <c r="AX219"/>
  <c r="AW219"/>
  <c r="AV219"/>
  <c r="AU219"/>
  <c r="AT219"/>
  <c r="AS219"/>
  <c r="AR219"/>
  <c r="AQ219"/>
  <c r="AP219"/>
  <c r="AO219"/>
  <c r="AN219"/>
  <c r="AM219"/>
  <c r="AL219"/>
  <c r="AK219"/>
  <c r="AJ219"/>
  <c r="AI219"/>
  <c r="AH219"/>
  <c r="AG219"/>
  <c r="AF219"/>
  <c r="AE219"/>
  <c r="AD219"/>
  <c r="AC219"/>
  <c r="AB219"/>
  <c r="AA219"/>
  <c r="Z219"/>
  <c r="Y219"/>
  <c r="X219"/>
  <c r="W219"/>
  <c r="V219"/>
  <c r="U219"/>
  <c r="T219"/>
  <c r="S219"/>
  <c r="R219"/>
  <c r="Q219"/>
  <c r="P219"/>
  <c r="O219"/>
  <c r="N219"/>
  <c r="M219"/>
  <c r="L219"/>
  <c r="K219"/>
  <c r="J219"/>
  <c r="I219"/>
  <c r="H219"/>
  <c r="G219"/>
  <c r="F219"/>
  <c r="E219"/>
  <c r="D219"/>
  <c r="C219"/>
  <c r="B219"/>
  <c r="A219"/>
  <c r="IV218"/>
  <c r="IU218"/>
  <c r="IT218"/>
  <c r="IS218"/>
  <c r="IR218"/>
  <c r="IQ218"/>
  <c r="IP218"/>
  <c r="IO218"/>
  <c r="IN218"/>
  <c r="IM218"/>
  <c r="IL218"/>
  <c r="IK218"/>
  <c r="IJ218"/>
  <c r="II218"/>
  <c r="IH218"/>
  <c r="IG218"/>
  <c r="IF218"/>
  <c r="IE218"/>
  <c r="ID218"/>
  <c r="IC218"/>
  <c r="IB218"/>
  <c r="IA218"/>
  <c r="HZ218"/>
  <c r="HY218"/>
  <c r="HX218"/>
  <c r="HW218"/>
  <c r="HV218"/>
  <c r="HU218"/>
  <c r="HT218"/>
  <c r="HS218"/>
  <c r="HR218"/>
  <c r="HQ218"/>
  <c r="HP218"/>
  <c r="HO218"/>
  <c r="HN218"/>
  <c r="HM218"/>
  <c r="HL218"/>
  <c r="HK218"/>
  <c r="HJ218"/>
  <c r="HI218"/>
  <c r="HH218"/>
  <c r="HG218"/>
  <c r="HF218"/>
  <c r="HE218"/>
  <c r="HD218"/>
  <c r="HC218"/>
  <c r="HB218"/>
  <c r="HA218"/>
  <c r="GZ218"/>
  <c r="GY218"/>
  <c r="GX218"/>
  <c r="GW218"/>
  <c r="GV218"/>
  <c r="GU218"/>
  <c r="GT218"/>
  <c r="GS218"/>
  <c r="GR218"/>
  <c r="GQ218"/>
  <c r="GP218"/>
  <c r="GO218"/>
  <c r="GN218"/>
  <c r="GM218"/>
  <c r="GL218"/>
  <c r="GK218"/>
  <c r="GJ218"/>
  <c r="GI218"/>
  <c r="GH218"/>
  <c r="GG218"/>
  <c r="GF218"/>
  <c r="GE218"/>
  <c r="GD218"/>
  <c r="GC218"/>
  <c r="GB218"/>
  <c r="GA218"/>
  <c r="FZ218"/>
  <c r="FY218"/>
  <c r="FX218"/>
  <c r="FW218"/>
  <c r="FV218"/>
  <c r="FU218"/>
  <c r="FT218"/>
  <c r="FS218"/>
  <c r="FR218"/>
  <c r="FQ218"/>
  <c r="FP218"/>
  <c r="FO218"/>
  <c r="FN218"/>
  <c r="FM218"/>
  <c r="FL218"/>
  <c r="FK218"/>
  <c r="FJ218"/>
  <c r="FI218"/>
  <c r="FH218"/>
  <c r="FG218"/>
  <c r="FF218"/>
  <c r="FE218"/>
  <c r="FD218"/>
  <c r="FC218"/>
  <c r="FB218"/>
  <c r="FA218"/>
  <c r="EZ218"/>
  <c r="EY218"/>
  <c r="EX218"/>
  <c r="EW218"/>
  <c r="EV218"/>
  <c r="EU218"/>
  <c r="ET218"/>
  <c r="ES218"/>
  <c r="ER218"/>
  <c r="EQ218"/>
  <c r="EP218"/>
  <c r="EO218"/>
  <c r="EN218"/>
  <c r="EM218"/>
  <c r="EL218"/>
  <c r="EK218"/>
  <c r="EJ218"/>
  <c r="EI218"/>
  <c r="EH218"/>
  <c r="EG218"/>
  <c r="EF218"/>
  <c r="EE218"/>
  <c r="ED218"/>
  <c r="EC218"/>
  <c r="EB218"/>
  <c r="EA218"/>
  <c r="DZ218"/>
  <c r="DY218"/>
  <c r="DX218"/>
  <c r="DW218"/>
  <c r="DV218"/>
  <c r="DU218"/>
  <c r="DT218"/>
  <c r="DS218"/>
  <c r="DR218"/>
  <c r="DQ218"/>
  <c r="DP218"/>
  <c r="DO218"/>
  <c r="DN218"/>
  <c r="DM218"/>
  <c r="DL218"/>
  <c r="DK218"/>
  <c r="DJ218"/>
  <c r="DI218"/>
  <c r="DH218"/>
  <c r="DG218"/>
  <c r="DF218"/>
  <c r="DE218"/>
  <c r="DD218"/>
  <c r="DC218"/>
  <c r="DB218"/>
  <c r="DA218"/>
  <c r="CZ218"/>
  <c r="CY218"/>
  <c r="CX218"/>
  <c r="CW218"/>
  <c r="CV218"/>
  <c r="CU218"/>
  <c r="CT218"/>
  <c r="CS218"/>
  <c r="CR218"/>
  <c r="CQ218"/>
  <c r="CP218"/>
  <c r="CO218"/>
  <c r="CN218"/>
  <c r="CM218"/>
  <c r="CL218"/>
  <c r="CK218"/>
  <c r="CJ218"/>
  <c r="CI218"/>
  <c r="CH218"/>
  <c r="CG218"/>
  <c r="CF218"/>
  <c r="CE218"/>
  <c r="CD218"/>
  <c r="CC218"/>
  <c r="CB218"/>
  <c r="CA218"/>
  <c r="BZ218"/>
  <c r="BY218"/>
  <c r="BX218"/>
  <c r="BW218"/>
  <c r="BV218"/>
  <c r="BU218"/>
  <c r="BT218"/>
  <c r="BS218"/>
  <c r="BR218"/>
  <c r="BQ218"/>
  <c r="BP218"/>
  <c r="BO218"/>
  <c r="BN218"/>
  <c r="BM218"/>
  <c r="BL218"/>
  <c r="BK218"/>
  <c r="BJ218"/>
  <c r="BI218"/>
  <c r="BH218"/>
  <c r="BG218"/>
  <c r="BF218"/>
  <c r="BE218"/>
  <c r="BD218"/>
  <c r="BC218"/>
  <c r="BB218"/>
  <c r="BA218"/>
  <c r="AZ218"/>
  <c r="AY218"/>
  <c r="AX218"/>
  <c r="AW218"/>
  <c r="AV218"/>
  <c r="AU218"/>
  <c r="AT218"/>
  <c r="AS218"/>
  <c r="AR218"/>
  <c r="AQ218"/>
  <c r="AP218"/>
  <c r="AO218"/>
  <c r="AN218"/>
  <c r="AM218"/>
  <c r="AL218"/>
  <c r="AK218"/>
  <c r="AJ218"/>
  <c r="AI218"/>
  <c r="AH218"/>
  <c r="AG218"/>
  <c r="AF218"/>
  <c r="AE218"/>
  <c r="AD218"/>
  <c r="AC218"/>
  <c r="AB218"/>
  <c r="AA218"/>
  <c r="Z218"/>
  <c r="Y218"/>
  <c r="X218"/>
  <c r="W218"/>
  <c r="V218"/>
  <c r="U218"/>
  <c r="T218"/>
  <c r="S218"/>
  <c r="R218"/>
  <c r="Q218"/>
  <c r="P218"/>
  <c r="O218"/>
  <c r="N218"/>
  <c r="M218"/>
  <c r="L218"/>
  <c r="K218"/>
  <c r="J218"/>
  <c r="I218"/>
  <c r="H218"/>
  <c r="G218"/>
  <c r="F218"/>
  <c r="E218"/>
  <c r="D218"/>
  <c r="C218"/>
  <c r="B218"/>
  <c r="A218"/>
  <c r="IV217"/>
  <c r="IU217"/>
  <c r="IT217"/>
  <c r="IS217"/>
  <c r="IR217"/>
  <c r="IQ217"/>
  <c r="IP217"/>
  <c r="IO217"/>
  <c r="IN217"/>
  <c r="IM217"/>
  <c r="IL217"/>
  <c r="IK217"/>
  <c r="IJ217"/>
  <c r="II217"/>
  <c r="IH217"/>
  <c r="IG217"/>
  <c r="IF217"/>
  <c r="IE217"/>
  <c r="ID217"/>
  <c r="IC217"/>
  <c r="IB217"/>
  <c r="IA217"/>
  <c r="HZ217"/>
  <c r="HY217"/>
  <c r="HX217"/>
  <c r="HW217"/>
  <c r="HV217"/>
  <c r="HU217"/>
  <c r="HT217"/>
  <c r="HS217"/>
  <c r="HR217"/>
  <c r="HQ217"/>
  <c r="HP217"/>
  <c r="HO217"/>
  <c r="HN217"/>
  <c r="HM217"/>
  <c r="HL217"/>
  <c r="HK217"/>
  <c r="HJ217"/>
  <c r="HI217"/>
  <c r="HH217"/>
  <c r="HG217"/>
  <c r="HF217"/>
  <c r="HE217"/>
  <c r="HD217"/>
  <c r="HC217"/>
  <c r="HB217"/>
  <c r="HA217"/>
  <c r="GZ217"/>
  <c r="GY217"/>
  <c r="GX217"/>
  <c r="GW217"/>
  <c r="GV217"/>
  <c r="GU217"/>
  <c r="GT217"/>
  <c r="GS217"/>
  <c r="GR217"/>
  <c r="GQ217"/>
  <c r="GP217"/>
  <c r="GO217"/>
  <c r="GN217"/>
  <c r="GM217"/>
  <c r="GL217"/>
  <c r="GK217"/>
  <c r="GJ217"/>
  <c r="GI217"/>
  <c r="GH217"/>
  <c r="GG217"/>
  <c r="GF217"/>
  <c r="GE217"/>
  <c r="GD217"/>
  <c r="GC217"/>
  <c r="GB217"/>
  <c r="GA217"/>
  <c r="FZ217"/>
  <c r="FY217"/>
  <c r="FX217"/>
  <c r="FW217"/>
  <c r="FV217"/>
  <c r="FU217"/>
  <c r="FT217"/>
  <c r="FS217"/>
  <c r="FR217"/>
  <c r="FQ217"/>
  <c r="FP217"/>
  <c r="FO217"/>
  <c r="FN217"/>
  <c r="FM217"/>
  <c r="FL217"/>
  <c r="FK217"/>
  <c r="FJ217"/>
  <c r="FI217"/>
  <c r="FH217"/>
  <c r="FG217"/>
  <c r="FF217"/>
  <c r="FE217"/>
  <c r="FD217"/>
  <c r="FC217"/>
  <c r="FB217"/>
  <c r="FA217"/>
  <c r="EZ217"/>
  <c r="EY217"/>
  <c r="EX217"/>
  <c r="EW217"/>
  <c r="EV217"/>
  <c r="EU217"/>
  <c r="ET217"/>
  <c r="ES217"/>
  <c r="ER217"/>
  <c r="EQ217"/>
  <c r="EP217"/>
  <c r="EO217"/>
  <c r="EN217"/>
  <c r="EM217"/>
  <c r="EL217"/>
  <c r="EK217"/>
  <c r="EJ217"/>
  <c r="EI217"/>
  <c r="EH217"/>
  <c r="EG217"/>
  <c r="EF217"/>
  <c r="EE217"/>
  <c r="ED217"/>
  <c r="EC217"/>
  <c r="EB217"/>
  <c r="EA217"/>
  <c r="DZ217"/>
  <c r="DY217"/>
  <c r="DX217"/>
  <c r="DW217"/>
  <c r="DV217"/>
  <c r="DU217"/>
  <c r="DT217"/>
  <c r="DS217"/>
  <c r="DR217"/>
  <c r="DQ217"/>
  <c r="DP217"/>
  <c r="DO217"/>
  <c r="DN217"/>
  <c r="DM217"/>
  <c r="DL217"/>
  <c r="DK217"/>
  <c r="DJ217"/>
  <c r="DI217"/>
  <c r="DH217"/>
  <c r="DG217"/>
  <c r="DF217"/>
  <c r="DE217"/>
  <c r="DD217"/>
  <c r="DC217"/>
  <c r="DB217"/>
  <c r="DA217"/>
  <c r="CZ217"/>
  <c r="CY217"/>
  <c r="CX217"/>
  <c r="CW217"/>
  <c r="CV217"/>
  <c r="CU217"/>
  <c r="CT217"/>
  <c r="CS217"/>
  <c r="CR217"/>
  <c r="CQ217"/>
  <c r="CP217"/>
  <c r="CO217"/>
  <c r="CN217"/>
  <c r="CM217"/>
  <c r="CL217"/>
  <c r="CK217"/>
  <c r="CJ217"/>
  <c r="CI217"/>
  <c r="CH217"/>
  <c r="CG217"/>
  <c r="CF217"/>
  <c r="CE217"/>
  <c r="CD217"/>
  <c r="CC217"/>
  <c r="CB217"/>
  <c r="CA217"/>
  <c r="BZ217"/>
  <c r="BY217"/>
  <c r="BX217"/>
  <c r="BW217"/>
  <c r="BV217"/>
  <c r="BU217"/>
  <c r="BT217"/>
  <c r="BS217"/>
  <c r="BR217"/>
  <c r="BQ217"/>
  <c r="BP217"/>
  <c r="BO217"/>
  <c r="BN217"/>
  <c r="BM217"/>
  <c r="BL217"/>
  <c r="BK217"/>
  <c r="BJ217"/>
  <c r="BI217"/>
  <c r="BH217"/>
  <c r="BG217"/>
  <c r="BF217"/>
  <c r="BE217"/>
  <c r="BD217"/>
  <c r="BC217"/>
  <c r="BB217"/>
  <c r="BA217"/>
  <c r="AZ217"/>
  <c r="AY217"/>
  <c r="AX217"/>
  <c r="AW217"/>
  <c r="AV217"/>
  <c r="AU217"/>
  <c r="AT217"/>
  <c r="AS217"/>
  <c r="AR217"/>
  <c r="AQ217"/>
  <c r="AP217"/>
  <c r="AO217"/>
  <c r="AN217"/>
  <c r="AM217"/>
  <c r="AL217"/>
  <c r="AK217"/>
  <c r="AJ217"/>
  <c r="AI217"/>
  <c r="AH217"/>
  <c r="AG217"/>
  <c r="AF217"/>
  <c r="AE217"/>
  <c r="AD217"/>
  <c r="AC217"/>
  <c r="AB217"/>
  <c r="AA217"/>
  <c r="Z217"/>
  <c r="Y217"/>
  <c r="X217"/>
  <c r="W217"/>
  <c r="V217"/>
  <c r="U217"/>
  <c r="T217"/>
  <c r="S217"/>
  <c r="R217"/>
  <c r="Q217"/>
  <c r="P217"/>
  <c r="O217"/>
  <c r="N217"/>
  <c r="M217"/>
  <c r="L217"/>
  <c r="K217"/>
  <c r="J217"/>
  <c r="I217"/>
  <c r="H217"/>
  <c r="G217"/>
  <c r="F217"/>
  <c r="E217"/>
  <c r="D217"/>
  <c r="C217"/>
  <c r="B217"/>
  <c r="A217"/>
  <c r="IV216"/>
  <c r="IU216"/>
  <c r="IT216"/>
  <c r="IS216"/>
  <c r="IR216"/>
  <c r="IQ216"/>
  <c r="IP216"/>
  <c r="IO216"/>
  <c r="IN216"/>
  <c r="IM216"/>
  <c r="IL216"/>
  <c r="IK216"/>
  <c r="IJ216"/>
  <c r="II216"/>
  <c r="IH216"/>
  <c r="IG216"/>
  <c r="IF216"/>
  <c r="IE216"/>
  <c r="ID216"/>
  <c r="IC216"/>
  <c r="IB216"/>
  <c r="IA216"/>
  <c r="HZ216"/>
  <c r="HY216"/>
  <c r="HX216"/>
  <c r="HW216"/>
  <c r="HV216"/>
  <c r="HU216"/>
  <c r="HT216"/>
  <c r="HS216"/>
  <c r="HR216"/>
  <c r="HQ216"/>
  <c r="HP216"/>
  <c r="HO216"/>
  <c r="HN216"/>
  <c r="HM216"/>
  <c r="HL216"/>
  <c r="HK216"/>
  <c r="HJ216"/>
  <c r="HI216"/>
  <c r="HH216"/>
  <c r="HG216"/>
  <c r="HF216"/>
  <c r="HE216"/>
  <c r="HD216"/>
  <c r="HC216"/>
  <c r="HB216"/>
  <c r="HA216"/>
  <c r="GZ216"/>
  <c r="GY216"/>
  <c r="GX216"/>
  <c r="GW216"/>
  <c r="GV216"/>
  <c r="GU216"/>
  <c r="GT216"/>
  <c r="GS216"/>
  <c r="GR216"/>
  <c r="GQ216"/>
  <c r="GP216"/>
  <c r="GO216"/>
  <c r="GN216"/>
  <c r="GM216"/>
  <c r="GL216"/>
  <c r="GK216"/>
  <c r="GJ216"/>
  <c r="GI216"/>
  <c r="GH216"/>
  <c r="GG216"/>
  <c r="GF216"/>
  <c r="GE216"/>
  <c r="GD216"/>
  <c r="GC216"/>
  <c r="GB216"/>
  <c r="GA216"/>
  <c r="FZ216"/>
  <c r="FY216"/>
  <c r="FX216"/>
  <c r="FW216"/>
  <c r="FV216"/>
  <c r="FU216"/>
  <c r="FT216"/>
  <c r="FS216"/>
  <c r="FR216"/>
  <c r="FQ216"/>
  <c r="FP216"/>
  <c r="FO216"/>
  <c r="FN216"/>
  <c r="FM216"/>
  <c r="FL216"/>
  <c r="FK216"/>
  <c r="FJ216"/>
  <c r="FI216"/>
  <c r="FH216"/>
  <c r="FG216"/>
  <c r="FF216"/>
  <c r="FE216"/>
  <c r="FD216"/>
  <c r="FC216"/>
  <c r="FB216"/>
  <c r="FA216"/>
  <c r="EZ216"/>
  <c r="EY216"/>
  <c r="EX216"/>
  <c r="EW216"/>
  <c r="EV216"/>
  <c r="EU216"/>
  <c r="ET216"/>
  <c r="ES216"/>
  <c r="ER216"/>
  <c r="EQ216"/>
  <c r="EP216"/>
  <c r="EO216"/>
  <c r="EN216"/>
  <c r="EM216"/>
  <c r="EL216"/>
  <c r="EK216"/>
  <c r="EJ216"/>
  <c r="EI216"/>
  <c r="EH216"/>
  <c r="EG216"/>
  <c r="EF216"/>
  <c r="EE216"/>
  <c r="ED216"/>
  <c r="EC216"/>
  <c r="EB216"/>
  <c r="EA216"/>
  <c r="DZ216"/>
  <c r="DY216"/>
  <c r="DX216"/>
  <c r="DW216"/>
  <c r="DV216"/>
  <c r="DU216"/>
  <c r="DT216"/>
  <c r="DS216"/>
  <c r="DR216"/>
  <c r="DQ216"/>
  <c r="DP216"/>
  <c r="DO216"/>
  <c r="DN216"/>
  <c r="DM216"/>
  <c r="DL216"/>
  <c r="DK216"/>
  <c r="DJ216"/>
  <c r="DI216"/>
  <c r="DH216"/>
  <c r="DG216"/>
  <c r="DF216"/>
  <c r="DE216"/>
  <c r="DD216"/>
  <c r="DC216"/>
  <c r="DB216"/>
  <c r="DA216"/>
  <c r="CZ216"/>
  <c r="CY216"/>
  <c r="CX216"/>
  <c r="CW216"/>
  <c r="CV216"/>
  <c r="CU216"/>
  <c r="CT216"/>
  <c r="CS216"/>
  <c r="CR216"/>
  <c r="CQ216"/>
  <c r="CP216"/>
  <c r="CO216"/>
  <c r="CN216"/>
  <c r="CM216"/>
  <c r="CL216"/>
  <c r="CK216"/>
  <c r="CJ216"/>
  <c r="CI216"/>
  <c r="CH216"/>
  <c r="CG216"/>
  <c r="CF216"/>
  <c r="CE216"/>
  <c r="CD216"/>
  <c r="CC216"/>
  <c r="CB216"/>
  <c r="CA216"/>
  <c r="BZ216"/>
  <c r="BY216"/>
  <c r="BX216"/>
  <c r="BW216"/>
  <c r="BV216"/>
  <c r="BU216"/>
  <c r="BT216"/>
  <c r="BS216"/>
  <c r="BR216"/>
  <c r="BQ216"/>
  <c r="BP216"/>
  <c r="BO216"/>
  <c r="BN216"/>
  <c r="BM216"/>
  <c r="BL216"/>
  <c r="BK216"/>
  <c r="BJ216"/>
  <c r="BI216"/>
  <c r="BH216"/>
  <c r="BG216"/>
  <c r="BF216"/>
  <c r="BE216"/>
  <c r="BD216"/>
  <c r="BC216"/>
  <c r="BB216"/>
  <c r="BA216"/>
  <c r="AZ216"/>
  <c r="AY216"/>
  <c r="AX216"/>
  <c r="AW216"/>
  <c r="AV216"/>
  <c r="AU216"/>
  <c r="AT216"/>
  <c r="AS216"/>
  <c r="AR216"/>
  <c r="AQ216"/>
  <c r="AP216"/>
  <c r="AO216"/>
  <c r="AN216"/>
  <c r="AM216"/>
  <c r="AL216"/>
  <c r="AK216"/>
  <c r="AJ216"/>
  <c r="AI216"/>
  <c r="AH216"/>
  <c r="AG216"/>
  <c r="AF216"/>
  <c r="AE216"/>
  <c r="AD216"/>
  <c r="AC216"/>
  <c r="AB216"/>
  <c r="AA216"/>
  <c r="Z216"/>
  <c r="Y216"/>
  <c r="X216"/>
  <c r="W216"/>
  <c r="V216"/>
  <c r="U216"/>
  <c r="T216"/>
  <c r="S216"/>
  <c r="R216"/>
  <c r="Q216"/>
  <c r="P216"/>
  <c r="O216"/>
  <c r="N216"/>
  <c r="M216"/>
  <c r="L216"/>
  <c r="K216"/>
  <c r="J216"/>
  <c r="I216"/>
  <c r="H216"/>
  <c r="G216"/>
  <c r="F216"/>
  <c r="E216"/>
  <c r="D216"/>
  <c r="C216"/>
  <c r="B216"/>
  <c r="A216"/>
  <c r="IV215"/>
  <c r="IU215"/>
  <c r="IT215"/>
  <c r="IS215"/>
  <c r="IR215"/>
  <c r="IQ215"/>
  <c r="IP215"/>
  <c r="IO215"/>
  <c r="IN215"/>
  <c r="IM215"/>
  <c r="IL215"/>
  <c r="IK215"/>
  <c r="IJ215"/>
  <c r="II215"/>
  <c r="IH215"/>
  <c r="IG215"/>
  <c r="IF215"/>
  <c r="IE215"/>
  <c r="ID215"/>
  <c r="IC215"/>
  <c r="IB215"/>
  <c r="IA215"/>
  <c r="HZ215"/>
  <c r="HY215"/>
  <c r="HX215"/>
  <c r="HW215"/>
  <c r="HV215"/>
  <c r="HU215"/>
  <c r="HT215"/>
  <c r="HS215"/>
  <c r="HR215"/>
  <c r="HQ215"/>
  <c r="HP215"/>
  <c r="HO215"/>
  <c r="HN215"/>
  <c r="HM215"/>
  <c r="HL215"/>
  <c r="HK215"/>
  <c r="HJ215"/>
  <c r="HI215"/>
  <c r="HH215"/>
  <c r="HG215"/>
  <c r="HF215"/>
  <c r="HE215"/>
  <c r="HD215"/>
  <c r="HC215"/>
  <c r="HB215"/>
  <c r="HA215"/>
  <c r="GZ215"/>
  <c r="GY215"/>
  <c r="GX215"/>
  <c r="GW215"/>
  <c r="GV215"/>
  <c r="GU215"/>
  <c r="GT215"/>
  <c r="GS215"/>
  <c r="GR215"/>
  <c r="GQ215"/>
  <c r="GP215"/>
  <c r="GO215"/>
  <c r="GN215"/>
  <c r="GM215"/>
  <c r="GL215"/>
  <c r="GK215"/>
  <c r="GJ215"/>
  <c r="GI215"/>
  <c r="GH215"/>
  <c r="GG215"/>
  <c r="GF215"/>
  <c r="GE215"/>
  <c r="GD215"/>
  <c r="GC215"/>
  <c r="GB215"/>
  <c r="GA215"/>
  <c r="FZ215"/>
  <c r="FY215"/>
  <c r="FX215"/>
  <c r="FW215"/>
  <c r="FV215"/>
  <c r="FU215"/>
  <c r="FT215"/>
  <c r="FS215"/>
  <c r="FR215"/>
  <c r="FQ215"/>
  <c r="FP215"/>
  <c r="FO215"/>
  <c r="FN215"/>
  <c r="FM215"/>
  <c r="FL215"/>
  <c r="FK215"/>
  <c r="FJ215"/>
  <c r="FI215"/>
  <c r="FH215"/>
  <c r="FG215"/>
  <c r="FF215"/>
  <c r="FE215"/>
  <c r="FD215"/>
  <c r="FC215"/>
  <c r="FB215"/>
  <c r="FA215"/>
  <c r="EZ215"/>
  <c r="EY215"/>
  <c r="EX215"/>
  <c r="EW215"/>
  <c r="EV215"/>
  <c r="EU215"/>
  <c r="ET215"/>
  <c r="ES215"/>
  <c r="ER215"/>
  <c r="EQ215"/>
  <c r="EP215"/>
  <c r="EO215"/>
  <c r="EN215"/>
  <c r="EM215"/>
  <c r="EL215"/>
  <c r="EK215"/>
  <c r="EJ215"/>
  <c r="EI215"/>
  <c r="EH215"/>
  <c r="EG215"/>
  <c r="EF215"/>
  <c r="EE215"/>
  <c r="ED215"/>
  <c r="EC215"/>
  <c r="EB215"/>
  <c r="EA215"/>
  <c r="DZ215"/>
  <c r="DY215"/>
  <c r="DX215"/>
  <c r="DW215"/>
  <c r="DV215"/>
  <c r="DU215"/>
  <c r="DT215"/>
  <c r="DS215"/>
  <c r="DR215"/>
  <c r="DQ215"/>
  <c r="DP215"/>
  <c r="DO215"/>
  <c r="DN215"/>
  <c r="DM215"/>
  <c r="DL215"/>
  <c r="DK215"/>
  <c r="DJ215"/>
  <c r="DI215"/>
  <c r="DH215"/>
  <c r="DG215"/>
  <c r="DF215"/>
  <c r="DE215"/>
  <c r="DD215"/>
  <c r="DC215"/>
  <c r="DB215"/>
  <c r="DA215"/>
  <c r="CZ215"/>
  <c r="CY215"/>
  <c r="CX215"/>
  <c r="CW215"/>
  <c r="CV215"/>
  <c r="CU215"/>
  <c r="CT215"/>
  <c r="CS215"/>
  <c r="CR215"/>
  <c r="CQ215"/>
  <c r="CP215"/>
  <c r="CO215"/>
  <c r="CN215"/>
  <c r="CM215"/>
  <c r="CL215"/>
  <c r="CK215"/>
  <c r="CJ215"/>
  <c r="CI215"/>
  <c r="CH215"/>
  <c r="CG215"/>
  <c r="CF215"/>
  <c r="CE215"/>
  <c r="CD215"/>
  <c r="CC215"/>
  <c r="CB215"/>
  <c r="CA215"/>
  <c r="BZ215"/>
  <c r="BY215"/>
  <c r="BX215"/>
  <c r="BW215"/>
  <c r="BV215"/>
  <c r="BU215"/>
  <c r="BT215"/>
  <c r="BS215"/>
  <c r="BR215"/>
  <c r="BQ215"/>
  <c r="BP215"/>
  <c r="BO215"/>
  <c r="BN215"/>
  <c r="BM215"/>
  <c r="BL215"/>
  <c r="BK215"/>
  <c r="BJ215"/>
  <c r="BI215"/>
  <c r="BH215"/>
  <c r="BG215"/>
  <c r="BF215"/>
  <c r="BE215"/>
  <c r="BD215"/>
  <c r="BC215"/>
  <c r="BB215"/>
  <c r="BA215"/>
  <c r="AZ215"/>
  <c r="AY215"/>
  <c r="AX215"/>
  <c r="AW215"/>
  <c r="AV215"/>
  <c r="AU215"/>
  <c r="AT215"/>
  <c r="AS215"/>
  <c r="AR215"/>
  <c r="AQ215"/>
  <c r="AP215"/>
  <c r="AO215"/>
  <c r="AN215"/>
  <c r="AM215"/>
  <c r="AL215"/>
  <c r="AK215"/>
  <c r="AJ215"/>
  <c r="AI215"/>
  <c r="AH215"/>
  <c r="AG215"/>
  <c r="AF215"/>
  <c r="AE215"/>
  <c r="AD215"/>
  <c r="AC215"/>
  <c r="AB215"/>
  <c r="AA215"/>
  <c r="Z215"/>
  <c r="Y215"/>
  <c r="X215"/>
  <c r="W215"/>
  <c r="V215"/>
  <c r="U215"/>
  <c r="T215"/>
  <c r="S215"/>
  <c r="R215"/>
  <c r="Q215"/>
  <c r="P215"/>
  <c r="O215"/>
  <c r="N215"/>
  <c r="M215"/>
  <c r="L215"/>
  <c r="K215"/>
  <c r="J215"/>
  <c r="I215"/>
  <c r="H215"/>
  <c r="G215"/>
  <c r="F215"/>
  <c r="E215"/>
  <c r="D215"/>
  <c r="C215"/>
  <c r="B215"/>
  <c r="A215"/>
  <c r="IV214"/>
  <c r="IU214"/>
  <c r="IT214"/>
  <c r="IS214"/>
  <c r="IR214"/>
  <c r="IQ214"/>
  <c r="IP214"/>
  <c r="IO214"/>
  <c r="IN214"/>
  <c r="IM214"/>
  <c r="IL214"/>
  <c r="IK214"/>
  <c r="IJ214"/>
  <c r="II214"/>
  <c r="IH214"/>
  <c r="IG214"/>
  <c r="IF214"/>
  <c r="IE214"/>
  <c r="ID214"/>
  <c r="IC214"/>
  <c r="IB214"/>
  <c r="IA214"/>
  <c r="HZ214"/>
  <c r="HY214"/>
  <c r="HX214"/>
  <c r="HW214"/>
  <c r="HV214"/>
  <c r="HU214"/>
  <c r="HT214"/>
  <c r="HS214"/>
  <c r="HR214"/>
  <c r="HQ214"/>
  <c r="HP214"/>
  <c r="HO214"/>
  <c r="HN214"/>
  <c r="HM214"/>
  <c r="HL214"/>
  <c r="HK214"/>
  <c r="HJ214"/>
  <c r="HI214"/>
  <c r="HH214"/>
  <c r="HG214"/>
  <c r="HF214"/>
  <c r="HE214"/>
  <c r="HD214"/>
  <c r="HC214"/>
  <c r="HB214"/>
  <c r="HA214"/>
  <c r="GZ214"/>
  <c r="GY214"/>
  <c r="GX214"/>
  <c r="GW214"/>
  <c r="GV214"/>
  <c r="GU214"/>
  <c r="GT214"/>
  <c r="GS214"/>
  <c r="GR214"/>
  <c r="GQ214"/>
  <c r="GP214"/>
  <c r="GO214"/>
  <c r="GN214"/>
  <c r="GM214"/>
  <c r="GL214"/>
  <c r="GK214"/>
  <c r="GJ214"/>
  <c r="GI214"/>
  <c r="GH214"/>
  <c r="GG214"/>
  <c r="GF214"/>
  <c r="GE214"/>
  <c r="GD214"/>
  <c r="GC214"/>
  <c r="GB214"/>
  <c r="GA214"/>
  <c r="FZ214"/>
  <c r="FY214"/>
  <c r="FX214"/>
  <c r="FW214"/>
  <c r="FV214"/>
  <c r="FU214"/>
  <c r="FT214"/>
  <c r="FS214"/>
  <c r="FR214"/>
  <c r="FQ214"/>
  <c r="FP214"/>
  <c r="FO214"/>
  <c r="FN214"/>
  <c r="FM214"/>
  <c r="FL214"/>
  <c r="FK214"/>
  <c r="FJ214"/>
  <c r="FI214"/>
  <c r="FH214"/>
  <c r="FG214"/>
  <c r="FF214"/>
  <c r="FE214"/>
  <c r="FD214"/>
  <c r="FC214"/>
  <c r="FB214"/>
  <c r="FA214"/>
  <c r="EZ214"/>
  <c r="EY214"/>
  <c r="EX214"/>
  <c r="EW214"/>
  <c r="EV214"/>
  <c r="EU214"/>
  <c r="ET214"/>
  <c r="ES214"/>
  <c r="ER214"/>
  <c r="EQ214"/>
  <c r="EP214"/>
  <c r="EO214"/>
  <c r="EN214"/>
  <c r="EM214"/>
  <c r="EL214"/>
  <c r="EK214"/>
  <c r="EJ214"/>
  <c r="EI214"/>
  <c r="EH214"/>
  <c r="EG214"/>
  <c r="EF214"/>
  <c r="EE214"/>
  <c r="ED214"/>
  <c r="EC214"/>
  <c r="EB214"/>
  <c r="EA214"/>
  <c r="DZ214"/>
  <c r="DY214"/>
  <c r="DX214"/>
  <c r="DW214"/>
  <c r="DV214"/>
  <c r="DU214"/>
  <c r="DT214"/>
  <c r="DS214"/>
  <c r="DR214"/>
  <c r="DQ214"/>
  <c r="DP214"/>
  <c r="DO214"/>
  <c r="DN214"/>
  <c r="DM214"/>
  <c r="DL214"/>
  <c r="DK214"/>
  <c r="DJ214"/>
  <c r="DI214"/>
  <c r="DH214"/>
  <c r="DG214"/>
  <c r="DF214"/>
  <c r="DE214"/>
  <c r="DD214"/>
  <c r="DC214"/>
  <c r="DB214"/>
  <c r="DA214"/>
  <c r="CZ214"/>
  <c r="CY214"/>
  <c r="CX214"/>
  <c r="CW214"/>
  <c r="CV214"/>
  <c r="CU214"/>
  <c r="CT214"/>
  <c r="CS214"/>
  <c r="CR214"/>
  <c r="CQ214"/>
  <c r="CP214"/>
  <c r="CO214"/>
  <c r="CN214"/>
  <c r="CM214"/>
  <c r="CL214"/>
  <c r="CK214"/>
  <c r="CJ214"/>
  <c r="CI214"/>
  <c r="CH214"/>
  <c r="CG214"/>
  <c r="CF214"/>
  <c r="CE214"/>
  <c r="CD214"/>
  <c r="CC214"/>
  <c r="CB214"/>
  <c r="CA214"/>
  <c r="BZ214"/>
  <c r="BY214"/>
  <c r="BX214"/>
  <c r="BW214"/>
  <c r="BV214"/>
  <c r="BU214"/>
  <c r="BT214"/>
  <c r="BS214"/>
  <c r="BR214"/>
  <c r="BQ214"/>
  <c r="BP214"/>
  <c r="BO214"/>
  <c r="BN214"/>
  <c r="BM214"/>
  <c r="BL214"/>
  <c r="BK214"/>
  <c r="BJ214"/>
  <c r="BI214"/>
  <c r="BH214"/>
  <c r="BG214"/>
  <c r="BF214"/>
  <c r="BE214"/>
  <c r="BD214"/>
  <c r="BC214"/>
  <c r="BB214"/>
  <c r="BA214"/>
  <c r="AZ214"/>
  <c r="AY214"/>
  <c r="AX214"/>
  <c r="AW214"/>
  <c r="AV214"/>
  <c r="AU214"/>
  <c r="AT214"/>
  <c r="AS214"/>
  <c r="AR214"/>
  <c r="AQ214"/>
  <c r="AP214"/>
  <c r="AO214"/>
  <c r="AN214"/>
  <c r="AM214"/>
  <c r="AL214"/>
  <c r="AK214"/>
  <c r="AJ214"/>
  <c r="AI214"/>
  <c r="AH214"/>
  <c r="AG214"/>
  <c r="AF214"/>
  <c r="AE214"/>
  <c r="AD214"/>
  <c r="AC214"/>
  <c r="AB214"/>
  <c r="AA214"/>
  <c r="Z214"/>
  <c r="Y214"/>
  <c r="X214"/>
  <c r="W214"/>
  <c r="V214"/>
  <c r="U214"/>
  <c r="T214"/>
  <c r="S214"/>
  <c r="R214"/>
  <c r="Q214"/>
  <c r="P214"/>
  <c r="O214"/>
  <c r="N214"/>
  <c r="M214"/>
  <c r="L214"/>
  <c r="K214"/>
  <c r="J214"/>
  <c r="I214"/>
  <c r="H214"/>
  <c r="G214"/>
  <c r="F214"/>
  <c r="E214"/>
  <c r="D214"/>
  <c r="C214"/>
  <c r="B214"/>
  <c r="A214"/>
  <c r="IV213"/>
  <c r="IU213"/>
  <c r="IT213"/>
  <c r="IS213"/>
  <c r="IR213"/>
  <c r="IQ213"/>
  <c r="IP213"/>
  <c r="IO213"/>
  <c r="IN213"/>
  <c r="IM213"/>
  <c r="IL213"/>
  <c r="IK213"/>
  <c r="IJ213"/>
  <c r="II213"/>
  <c r="IH213"/>
  <c r="IG213"/>
  <c r="IF213"/>
  <c r="IE213"/>
  <c r="ID213"/>
  <c r="IC213"/>
  <c r="IB213"/>
  <c r="IA213"/>
  <c r="HZ213"/>
  <c r="HY213"/>
  <c r="HX213"/>
  <c r="HW213"/>
  <c r="HV213"/>
  <c r="HU213"/>
  <c r="HT213"/>
  <c r="HS213"/>
  <c r="HR213"/>
  <c r="HQ213"/>
  <c r="HP213"/>
  <c r="HO213"/>
  <c r="HN213"/>
  <c r="HM213"/>
  <c r="HL213"/>
  <c r="HK213"/>
  <c r="HJ213"/>
  <c r="HI213"/>
  <c r="HH213"/>
  <c r="HG213"/>
  <c r="HF213"/>
  <c r="HE213"/>
  <c r="HD213"/>
  <c r="HC213"/>
  <c r="HB213"/>
  <c r="HA213"/>
  <c r="GZ213"/>
  <c r="GY213"/>
  <c r="GX213"/>
  <c r="GW213"/>
  <c r="GV213"/>
  <c r="GU213"/>
  <c r="GT213"/>
  <c r="GS213"/>
  <c r="GR213"/>
  <c r="GQ213"/>
  <c r="GP213"/>
  <c r="GO213"/>
  <c r="GN213"/>
  <c r="GM213"/>
  <c r="GL213"/>
  <c r="GK213"/>
  <c r="GJ213"/>
  <c r="GI213"/>
  <c r="GH213"/>
  <c r="GG213"/>
  <c r="GF213"/>
  <c r="GE213"/>
  <c r="GD213"/>
  <c r="GC213"/>
  <c r="GB213"/>
  <c r="GA213"/>
  <c r="FZ213"/>
  <c r="FY213"/>
  <c r="FX213"/>
  <c r="FW213"/>
  <c r="FV213"/>
  <c r="FU213"/>
  <c r="FT213"/>
  <c r="FS213"/>
  <c r="FR213"/>
  <c r="FQ213"/>
  <c r="FP213"/>
  <c r="FO213"/>
  <c r="FN213"/>
  <c r="FM213"/>
  <c r="FL213"/>
  <c r="FK213"/>
  <c r="FJ213"/>
  <c r="FI213"/>
  <c r="FH213"/>
  <c r="FG213"/>
  <c r="FF213"/>
  <c r="FE213"/>
  <c r="FD213"/>
  <c r="FC213"/>
  <c r="FB213"/>
  <c r="FA213"/>
  <c r="EZ213"/>
  <c r="EY213"/>
  <c r="EX213"/>
  <c r="EW213"/>
  <c r="EV213"/>
  <c r="EU213"/>
  <c r="ET213"/>
  <c r="ES213"/>
  <c r="ER213"/>
  <c r="EQ213"/>
  <c r="EP213"/>
  <c r="EO213"/>
  <c r="EN213"/>
  <c r="EM213"/>
  <c r="EL213"/>
  <c r="EK213"/>
  <c r="EJ213"/>
  <c r="EI213"/>
  <c r="EH213"/>
  <c r="EG213"/>
  <c r="EF213"/>
  <c r="EE213"/>
  <c r="ED213"/>
  <c r="EC213"/>
  <c r="EB213"/>
  <c r="EA213"/>
  <c r="DZ213"/>
  <c r="DY213"/>
  <c r="DX213"/>
  <c r="DW213"/>
  <c r="DV213"/>
  <c r="DU213"/>
  <c r="DT213"/>
  <c r="DS213"/>
  <c r="DR213"/>
  <c r="DQ213"/>
  <c r="DP213"/>
  <c r="DO213"/>
  <c r="DN213"/>
  <c r="DM213"/>
  <c r="DL213"/>
  <c r="DK213"/>
  <c r="DJ213"/>
  <c r="DI213"/>
  <c r="DH213"/>
  <c r="DG213"/>
  <c r="DF213"/>
  <c r="DE213"/>
  <c r="DD213"/>
  <c r="DC213"/>
  <c r="DB213"/>
  <c r="DA213"/>
  <c r="CZ213"/>
  <c r="CY213"/>
  <c r="CX213"/>
  <c r="CW213"/>
  <c r="CV213"/>
  <c r="CU213"/>
  <c r="CT213"/>
  <c r="CS213"/>
  <c r="CR213"/>
  <c r="CQ213"/>
  <c r="CP213"/>
  <c r="CO213"/>
  <c r="CN213"/>
  <c r="CM213"/>
  <c r="CL213"/>
  <c r="CK213"/>
  <c r="CJ213"/>
  <c r="CI213"/>
  <c r="CH213"/>
  <c r="CG213"/>
  <c r="CF213"/>
  <c r="CE213"/>
  <c r="CD213"/>
  <c r="CC213"/>
  <c r="CB213"/>
  <c r="CA213"/>
  <c r="BZ213"/>
  <c r="BY213"/>
  <c r="BX213"/>
  <c r="BW213"/>
  <c r="BV213"/>
  <c r="BU213"/>
  <c r="BT213"/>
  <c r="BS213"/>
  <c r="BR213"/>
  <c r="BQ213"/>
  <c r="BP213"/>
  <c r="BO213"/>
  <c r="BN213"/>
  <c r="BM213"/>
  <c r="BL213"/>
  <c r="BK213"/>
  <c r="BJ213"/>
  <c r="BI213"/>
  <c r="BH213"/>
  <c r="BG213"/>
  <c r="BF213"/>
  <c r="BE213"/>
  <c r="BD213"/>
  <c r="BC213"/>
  <c r="BB213"/>
  <c r="BA213"/>
  <c r="AZ213"/>
  <c r="AY213"/>
  <c r="AX213"/>
  <c r="AW213"/>
  <c r="AV213"/>
  <c r="AU213"/>
  <c r="AT213"/>
  <c r="AS213"/>
  <c r="AR213"/>
  <c r="AQ213"/>
  <c r="AP213"/>
  <c r="AO213"/>
  <c r="AN213"/>
  <c r="AM213"/>
  <c r="AL213"/>
  <c r="AK213"/>
  <c r="AJ213"/>
  <c r="AI213"/>
  <c r="AH213"/>
  <c r="AG213"/>
  <c r="AF213"/>
  <c r="AE213"/>
  <c r="AD213"/>
  <c r="AC213"/>
  <c r="AB213"/>
  <c r="AA213"/>
  <c r="Z213"/>
  <c r="Y213"/>
  <c r="X213"/>
  <c r="W213"/>
  <c r="V213"/>
  <c r="U213"/>
  <c r="T213"/>
  <c r="S213"/>
  <c r="R213"/>
  <c r="Q213"/>
  <c r="P213"/>
  <c r="O213"/>
  <c r="N213"/>
  <c r="M213"/>
  <c r="L213"/>
  <c r="K213"/>
  <c r="J213"/>
  <c r="I213"/>
  <c r="H213"/>
  <c r="G213"/>
  <c r="F213"/>
  <c r="E213"/>
  <c r="D213"/>
  <c r="C213"/>
  <c r="B213"/>
  <c r="A213"/>
  <c r="IV212"/>
  <c r="IU212"/>
  <c r="IT212"/>
  <c r="IS212"/>
  <c r="IR212"/>
  <c r="IQ212"/>
  <c r="IP212"/>
  <c r="IO212"/>
  <c r="IN212"/>
  <c r="IM212"/>
  <c r="IL212"/>
  <c r="IK212"/>
  <c r="IJ212"/>
  <c r="II212"/>
  <c r="IH212"/>
  <c r="IG212"/>
  <c r="IF212"/>
  <c r="IE212"/>
  <c r="ID212"/>
  <c r="IC212"/>
  <c r="IB212"/>
  <c r="IA212"/>
  <c r="HZ212"/>
  <c r="HY212"/>
  <c r="HX212"/>
  <c r="HW212"/>
  <c r="HV212"/>
  <c r="HU212"/>
  <c r="HT212"/>
  <c r="HS212"/>
  <c r="HR212"/>
  <c r="HQ212"/>
  <c r="HP212"/>
  <c r="HO212"/>
  <c r="HN212"/>
  <c r="HM212"/>
  <c r="HL212"/>
  <c r="HK212"/>
  <c r="HJ212"/>
  <c r="HI212"/>
  <c r="HH212"/>
  <c r="HG212"/>
  <c r="HF212"/>
  <c r="HE212"/>
  <c r="HD212"/>
  <c r="HC212"/>
  <c r="HB212"/>
  <c r="HA212"/>
  <c r="GZ212"/>
  <c r="GY212"/>
  <c r="GX212"/>
  <c r="GW212"/>
  <c r="GV212"/>
  <c r="GU212"/>
  <c r="GT212"/>
  <c r="GS212"/>
  <c r="GR212"/>
  <c r="GQ212"/>
  <c r="GP212"/>
  <c r="GO212"/>
  <c r="GN212"/>
  <c r="GM212"/>
  <c r="GL212"/>
  <c r="GK212"/>
  <c r="GJ212"/>
  <c r="GI212"/>
  <c r="GH212"/>
  <c r="GG212"/>
  <c r="GF212"/>
  <c r="GE212"/>
  <c r="GD212"/>
  <c r="GC212"/>
  <c r="GB212"/>
  <c r="GA212"/>
  <c r="FZ212"/>
  <c r="FY212"/>
  <c r="FX212"/>
  <c r="FW212"/>
  <c r="FV212"/>
  <c r="FU212"/>
  <c r="FT212"/>
  <c r="FS212"/>
  <c r="FR212"/>
  <c r="FQ212"/>
  <c r="FP212"/>
  <c r="FO212"/>
  <c r="FN212"/>
  <c r="FM212"/>
  <c r="FL212"/>
  <c r="FK212"/>
  <c r="FJ212"/>
  <c r="FI212"/>
  <c r="FH212"/>
  <c r="FG212"/>
  <c r="FF212"/>
  <c r="FE212"/>
  <c r="FD212"/>
  <c r="FC212"/>
  <c r="FB212"/>
  <c r="FA212"/>
  <c r="EZ212"/>
  <c r="EY212"/>
  <c r="EX212"/>
  <c r="EW212"/>
  <c r="EV212"/>
  <c r="EU212"/>
  <c r="ET212"/>
  <c r="ES212"/>
  <c r="ER212"/>
  <c r="EQ212"/>
  <c r="EP212"/>
  <c r="EO212"/>
  <c r="EN212"/>
  <c r="EM212"/>
  <c r="EL212"/>
  <c r="EK212"/>
  <c r="EJ212"/>
  <c r="EI212"/>
  <c r="EH212"/>
  <c r="EG212"/>
  <c r="EF212"/>
  <c r="EE212"/>
  <c r="ED212"/>
  <c r="EC212"/>
  <c r="EB212"/>
  <c r="EA212"/>
  <c r="DZ212"/>
  <c r="DY212"/>
  <c r="DX212"/>
  <c r="DW212"/>
  <c r="DV212"/>
  <c r="DU212"/>
  <c r="DT212"/>
  <c r="DS212"/>
  <c r="DR212"/>
  <c r="DQ212"/>
  <c r="DP212"/>
  <c r="DO212"/>
  <c r="DN212"/>
  <c r="DM212"/>
  <c r="DL212"/>
  <c r="DK212"/>
  <c r="DJ212"/>
  <c r="DI212"/>
  <c r="DH212"/>
  <c r="DG212"/>
  <c r="DF212"/>
  <c r="DE212"/>
  <c r="DD212"/>
  <c r="DC212"/>
  <c r="DB212"/>
  <c r="DA212"/>
  <c r="CZ212"/>
  <c r="CY212"/>
  <c r="CX212"/>
  <c r="CW212"/>
  <c r="CV212"/>
  <c r="CU212"/>
  <c r="CT212"/>
  <c r="CS212"/>
  <c r="CR212"/>
  <c r="CQ212"/>
  <c r="CP212"/>
  <c r="CO212"/>
  <c r="CN212"/>
  <c r="CM212"/>
  <c r="CL212"/>
  <c r="CK212"/>
  <c r="CJ212"/>
  <c r="CI212"/>
  <c r="CH212"/>
  <c r="CG212"/>
  <c r="CF212"/>
  <c r="CE212"/>
  <c r="CD212"/>
  <c r="CC212"/>
  <c r="CB212"/>
  <c r="CA212"/>
  <c r="BZ212"/>
  <c r="BY212"/>
  <c r="BX212"/>
  <c r="BW212"/>
  <c r="BV212"/>
  <c r="BU212"/>
  <c r="BT212"/>
  <c r="BS212"/>
  <c r="BR212"/>
  <c r="BQ212"/>
  <c r="BP212"/>
  <c r="BO212"/>
  <c r="BN212"/>
  <c r="BM212"/>
  <c r="BL212"/>
  <c r="BK212"/>
  <c r="BJ212"/>
  <c r="BI212"/>
  <c r="BH212"/>
  <c r="BG212"/>
  <c r="BF212"/>
  <c r="BE212"/>
  <c r="BD212"/>
  <c r="BC212"/>
  <c r="BB212"/>
  <c r="BA212"/>
  <c r="AZ212"/>
  <c r="AY212"/>
  <c r="AX212"/>
  <c r="AW212"/>
  <c r="AV212"/>
  <c r="AU212"/>
  <c r="AT212"/>
  <c r="AS212"/>
  <c r="AR212"/>
  <c r="AQ212"/>
  <c r="AP212"/>
  <c r="AO212"/>
  <c r="AN212"/>
  <c r="AM212"/>
  <c r="AL212"/>
  <c r="AK212"/>
  <c r="AJ212"/>
  <c r="AI212"/>
  <c r="AH212"/>
  <c r="AG212"/>
  <c r="AF212"/>
  <c r="AE212"/>
  <c r="AD212"/>
  <c r="AC212"/>
  <c r="AB212"/>
  <c r="AA212"/>
  <c r="Z212"/>
  <c r="Y212"/>
  <c r="X212"/>
  <c r="W212"/>
  <c r="V212"/>
  <c r="U212"/>
  <c r="T212"/>
  <c r="S212"/>
  <c r="R212"/>
  <c r="Q212"/>
  <c r="P212"/>
  <c r="O212"/>
  <c r="N212"/>
  <c r="M212"/>
  <c r="L212"/>
  <c r="K212"/>
  <c r="J212"/>
  <c r="I212"/>
  <c r="H212"/>
  <c r="G212"/>
  <c r="F212"/>
  <c r="E212"/>
  <c r="D212"/>
  <c r="C212"/>
  <c r="B212"/>
  <c r="A212"/>
  <c r="IV211"/>
  <c r="IU211"/>
  <c r="IT211"/>
  <c r="IS211"/>
  <c r="IR211"/>
  <c r="IQ211"/>
  <c r="IP211"/>
  <c r="IO211"/>
  <c r="IN211"/>
  <c r="IM211"/>
  <c r="IL211"/>
  <c r="IK211"/>
  <c r="IJ211"/>
  <c r="II211"/>
  <c r="IH211"/>
  <c r="IG211"/>
  <c r="IF211"/>
  <c r="IE211"/>
  <c r="ID211"/>
  <c r="IC211"/>
  <c r="IB211"/>
  <c r="IA211"/>
  <c r="HZ211"/>
  <c r="HY211"/>
  <c r="HX211"/>
  <c r="HW211"/>
  <c r="HV211"/>
  <c r="HU211"/>
  <c r="HT211"/>
  <c r="HS211"/>
  <c r="HR211"/>
  <c r="HQ211"/>
  <c r="HP211"/>
  <c r="HO211"/>
  <c r="HN211"/>
  <c r="HM211"/>
  <c r="HL211"/>
  <c r="HK211"/>
  <c r="HJ211"/>
  <c r="HI211"/>
  <c r="HH211"/>
  <c r="HG211"/>
  <c r="HF211"/>
  <c r="HE211"/>
  <c r="HD211"/>
  <c r="HC211"/>
  <c r="HB211"/>
  <c r="HA211"/>
  <c r="GZ211"/>
  <c r="GY211"/>
  <c r="GX211"/>
  <c r="GW211"/>
  <c r="GV211"/>
  <c r="GU211"/>
  <c r="GT211"/>
  <c r="GS211"/>
  <c r="GR211"/>
  <c r="GQ211"/>
  <c r="GP211"/>
  <c r="GO211"/>
  <c r="GN211"/>
  <c r="GM211"/>
  <c r="GL211"/>
  <c r="GK211"/>
  <c r="GJ211"/>
  <c r="GI211"/>
  <c r="GH211"/>
  <c r="GG211"/>
  <c r="GF211"/>
  <c r="GE211"/>
  <c r="GD211"/>
  <c r="GC211"/>
  <c r="GB211"/>
  <c r="GA211"/>
  <c r="FZ211"/>
  <c r="FY211"/>
  <c r="FX211"/>
  <c r="FW211"/>
  <c r="FV211"/>
  <c r="FU211"/>
  <c r="FT211"/>
  <c r="FS211"/>
  <c r="FR211"/>
  <c r="FQ211"/>
  <c r="FP211"/>
  <c r="FO211"/>
  <c r="FN211"/>
  <c r="FM211"/>
  <c r="FL211"/>
  <c r="FK211"/>
  <c r="FJ211"/>
  <c r="FI211"/>
  <c r="FH211"/>
  <c r="FG211"/>
  <c r="FF211"/>
  <c r="FE211"/>
  <c r="FD211"/>
  <c r="FC211"/>
  <c r="FB211"/>
  <c r="FA211"/>
  <c r="EZ211"/>
  <c r="EY211"/>
  <c r="EX211"/>
  <c r="EW211"/>
  <c r="EV211"/>
  <c r="EU211"/>
  <c r="ET211"/>
  <c r="ES211"/>
  <c r="ER211"/>
  <c r="EQ211"/>
  <c r="EP211"/>
  <c r="EO211"/>
  <c r="EN211"/>
  <c r="EM211"/>
  <c r="EL211"/>
  <c r="EK211"/>
  <c r="EJ211"/>
  <c r="EI211"/>
  <c r="EH211"/>
  <c r="EG211"/>
  <c r="EF211"/>
  <c r="EE211"/>
  <c r="ED211"/>
  <c r="EC211"/>
  <c r="EB211"/>
  <c r="EA211"/>
  <c r="DZ211"/>
  <c r="DY211"/>
  <c r="DX211"/>
  <c r="DW211"/>
  <c r="DV211"/>
  <c r="DU211"/>
  <c r="DT211"/>
  <c r="DS211"/>
  <c r="DR211"/>
  <c r="DQ211"/>
  <c r="DP211"/>
  <c r="DO211"/>
  <c r="DN211"/>
  <c r="DM211"/>
  <c r="DL211"/>
  <c r="DK211"/>
  <c r="DJ211"/>
  <c r="DI211"/>
  <c r="DH211"/>
  <c r="DG211"/>
  <c r="DF211"/>
  <c r="DE211"/>
  <c r="DD211"/>
  <c r="DC211"/>
  <c r="DB211"/>
  <c r="DA211"/>
  <c r="CZ211"/>
  <c r="CY211"/>
  <c r="CX211"/>
  <c r="CW211"/>
  <c r="CV211"/>
  <c r="CU211"/>
  <c r="CT211"/>
  <c r="CS211"/>
  <c r="CR211"/>
  <c r="CQ211"/>
  <c r="CP211"/>
  <c r="CO211"/>
  <c r="CN211"/>
  <c r="CM211"/>
  <c r="CL211"/>
  <c r="CK211"/>
  <c r="CJ211"/>
  <c r="CI211"/>
  <c r="CH211"/>
  <c r="CG211"/>
  <c r="CF211"/>
  <c r="CE211"/>
  <c r="CD211"/>
  <c r="CC211"/>
  <c r="CB211"/>
  <c r="CA211"/>
  <c r="BZ211"/>
  <c r="BY211"/>
  <c r="BX211"/>
  <c r="BW211"/>
  <c r="BV211"/>
  <c r="BU211"/>
  <c r="BT211"/>
  <c r="BS211"/>
  <c r="BR211"/>
  <c r="BQ211"/>
  <c r="BP211"/>
  <c r="BO211"/>
  <c r="BN211"/>
  <c r="BM211"/>
  <c r="BL211"/>
  <c r="BK211"/>
  <c r="BJ211"/>
  <c r="BI211"/>
  <c r="BH211"/>
  <c r="BG211"/>
  <c r="BF211"/>
  <c r="BE211"/>
  <c r="BD211"/>
  <c r="BC211"/>
  <c r="BB211"/>
  <c r="BA211"/>
  <c r="AZ211"/>
  <c r="AY211"/>
  <c r="AX211"/>
  <c r="AW211"/>
  <c r="AV211"/>
  <c r="AU211"/>
  <c r="AT211"/>
  <c r="AS211"/>
  <c r="AR211"/>
  <c r="AQ211"/>
  <c r="AP211"/>
  <c r="AO211"/>
  <c r="AN211"/>
  <c r="AM211"/>
  <c r="AL211"/>
  <c r="AK211"/>
  <c r="AJ211"/>
  <c r="AI211"/>
  <c r="AH211"/>
  <c r="AG211"/>
  <c r="AF211"/>
  <c r="AE211"/>
  <c r="AD211"/>
  <c r="AC211"/>
  <c r="AB211"/>
  <c r="AA211"/>
  <c r="Z211"/>
  <c r="Y211"/>
  <c r="X211"/>
  <c r="W211"/>
  <c r="V211"/>
  <c r="U211"/>
  <c r="T211"/>
  <c r="S211"/>
  <c r="R211"/>
  <c r="Q211"/>
  <c r="P211"/>
  <c r="O211"/>
  <c r="N211"/>
  <c r="M211"/>
  <c r="L211"/>
  <c r="K211"/>
  <c r="J211"/>
  <c r="I211"/>
  <c r="H211"/>
  <c r="G211"/>
  <c r="F211"/>
  <c r="E211"/>
  <c r="D211"/>
  <c r="C211"/>
  <c r="B211"/>
  <c r="A211"/>
  <c r="IV210"/>
  <c r="IU210"/>
  <c r="IT210"/>
  <c r="IS210"/>
  <c r="IR210"/>
  <c r="IQ210"/>
  <c r="IP210"/>
  <c r="IO210"/>
  <c r="IN210"/>
  <c r="IM210"/>
  <c r="IL210"/>
  <c r="IK210"/>
  <c r="IJ210"/>
  <c r="II210"/>
  <c r="IH210"/>
  <c r="IG210"/>
  <c r="IF210"/>
  <c r="IE210"/>
  <c r="ID210"/>
  <c r="IC210"/>
  <c r="IB210"/>
  <c r="IA210"/>
  <c r="HZ210"/>
  <c r="HY210"/>
  <c r="HX210"/>
  <c r="HW210"/>
  <c r="HV210"/>
  <c r="HU210"/>
  <c r="HT210"/>
  <c r="HS210"/>
  <c r="HR210"/>
  <c r="HQ210"/>
  <c r="HP210"/>
  <c r="HO210"/>
  <c r="HN210"/>
  <c r="HM210"/>
  <c r="HL210"/>
  <c r="HK210"/>
  <c r="HJ210"/>
  <c r="HI210"/>
  <c r="HH210"/>
  <c r="HG210"/>
  <c r="HF210"/>
  <c r="HE210"/>
  <c r="HD210"/>
  <c r="HC210"/>
  <c r="HB210"/>
  <c r="HA210"/>
  <c r="GZ210"/>
  <c r="GY210"/>
  <c r="GX210"/>
  <c r="GW210"/>
  <c r="GV210"/>
  <c r="GU210"/>
  <c r="GT210"/>
  <c r="GS210"/>
  <c r="GR210"/>
  <c r="GQ210"/>
  <c r="GP210"/>
  <c r="GO210"/>
  <c r="GN210"/>
  <c r="GM210"/>
  <c r="GL210"/>
  <c r="GK210"/>
  <c r="GJ210"/>
  <c r="GI210"/>
  <c r="GH210"/>
  <c r="GG210"/>
  <c r="GF210"/>
  <c r="GE210"/>
  <c r="GD210"/>
  <c r="GC210"/>
  <c r="GB210"/>
  <c r="GA210"/>
  <c r="FZ210"/>
  <c r="FY210"/>
  <c r="FX210"/>
  <c r="FW210"/>
  <c r="FV210"/>
  <c r="FU210"/>
  <c r="FT210"/>
  <c r="FS210"/>
  <c r="FR210"/>
  <c r="FQ210"/>
  <c r="FP210"/>
  <c r="FO210"/>
  <c r="FN210"/>
  <c r="FM210"/>
  <c r="FL210"/>
  <c r="FK210"/>
  <c r="FJ210"/>
  <c r="FI210"/>
  <c r="FH210"/>
  <c r="FG210"/>
  <c r="FF210"/>
  <c r="FE210"/>
  <c r="FD210"/>
  <c r="FC210"/>
  <c r="FB210"/>
  <c r="FA210"/>
  <c r="EZ210"/>
  <c r="EY210"/>
  <c r="EX210"/>
  <c r="EW210"/>
  <c r="EV210"/>
  <c r="EU210"/>
  <c r="ET210"/>
  <c r="ES210"/>
  <c r="ER210"/>
  <c r="EQ210"/>
  <c r="EP210"/>
  <c r="EO210"/>
  <c r="EN210"/>
  <c r="EM210"/>
  <c r="EL210"/>
  <c r="EK210"/>
  <c r="EJ210"/>
  <c r="EI210"/>
  <c r="EH210"/>
  <c r="EG210"/>
  <c r="EF210"/>
  <c r="EE210"/>
  <c r="ED210"/>
  <c r="EC210"/>
  <c r="EB210"/>
  <c r="EA210"/>
  <c r="DZ210"/>
  <c r="DY210"/>
  <c r="DX210"/>
  <c r="DW210"/>
  <c r="DV210"/>
  <c r="DU210"/>
  <c r="DT210"/>
  <c r="DS210"/>
  <c r="DR210"/>
  <c r="DQ210"/>
  <c r="DP210"/>
  <c r="DO210"/>
  <c r="DN210"/>
  <c r="DM210"/>
  <c r="DL210"/>
  <c r="DK210"/>
  <c r="DJ210"/>
  <c r="DI210"/>
  <c r="DH210"/>
  <c r="DG210"/>
  <c r="DF210"/>
  <c r="DE210"/>
  <c r="DD210"/>
  <c r="DC210"/>
  <c r="DB210"/>
  <c r="DA210"/>
  <c r="CZ210"/>
  <c r="CY210"/>
  <c r="CX210"/>
  <c r="CW210"/>
  <c r="CV210"/>
  <c r="CU210"/>
  <c r="CT210"/>
  <c r="CS210"/>
  <c r="CR210"/>
  <c r="CQ210"/>
  <c r="CP210"/>
  <c r="CO210"/>
  <c r="CN210"/>
  <c r="CM210"/>
  <c r="CL210"/>
  <c r="CK210"/>
  <c r="CJ210"/>
  <c r="CI210"/>
  <c r="CH210"/>
  <c r="CG210"/>
  <c r="CF210"/>
  <c r="CE210"/>
  <c r="CD210"/>
  <c r="CC210"/>
  <c r="CB210"/>
  <c r="CA210"/>
  <c r="BZ210"/>
  <c r="BY210"/>
  <c r="BX210"/>
  <c r="BW210"/>
  <c r="BV210"/>
  <c r="BU210"/>
  <c r="BT210"/>
  <c r="BS210"/>
  <c r="BR210"/>
  <c r="BQ210"/>
  <c r="BP210"/>
  <c r="BO210"/>
  <c r="BN210"/>
  <c r="BM210"/>
  <c r="BL210"/>
  <c r="BK210"/>
  <c r="BJ210"/>
  <c r="BI210"/>
  <c r="BH210"/>
  <c r="BG210"/>
  <c r="BF210"/>
  <c r="BE210"/>
  <c r="BD210"/>
  <c r="BC210"/>
  <c r="BB210"/>
  <c r="BA210"/>
  <c r="AZ210"/>
  <c r="AY210"/>
  <c r="AX210"/>
  <c r="AW210"/>
  <c r="AV210"/>
  <c r="AU210"/>
  <c r="AT210"/>
  <c r="AS210"/>
  <c r="AR210"/>
  <c r="AQ210"/>
  <c r="AP210"/>
  <c r="AO210"/>
  <c r="AN210"/>
  <c r="AM210"/>
  <c r="AL210"/>
  <c r="AK210"/>
  <c r="AJ210"/>
  <c r="AI210"/>
  <c r="AH210"/>
  <c r="AG210"/>
  <c r="AF210"/>
  <c r="AE210"/>
  <c r="AD210"/>
  <c r="AC210"/>
  <c r="AB210"/>
  <c r="AA210"/>
  <c r="Z210"/>
  <c r="Y210"/>
  <c r="X210"/>
  <c r="W210"/>
  <c r="V210"/>
  <c r="U210"/>
  <c r="T210"/>
  <c r="S210"/>
  <c r="R210"/>
  <c r="Q210"/>
  <c r="P210"/>
  <c r="O210"/>
  <c r="N210"/>
  <c r="M210"/>
  <c r="L210"/>
  <c r="K210"/>
  <c r="J210"/>
  <c r="I210"/>
  <c r="H210"/>
  <c r="G210"/>
  <c r="F210"/>
  <c r="E210"/>
  <c r="D210"/>
  <c r="C210"/>
  <c r="B210"/>
  <c r="A210"/>
  <c r="IV209"/>
  <c r="IU209"/>
  <c r="IT209"/>
  <c r="IS209"/>
  <c r="IR209"/>
  <c r="IQ209"/>
  <c r="IP209"/>
  <c r="IO209"/>
  <c r="IN209"/>
  <c r="IM209"/>
  <c r="IL209"/>
  <c r="IK209"/>
  <c r="IJ209"/>
  <c r="II209"/>
  <c r="IH209"/>
  <c r="IG209"/>
  <c r="IF209"/>
  <c r="IE209"/>
  <c r="ID209"/>
  <c r="IC209"/>
  <c r="IB209"/>
  <c r="IA209"/>
  <c r="HZ209"/>
  <c r="HY209"/>
  <c r="HX209"/>
  <c r="HW209"/>
  <c r="HV209"/>
  <c r="HU209"/>
  <c r="HT209"/>
  <c r="HS209"/>
  <c r="HR209"/>
  <c r="HQ209"/>
  <c r="HP209"/>
  <c r="HO209"/>
  <c r="HN209"/>
  <c r="HM209"/>
  <c r="HL209"/>
  <c r="HK209"/>
  <c r="HJ209"/>
  <c r="HI209"/>
  <c r="HH209"/>
  <c r="HG209"/>
  <c r="HF209"/>
  <c r="HE209"/>
  <c r="HD209"/>
  <c r="HC209"/>
  <c r="HB209"/>
  <c r="HA209"/>
  <c r="GZ209"/>
  <c r="GY209"/>
  <c r="GX209"/>
  <c r="GW209"/>
  <c r="GV209"/>
  <c r="GU209"/>
  <c r="GT209"/>
  <c r="GS209"/>
  <c r="GR209"/>
  <c r="GQ209"/>
  <c r="GP209"/>
  <c r="GO209"/>
  <c r="GN209"/>
  <c r="GM209"/>
  <c r="GL209"/>
  <c r="GK209"/>
  <c r="GJ209"/>
  <c r="GI209"/>
  <c r="GH209"/>
  <c r="GG209"/>
  <c r="GF209"/>
  <c r="GE209"/>
  <c r="GD209"/>
  <c r="GC209"/>
  <c r="GB209"/>
  <c r="GA209"/>
  <c r="FZ209"/>
  <c r="FY209"/>
  <c r="FX209"/>
  <c r="FW209"/>
  <c r="FV209"/>
  <c r="FU209"/>
  <c r="FT209"/>
  <c r="FS209"/>
  <c r="FR209"/>
  <c r="FQ209"/>
  <c r="FP209"/>
  <c r="FO209"/>
  <c r="FN209"/>
  <c r="FM209"/>
  <c r="FL209"/>
  <c r="FK209"/>
  <c r="FJ209"/>
  <c r="FI209"/>
  <c r="FH209"/>
  <c r="FG209"/>
  <c r="FF209"/>
  <c r="FE209"/>
  <c r="FD209"/>
  <c r="FC209"/>
  <c r="FB209"/>
  <c r="FA209"/>
  <c r="EZ209"/>
  <c r="EY209"/>
  <c r="EX209"/>
  <c r="EW209"/>
  <c r="EV209"/>
  <c r="EU209"/>
  <c r="ET209"/>
  <c r="ES209"/>
  <c r="ER209"/>
  <c r="EQ209"/>
  <c r="EP209"/>
  <c r="EO209"/>
  <c r="EN209"/>
  <c r="EM209"/>
  <c r="EL209"/>
  <c r="EK209"/>
  <c r="EJ209"/>
  <c r="EI209"/>
  <c r="EH209"/>
  <c r="EG209"/>
  <c r="EF209"/>
  <c r="EE209"/>
  <c r="ED209"/>
  <c r="EC209"/>
  <c r="EB209"/>
  <c r="EA209"/>
  <c r="DZ209"/>
  <c r="DY209"/>
  <c r="DX209"/>
  <c r="DW209"/>
  <c r="DV209"/>
  <c r="DU209"/>
  <c r="DT209"/>
  <c r="DS209"/>
  <c r="DR209"/>
  <c r="DQ209"/>
  <c r="DP209"/>
  <c r="DO209"/>
  <c r="DN209"/>
  <c r="DM209"/>
  <c r="DL209"/>
  <c r="DK209"/>
  <c r="DJ209"/>
  <c r="DI209"/>
  <c r="DH209"/>
  <c r="DG209"/>
  <c r="DF209"/>
  <c r="DE209"/>
  <c r="DD209"/>
  <c r="DC209"/>
  <c r="DB209"/>
  <c r="DA209"/>
  <c r="CZ209"/>
  <c r="CY209"/>
  <c r="CX209"/>
  <c r="CW209"/>
  <c r="CV209"/>
  <c r="CU209"/>
  <c r="CT209"/>
  <c r="CS209"/>
  <c r="CR209"/>
  <c r="CQ209"/>
  <c r="CP209"/>
  <c r="CO209"/>
  <c r="CN209"/>
  <c r="CM209"/>
  <c r="CL209"/>
  <c r="CK209"/>
  <c r="CJ209"/>
  <c r="CI209"/>
  <c r="CH209"/>
  <c r="CG209"/>
  <c r="CF209"/>
  <c r="CE209"/>
  <c r="CD209"/>
  <c r="CC209"/>
  <c r="CB209"/>
  <c r="CA209"/>
  <c r="BZ209"/>
  <c r="BY209"/>
  <c r="BX209"/>
  <c r="BW209"/>
  <c r="BV209"/>
  <c r="BU209"/>
  <c r="BT209"/>
  <c r="BS209"/>
  <c r="BR209"/>
  <c r="BQ209"/>
  <c r="BP209"/>
  <c r="BO209"/>
  <c r="BN209"/>
  <c r="BM209"/>
  <c r="BL209"/>
  <c r="BK209"/>
  <c r="BJ209"/>
  <c r="BI209"/>
  <c r="BH209"/>
  <c r="BG209"/>
  <c r="BF209"/>
  <c r="BE209"/>
  <c r="BD209"/>
  <c r="BC209"/>
  <c r="BB209"/>
  <c r="BA209"/>
  <c r="AZ209"/>
  <c r="AY209"/>
  <c r="AX209"/>
  <c r="AW209"/>
  <c r="AV209"/>
  <c r="AU209"/>
  <c r="AT209"/>
  <c r="AS209"/>
  <c r="AR209"/>
  <c r="AQ209"/>
  <c r="AP209"/>
  <c r="AO209"/>
  <c r="AN209"/>
  <c r="AM209"/>
  <c r="AL209"/>
  <c r="AK209"/>
  <c r="AJ209"/>
  <c r="AI209"/>
  <c r="AH209"/>
  <c r="AG209"/>
  <c r="AF209"/>
  <c r="AE209"/>
  <c r="AD209"/>
  <c r="AC209"/>
  <c r="AB209"/>
  <c r="AA209"/>
  <c r="Z209"/>
  <c r="Y209"/>
  <c r="X209"/>
  <c r="W209"/>
  <c r="V209"/>
  <c r="U209"/>
  <c r="T209"/>
  <c r="S209"/>
  <c r="R209"/>
  <c r="Q209"/>
  <c r="P209"/>
  <c r="O209"/>
  <c r="N209"/>
  <c r="M209"/>
  <c r="L209"/>
  <c r="K209"/>
  <c r="J209"/>
  <c r="I209"/>
  <c r="H209"/>
  <c r="G209"/>
  <c r="F209"/>
  <c r="E209"/>
  <c r="D209"/>
  <c r="C209"/>
  <c r="B209"/>
  <c r="A209"/>
  <c r="IV208"/>
  <c r="IU208"/>
  <c r="IT208"/>
  <c r="IS208"/>
  <c r="IR208"/>
  <c r="IQ208"/>
  <c r="IP208"/>
  <c r="IO208"/>
  <c r="IN208"/>
  <c r="IM208"/>
  <c r="IL208"/>
  <c r="IK208"/>
  <c r="IJ208"/>
  <c r="II208"/>
  <c r="IH208"/>
  <c r="IG208"/>
  <c r="IF208"/>
  <c r="IE208"/>
  <c r="ID208"/>
  <c r="IC208"/>
  <c r="IB208"/>
  <c r="IA208"/>
  <c r="HZ208"/>
  <c r="HY208"/>
  <c r="HX208"/>
  <c r="HW208"/>
  <c r="HV208"/>
  <c r="HU208"/>
  <c r="HT208"/>
  <c r="HS208"/>
  <c r="HR208"/>
  <c r="HQ208"/>
  <c r="HP208"/>
  <c r="HO208"/>
  <c r="HN208"/>
  <c r="HM208"/>
  <c r="HL208"/>
  <c r="HK208"/>
  <c r="HJ208"/>
  <c r="HI208"/>
  <c r="HH208"/>
  <c r="HG208"/>
  <c r="HF208"/>
  <c r="HE208"/>
  <c r="HD208"/>
  <c r="HC208"/>
  <c r="HB208"/>
  <c r="HA208"/>
  <c r="GZ208"/>
  <c r="GY208"/>
  <c r="GX208"/>
  <c r="GW208"/>
  <c r="GV208"/>
  <c r="GU208"/>
  <c r="GT208"/>
  <c r="GS208"/>
  <c r="GR208"/>
  <c r="GQ208"/>
  <c r="GP208"/>
  <c r="GO208"/>
  <c r="GN208"/>
  <c r="GM208"/>
  <c r="GL208"/>
  <c r="GK208"/>
  <c r="GJ208"/>
  <c r="GI208"/>
  <c r="GH208"/>
  <c r="GG208"/>
  <c r="GF208"/>
  <c r="GE208"/>
  <c r="GD208"/>
  <c r="GC208"/>
  <c r="GB208"/>
  <c r="GA208"/>
  <c r="FZ208"/>
  <c r="FY208"/>
  <c r="FX208"/>
  <c r="FW208"/>
  <c r="FV208"/>
  <c r="FU208"/>
  <c r="FT208"/>
  <c r="FS208"/>
  <c r="FR208"/>
  <c r="FQ208"/>
  <c r="FP208"/>
  <c r="FO208"/>
  <c r="FN208"/>
  <c r="FM208"/>
  <c r="FL208"/>
  <c r="FK208"/>
  <c r="FJ208"/>
  <c r="FI208"/>
  <c r="FH208"/>
  <c r="FG208"/>
  <c r="FF208"/>
  <c r="FE208"/>
  <c r="FD208"/>
  <c r="FC208"/>
  <c r="FB208"/>
  <c r="FA208"/>
  <c r="EZ208"/>
  <c r="EY208"/>
  <c r="EX208"/>
  <c r="EW208"/>
  <c r="EV208"/>
  <c r="EU208"/>
  <c r="ET208"/>
  <c r="ES208"/>
  <c r="ER208"/>
  <c r="EQ208"/>
  <c r="EP208"/>
  <c r="EO208"/>
  <c r="EN208"/>
  <c r="EM208"/>
  <c r="EL208"/>
  <c r="EK208"/>
  <c r="EJ208"/>
  <c r="EI208"/>
  <c r="EH208"/>
  <c r="EG208"/>
  <c r="EF208"/>
  <c r="EE208"/>
  <c r="ED208"/>
  <c r="EC208"/>
  <c r="EB208"/>
  <c r="EA208"/>
  <c r="DZ208"/>
  <c r="DY208"/>
  <c r="DX208"/>
  <c r="DW208"/>
  <c r="DV208"/>
  <c r="DU208"/>
  <c r="DT208"/>
  <c r="DS208"/>
  <c r="DR208"/>
  <c r="DQ208"/>
  <c r="DP208"/>
  <c r="DO208"/>
  <c r="DN208"/>
  <c r="DM208"/>
  <c r="DL208"/>
  <c r="DK208"/>
  <c r="DJ208"/>
  <c r="DI208"/>
  <c r="DH208"/>
  <c r="DG208"/>
  <c r="DF208"/>
  <c r="DE208"/>
  <c r="DD208"/>
  <c r="DC208"/>
  <c r="DB208"/>
  <c r="DA208"/>
  <c r="CZ208"/>
  <c r="CY208"/>
  <c r="CX208"/>
  <c r="CW208"/>
  <c r="CV208"/>
  <c r="CU208"/>
  <c r="CT208"/>
  <c r="CS208"/>
  <c r="CR208"/>
  <c r="CQ208"/>
  <c r="CP208"/>
  <c r="CO208"/>
  <c r="CN208"/>
  <c r="CM208"/>
  <c r="CL208"/>
  <c r="CK208"/>
  <c r="CJ208"/>
  <c r="CI208"/>
  <c r="CH208"/>
  <c r="CG208"/>
  <c r="CF208"/>
  <c r="CE208"/>
  <c r="CD208"/>
  <c r="CC208"/>
  <c r="CB208"/>
  <c r="CA208"/>
  <c r="BZ208"/>
  <c r="BY208"/>
  <c r="BX208"/>
  <c r="BW208"/>
  <c r="BV208"/>
  <c r="BU208"/>
  <c r="BT208"/>
  <c r="BS208"/>
  <c r="BR208"/>
  <c r="BQ208"/>
  <c r="BP208"/>
  <c r="BO208"/>
  <c r="BN208"/>
  <c r="BM208"/>
  <c r="BL208"/>
  <c r="BK208"/>
  <c r="BJ208"/>
  <c r="BI208"/>
  <c r="BH208"/>
  <c r="BG208"/>
  <c r="BF208"/>
  <c r="BE208"/>
  <c r="BD208"/>
  <c r="BC208"/>
  <c r="BB208"/>
  <c r="BA208"/>
  <c r="AZ208"/>
  <c r="AY208"/>
  <c r="AX208"/>
  <c r="AW208"/>
  <c r="AV208"/>
  <c r="AU208"/>
  <c r="AT208"/>
  <c r="AS208"/>
  <c r="AR208"/>
  <c r="AQ208"/>
  <c r="AP208"/>
  <c r="AO208"/>
  <c r="AN208"/>
  <c r="AM208"/>
  <c r="AL208"/>
  <c r="AK208"/>
  <c r="AJ208"/>
  <c r="AI208"/>
  <c r="AH208"/>
  <c r="AG208"/>
  <c r="AF208"/>
  <c r="AE208"/>
  <c r="AD208"/>
  <c r="AC208"/>
  <c r="AB208"/>
  <c r="AA208"/>
  <c r="Z208"/>
  <c r="Y208"/>
  <c r="X208"/>
  <c r="W208"/>
  <c r="V208"/>
  <c r="U208"/>
  <c r="T208"/>
  <c r="S208"/>
  <c r="R208"/>
  <c r="Q208"/>
  <c r="P208"/>
  <c r="O208"/>
  <c r="N208"/>
  <c r="M208"/>
  <c r="L208"/>
  <c r="K208"/>
  <c r="J208"/>
  <c r="I208"/>
  <c r="H208"/>
  <c r="G208"/>
  <c r="F208"/>
  <c r="E208"/>
  <c r="D208"/>
  <c r="C208"/>
  <c r="B208"/>
  <c r="A208"/>
  <c r="IV207"/>
  <c r="IU207"/>
  <c r="IT207"/>
  <c r="IS207"/>
  <c r="IR207"/>
  <c r="IQ207"/>
  <c r="IP207"/>
  <c r="IO207"/>
  <c r="IN207"/>
  <c r="IM207"/>
  <c r="IL207"/>
  <c r="IK207"/>
  <c r="IJ207"/>
  <c r="II207"/>
  <c r="IH207"/>
  <c r="IG207"/>
  <c r="IF207"/>
  <c r="IE207"/>
  <c r="ID207"/>
  <c r="IC207"/>
  <c r="IB207"/>
  <c r="IA207"/>
  <c r="HZ207"/>
  <c r="HY207"/>
  <c r="HX207"/>
  <c r="HW207"/>
  <c r="HV207"/>
  <c r="HU207"/>
  <c r="HT207"/>
  <c r="HS207"/>
  <c r="HR207"/>
  <c r="HQ207"/>
  <c r="HP207"/>
  <c r="HO207"/>
  <c r="HN207"/>
  <c r="HM207"/>
  <c r="HL207"/>
  <c r="HK207"/>
  <c r="HJ207"/>
  <c r="HI207"/>
  <c r="HH207"/>
  <c r="HG207"/>
  <c r="HF207"/>
  <c r="HE207"/>
  <c r="HD207"/>
  <c r="HC207"/>
  <c r="HB207"/>
  <c r="HA207"/>
  <c r="GZ207"/>
  <c r="GY207"/>
  <c r="GX207"/>
  <c r="GW207"/>
  <c r="GV207"/>
  <c r="GU207"/>
  <c r="GT207"/>
  <c r="GS207"/>
  <c r="GR207"/>
  <c r="GQ207"/>
  <c r="GP207"/>
  <c r="GO207"/>
  <c r="GN207"/>
  <c r="GM207"/>
  <c r="GL207"/>
  <c r="GK207"/>
  <c r="GJ207"/>
  <c r="GI207"/>
  <c r="GH207"/>
  <c r="GG207"/>
  <c r="GF207"/>
  <c r="GE207"/>
  <c r="GD207"/>
  <c r="GC207"/>
  <c r="GB207"/>
  <c r="GA207"/>
  <c r="FZ207"/>
  <c r="FY207"/>
  <c r="FX207"/>
  <c r="FW207"/>
  <c r="FV207"/>
  <c r="FU207"/>
  <c r="FT207"/>
  <c r="FS207"/>
  <c r="FR207"/>
  <c r="FQ207"/>
  <c r="FP207"/>
  <c r="FO207"/>
  <c r="FN207"/>
  <c r="FM207"/>
  <c r="FL207"/>
  <c r="FK207"/>
  <c r="FJ207"/>
  <c r="FI207"/>
  <c r="FH207"/>
  <c r="FG207"/>
  <c r="FF207"/>
  <c r="FE207"/>
  <c r="FD207"/>
  <c r="FC207"/>
  <c r="FB207"/>
  <c r="FA207"/>
  <c r="EZ207"/>
  <c r="EY207"/>
  <c r="EX207"/>
  <c r="EW207"/>
  <c r="EV207"/>
  <c r="EU207"/>
  <c r="ET207"/>
  <c r="ES207"/>
  <c r="ER207"/>
  <c r="EQ207"/>
  <c r="EP207"/>
  <c r="EO207"/>
  <c r="EN207"/>
  <c r="EM207"/>
  <c r="EL207"/>
  <c r="EK207"/>
  <c r="EJ207"/>
  <c r="EI207"/>
  <c r="EH207"/>
  <c r="EG207"/>
  <c r="EF207"/>
  <c r="EE207"/>
  <c r="ED207"/>
  <c r="EC207"/>
  <c r="EB207"/>
  <c r="EA207"/>
  <c r="DZ207"/>
  <c r="DY207"/>
  <c r="DX207"/>
  <c r="DW207"/>
  <c r="DV207"/>
  <c r="DU207"/>
  <c r="DT207"/>
  <c r="DS207"/>
  <c r="DR207"/>
  <c r="DQ207"/>
  <c r="DP207"/>
  <c r="DO207"/>
  <c r="DN207"/>
  <c r="DM207"/>
  <c r="DL207"/>
  <c r="DK207"/>
  <c r="DJ207"/>
  <c r="DI207"/>
  <c r="DH207"/>
  <c r="DG207"/>
  <c r="DF207"/>
  <c r="DE207"/>
  <c r="DD207"/>
  <c r="DC207"/>
  <c r="DB207"/>
  <c r="DA207"/>
  <c r="CZ207"/>
  <c r="CY207"/>
  <c r="CX207"/>
  <c r="CW207"/>
  <c r="CV207"/>
  <c r="CU207"/>
  <c r="CT207"/>
  <c r="CS207"/>
  <c r="CR207"/>
  <c r="CQ207"/>
  <c r="CP207"/>
  <c r="CO207"/>
  <c r="CN207"/>
  <c r="CM207"/>
  <c r="CL207"/>
  <c r="CK207"/>
  <c r="CJ207"/>
  <c r="CI207"/>
  <c r="CH207"/>
  <c r="CG207"/>
  <c r="CF207"/>
  <c r="CE207"/>
  <c r="CD207"/>
  <c r="CC207"/>
  <c r="CB207"/>
  <c r="CA207"/>
  <c r="BZ207"/>
  <c r="BY207"/>
  <c r="BX207"/>
  <c r="BW207"/>
  <c r="BV207"/>
  <c r="BU207"/>
  <c r="BT207"/>
  <c r="BS207"/>
  <c r="BR207"/>
  <c r="BQ207"/>
  <c r="BP207"/>
  <c r="BO207"/>
  <c r="BN207"/>
  <c r="BM207"/>
  <c r="BL207"/>
  <c r="BK207"/>
  <c r="BJ207"/>
  <c r="BI207"/>
  <c r="BH207"/>
  <c r="BG207"/>
  <c r="BF207"/>
  <c r="BE207"/>
  <c r="BD207"/>
  <c r="BC207"/>
  <c r="BB207"/>
  <c r="BA207"/>
  <c r="AZ207"/>
  <c r="AY207"/>
  <c r="AX207"/>
  <c r="AW207"/>
  <c r="AV207"/>
  <c r="AU207"/>
  <c r="AT207"/>
  <c r="AS207"/>
  <c r="AR207"/>
  <c r="AQ207"/>
  <c r="AP207"/>
  <c r="AO207"/>
  <c r="AN207"/>
  <c r="AM207"/>
  <c r="AL207"/>
  <c r="AK207"/>
  <c r="AJ207"/>
  <c r="AI207"/>
  <c r="AH207"/>
  <c r="AG207"/>
  <c r="AF207"/>
  <c r="AE207"/>
  <c r="AD207"/>
  <c r="AC207"/>
  <c r="AB207"/>
  <c r="AA207"/>
  <c r="Z207"/>
  <c r="Y207"/>
  <c r="X207"/>
  <c r="W207"/>
  <c r="V207"/>
  <c r="U207"/>
  <c r="T207"/>
  <c r="S207"/>
  <c r="R207"/>
  <c r="Q207"/>
  <c r="P207"/>
  <c r="O207"/>
  <c r="N207"/>
  <c r="M207"/>
  <c r="L207"/>
  <c r="K207"/>
  <c r="J207"/>
  <c r="I207"/>
  <c r="H207"/>
  <c r="G207"/>
  <c r="F207"/>
  <c r="E207"/>
  <c r="D207"/>
  <c r="C207"/>
  <c r="B207"/>
  <c r="A207"/>
  <c r="IV206"/>
  <c r="IU206"/>
  <c r="IT206"/>
  <c r="IS206"/>
  <c r="IR206"/>
  <c r="IQ206"/>
  <c r="IP206"/>
  <c r="IO206"/>
  <c r="IN206"/>
  <c r="IM206"/>
  <c r="IL206"/>
  <c r="IK206"/>
  <c r="IJ206"/>
  <c r="II206"/>
  <c r="IH206"/>
  <c r="IG206"/>
  <c r="IF206"/>
  <c r="IE206"/>
  <c r="ID206"/>
  <c r="IC206"/>
  <c r="IB206"/>
  <c r="IA206"/>
  <c r="HZ206"/>
  <c r="HY206"/>
  <c r="HX206"/>
  <c r="HW206"/>
  <c r="HV206"/>
  <c r="HU206"/>
  <c r="HT206"/>
  <c r="HS206"/>
  <c r="HR206"/>
  <c r="HQ206"/>
  <c r="HP206"/>
  <c r="HO206"/>
  <c r="HN206"/>
  <c r="HM206"/>
  <c r="HL206"/>
  <c r="HK206"/>
  <c r="HJ206"/>
  <c r="HI206"/>
  <c r="HH206"/>
  <c r="HG206"/>
  <c r="HF206"/>
  <c r="HE206"/>
  <c r="HD206"/>
  <c r="HC206"/>
  <c r="HB206"/>
  <c r="HA206"/>
  <c r="GZ206"/>
  <c r="GY206"/>
  <c r="GX206"/>
  <c r="GW206"/>
  <c r="GV206"/>
  <c r="GU206"/>
  <c r="GT206"/>
  <c r="GS206"/>
  <c r="GR206"/>
  <c r="GQ206"/>
  <c r="GP206"/>
  <c r="GO206"/>
  <c r="GN206"/>
  <c r="GM206"/>
  <c r="GL206"/>
  <c r="GK206"/>
  <c r="GJ206"/>
  <c r="GI206"/>
  <c r="GH206"/>
  <c r="GG206"/>
  <c r="GF206"/>
  <c r="GE206"/>
  <c r="GD206"/>
  <c r="GC206"/>
  <c r="GB206"/>
  <c r="GA206"/>
  <c r="FZ206"/>
  <c r="FY206"/>
  <c r="FX206"/>
  <c r="FW206"/>
  <c r="FV206"/>
  <c r="FU206"/>
  <c r="FT206"/>
  <c r="FS206"/>
  <c r="FR206"/>
  <c r="FQ206"/>
  <c r="FP206"/>
  <c r="FO206"/>
  <c r="FN206"/>
  <c r="FM206"/>
  <c r="FL206"/>
  <c r="FK206"/>
  <c r="FJ206"/>
  <c r="FI206"/>
  <c r="FH206"/>
  <c r="FG206"/>
  <c r="FF206"/>
  <c r="FE206"/>
  <c r="FD206"/>
  <c r="FC206"/>
  <c r="FB206"/>
  <c r="FA206"/>
  <c r="EZ206"/>
  <c r="EY206"/>
  <c r="EX206"/>
  <c r="EW206"/>
  <c r="EV206"/>
  <c r="EU206"/>
  <c r="ET206"/>
  <c r="ES206"/>
  <c r="ER206"/>
  <c r="EQ206"/>
  <c r="EP206"/>
  <c r="EO206"/>
  <c r="EN206"/>
  <c r="EM206"/>
  <c r="EL206"/>
  <c r="EK206"/>
  <c r="EJ206"/>
  <c r="EI206"/>
  <c r="EH206"/>
  <c r="EG206"/>
  <c r="EF206"/>
  <c r="EE206"/>
  <c r="ED206"/>
  <c r="EC206"/>
  <c r="EB206"/>
  <c r="EA206"/>
  <c r="DZ206"/>
  <c r="DY206"/>
  <c r="DX206"/>
  <c r="DW206"/>
  <c r="DV206"/>
  <c r="DU206"/>
  <c r="DT206"/>
  <c r="DS206"/>
  <c r="DR206"/>
  <c r="DQ206"/>
  <c r="DP206"/>
  <c r="DO206"/>
  <c r="DN206"/>
  <c r="DM206"/>
  <c r="DL206"/>
  <c r="DK206"/>
  <c r="DJ206"/>
  <c r="DI206"/>
  <c r="DH206"/>
  <c r="DG206"/>
  <c r="DF206"/>
  <c r="DE206"/>
  <c r="DD206"/>
  <c r="DC206"/>
  <c r="DB206"/>
  <c r="DA206"/>
  <c r="CZ206"/>
  <c r="CY206"/>
  <c r="CX206"/>
  <c r="CW206"/>
  <c r="CV206"/>
  <c r="CU206"/>
  <c r="CT206"/>
  <c r="CS206"/>
  <c r="CR206"/>
  <c r="CQ206"/>
  <c r="CP206"/>
  <c r="CO206"/>
  <c r="CN206"/>
  <c r="CM206"/>
  <c r="CL206"/>
  <c r="CK206"/>
  <c r="CJ206"/>
  <c r="CI206"/>
  <c r="CH206"/>
  <c r="CG206"/>
  <c r="CF206"/>
  <c r="CE206"/>
  <c r="CD206"/>
  <c r="CC206"/>
  <c r="CB206"/>
  <c r="CA206"/>
  <c r="BZ206"/>
  <c r="BY206"/>
  <c r="BX206"/>
  <c r="BW206"/>
  <c r="BV206"/>
  <c r="BU206"/>
  <c r="BT206"/>
  <c r="BS206"/>
  <c r="BR206"/>
  <c r="BQ206"/>
  <c r="BP206"/>
  <c r="BO206"/>
  <c r="BN206"/>
  <c r="BM206"/>
  <c r="BL206"/>
  <c r="BK206"/>
  <c r="BJ206"/>
  <c r="BI206"/>
  <c r="BH206"/>
  <c r="BG206"/>
  <c r="BF206"/>
  <c r="BE206"/>
  <c r="BD206"/>
  <c r="BC206"/>
  <c r="BB206"/>
  <c r="BA206"/>
  <c r="AZ206"/>
  <c r="AY206"/>
  <c r="AX206"/>
  <c r="AW206"/>
  <c r="AV206"/>
  <c r="AU206"/>
  <c r="AT206"/>
  <c r="AS206"/>
  <c r="AR206"/>
  <c r="AQ206"/>
  <c r="AP206"/>
  <c r="AO206"/>
  <c r="AN206"/>
  <c r="AM206"/>
  <c r="AL206"/>
  <c r="AK206"/>
  <c r="AJ206"/>
  <c r="AI206"/>
  <c r="AH206"/>
  <c r="AG206"/>
  <c r="AF206"/>
  <c r="AE206"/>
  <c r="AD206"/>
  <c r="AC206"/>
  <c r="AB206"/>
  <c r="AA206"/>
  <c r="Z206"/>
  <c r="Y206"/>
  <c r="X206"/>
  <c r="W206"/>
  <c r="V206"/>
  <c r="U206"/>
  <c r="T206"/>
  <c r="S206"/>
  <c r="R206"/>
  <c r="Q206"/>
  <c r="P206"/>
  <c r="O206"/>
  <c r="N206"/>
  <c r="M206"/>
  <c r="L206"/>
  <c r="K206"/>
  <c r="J206"/>
  <c r="I206"/>
  <c r="H206"/>
  <c r="G206"/>
  <c r="F206"/>
  <c r="E206"/>
  <c r="D206"/>
  <c r="C206"/>
  <c r="B206"/>
  <c r="A206"/>
  <c r="IV205"/>
  <c r="IU205"/>
  <c r="IT205"/>
  <c r="IS205"/>
  <c r="IR205"/>
  <c r="IQ205"/>
  <c r="IP205"/>
  <c r="IO205"/>
  <c r="IN205"/>
  <c r="IM205"/>
  <c r="IL205"/>
  <c r="IK205"/>
  <c r="IJ205"/>
  <c r="II205"/>
  <c r="IH205"/>
  <c r="IG205"/>
  <c r="IF205"/>
  <c r="IE205"/>
  <c r="ID205"/>
  <c r="IC205"/>
  <c r="IB205"/>
  <c r="IA205"/>
  <c r="HZ205"/>
  <c r="HY205"/>
  <c r="HX205"/>
  <c r="HW205"/>
  <c r="HV205"/>
  <c r="HU205"/>
  <c r="HT205"/>
  <c r="HS205"/>
  <c r="HR205"/>
  <c r="HQ205"/>
  <c r="HP205"/>
  <c r="HO205"/>
  <c r="HN205"/>
  <c r="HM205"/>
  <c r="HL205"/>
  <c r="HK205"/>
  <c r="HJ205"/>
  <c r="HI205"/>
  <c r="HH205"/>
  <c r="HG205"/>
  <c r="HF205"/>
  <c r="HE205"/>
  <c r="HD205"/>
  <c r="HC205"/>
  <c r="HB205"/>
  <c r="HA205"/>
  <c r="GZ205"/>
  <c r="GY205"/>
  <c r="GX205"/>
  <c r="GW205"/>
  <c r="GV205"/>
  <c r="GU205"/>
  <c r="GT205"/>
  <c r="GS205"/>
  <c r="GR205"/>
  <c r="GQ205"/>
  <c r="GP205"/>
  <c r="GO205"/>
  <c r="GN205"/>
  <c r="GM205"/>
  <c r="GL205"/>
  <c r="GK205"/>
  <c r="GJ205"/>
  <c r="GI205"/>
  <c r="GH205"/>
  <c r="GG205"/>
  <c r="GF205"/>
  <c r="GE205"/>
  <c r="GD205"/>
  <c r="GC205"/>
  <c r="GB205"/>
  <c r="GA205"/>
  <c r="FZ205"/>
  <c r="FY205"/>
  <c r="FX205"/>
  <c r="FW205"/>
  <c r="FV205"/>
  <c r="FU205"/>
  <c r="FT205"/>
  <c r="FS205"/>
  <c r="FR205"/>
  <c r="FQ205"/>
  <c r="FP205"/>
  <c r="FO205"/>
  <c r="FN205"/>
  <c r="FM205"/>
  <c r="FL205"/>
  <c r="FK205"/>
  <c r="FJ205"/>
  <c r="FI205"/>
  <c r="FH205"/>
  <c r="FG205"/>
  <c r="FF205"/>
  <c r="FE205"/>
  <c r="FD205"/>
  <c r="FC205"/>
  <c r="FB205"/>
  <c r="FA205"/>
  <c r="EZ205"/>
  <c r="EY205"/>
  <c r="EX205"/>
  <c r="EW205"/>
  <c r="EV205"/>
  <c r="EU205"/>
  <c r="ET205"/>
  <c r="ES205"/>
  <c r="ER205"/>
  <c r="EQ205"/>
  <c r="EP205"/>
  <c r="EO205"/>
  <c r="EN205"/>
  <c r="EM205"/>
  <c r="EL205"/>
  <c r="EK205"/>
  <c r="EJ205"/>
  <c r="EI205"/>
  <c r="EH205"/>
  <c r="EG205"/>
  <c r="EF205"/>
  <c r="EE205"/>
  <c r="ED205"/>
  <c r="EC205"/>
  <c r="EB205"/>
  <c r="EA205"/>
  <c r="DZ205"/>
  <c r="DY205"/>
  <c r="DX205"/>
  <c r="DW205"/>
  <c r="DV205"/>
  <c r="DU205"/>
  <c r="DT205"/>
  <c r="DS205"/>
  <c r="DR205"/>
  <c r="DQ205"/>
  <c r="DP205"/>
  <c r="DO205"/>
  <c r="DN205"/>
  <c r="DM205"/>
  <c r="DL205"/>
  <c r="DK205"/>
  <c r="DJ205"/>
  <c r="DI205"/>
  <c r="DH205"/>
  <c r="DG205"/>
  <c r="DF205"/>
  <c r="DE205"/>
  <c r="DD205"/>
  <c r="DC205"/>
  <c r="DB205"/>
  <c r="DA205"/>
  <c r="CZ205"/>
  <c r="CY205"/>
  <c r="CX205"/>
  <c r="CW205"/>
  <c r="CV205"/>
  <c r="CU205"/>
  <c r="CT205"/>
  <c r="CS205"/>
  <c r="CR205"/>
  <c r="CQ205"/>
  <c r="CP205"/>
  <c r="CO205"/>
  <c r="CN205"/>
  <c r="CM205"/>
  <c r="CL205"/>
  <c r="CK205"/>
  <c r="CJ205"/>
  <c r="CI205"/>
  <c r="CH205"/>
  <c r="CG205"/>
  <c r="CF205"/>
  <c r="CE205"/>
  <c r="CD205"/>
  <c r="CC205"/>
  <c r="CB205"/>
  <c r="CA205"/>
  <c r="BZ205"/>
  <c r="BY205"/>
  <c r="BX205"/>
  <c r="BW205"/>
  <c r="BV205"/>
  <c r="BU205"/>
  <c r="BT205"/>
  <c r="BS205"/>
  <c r="BR205"/>
  <c r="BQ205"/>
  <c r="BP205"/>
  <c r="BO205"/>
  <c r="BN205"/>
  <c r="BM205"/>
  <c r="BL205"/>
  <c r="BK205"/>
  <c r="BJ205"/>
  <c r="BI205"/>
  <c r="BH205"/>
  <c r="BG205"/>
  <c r="BF205"/>
  <c r="BE205"/>
  <c r="BD205"/>
  <c r="BC205"/>
  <c r="BB205"/>
  <c r="BA205"/>
  <c r="AZ205"/>
  <c r="AY205"/>
  <c r="AX205"/>
  <c r="AW205"/>
  <c r="AV205"/>
  <c r="AU205"/>
  <c r="AT205"/>
  <c r="AS205"/>
  <c r="AR205"/>
  <c r="AQ205"/>
  <c r="AP205"/>
  <c r="AO205"/>
  <c r="AN205"/>
  <c r="AM205"/>
  <c r="AL205"/>
  <c r="AK205"/>
  <c r="AJ205"/>
  <c r="AI205"/>
  <c r="AH205"/>
  <c r="AG205"/>
  <c r="AF205"/>
  <c r="AE205"/>
  <c r="AD205"/>
  <c r="AC205"/>
  <c r="AB205"/>
  <c r="AA205"/>
  <c r="Z205"/>
  <c r="Y205"/>
  <c r="X205"/>
  <c r="W205"/>
  <c r="V205"/>
  <c r="U205"/>
  <c r="T205"/>
  <c r="S205"/>
  <c r="R205"/>
  <c r="Q205"/>
  <c r="P205"/>
  <c r="O205"/>
  <c r="N205"/>
  <c r="M205"/>
  <c r="L205"/>
  <c r="K205"/>
  <c r="J205"/>
  <c r="I205"/>
  <c r="H205"/>
  <c r="G205"/>
  <c r="F205"/>
  <c r="E205"/>
  <c r="D205"/>
  <c r="C205"/>
  <c r="B205"/>
  <c r="A205"/>
  <c r="IV204"/>
  <c r="IU204"/>
  <c r="IT204"/>
  <c r="IS204"/>
  <c r="IR204"/>
  <c r="IQ204"/>
  <c r="IP204"/>
  <c r="IO204"/>
  <c r="IN204"/>
  <c r="IM204"/>
  <c r="IL204"/>
  <c r="IK204"/>
  <c r="IJ204"/>
  <c r="II204"/>
  <c r="IH204"/>
  <c r="IG204"/>
  <c r="IF204"/>
  <c r="IE204"/>
  <c r="ID204"/>
  <c r="IC204"/>
  <c r="IB204"/>
  <c r="IA204"/>
  <c r="HZ204"/>
  <c r="HY204"/>
  <c r="HX204"/>
  <c r="HW204"/>
  <c r="HV204"/>
  <c r="HU204"/>
  <c r="HT204"/>
  <c r="HS204"/>
  <c r="HR204"/>
  <c r="HQ204"/>
  <c r="HP204"/>
  <c r="HO204"/>
  <c r="HN204"/>
  <c r="HM204"/>
  <c r="HL204"/>
  <c r="HK204"/>
  <c r="HJ204"/>
  <c r="HI204"/>
  <c r="HH204"/>
  <c r="HG204"/>
  <c r="HF204"/>
  <c r="HE204"/>
  <c r="HD204"/>
  <c r="HC204"/>
  <c r="HB204"/>
  <c r="HA204"/>
  <c r="GZ204"/>
  <c r="GY204"/>
  <c r="GX204"/>
  <c r="GW204"/>
  <c r="GV204"/>
  <c r="GU204"/>
  <c r="GT204"/>
  <c r="GS204"/>
  <c r="GR204"/>
  <c r="GQ204"/>
  <c r="GP204"/>
  <c r="GO204"/>
  <c r="GN204"/>
  <c r="GM204"/>
  <c r="GL204"/>
  <c r="GK204"/>
  <c r="GJ204"/>
  <c r="GI204"/>
  <c r="GH204"/>
  <c r="GG204"/>
  <c r="GF204"/>
  <c r="GE204"/>
  <c r="GD204"/>
  <c r="GC204"/>
  <c r="GB204"/>
  <c r="GA204"/>
  <c r="FZ204"/>
  <c r="FY204"/>
  <c r="FX204"/>
  <c r="FW204"/>
  <c r="FV204"/>
  <c r="FU204"/>
  <c r="FT204"/>
  <c r="FS204"/>
  <c r="FR204"/>
  <c r="FQ204"/>
  <c r="FP204"/>
  <c r="FO204"/>
  <c r="FN204"/>
  <c r="FM204"/>
  <c r="FL204"/>
  <c r="FK204"/>
  <c r="FJ204"/>
  <c r="FI204"/>
  <c r="FH204"/>
  <c r="FG204"/>
  <c r="FF204"/>
  <c r="FE204"/>
  <c r="FD204"/>
  <c r="FC204"/>
  <c r="FB204"/>
  <c r="FA204"/>
  <c r="EZ204"/>
  <c r="EY204"/>
  <c r="EX204"/>
  <c r="EW204"/>
  <c r="EV204"/>
  <c r="EU204"/>
  <c r="ET204"/>
  <c r="ES204"/>
  <c r="ER204"/>
  <c r="EQ204"/>
  <c r="EP204"/>
  <c r="EO204"/>
  <c r="EN204"/>
  <c r="EM204"/>
  <c r="EL204"/>
  <c r="EK204"/>
  <c r="EJ204"/>
  <c r="EI204"/>
  <c r="EH204"/>
  <c r="EG204"/>
  <c r="EF204"/>
  <c r="EE204"/>
  <c r="ED204"/>
  <c r="EC204"/>
  <c r="EB204"/>
  <c r="EA204"/>
  <c r="DZ204"/>
  <c r="DY204"/>
  <c r="DX204"/>
  <c r="DW204"/>
  <c r="DV204"/>
  <c r="DU204"/>
  <c r="DT204"/>
  <c r="DS204"/>
  <c r="DR204"/>
  <c r="DQ204"/>
  <c r="DP204"/>
  <c r="DO204"/>
  <c r="DN204"/>
  <c r="DM204"/>
  <c r="DL204"/>
  <c r="DK204"/>
  <c r="DJ204"/>
  <c r="DI204"/>
  <c r="DH204"/>
  <c r="DG204"/>
  <c r="DF204"/>
  <c r="DE204"/>
  <c r="DD204"/>
  <c r="DC204"/>
  <c r="DB204"/>
  <c r="DA204"/>
  <c r="CZ204"/>
  <c r="CY204"/>
  <c r="CX204"/>
  <c r="CW204"/>
  <c r="CV204"/>
  <c r="CU204"/>
  <c r="CT204"/>
  <c r="CS204"/>
  <c r="CR204"/>
  <c r="CQ204"/>
  <c r="CP204"/>
  <c r="CO204"/>
  <c r="CN204"/>
  <c r="CM204"/>
  <c r="CL204"/>
  <c r="CK204"/>
  <c r="CJ204"/>
  <c r="CI204"/>
  <c r="CH204"/>
  <c r="CG204"/>
  <c r="CF204"/>
  <c r="CE204"/>
  <c r="CD204"/>
  <c r="CC204"/>
  <c r="CB204"/>
  <c r="CA204"/>
  <c r="BZ204"/>
  <c r="BY204"/>
  <c r="BX204"/>
  <c r="BW204"/>
  <c r="BV204"/>
  <c r="BU204"/>
  <c r="BT204"/>
  <c r="BS204"/>
  <c r="BR204"/>
  <c r="BQ204"/>
  <c r="BP204"/>
  <c r="BO204"/>
  <c r="BN204"/>
  <c r="BM204"/>
  <c r="BL204"/>
  <c r="BK204"/>
  <c r="BJ204"/>
  <c r="BI204"/>
  <c r="BH204"/>
  <c r="BG204"/>
  <c r="BF204"/>
  <c r="BE204"/>
  <c r="BD204"/>
  <c r="BC204"/>
  <c r="BB204"/>
  <c r="BA204"/>
  <c r="AZ204"/>
  <c r="AY204"/>
  <c r="AX204"/>
  <c r="AW204"/>
  <c r="AV204"/>
  <c r="AU204"/>
  <c r="AT204"/>
  <c r="AS204"/>
  <c r="AR204"/>
  <c r="AQ204"/>
  <c r="AP204"/>
  <c r="AO204"/>
  <c r="AN204"/>
  <c r="AM204"/>
  <c r="AL204"/>
  <c r="AK204"/>
  <c r="AJ204"/>
  <c r="AI204"/>
  <c r="AH204"/>
  <c r="AG204"/>
  <c r="AF204"/>
  <c r="AE204"/>
  <c r="AD204"/>
  <c r="AC204"/>
  <c r="AB204"/>
  <c r="AA204"/>
  <c r="Z204"/>
  <c r="Y204"/>
  <c r="X204"/>
  <c r="W204"/>
  <c r="V204"/>
  <c r="U204"/>
  <c r="T204"/>
  <c r="S204"/>
  <c r="R204"/>
  <c r="Q204"/>
  <c r="P204"/>
  <c r="O204"/>
  <c r="N204"/>
  <c r="M204"/>
  <c r="L204"/>
  <c r="K204"/>
  <c r="J204"/>
  <c r="I204"/>
  <c r="H204"/>
  <c r="G204"/>
  <c r="F204"/>
  <c r="E204"/>
  <c r="D204"/>
  <c r="C204"/>
  <c r="B204"/>
  <c r="A204"/>
  <c r="IV203"/>
  <c r="IU203"/>
  <c r="IT203"/>
  <c r="IS203"/>
  <c r="IR203"/>
  <c r="IQ203"/>
  <c r="IP203"/>
  <c r="IO203"/>
  <c r="IN203"/>
  <c r="IM203"/>
  <c r="IL203"/>
  <c r="IK203"/>
  <c r="IJ203"/>
  <c r="II203"/>
  <c r="IH203"/>
  <c r="IG203"/>
  <c r="IF203"/>
  <c r="IE203"/>
  <c r="ID203"/>
  <c r="IC203"/>
  <c r="IB203"/>
  <c r="IA203"/>
  <c r="HZ203"/>
  <c r="HY203"/>
  <c r="HX203"/>
  <c r="HW203"/>
  <c r="HV203"/>
  <c r="HU203"/>
  <c r="HT203"/>
  <c r="HS203"/>
  <c r="HR203"/>
  <c r="HQ203"/>
  <c r="HP203"/>
  <c r="HO203"/>
  <c r="HN203"/>
  <c r="HM203"/>
  <c r="HL203"/>
  <c r="HK203"/>
  <c r="HJ203"/>
  <c r="HI203"/>
  <c r="HH203"/>
  <c r="HG203"/>
  <c r="HF203"/>
  <c r="HE203"/>
  <c r="HD203"/>
  <c r="HC203"/>
  <c r="HB203"/>
  <c r="HA203"/>
  <c r="GZ203"/>
  <c r="GY203"/>
  <c r="GX203"/>
  <c r="GW203"/>
  <c r="GV203"/>
  <c r="GU203"/>
  <c r="GT203"/>
  <c r="GS203"/>
  <c r="GR203"/>
  <c r="GQ203"/>
  <c r="GP203"/>
  <c r="GO203"/>
  <c r="GN203"/>
  <c r="GM203"/>
  <c r="GL203"/>
  <c r="GK203"/>
  <c r="GJ203"/>
  <c r="GI203"/>
  <c r="GH203"/>
  <c r="GG203"/>
  <c r="GF203"/>
  <c r="GE203"/>
  <c r="GD203"/>
  <c r="GC203"/>
  <c r="GB203"/>
  <c r="GA203"/>
  <c r="FZ203"/>
  <c r="FY203"/>
  <c r="FX203"/>
  <c r="FW203"/>
  <c r="FV203"/>
  <c r="FU203"/>
  <c r="FT203"/>
  <c r="FS203"/>
  <c r="FR203"/>
  <c r="FQ203"/>
  <c r="FP203"/>
  <c r="FO203"/>
  <c r="FN203"/>
  <c r="FM203"/>
  <c r="FL203"/>
  <c r="FK203"/>
  <c r="FJ203"/>
  <c r="FI203"/>
  <c r="FH203"/>
  <c r="FG203"/>
  <c r="FF203"/>
  <c r="FE203"/>
  <c r="FD203"/>
  <c r="FC203"/>
  <c r="FB203"/>
  <c r="FA203"/>
  <c r="EZ203"/>
  <c r="EY203"/>
  <c r="EX203"/>
  <c r="EW203"/>
  <c r="EV203"/>
  <c r="EU203"/>
  <c r="ET203"/>
  <c r="ES203"/>
  <c r="ER203"/>
  <c r="EQ203"/>
  <c r="EP203"/>
  <c r="EO203"/>
  <c r="EN203"/>
  <c r="EM203"/>
  <c r="EL203"/>
  <c r="EK203"/>
  <c r="EJ203"/>
  <c r="EI203"/>
  <c r="EH203"/>
  <c r="EG203"/>
  <c r="EF203"/>
  <c r="EE203"/>
  <c r="ED203"/>
  <c r="EC203"/>
  <c r="EB203"/>
  <c r="EA203"/>
  <c r="DZ203"/>
  <c r="DY203"/>
  <c r="DX203"/>
  <c r="DW203"/>
  <c r="DV203"/>
  <c r="DU203"/>
  <c r="DT203"/>
  <c r="DS203"/>
  <c r="DR203"/>
  <c r="DQ203"/>
  <c r="DP203"/>
  <c r="DO203"/>
  <c r="DN203"/>
  <c r="DM203"/>
  <c r="DL203"/>
  <c r="DK203"/>
  <c r="DJ203"/>
  <c r="DI203"/>
  <c r="DH203"/>
  <c r="DG203"/>
  <c r="DF203"/>
  <c r="DE203"/>
  <c r="DD203"/>
  <c r="DC203"/>
  <c r="DB203"/>
  <c r="DA203"/>
  <c r="CZ203"/>
  <c r="CY203"/>
  <c r="CX203"/>
  <c r="CW203"/>
  <c r="CV203"/>
  <c r="CU203"/>
  <c r="CT203"/>
  <c r="CS203"/>
  <c r="CR203"/>
  <c r="CQ203"/>
  <c r="CP203"/>
  <c r="CO203"/>
  <c r="CN203"/>
  <c r="CM203"/>
  <c r="CL203"/>
  <c r="CK203"/>
  <c r="CJ203"/>
  <c r="CI203"/>
  <c r="CH203"/>
  <c r="CG203"/>
  <c r="CF203"/>
  <c r="CE203"/>
  <c r="CD203"/>
  <c r="CC203"/>
  <c r="CB203"/>
  <c r="CA203"/>
  <c r="BZ203"/>
  <c r="BY203"/>
  <c r="BX203"/>
  <c r="BW203"/>
  <c r="BV203"/>
  <c r="BU203"/>
  <c r="BT203"/>
  <c r="BS203"/>
  <c r="BR203"/>
  <c r="BQ203"/>
  <c r="BP203"/>
  <c r="BO203"/>
  <c r="BN203"/>
  <c r="BM203"/>
  <c r="BL203"/>
  <c r="BK203"/>
  <c r="BJ203"/>
  <c r="BI203"/>
  <c r="BH203"/>
  <c r="BG203"/>
  <c r="BF203"/>
  <c r="BE203"/>
  <c r="BD203"/>
  <c r="BC203"/>
  <c r="BB203"/>
  <c r="BA203"/>
  <c r="AZ203"/>
  <c r="AY203"/>
  <c r="AX203"/>
  <c r="AW203"/>
  <c r="AV203"/>
  <c r="AU203"/>
  <c r="AT203"/>
  <c r="AS203"/>
  <c r="AR203"/>
  <c r="AQ203"/>
  <c r="AP203"/>
  <c r="AO203"/>
  <c r="AN203"/>
  <c r="AM203"/>
  <c r="AL203"/>
  <c r="AK203"/>
  <c r="AJ203"/>
  <c r="AI203"/>
  <c r="AH203"/>
  <c r="AG203"/>
  <c r="AF203"/>
  <c r="AE203"/>
  <c r="AD203"/>
  <c r="AC203"/>
  <c r="AB203"/>
  <c r="AA203"/>
  <c r="Z203"/>
  <c r="Y203"/>
  <c r="X203"/>
  <c r="W203"/>
  <c r="V203"/>
  <c r="U203"/>
  <c r="T203"/>
  <c r="S203"/>
  <c r="R203"/>
  <c r="Q203"/>
  <c r="P203"/>
  <c r="O203"/>
  <c r="N203"/>
  <c r="M203"/>
  <c r="L203"/>
  <c r="K203"/>
  <c r="J203"/>
  <c r="I203"/>
  <c r="H203"/>
  <c r="G203"/>
  <c r="F203"/>
  <c r="E203"/>
  <c r="D203"/>
  <c r="C203"/>
  <c r="B203"/>
  <c r="A203"/>
  <c r="IV202"/>
  <c r="IU202"/>
  <c r="IT202"/>
  <c r="IS202"/>
  <c r="IR202"/>
  <c r="IQ202"/>
  <c r="IP202"/>
  <c r="IO202"/>
  <c r="IN202"/>
  <c r="IM202"/>
  <c r="IL202"/>
  <c r="IK202"/>
  <c r="IJ202"/>
  <c r="II202"/>
  <c r="IH202"/>
  <c r="IG202"/>
  <c r="IF202"/>
  <c r="IE202"/>
  <c r="ID202"/>
  <c r="IC202"/>
  <c r="IB202"/>
  <c r="IA202"/>
  <c r="HZ202"/>
  <c r="HY202"/>
  <c r="HX202"/>
  <c r="HW202"/>
  <c r="HV202"/>
  <c r="HU202"/>
  <c r="HT202"/>
  <c r="HS202"/>
  <c r="HR202"/>
  <c r="HQ202"/>
  <c r="HP202"/>
  <c r="HO202"/>
  <c r="HN202"/>
  <c r="HM202"/>
  <c r="HL202"/>
  <c r="HK202"/>
  <c r="HJ202"/>
  <c r="HI202"/>
  <c r="HH202"/>
  <c r="HG202"/>
  <c r="HF202"/>
  <c r="HE202"/>
  <c r="HD202"/>
  <c r="HC202"/>
  <c r="HB202"/>
  <c r="HA202"/>
  <c r="GZ202"/>
  <c r="GY202"/>
  <c r="GX202"/>
  <c r="GW202"/>
  <c r="GV202"/>
  <c r="GU202"/>
  <c r="GT202"/>
  <c r="GS202"/>
  <c r="GR202"/>
  <c r="GQ202"/>
  <c r="GP202"/>
  <c r="GO202"/>
  <c r="GN202"/>
  <c r="GM202"/>
  <c r="GL202"/>
  <c r="GK202"/>
  <c r="GJ202"/>
  <c r="GI202"/>
  <c r="GH202"/>
  <c r="GG202"/>
  <c r="GF202"/>
  <c r="GE202"/>
  <c r="GD202"/>
  <c r="GC202"/>
  <c r="GB202"/>
  <c r="GA202"/>
  <c r="FZ202"/>
  <c r="FY202"/>
  <c r="FX202"/>
  <c r="FW202"/>
  <c r="FV202"/>
  <c r="FU202"/>
  <c r="FT202"/>
  <c r="FS202"/>
  <c r="FR202"/>
  <c r="FQ202"/>
  <c r="FP202"/>
  <c r="FO202"/>
  <c r="FN202"/>
  <c r="FM202"/>
  <c r="FL202"/>
  <c r="FK202"/>
  <c r="FJ202"/>
  <c r="FI202"/>
  <c r="FH202"/>
  <c r="FG202"/>
  <c r="FF202"/>
  <c r="FE202"/>
  <c r="FD202"/>
  <c r="FC202"/>
  <c r="FB202"/>
  <c r="FA202"/>
  <c r="EZ202"/>
  <c r="EY202"/>
  <c r="EX202"/>
  <c r="EW202"/>
  <c r="EV202"/>
  <c r="EU202"/>
  <c r="ET202"/>
  <c r="ES202"/>
  <c r="ER202"/>
  <c r="EQ202"/>
  <c r="EP202"/>
  <c r="EO202"/>
  <c r="EN202"/>
  <c r="EM202"/>
  <c r="EL202"/>
  <c r="EK202"/>
  <c r="EJ202"/>
  <c r="EI202"/>
  <c r="EH202"/>
  <c r="EG202"/>
  <c r="EF202"/>
  <c r="EE202"/>
  <c r="ED202"/>
  <c r="EC202"/>
  <c r="EB202"/>
  <c r="EA202"/>
  <c r="DZ202"/>
  <c r="DY202"/>
  <c r="DX202"/>
  <c r="DW202"/>
  <c r="DV202"/>
  <c r="DU202"/>
  <c r="DT202"/>
  <c r="DS202"/>
  <c r="DR202"/>
  <c r="DQ202"/>
  <c r="DP202"/>
  <c r="DO202"/>
  <c r="DN202"/>
  <c r="DM202"/>
  <c r="DL202"/>
  <c r="DK202"/>
  <c r="DJ202"/>
  <c r="DI202"/>
  <c r="DH202"/>
  <c r="DG202"/>
  <c r="DF202"/>
  <c r="DE202"/>
  <c r="DD202"/>
  <c r="DC202"/>
  <c r="DB202"/>
  <c r="DA202"/>
  <c r="CZ202"/>
  <c r="CY202"/>
  <c r="CX202"/>
  <c r="CW202"/>
  <c r="CV202"/>
  <c r="CU202"/>
  <c r="CT202"/>
  <c r="CS202"/>
  <c r="CR202"/>
  <c r="CQ202"/>
  <c r="CP202"/>
  <c r="CO202"/>
  <c r="CN202"/>
  <c r="CM202"/>
  <c r="CL202"/>
  <c r="CK202"/>
  <c r="CJ202"/>
  <c r="CI202"/>
  <c r="CH202"/>
  <c r="CG202"/>
  <c r="CF202"/>
  <c r="CE202"/>
  <c r="CD202"/>
  <c r="CC202"/>
  <c r="CB202"/>
  <c r="CA202"/>
  <c r="BZ202"/>
  <c r="BY202"/>
  <c r="BX202"/>
  <c r="BW202"/>
  <c r="BV202"/>
  <c r="BU202"/>
  <c r="BT202"/>
  <c r="BS202"/>
  <c r="BR202"/>
  <c r="BQ202"/>
  <c r="BP202"/>
  <c r="BO202"/>
  <c r="BN202"/>
  <c r="BM202"/>
  <c r="BL202"/>
  <c r="BK202"/>
  <c r="BJ202"/>
  <c r="BI202"/>
  <c r="BH202"/>
  <c r="BG202"/>
  <c r="BF202"/>
  <c r="BE202"/>
  <c r="BD202"/>
  <c r="BC202"/>
  <c r="BB202"/>
  <c r="BA202"/>
  <c r="AZ202"/>
  <c r="AY202"/>
  <c r="AX202"/>
  <c r="AW202"/>
  <c r="AV202"/>
  <c r="AU202"/>
  <c r="AT202"/>
  <c r="AS202"/>
  <c r="AR202"/>
  <c r="AQ202"/>
  <c r="AP202"/>
  <c r="AO202"/>
  <c r="AN202"/>
  <c r="AM202"/>
  <c r="AL202"/>
  <c r="AK202"/>
  <c r="AJ202"/>
  <c r="AI202"/>
  <c r="AH202"/>
  <c r="AG202"/>
  <c r="AF202"/>
  <c r="AE202"/>
  <c r="AD202"/>
  <c r="AC202"/>
  <c r="AB202"/>
  <c r="AA202"/>
  <c r="Z202"/>
  <c r="Y202"/>
  <c r="X202"/>
  <c r="W202"/>
  <c r="V202"/>
  <c r="U202"/>
  <c r="T202"/>
  <c r="S202"/>
  <c r="R202"/>
  <c r="Q202"/>
  <c r="P202"/>
  <c r="O202"/>
  <c r="N202"/>
  <c r="M202"/>
  <c r="L202"/>
  <c r="K202"/>
  <c r="J202"/>
  <c r="I202"/>
  <c r="H202"/>
  <c r="G202"/>
  <c r="F202"/>
  <c r="E202"/>
  <c r="D202"/>
  <c r="C202"/>
  <c r="B202"/>
  <c r="A202"/>
  <c r="IV201"/>
  <c r="IU201"/>
  <c r="IT201"/>
  <c r="IS201"/>
  <c r="IR201"/>
  <c r="IQ201"/>
  <c r="IP201"/>
  <c r="IO201"/>
  <c r="IN201"/>
  <c r="IM201"/>
  <c r="IL201"/>
  <c r="IK201"/>
  <c r="IJ201"/>
  <c r="II201"/>
  <c r="IH201"/>
  <c r="IG201"/>
  <c r="IF201"/>
  <c r="IE201"/>
  <c r="ID201"/>
  <c r="IC201"/>
  <c r="IB201"/>
  <c r="IA201"/>
  <c r="HZ201"/>
  <c r="HY201"/>
  <c r="HX201"/>
  <c r="HW201"/>
  <c r="HV201"/>
  <c r="HU201"/>
  <c r="HT201"/>
  <c r="HS201"/>
  <c r="HR201"/>
  <c r="HQ201"/>
  <c r="HP201"/>
  <c r="HO201"/>
  <c r="HN201"/>
  <c r="HM201"/>
  <c r="HL201"/>
  <c r="HK201"/>
  <c r="HJ201"/>
  <c r="HI201"/>
  <c r="HH201"/>
  <c r="HG201"/>
  <c r="HF201"/>
  <c r="HE201"/>
  <c r="HD201"/>
  <c r="HC201"/>
  <c r="HB201"/>
  <c r="HA201"/>
  <c r="GZ201"/>
  <c r="GY201"/>
  <c r="GX201"/>
  <c r="GW201"/>
  <c r="GV201"/>
  <c r="GU201"/>
  <c r="GT201"/>
  <c r="GS201"/>
  <c r="GR201"/>
  <c r="GQ201"/>
  <c r="GP201"/>
  <c r="GO201"/>
  <c r="GN201"/>
  <c r="GM201"/>
  <c r="GL201"/>
  <c r="GK201"/>
  <c r="GJ201"/>
  <c r="GI201"/>
  <c r="GH201"/>
  <c r="GG201"/>
  <c r="GF201"/>
  <c r="GE201"/>
  <c r="GD201"/>
  <c r="GC201"/>
  <c r="GB201"/>
  <c r="GA201"/>
  <c r="FZ201"/>
  <c r="FY201"/>
  <c r="FX201"/>
  <c r="FW201"/>
  <c r="FV201"/>
  <c r="FU201"/>
  <c r="FT201"/>
  <c r="FS201"/>
  <c r="FR201"/>
  <c r="FQ201"/>
  <c r="FP201"/>
  <c r="FO201"/>
  <c r="FN201"/>
  <c r="FM201"/>
  <c r="FL201"/>
  <c r="FK201"/>
  <c r="FJ201"/>
  <c r="FI201"/>
  <c r="FH201"/>
  <c r="FG201"/>
  <c r="FF201"/>
  <c r="FE201"/>
  <c r="FD201"/>
  <c r="FC201"/>
  <c r="FB201"/>
  <c r="FA201"/>
  <c r="EZ201"/>
  <c r="EY201"/>
  <c r="EX201"/>
  <c r="EW201"/>
  <c r="EV201"/>
  <c r="EU201"/>
  <c r="ET201"/>
  <c r="ES201"/>
  <c r="ER201"/>
  <c r="EQ201"/>
  <c r="EP201"/>
  <c r="EO201"/>
  <c r="EN201"/>
  <c r="EM201"/>
  <c r="EL201"/>
  <c r="EK201"/>
  <c r="EJ201"/>
  <c r="EI201"/>
  <c r="EH201"/>
  <c r="EG201"/>
  <c r="EF201"/>
  <c r="EE201"/>
  <c r="ED201"/>
  <c r="EC201"/>
  <c r="EB201"/>
  <c r="EA201"/>
  <c r="DZ201"/>
  <c r="DY201"/>
  <c r="DX201"/>
  <c r="DW201"/>
  <c r="DV201"/>
  <c r="DU201"/>
  <c r="DT201"/>
  <c r="DS201"/>
  <c r="DR201"/>
  <c r="DQ201"/>
  <c r="DP201"/>
  <c r="DO201"/>
  <c r="DN201"/>
  <c r="DM201"/>
  <c r="DL201"/>
  <c r="DK201"/>
  <c r="DJ201"/>
  <c r="DI201"/>
  <c r="DH201"/>
  <c r="DG201"/>
  <c r="DF201"/>
  <c r="DE201"/>
  <c r="DD201"/>
  <c r="DC201"/>
  <c r="DB201"/>
  <c r="DA201"/>
  <c r="CZ201"/>
  <c r="CY201"/>
  <c r="CX201"/>
  <c r="CW201"/>
  <c r="CV201"/>
  <c r="CU201"/>
  <c r="CT201"/>
  <c r="CS201"/>
  <c r="CR201"/>
  <c r="CQ201"/>
  <c r="CP201"/>
  <c r="CO201"/>
  <c r="CN201"/>
  <c r="CM201"/>
  <c r="CL201"/>
  <c r="CK201"/>
  <c r="CJ201"/>
  <c r="CI201"/>
  <c r="CH201"/>
  <c r="CG201"/>
  <c r="CF201"/>
  <c r="CE201"/>
  <c r="CD201"/>
  <c r="CC201"/>
  <c r="CB201"/>
  <c r="CA201"/>
  <c r="BZ201"/>
  <c r="BY201"/>
  <c r="BX201"/>
  <c r="BW201"/>
  <c r="BV201"/>
  <c r="BU201"/>
  <c r="BT201"/>
  <c r="BS201"/>
  <c r="BR201"/>
  <c r="BQ201"/>
  <c r="BP201"/>
  <c r="BO201"/>
  <c r="BN201"/>
  <c r="BM201"/>
  <c r="BL201"/>
  <c r="BK201"/>
  <c r="BJ201"/>
  <c r="BI201"/>
  <c r="BH201"/>
  <c r="BG201"/>
  <c r="BF201"/>
  <c r="BE201"/>
  <c r="BD201"/>
  <c r="BC201"/>
  <c r="BB201"/>
  <c r="BA201"/>
  <c r="AZ201"/>
  <c r="AY201"/>
  <c r="AX201"/>
  <c r="AW201"/>
  <c r="AV201"/>
  <c r="AU201"/>
  <c r="AT201"/>
  <c r="AS201"/>
  <c r="AR201"/>
  <c r="AQ201"/>
  <c r="AP201"/>
  <c r="AO201"/>
  <c r="AN201"/>
  <c r="AM201"/>
  <c r="AL201"/>
  <c r="AK201"/>
  <c r="AJ201"/>
  <c r="AI201"/>
  <c r="AH201"/>
  <c r="AG201"/>
  <c r="AF201"/>
  <c r="AE201"/>
  <c r="AD201"/>
  <c r="AC201"/>
  <c r="AB201"/>
  <c r="AA201"/>
  <c r="Z201"/>
  <c r="Y201"/>
  <c r="X201"/>
  <c r="W201"/>
  <c r="V201"/>
  <c r="U201"/>
  <c r="T201"/>
  <c r="S201"/>
  <c r="R201"/>
  <c r="Q201"/>
  <c r="P201"/>
  <c r="O201"/>
  <c r="N201"/>
  <c r="M201"/>
  <c r="L201"/>
  <c r="K201"/>
  <c r="J201"/>
  <c r="I201"/>
  <c r="H201"/>
  <c r="G201"/>
  <c r="F201"/>
  <c r="E201"/>
  <c r="D201"/>
  <c r="C201"/>
  <c r="B201"/>
  <c r="A201"/>
  <c r="IV200"/>
  <c r="IU200"/>
  <c r="IT200"/>
  <c r="IS200"/>
  <c r="IR200"/>
  <c r="IQ200"/>
  <c r="IP200"/>
  <c r="IO200"/>
  <c r="IN200"/>
  <c r="IM200"/>
  <c r="IL200"/>
  <c r="IK200"/>
  <c r="IJ200"/>
  <c r="II200"/>
  <c r="IH200"/>
  <c r="IG200"/>
  <c r="IF200"/>
  <c r="IE200"/>
  <c r="ID200"/>
  <c r="IC200"/>
  <c r="IB200"/>
  <c r="IA200"/>
  <c r="HZ200"/>
  <c r="HY200"/>
  <c r="HX200"/>
  <c r="HW200"/>
  <c r="HV200"/>
  <c r="HU200"/>
  <c r="HT200"/>
  <c r="HS200"/>
  <c r="HR200"/>
  <c r="HQ200"/>
  <c r="HP200"/>
  <c r="HO200"/>
  <c r="HN200"/>
  <c r="HM200"/>
  <c r="HL200"/>
  <c r="HK200"/>
  <c r="HJ200"/>
  <c r="HI200"/>
  <c r="HH200"/>
  <c r="HG200"/>
  <c r="HF200"/>
  <c r="HE200"/>
  <c r="HD200"/>
  <c r="HC200"/>
  <c r="HB200"/>
  <c r="HA200"/>
  <c r="GZ200"/>
  <c r="GY200"/>
  <c r="GX200"/>
  <c r="GW200"/>
  <c r="GV200"/>
  <c r="GU200"/>
  <c r="GT200"/>
  <c r="GS200"/>
  <c r="GR200"/>
  <c r="GQ200"/>
  <c r="GP200"/>
  <c r="GO200"/>
  <c r="GN200"/>
  <c r="GM200"/>
  <c r="GL200"/>
  <c r="GK200"/>
  <c r="GJ200"/>
  <c r="GI200"/>
  <c r="GH200"/>
  <c r="GG200"/>
  <c r="GF200"/>
  <c r="GE200"/>
  <c r="GD200"/>
  <c r="GC200"/>
  <c r="GB200"/>
  <c r="GA200"/>
  <c r="FZ200"/>
  <c r="FY200"/>
  <c r="FX200"/>
  <c r="FW200"/>
  <c r="FV200"/>
  <c r="FU200"/>
  <c r="FT200"/>
  <c r="FS200"/>
  <c r="FR200"/>
  <c r="FQ200"/>
  <c r="FP200"/>
  <c r="FO200"/>
  <c r="FN200"/>
  <c r="FM200"/>
  <c r="FL200"/>
  <c r="FK200"/>
  <c r="FJ200"/>
  <c r="FI200"/>
  <c r="FH200"/>
  <c r="FG200"/>
  <c r="FF200"/>
  <c r="FE200"/>
  <c r="FD200"/>
  <c r="FC200"/>
  <c r="FB200"/>
  <c r="FA200"/>
  <c r="EZ200"/>
  <c r="EY200"/>
  <c r="EX200"/>
  <c r="EW200"/>
  <c r="EV200"/>
  <c r="EU200"/>
  <c r="ET200"/>
  <c r="ES200"/>
  <c r="ER200"/>
  <c r="EQ200"/>
  <c r="EP200"/>
  <c r="EO200"/>
  <c r="EN200"/>
  <c r="EM200"/>
  <c r="EL200"/>
  <c r="EK200"/>
  <c r="EJ200"/>
  <c r="EI200"/>
  <c r="EH200"/>
  <c r="EG200"/>
  <c r="EF200"/>
  <c r="EE200"/>
  <c r="ED200"/>
  <c r="EC200"/>
  <c r="EB200"/>
  <c r="EA200"/>
  <c r="DZ200"/>
  <c r="DY200"/>
  <c r="DX200"/>
  <c r="DW200"/>
  <c r="DV200"/>
  <c r="DU200"/>
  <c r="DT200"/>
  <c r="DS200"/>
  <c r="DR200"/>
  <c r="DQ200"/>
  <c r="DP200"/>
  <c r="DO200"/>
  <c r="DN200"/>
  <c r="DM200"/>
  <c r="DL200"/>
  <c r="DK200"/>
  <c r="DJ200"/>
  <c r="DI200"/>
  <c r="DH200"/>
  <c r="DG200"/>
  <c r="DF200"/>
  <c r="DE200"/>
  <c r="DD200"/>
  <c r="DC200"/>
  <c r="DB200"/>
  <c r="DA200"/>
  <c r="CZ200"/>
  <c r="CY200"/>
  <c r="CX200"/>
  <c r="CW200"/>
  <c r="CV200"/>
  <c r="CU200"/>
  <c r="CT200"/>
  <c r="CS200"/>
  <c r="CR200"/>
  <c r="CQ200"/>
  <c r="CP200"/>
  <c r="CO200"/>
  <c r="CN200"/>
  <c r="CM200"/>
  <c r="CL200"/>
  <c r="CK200"/>
  <c r="CJ200"/>
  <c r="CI200"/>
  <c r="CH200"/>
  <c r="CG200"/>
  <c r="CF200"/>
  <c r="CE200"/>
  <c r="CD200"/>
  <c r="CC200"/>
  <c r="CB200"/>
  <c r="CA200"/>
  <c r="BZ200"/>
  <c r="BY200"/>
  <c r="BX200"/>
  <c r="BW200"/>
  <c r="BV200"/>
  <c r="BU200"/>
  <c r="BT200"/>
  <c r="BS200"/>
  <c r="BR200"/>
  <c r="BQ200"/>
  <c r="BP200"/>
  <c r="BO200"/>
  <c r="BN200"/>
  <c r="BM200"/>
  <c r="BL200"/>
  <c r="BK200"/>
  <c r="BJ200"/>
  <c r="BI200"/>
  <c r="BH200"/>
  <c r="BG200"/>
  <c r="BF200"/>
  <c r="BE200"/>
  <c r="BD200"/>
  <c r="BC200"/>
  <c r="BB200"/>
  <c r="BA200"/>
  <c r="AZ200"/>
  <c r="AY200"/>
  <c r="AX200"/>
  <c r="AW200"/>
  <c r="AV200"/>
  <c r="AU200"/>
  <c r="AT200"/>
  <c r="AS200"/>
  <c r="AR200"/>
  <c r="AQ200"/>
  <c r="AP200"/>
  <c r="AO200"/>
  <c r="AN200"/>
  <c r="AM200"/>
  <c r="AL200"/>
  <c r="AK200"/>
  <c r="AJ200"/>
  <c r="AI200"/>
  <c r="AH200"/>
  <c r="AG200"/>
  <c r="AF200"/>
  <c r="AE200"/>
  <c r="AD200"/>
  <c r="AC200"/>
  <c r="AB200"/>
  <c r="AA200"/>
  <c r="Z200"/>
  <c r="Y200"/>
  <c r="X200"/>
  <c r="W200"/>
  <c r="V200"/>
  <c r="U200"/>
  <c r="T200"/>
  <c r="S200"/>
  <c r="R200"/>
  <c r="Q200"/>
  <c r="P200"/>
  <c r="O200"/>
  <c r="N200"/>
  <c r="M200"/>
  <c r="L200"/>
  <c r="K200"/>
  <c r="J200"/>
  <c r="I200"/>
  <c r="H200"/>
  <c r="G200"/>
  <c r="F200"/>
  <c r="E200"/>
  <c r="D200"/>
  <c r="C200"/>
  <c r="B200"/>
  <c r="A200"/>
  <c r="IV199"/>
  <c r="IU199"/>
  <c r="IT199"/>
  <c r="IS199"/>
  <c r="IR199"/>
  <c r="IQ199"/>
  <c r="IP199"/>
  <c r="IO199"/>
  <c r="IN199"/>
  <c r="IM199"/>
  <c r="IL199"/>
  <c r="IK199"/>
  <c r="IJ199"/>
  <c r="II199"/>
  <c r="IH199"/>
  <c r="IG199"/>
  <c r="IF199"/>
  <c r="IE199"/>
  <c r="ID199"/>
  <c r="IC199"/>
  <c r="IB199"/>
  <c r="IA199"/>
  <c r="HZ199"/>
  <c r="HY199"/>
  <c r="HX199"/>
  <c r="HW199"/>
  <c r="HV199"/>
  <c r="HU199"/>
  <c r="HT199"/>
  <c r="HS199"/>
  <c r="HR199"/>
  <c r="HQ199"/>
  <c r="HP199"/>
  <c r="HO199"/>
  <c r="HN199"/>
  <c r="HM199"/>
  <c r="HL199"/>
  <c r="HK199"/>
  <c r="HJ199"/>
  <c r="HI199"/>
  <c r="HH199"/>
  <c r="HG199"/>
  <c r="HF199"/>
  <c r="HE199"/>
  <c r="HD199"/>
  <c r="HC199"/>
  <c r="HB199"/>
  <c r="HA199"/>
  <c r="GZ199"/>
  <c r="GY199"/>
  <c r="GX199"/>
  <c r="GW199"/>
  <c r="GV199"/>
  <c r="GU199"/>
  <c r="GT199"/>
  <c r="GS199"/>
  <c r="GR199"/>
  <c r="GQ199"/>
  <c r="GP199"/>
  <c r="GO199"/>
  <c r="GN199"/>
  <c r="GM199"/>
  <c r="GL199"/>
  <c r="GK199"/>
  <c r="GJ199"/>
  <c r="GI199"/>
  <c r="GH199"/>
  <c r="GG199"/>
  <c r="GF199"/>
  <c r="GE199"/>
  <c r="GD199"/>
  <c r="GC199"/>
  <c r="GB199"/>
  <c r="GA199"/>
  <c r="FZ199"/>
  <c r="FY199"/>
  <c r="FX199"/>
  <c r="FW199"/>
  <c r="FV199"/>
  <c r="FU199"/>
  <c r="FT199"/>
  <c r="FS199"/>
  <c r="FR199"/>
  <c r="FQ199"/>
  <c r="FP199"/>
  <c r="FO199"/>
  <c r="FN199"/>
  <c r="FM199"/>
  <c r="FL199"/>
  <c r="FK199"/>
  <c r="FJ199"/>
  <c r="FI199"/>
  <c r="FH199"/>
  <c r="FG199"/>
  <c r="FF199"/>
  <c r="FE199"/>
  <c r="FD199"/>
  <c r="FC199"/>
  <c r="FB199"/>
  <c r="FA199"/>
  <c r="EZ199"/>
  <c r="EY199"/>
  <c r="EX199"/>
  <c r="EW199"/>
  <c r="EV199"/>
  <c r="EU199"/>
  <c r="ET199"/>
  <c r="ES199"/>
  <c r="ER199"/>
  <c r="EQ199"/>
  <c r="EP199"/>
  <c r="EO199"/>
  <c r="EN199"/>
  <c r="EM199"/>
  <c r="EL199"/>
  <c r="EK199"/>
  <c r="EJ199"/>
  <c r="EI199"/>
  <c r="EH199"/>
  <c r="EG199"/>
  <c r="EF199"/>
  <c r="EE199"/>
  <c r="ED199"/>
  <c r="EC199"/>
  <c r="EB199"/>
  <c r="EA199"/>
  <c r="DZ199"/>
  <c r="DY199"/>
  <c r="DX199"/>
  <c r="DW199"/>
  <c r="DV199"/>
  <c r="DU199"/>
  <c r="DT199"/>
  <c r="DS199"/>
  <c r="DR199"/>
  <c r="DQ199"/>
  <c r="DP199"/>
  <c r="DO199"/>
  <c r="DN199"/>
  <c r="DM199"/>
  <c r="DL199"/>
  <c r="DK199"/>
  <c r="DJ199"/>
  <c r="DI199"/>
  <c r="DH199"/>
  <c r="DG199"/>
  <c r="DF199"/>
  <c r="DE199"/>
  <c r="DD199"/>
  <c r="DC199"/>
  <c r="DB199"/>
  <c r="DA199"/>
  <c r="CZ199"/>
  <c r="CY199"/>
  <c r="CX199"/>
  <c r="CW199"/>
  <c r="CV199"/>
  <c r="CU199"/>
  <c r="CT199"/>
  <c r="CS199"/>
  <c r="CR199"/>
  <c r="CQ199"/>
  <c r="CP199"/>
  <c r="CO199"/>
  <c r="CN199"/>
  <c r="CM199"/>
  <c r="CL199"/>
  <c r="CK199"/>
  <c r="CJ199"/>
  <c r="CI199"/>
  <c r="CH199"/>
  <c r="CG199"/>
  <c r="CF199"/>
  <c r="CE199"/>
  <c r="CD199"/>
  <c r="CC199"/>
  <c r="CB199"/>
  <c r="CA199"/>
  <c r="BZ199"/>
  <c r="BY199"/>
  <c r="BX199"/>
  <c r="BW199"/>
  <c r="BV199"/>
  <c r="BU199"/>
  <c r="BT199"/>
  <c r="BS199"/>
  <c r="BR199"/>
  <c r="BQ199"/>
  <c r="BP199"/>
  <c r="BO199"/>
  <c r="BN199"/>
  <c r="BM199"/>
  <c r="BL199"/>
  <c r="BK199"/>
  <c r="BJ199"/>
  <c r="BI199"/>
  <c r="BH199"/>
  <c r="BG199"/>
  <c r="BF199"/>
  <c r="BE199"/>
  <c r="BD199"/>
  <c r="BC199"/>
  <c r="BB199"/>
  <c r="BA199"/>
  <c r="AZ199"/>
  <c r="AY199"/>
  <c r="AX199"/>
  <c r="AW199"/>
  <c r="AV199"/>
  <c r="AU199"/>
  <c r="AT199"/>
  <c r="AS199"/>
  <c r="AR199"/>
  <c r="AQ199"/>
  <c r="AP199"/>
  <c r="AO199"/>
  <c r="AN199"/>
  <c r="AM199"/>
  <c r="AL199"/>
  <c r="AK199"/>
  <c r="AJ199"/>
  <c r="AI199"/>
  <c r="AH199"/>
  <c r="AG199"/>
  <c r="AF199"/>
  <c r="AE199"/>
  <c r="AD199"/>
  <c r="AC199"/>
  <c r="AB199"/>
  <c r="AA199"/>
  <c r="Z199"/>
  <c r="Y199"/>
  <c r="X199"/>
  <c r="W199"/>
  <c r="V199"/>
  <c r="U199"/>
  <c r="T199"/>
  <c r="S199"/>
  <c r="R199"/>
  <c r="Q199"/>
  <c r="P199"/>
  <c r="O199"/>
  <c r="N199"/>
  <c r="M199"/>
  <c r="L199"/>
  <c r="K199"/>
  <c r="J199"/>
  <c r="I199"/>
  <c r="H199"/>
  <c r="G199"/>
  <c r="F199"/>
  <c r="E199"/>
  <c r="D199"/>
  <c r="C199"/>
  <c r="B199"/>
  <c r="A199"/>
  <c r="IV198"/>
  <c r="IU198"/>
  <c r="IT198"/>
  <c r="IS198"/>
  <c r="IR198"/>
  <c r="IQ198"/>
  <c r="IP198"/>
  <c r="IO198"/>
  <c r="IN198"/>
  <c r="IM198"/>
  <c r="IL198"/>
  <c r="IK198"/>
  <c r="IJ198"/>
  <c r="II198"/>
  <c r="IH198"/>
  <c r="IG198"/>
  <c r="IF198"/>
  <c r="IE198"/>
  <c r="ID198"/>
  <c r="IC198"/>
  <c r="IB198"/>
  <c r="IA198"/>
  <c r="HZ198"/>
  <c r="HY198"/>
  <c r="HX198"/>
  <c r="HW198"/>
  <c r="HV198"/>
  <c r="HU198"/>
  <c r="HT198"/>
  <c r="HS198"/>
  <c r="HR198"/>
  <c r="HQ198"/>
  <c r="HP198"/>
  <c r="HO198"/>
  <c r="HN198"/>
  <c r="HM198"/>
  <c r="HL198"/>
  <c r="HK198"/>
  <c r="HJ198"/>
  <c r="HI198"/>
  <c r="HH198"/>
  <c r="HG198"/>
  <c r="HF198"/>
  <c r="HE198"/>
  <c r="HD198"/>
  <c r="HC198"/>
  <c r="HB198"/>
  <c r="HA198"/>
  <c r="GZ198"/>
  <c r="GY198"/>
  <c r="GX198"/>
  <c r="GW198"/>
  <c r="GV198"/>
  <c r="GU198"/>
  <c r="GT198"/>
  <c r="GS198"/>
  <c r="GR198"/>
  <c r="GQ198"/>
  <c r="GP198"/>
  <c r="GO198"/>
  <c r="GN198"/>
  <c r="GM198"/>
  <c r="GL198"/>
  <c r="GK198"/>
  <c r="GJ198"/>
  <c r="GI198"/>
  <c r="GH198"/>
  <c r="GG198"/>
  <c r="GF198"/>
  <c r="GE198"/>
  <c r="GD198"/>
  <c r="GC198"/>
  <c r="GB198"/>
  <c r="GA198"/>
  <c r="FZ198"/>
  <c r="FY198"/>
  <c r="FX198"/>
  <c r="FW198"/>
  <c r="FV198"/>
  <c r="FU198"/>
  <c r="FT198"/>
  <c r="FS198"/>
  <c r="FR198"/>
  <c r="FQ198"/>
  <c r="FP198"/>
  <c r="FO198"/>
  <c r="FN198"/>
  <c r="FM198"/>
  <c r="FL198"/>
  <c r="FK198"/>
  <c r="FJ198"/>
  <c r="FI198"/>
  <c r="FH198"/>
  <c r="FG198"/>
  <c r="FF198"/>
  <c r="FE198"/>
  <c r="FD198"/>
  <c r="FC198"/>
  <c r="FB198"/>
  <c r="FA198"/>
  <c r="EZ198"/>
  <c r="EY198"/>
  <c r="EX198"/>
  <c r="EW198"/>
  <c r="EV198"/>
  <c r="EU198"/>
  <c r="ET198"/>
  <c r="ES198"/>
  <c r="ER198"/>
  <c r="EQ198"/>
  <c r="EP198"/>
  <c r="EO198"/>
  <c r="EN198"/>
  <c r="EM198"/>
  <c r="EL198"/>
  <c r="EK198"/>
  <c r="EJ198"/>
  <c r="EI198"/>
  <c r="EH198"/>
  <c r="EG198"/>
  <c r="EF198"/>
  <c r="EE198"/>
  <c r="ED198"/>
  <c r="EC198"/>
  <c r="EB198"/>
  <c r="EA198"/>
  <c r="DZ198"/>
  <c r="DY198"/>
  <c r="DX198"/>
  <c r="DW198"/>
  <c r="DV198"/>
  <c r="DU198"/>
  <c r="DT198"/>
  <c r="DS198"/>
  <c r="DR198"/>
  <c r="DQ198"/>
  <c r="DP198"/>
  <c r="DO198"/>
  <c r="DN198"/>
  <c r="DM198"/>
  <c r="DL198"/>
  <c r="DK198"/>
  <c r="DJ198"/>
  <c r="DI198"/>
  <c r="DH198"/>
  <c r="DG198"/>
  <c r="DF198"/>
  <c r="DE198"/>
  <c r="DD198"/>
  <c r="DC198"/>
  <c r="DB198"/>
  <c r="DA198"/>
  <c r="CZ198"/>
  <c r="CY198"/>
  <c r="CX198"/>
  <c r="CW198"/>
  <c r="CV198"/>
  <c r="CU198"/>
  <c r="CT198"/>
  <c r="CS198"/>
  <c r="CR198"/>
  <c r="CQ198"/>
  <c r="CP198"/>
  <c r="CO198"/>
  <c r="CN198"/>
  <c r="CM198"/>
  <c r="CL198"/>
  <c r="CK198"/>
  <c r="CJ198"/>
  <c r="CI198"/>
  <c r="CH198"/>
  <c r="CG198"/>
  <c r="CF198"/>
  <c r="CE198"/>
  <c r="CD198"/>
  <c r="CC198"/>
  <c r="CB198"/>
  <c r="CA198"/>
  <c r="BZ198"/>
  <c r="BY198"/>
  <c r="BX198"/>
  <c r="BW198"/>
  <c r="BV198"/>
  <c r="BU198"/>
  <c r="BT198"/>
  <c r="BS198"/>
  <c r="BR198"/>
  <c r="BQ198"/>
  <c r="BP198"/>
  <c r="BO198"/>
  <c r="BN198"/>
  <c r="BM198"/>
  <c r="BL198"/>
  <c r="BK198"/>
  <c r="BJ198"/>
  <c r="BI198"/>
  <c r="BH198"/>
  <c r="BG198"/>
  <c r="BF198"/>
  <c r="BE198"/>
  <c r="BD198"/>
  <c r="BC198"/>
  <c r="BB198"/>
  <c r="BA198"/>
  <c r="AZ198"/>
  <c r="AY198"/>
  <c r="AX198"/>
  <c r="AW198"/>
  <c r="AV198"/>
  <c r="AU198"/>
  <c r="AT198"/>
  <c r="AS198"/>
  <c r="AR198"/>
  <c r="AQ198"/>
  <c r="AP198"/>
  <c r="AO198"/>
  <c r="AN198"/>
  <c r="AM198"/>
  <c r="AL198"/>
  <c r="AK198"/>
  <c r="AJ198"/>
  <c r="AI198"/>
  <c r="AH198"/>
  <c r="AG198"/>
  <c r="AF198"/>
  <c r="AE198"/>
  <c r="AD198"/>
  <c r="AC198"/>
  <c r="AB198"/>
  <c r="AA198"/>
  <c r="Z198"/>
  <c r="Y198"/>
  <c r="X198"/>
  <c r="W198"/>
  <c r="V198"/>
  <c r="U198"/>
  <c r="T198"/>
  <c r="S198"/>
  <c r="R198"/>
  <c r="Q198"/>
  <c r="P198"/>
  <c r="O198"/>
  <c r="N198"/>
  <c r="M198"/>
  <c r="L198"/>
  <c r="K198"/>
  <c r="J198"/>
  <c r="I198"/>
  <c r="H198"/>
  <c r="G198"/>
  <c r="F198"/>
  <c r="E198"/>
  <c r="D198"/>
  <c r="C198"/>
  <c r="B198"/>
  <c r="A198"/>
  <c r="IV197"/>
  <c r="IU197"/>
  <c r="IT197"/>
  <c r="IS197"/>
  <c r="IR197"/>
  <c r="IQ197"/>
  <c r="IP197"/>
  <c r="IO197"/>
  <c r="IN197"/>
  <c r="IM197"/>
  <c r="IL197"/>
  <c r="IK197"/>
  <c r="IJ197"/>
  <c r="II197"/>
  <c r="IH197"/>
  <c r="IG197"/>
  <c r="IF197"/>
  <c r="IE197"/>
  <c r="ID197"/>
  <c r="IC197"/>
  <c r="IB197"/>
  <c r="IA197"/>
  <c r="HZ197"/>
  <c r="HY197"/>
  <c r="HX197"/>
  <c r="HW197"/>
  <c r="HV197"/>
  <c r="HU197"/>
  <c r="HT197"/>
  <c r="HS197"/>
  <c r="HR197"/>
  <c r="HQ197"/>
  <c r="HP197"/>
  <c r="HO197"/>
  <c r="HN197"/>
  <c r="HM197"/>
  <c r="HL197"/>
  <c r="HK197"/>
  <c r="HJ197"/>
  <c r="HI197"/>
  <c r="HH197"/>
  <c r="HG197"/>
  <c r="HF197"/>
  <c r="HE197"/>
  <c r="HD197"/>
  <c r="HC197"/>
  <c r="HB197"/>
  <c r="HA197"/>
  <c r="GZ197"/>
  <c r="GY197"/>
  <c r="GX197"/>
  <c r="GW197"/>
  <c r="GV197"/>
  <c r="GU197"/>
  <c r="GT197"/>
  <c r="GS197"/>
  <c r="GR197"/>
  <c r="GQ197"/>
  <c r="GP197"/>
  <c r="GO197"/>
  <c r="GN197"/>
  <c r="GM197"/>
  <c r="GL197"/>
  <c r="GK197"/>
  <c r="GJ197"/>
  <c r="GI197"/>
  <c r="GH197"/>
  <c r="GG197"/>
  <c r="GF197"/>
  <c r="GE197"/>
  <c r="GD197"/>
  <c r="GC197"/>
  <c r="GB197"/>
  <c r="GA197"/>
  <c r="FZ197"/>
  <c r="FY197"/>
  <c r="FX197"/>
  <c r="FW197"/>
  <c r="FV197"/>
  <c r="FU197"/>
  <c r="FT197"/>
  <c r="FS197"/>
  <c r="FR197"/>
  <c r="FQ197"/>
  <c r="FP197"/>
  <c r="FO197"/>
  <c r="FN197"/>
  <c r="FM197"/>
  <c r="FL197"/>
  <c r="FK197"/>
  <c r="FJ197"/>
  <c r="FI197"/>
  <c r="FH197"/>
  <c r="FG197"/>
  <c r="FF197"/>
  <c r="FE197"/>
  <c r="FD197"/>
  <c r="FC197"/>
  <c r="FB197"/>
  <c r="FA197"/>
  <c r="EZ197"/>
  <c r="EY197"/>
  <c r="EX197"/>
  <c r="EW197"/>
  <c r="EV197"/>
  <c r="EU197"/>
  <c r="ET197"/>
  <c r="ES197"/>
  <c r="ER197"/>
  <c r="EQ197"/>
  <c r="EP197"/>
  <c r="EO197"/>
  <c r="EN197"/>
  <c r="EM197"/>
  <c r="EL197"/>
  <c r="EK197"/>
  <c r="EJ197"/>
  <c r="EI197"/>
  <c r="EH197"/>
  <c r="EG197"/>
  <c r="EF197"/>
  <c r="EE197"/>
  <c r="ED197"/>
  <c r="EC197"/>
  <c r="EB197"/>
  <c r="EA197"/>
  <c r="DZ197"/>
  <c r="DY197"/>
  <c r="DX197"/>
  <c r="DW197"/>
  <c r="DV197"/>
  <c r="DU197"/>
  <c r="DT197"/>
  <c r="DS197"/>
  <c r="DR197"/>
  <c r="DQ197"/>
  <c r="DP197"/>
  <c r="DO197"/>
  <c r="DN197"/>
  <c r="DM197"/>
  <c r="DL197"/>
  <c r="DK197"/>
  <c r="DJ197"/>
  <c r="DI197"/>
  <c r="DH197"/>
  <c r="DG197"/>
  <c r="DF197"/>
  <c r="DE197"/>
  <c r="DD197"/>
  <c r="DC197"/>
  <c r="DB197"/>
  <c r="DA197"/>
  <c r="CZ197"/>
  <c r="CY197"/>
  <c r="CX197"/>
  <c r="CW197"/>
  <c r="CV197"/>
  <c r="CU197"/>
  <c r="CT197"/>
  <c r="CS197"/>
  <c r="CR197"/>
  <c r="CQ197"/>
  <c r="CP197"/>
  <c r="CO197"/>
  <c r="CN197"/>
  <c r="CM197"/>
  <c r="CL197"/>
  <c r="CK197"/>
  <c r="CJ197"/>
  <c r="CI197"/>
  <c r="CH197"/>
  <c r="CG197"/>
  <c r="CF197"/>
  <c r="CE197"/>
  <c r="CD197"/>
  <c r="CC197"/>
  <c r="CB197"/>
  <c r="CA197"/>
  <c r="BZ197"/>
  <c r="BY197"/>
  <c r="BX197"/>
  <c r="BW197"/>
  <c r="BV197"/>
  <c r="BU197"/>
  <c r="BT197"/>
  <c r="BS197"/>
  <c r="BR197"/>
  <c r="BQ197"/>
  <c r="BP197"/>
  <c r="BO197"/>
  <c r="BN197"/>
  <c r="BM197"/>
  <c r="BL197"/>
  <c r="BK197"/>
  <c r="BJ197"/>
  <c r="BI197"/>
  <c r="BH197"/>
  <c r="BG197"/>
  <c r="BF197"/>
  <c r="BE197"/>
  <c r="BD197"/>
  <c r="BC197"/>
  <c r="BB197"/>
  <c r="BA197"/>
  <c r="AZ197"/>
  <c r="AY197"/>
  <c r="AX197"/>
  <c r="AW197"/>
  <c r="AV197"/>
  <c r="AU197"/>
  <c r="AT197"/>
  <c r="AS197"/>
  <c r="AR197"/>
  <c r="AQ197"/>
  <c r="AP197"/>
  <c r="AO197"/>
  <c r="AN197"/>
  <c r="AM197"/>
  <c r="AL197"/>
  <c r="AK197"/>
  <c r="AJ197"/>
  <c r="AI197"/>
  <c r="AH197"/>
  <c r="AG197"/>
  <c r="AF197"/>
  <c r="AE197"/>
  <c r="AD197"/>
  <c r="AC197"/>
  <c r="AB197"/>
  <c r="AA197"/>
  <c r="Z197"/>
  <c r="Y197"/>
  <c r="X197"/>
  <c r="W197"/>
  <c r="V197"/>
  <c r="U197"/>
  <c r="T197"/>
  <c r="S197"/>
  <c r="R197"/>
  <c r="Q197"/>
  <c r="P197"/>
  <c r="O197"/>
  <c r="N197"/>
  <c r="M197"/>
  <c r="L197"/>
  <c r="K197"/>
  <c r="J197"/>
  <c r="I197"/>
  <c r="H197"/>
  <c r="G197"/>
  <c r="F197"/>
  <c r="E197"/>
  <c r="D197"/>
  <c r="C197"/>
  <c r="B197"/>
  <c r="A197"/>
  <c r="IV196"/>
  <c r="IU196"/>
  <c r="IT196"/>
  <c r="IS196"/>
  <c r="IR196"/>
  <c r="IQ196"/>
  <c r="IP196"/>
  <c r="IO196"/>
  <c r="IN196"/>
  <c r="IM196"/>
  <c r="IL196"/>
  <c r="IK196"/>
  <c r="IJ196"/>
  <c r="II196"/>
  <c r="IH196"/>
  <c r="IG196"/>
  <c r="IF196"/>
  <c r="IE196"/>
  <c r="ID196"/>
  <c r="IC196"/>
  <c r="IB196"/>
  <c r="IA196"/>
  <c r="HZ196"/>
  <c r="HY196"/>
  <c r="HX196"/>
  <c r="HW196"/>
  <c r="HV196"/>
  <c r="HU196"/>
  <c r="HT196"/>
  <c r="HS196"/>
  <c r="HR196"/>
  <c r="HQ196"/>
  <c r="HP196"/>
  <c r="HO196"/>
  <c r="HN196"/>
  <c r="HM196"/>
  <c r="HL196"/>
  <c r="HK196"/>
  <c r="HJ196"/>
  <c r="HI196"/>
  <c r="HH196"/>
  <c r="HG196"/>
  <c r="HF196"/>
  <c r="HE196"/>
  <c r="HD196"/>
  <c r="HC196"/>
  <c r="HB196"/>
  <c r="HA196"/>
  <c r="GZ196"/>
  <c r="GY196"/>
  <c r="GX196"/>
  <c r="GW196"/>
  <c r="GV196"/>
  <c r="GU196"/>
  <c r="GT196"/>
  <c r="GS196"/>
  <c r="GR196"/>
  <c r="GQ196"/>
  <c r="GP196"/>
  <c r="GO196"/>
  <c r="GN196"/>
  <c r="GM196"/>
  <c r="GL196"/>
  <c r="GK196"/>
  <c r="GJ196"/>
  <c r="GI196"/>
  <c r="GH196"/>
  <c r="GG196"/>
  <c r="GF196"/>
  <c r="GE196"/>
  <c r="GD196"/>
  <c r="GC196"/>
  <c r="GB196"/>
  <c r="GA196"/>
  <c r="FZ196"/>
  <c r="FY196"/>
  <c r="FX196"/>
  <c r="FW196"/>
  <c r="FV196"/>
  <c r="FU196"/>
  <c r="FT196"/>
  <c r="FS196"/>
  <c r="FR196"/>
  <c r="FQ196"/>
  <c r="FP196"/>
  <c r="FO196"/>
  <c r="FN196"/>
  <c r="FM196"/>
  <c r="FL196"/>
  <c r="FK196"/>
  <c r="FJ196"/>
  <c r="FI196"/>
  <c r="FH196"/>
  <c r="FG196"/>
  <c r="FF196"/>
  <c r="FE196"/>
  <c r="FD196"/>
  <c r="FC196"/>
  <c r="FB196"/>
  <c r="FA196"/>
  <c r="EZ196"/>
  <c r="EY196"/>
  <c r="EX196"/>
  <c r="EW196"/>
  <c r="EV196"/>
  <c r="EU196"/>
  <c r="ET196"/>
  <c r="ES196"/>
  <c r="ER196"/>
  <c r="EQ196"/>
  <c r="EP196"/>
  <c r="EO196"/>
  <c r="EN196"/>
  <c r="EM196"/>
  <c r="EL196"/>
  <c r="EK196"/>
  <c r="EJ196"/>
  <c r="EI196"/>
  <c r="EH196"/>
  <c r="EG196"/>
  <c r="EF196"/>
  <c r="EE196"/>
  <c r="ED196"/>
  <c r="EC196"/>
  <c r="EB196"/>
  <c r="EA196"/>
  <c r="DZ196"/>
  <c r="DY196"/>
  <c r="DX196"/>
  <c r="DW196"/>
  <c r="DV196"/>
  <c r="DU196"/>
  <c r="DT196"/>
  <c r="DS196"/>
  <c r="DR196"/>
  <c r="DQ196"/>
  <c r="DP196"/>
  <c r="DO196"/>
  <c r="DN196"/>
  <c r="DM196"/>
  <c r="DL196"/>
  <c r="DK196"/>
  <c r="DJ196"/>
  <c r="DI196"/>
  <c r="DH196"/>
  <c r="DG196"/>
  <c r="DF196"/>
  <c r="DE196"/>
  <c r="DD196"/>
  <c r="DC196"/>
  <c r="DB196"/>
  <c r="DA196"/>
  <c r="CZ196"/>
  <c r="CY196"/>
  <c r="CX196"/>
  <c r="CW196"/>
  <c r="CV196"/>
  <c r="CU196"/>
  <c r="CT196"/>
  <c r="CS196"/>
  <c r="CR196"/>
  <c r="CQ196"/>
  <c r="CP196"/>
  <c r="CO196"/>
  <c r="CN196"/>
  <c r="CM196"/>
  <c r="CL196"/>
  <c r="CK196"/>
  <c r="CJ196"/>
  <c r="CI196"/>
  <c r="CH196"/>
  <c r="CG196"/>
  <c r="CF196"/>
  <c r="CE196"/>
  <c r="CD196"/>
  <c r="CC196"/>
  <c r="CB196"/>
  <c r="CA196"/>
  <c r="BZ196"/>
  <c r="BY196"/>
  <c r="BX196"/>
  <c r="BW196"/>
  <c r="BV196"/>
  <c r="BU196"/>
  <c r="BT196"/>
  <c r="BS196"/>
  <c r="BR196"/>
  <c r="BQ196"/>
  <c r="BP196"/>
  <c r="BO196"/>
  <c r="BN196"/>
  <c r="BM196"/>
  <c r="BL196"/>
  <c r="BK196"/>
  <c r="BJ196"/>
  <c r="BI196"/>
  <c r="BH196"/>
  <c r="BG196"/>
  <c r="BF196"/>
  <c r="BE196"/>
  <c r="BD196"/>
  <c r="BC196"/>
  <c r="BB196"/>
  <c r="BA196"/>
  <c r="AZ196"/>
  <c r="AY196"/>
  <c r="AX196"/>
  <c r="AW196"/>
  <c r="AV196"/>
  <c r="AU196"/>
  <c r="AT196"/>
  <c r="AS196"/>
  <c r="AR196"/>
  <c r="AQ196"/>
  <c r="AP196"/>
  <c r="AO196"/>
  <c r="AN196"/>
  <c r="AM196"/>
  <c r="AL196"/>
  <c r="AK196"/>
  <c r="AJ196"/>
  <c r="AI196"/>
  <c r="AH196"/>
  <c r="AG196"/>
  <c r="AF196"/>
  <c r="AE196"/>
  <c r="AD196"/>
  <c r="AC196"/>
  <c r="AB196"/>
  <c r="AA196"/>
  <c r="Z196"/>
  <c r="Y196"/>
  <c r="X196"/>
  <c r="W196"/>
  <c r="V196"/>
  <c r="U196"/>
  <c r="T196"/>
  <c r="S196"/>
  <c r="R196"/>
  <c r="Q196"/>
  <c r="P196"/>
  <c r="O196"/>
  <c r="N196"/>
  <c r="M196"/>
  <c r="L196"/>
  <c r="K196"/>
  <c r="J196"/>
  <c r="I196"/>
  <c r="H196"/>
  <c r="G196"/>
  <c r="F196"/>
  <c r="E196"/>
  <c r="D196"/>
  <c r="C196"/>
  <c r="B196"/>
  <c r="A196"/>
  <c r="IV195"/>
  <c r="IU195"/>
  <c r="IT195"/>
  <c r="IS195"/>
  <c r="IR195"/>
  <c r="IQ195"/>
  <c r="IP195"/>
  <c r="IO195"/>
  <c r="IN195"/>
  <c r="IM195"/>
  <c r="IL195"/>
  <c r="IK195"/>
  <c r="IJ195"/>
  <c r="II195"/>
  <c r="IH195"/>
  <c r="IG195"/>
  <c r="IF195"/>
  <c r="IE195"/>
  <c r="ID195"/>
  <c r="IC195"/>
  <c r="IB195"/>
  <c r="IA195"/>
  <c r="HZ195"/>
  <c r="HY195"/>
  <c r="HX195"/>
  <c r="HW195"/>
  <c r="HV195"/>
  <c r="HU195"/>
  <c r="HT195"/>
  <c r="HS195"/>
  <c r="HR195"/>
  <c r="HQ195"/>
  <c r="HP195"/>
  <c r="HO195"/>
  <c r="HN195"/>
  <c r="HM195"/>
  <c r="HL195"/>
  <c r="HK195"/>
  <c r="HJ195"/>
  <c r="HI195"/>
  <c r="HH195"/>
  <c r="HG195"/>
  <c r="HF195"/>
  <c r="HE195"/>
  <c r="HD195"/>
  <c r="HC195"/>
  <c r="HB195"/>
  <c r="HA195"/>
  <c r="GZ195"/>
  <c r="GY195"/>
  <c r="GX195"/>
  <c r="GW195"/>
  <c r="GV195"/>
  <c r="GU195"/>
  <c r="GT195"/>
  <c r="GS195"/>
  <c r="GR195"/>
  <c r="GQ195"/>
  <c r="GP195"/>
  <c r="GO195"/>
  <c r="GN195"/>
  <c r="GM195"/>
  <c r="GL195"/>
  <c r="GK195"/>
  <c r="GJ195"/>
  <c r="GI195"/>
  <c r="GH195"/>
  <c r="GG195"/>
  <c r="GF195"/>
  <c r="GE195"/>
  <c r="GD195"/>
  <c r="GC195"/>
  <c r="GB195"/>
  <c r="GA195"/>
  <c r="FZ195"/>
  <c r="FY195"/>
  <c r="FX195"/>
  <c r="FW195"/>
  <c r="FV195"/>
  <c r="FU195"/>
  <c r="FT195"/>
  <c r="FS195"/>
  <c r="FR195"/>
  <c r="FQ195"/>
  <c r="FP195"/>
  <c r="FO195"/>
  <c r="FN195"/>
  <c r="FM195"/>
  <c r="FL195"/>
  <c r="FK195"/>
  <c r="FJ195"/>
  <c r="FI195"/>
  <c r="FH195"/>
  <c r="FG195"/>
  <c r="FF195"/>
  <c r="FE195"/>
  <c r="FD195"/>
  <c r="FC195"/>
  <c r="FB195"/>
  <c r="FA195"/>
  <c r="EZ195"/>
  <c r="EY195"/>
  <c r="EX195"/>
  <c r="EW195"/>
  <c r="EV195"/>
  <c r="EU195"/>
  <c r="ET195"/>
  <c r="ES195"/>
  <c r="ER195"/>
  <c r="EQ195"/>
  <c r="EP195"/>
  <c r="EO195"/>
  <c r="EN195"/>
  <c r="EM195"/>
  <c r="EL195"/>
  <c r="EK195"/>
  <c r="EJ195"/>
  <c r="EI195"/>
  <c r="EH195"/>
  <c r="EG195"/>
  <c r="EF195"/>
  <c r="EE195"/>
  <c r="ED195"/>
  <c r="EC195"/>
  <c r="EB195"/>
  <c r="EA195"/>
  <c r="DZ195"/>
  <c r="DY195"/>
  <c r="DX195"/>
  <c r="DW195"/>
  <c r="DV195"/>
  <c r="DU195"/>
  <c r="DT195"/>
  <c r="DS195"/>
  <c r="DR195"/>
  <c r="DQ195"/>
  <c r="DP195"/>
  <c r="DO195"/>
  <c r="DN195"/>
  <c r="DM195"/>
  <c r="DL195"/>
  <c r="DK195"/>
  <c r="DJ195"/>
  <c r="DI195"/>
  <c r="DH195"/>
  <c r="DG195"/>
  <c r="DF195"/>
  <c r="DE195"/>
  <c r="DD195"/>
  <c r="DC195"/>
  <c r="DB195"/>
  <c r="DA195"/>
  <c r="CZ195"/>
  <c r="CY195"/>
  <c r="CX195"/>
  <c r="CW195"/>
  <c r="CV195"/>
  <c r="CU195"/>
  <c r="CT195"/>
  <c r="CS195"/>
  <c r="CR195"/>
  <c r="CQ195"/>
  <c r="CP195"/>
  <c r="CO195"/>
  <c r="CN195"/>
  <c r="CM195"/>
  <c r="CL195"/>
  <c r="CK195"/>
  <c r="CJ195"/>
  <c r="CI195"/>
  <c r="CH195"/>
  <c r="CG195"/>
  <c r="CF195"/>
  <c r="CE195"/>
  <c r="CD195"/>
  <c r="CC195"/>
  <c r="CB195"/>
  <c r="CA195"/>
  <c r="BZ195"/>
  <c r="BY195"/>
  <c r="BX195"/>
  <c r="BW195"/>
  <c r="BV195"/>
  <c r="BU195"/>
  <c r="BT195"/>
  <c r="BS195"/>
  <c r="BR195"/>
  <c r="BQ195"/>
  <c r="BP195"/>
  <c r="BO195"/>
  <c r="BN195"/>
  <c r="BM195"/>
  <c r="BL195"/>
  <c r="BK195"/>
  <c r="BJ195"/>
  <c r="BI195"/>
  <c r="BH195"/>
  <c r="BG195"/>
  <c r="BF195"/>
  <c r="BE195"/>
  <c r="BD195"/>
  <c r="BC195"/>
  <c r="BB195"/>
  <c r="BA195"/>
  <c r="AZ195"/>
  <c r="AY195"/>
  <c r="AX195"/>
  <c r="AW195"/>
  <c r="AV195"/>
  <c r="AU195"/>
  <c r="AT195"/>
  <c r="AS195"/>
  <c r="AR195"/>
  <c r="AQ195"/>
  <c r="AP195"/>
  <c r="AO195"/>
  <c r="AN195"/>
  <c r="AM195"/>
  <c r="AL195"/>
  <c r="AK195"/>
  <c r="AJ195"/>
  <c r="AI195"/>
  <c r="AH195"/>
  <c r="AG195"/>
  <c r="AF195"/>
  <c r="AE195"/>
  <c r="AD195"/>
  <c r="AC195"/>
  <c r="AB195"/>
  <c r="AA195"/>
  <c r="Z195"/>
  <c r="Y195"/>
  <c r="X195"/>
  <c r="W195"/>
  <c r="V195"/>
  <c r="U195"/>
  <c r="T195"/>
  <c r="S195"/>
  <c r="R195"/>
  <c r="Q195"/>
  <c r="P195"/>
  <c r="O195"/>
  <c r="N195"/>
  <c r="M195"/>
  <c r="L195"/>
  <c r="K195"/>
  <c r="J195"/>
  <c r="I195"/>
  <c r="H195"/>
  <c r="G195"/>
  <c r="F195"/>
  <c r="E195"/>
  <c r="D195"/>
  <c r="C195"/>
  <c r="B195"/>
  <c r="A195"/>
  <c r="IV194"/>
  <c r="IU194"/>
  <c r="IT194"/>
  <c r="IS194"/>
  <c r="IR194"/>
  <c r="IQ194"/>
  <c r="IP194"/>
  <c r="IO194"/>
  <c r="IN194"/>
  <c r="IM194"/>
  <c r="IL194"/>
  <c r="IK194"/>
  <c r="IJ194"/>
  <c r="II194"/>
  <c r="IH194"/>
  <c r="IG194"/>
  <c r="IF194"/>
  <c r="IE194"/>
  <c r="ID194"/>
  <c r="IC194"/>
  <c r="IB194"/>
  <c r="IA194"/>
  <c r="HZ194"/>
  <c r="HY194"/>
  <c r="HX194"/>
  <c r="HW194"/>
  <c r="HV194"/>
  <c r="HU194"/>
  <c r="HT194"/>
  <c r="HS194"/>
  <c r="HR194"/>
  <c r="HQ194"/>
  <c r="HP194"/>
  <c r="HO194"/>
  <c r="HN194"/>
  <c r="HM194"/>
  <c r="HL194"/>
  <c r="HK194"/>
  <c r="HJ194"/>
  <c r="HI194"/>
  <c r="HH194"/>
  <c r="HG194"/>
  <c r="HF194"/>
  <c r="HE194"/>
  <c r="HD194"/>
  <c r="HC194"/>
  <c r="HB194"/>
  <c r="HA194"/>
  <c r="GZ194"/>
  <c r="GY194"/>
  <c r="GX194"/>
  <c r="GW194"/>
  <c r="GV194"/>
  <c r="GU194"/>
  <c r="GT194"/>
  <c r="GS194"/>
  <c r="GR194"/>
  <c r="GQ194"/>
  <c r="GP194"/>
  <c r="GO194"/>
  <c r="GN194"/>
  <c r="GM194"/>
  <c r="GL194"/>
  <c r="GK194"/>
  <c r="GJ194"/>
  <c r="GI194"/>
  <c r="GH194"/>
  <c r="GG194"/>
  <c r="GF194"/>
  <c r="GE194"/>
  <c r="GD194"/>
  <c r="GC194"/>
  <c r="GB194"/>
  <c r="GA194"/>
  <c r="FZ194"/>
  <c r="FY194"/>
  <c r="FX194"/>
  <c r="FW194"/>
  <c r="FV194"/>
  <c r="FU194"/>
  <c r="FT194"/>
  <c r="FS194"/>
  <c r="FR194"/>
  <c r="FQ194"/>
  <c r="FP194"/>
  <c r="FO194"/>
  <c r="FN194"/>
  <c r="FM194"/>
  <c r="FL194"/>
  <c r="FK194"/>
  <c r="FJ194"/>
  <c r="FI194"/>
  <c r="FH194"/>
  <c r="FG194"/>
  <c r="FF194"/>
  <c r="FE194"/>
  <c r="FD194"/>
  <c r="FC194"/>
  <c r="FB194"/>
  <c r="FA194"/>
  <c r="EZ194"/>
  <c r="EY194"/>
  <c r="EX194"/>
  <c r="EW194"/>
  <c r="EV194"/>
  <c r="EU194"/>
  <c r="ET194"/>
  <c r="ES194"/>
  <c r="ER194"/>
  <c r="EQ194"/>
  <c r="EP194"/>
  <c r="EO194"/>
  <c r="EN194"/>
  <c r="EM194"/>
  <c r="EL194"/>
  <c r="EK194"/>
  <c r="EJ194"/>
  <c r="EI194"/>
  <c r="EH194"/>
  <c r="EG194"/>
  <c r="EF194"/>
  <c r="EE194"/>
  <c r="ED194"/>
  <c r="EC194"/>
  <c r="EB194"/>
  <c r="EA194"/>
  <c r="DZ194"/>
  <c r="DY194"/>
  <c r="DX194"/>
  <c r="DW194"/>
  <c r="DV194"/>
  <c r="DU194"/>
  <c r="DT194"/>
  <c r="DS194"/>
  <c r="DR194"/>
  <c r="DQ194"/>
  <c r="DP194"/>
  <c r="DO194"/>
  <c r="DN194"/>
  <c r="DM194"/>
  <c r="DL194"/>
  <c r="DK194"/>
  <c r="DJ194"/>
  <c r="DI194"/>
  <c r="DH194"/>
  <c r="DG194"/>
  <c r="DF194"/>
  <c r="DE194"/>
  <c r="DD194"/>
  <c r="DC194"/>
  <c r="DB194"/>
  <c r="DA194"/>
  <c r="CZ194"/>
  <c r="CY194"/>
  <c r="CX194"/>
  <c r="CW194"/>
  <c r="CV194"/>
  <c r="CU194"/>
  <c r="CT194"/>
  <c r="CS194"/>
  <c r="CR194"/>
  <c r="CQ194"/>
  <c r="CP194"/>
  <c r="CO194"/>
  <c r="CN194"/>
  <c r="CM194"/>
  <c r="CL194"/>
  <c r="CK194"/>
  <c r="CJ194"/>
  <c r="CI194"/>
  <c r="CH194"/>
  <c r="CG194"/>
  <c r="CF194"/>
  <c r="CE194"/>
  <c r="CD194"/>
  <c r="CC194"/>
  <c r="CB194"/>
  <c r="CA194"/>
  <c r="BZ194"/>
  <c r="BY194"/>
  <c r="BX194"/>
  <c r="BW194"/>
  <c r="BV194"/>
  <c r="BU194"/>
  <c r="BT194"/>
  <c r="BS194"/>
  <c r="BR194"/>
  <c r="BQ194"/>
  <c r="BP194"/>
  <c r="BO194"/>
  <c r="BN194"/>
  <c r="BM194"/>
  <c r="BL194"/>
  <c r="BK194"/>
  <c r="BJ194"/>
  <c r="BI194"/>
  <c r="BH194"/>
  <c r="BG194"/>
  <c r="BF194"/>
  <c r="BE194"/>
  <c r="BD194"/>
  <c r="BC194"/>
  <c r="BB194"/>
  <c r="BA194"/>
  <c r="AZ194"/>
  <c r="AY194"/>
  <c r="AX194"/>
  <c r="AW194"/>
  <c r="AV194"/>
  <c r="AU194"/>
  <c r="AT194"/>
  <c r="AS194"/>
  <c r="AR194"/>
  <c r="AQ194"/>
  <c r="AP194"/>
  <c r="AO194"/>
  <c r="AN194"/>
  <c r="AM194"/>
  <c r="AL194"/>
  <c r="AK194"/>
  <c r="AJ194"/>
  <c r="AI194"/>
  <c r="AH194"/>
  <c r="AG194"/>
  <c r="AF194"/>
  <c r="AE194"/>
  <c r="AD194"/>
  <c r="AC194"/>
  <c r="AB194"/>
  <c r="AA194"/>
  <c r="Z194"/>
  <c r="Y194"/>
  <c r="X194"/>
  <c r="W194"/>
  <c r="V194"/>
  <c r="U194"/>
  <c r="T194"/>
  <c r="S194"/>
  <c r="R194"/>
  <c r="Q194"/>
  <c r="P194"/>
  <c r="O194"/>
  <c r="N194"/>
  <c r="M194"/>
  <c r="L194"/>
  <c r="K194"/>
  <c r="J194"/>
  <c r="I194"/>
  <c r="H194"/>
  <c r="G194"/>
  <c r="F194"/>
  <c r="E194"/>
  <c r="D194"/>
  <c r="C194"/>
  <c r="B194"/>
  <c r="A194"/>
  <c r="IV193"/>
  <c r="IU193"/>
  <c r="IT193"/>
  <c r="IS193"/>
  <c r="IR193"/>
  <c r="IQ193"/>
  <c r="IP193"/>
  <c r="IO193"/>
  <c r="IN193"/>
  <c r="IM193"/>
  <c r="IL193"/>
  <c r="IK193"/>
  <c r="IJ193"/>
  <c r="II193"/>
  <c r="IH193"/>
  <c r="IG193"/>
  <c r="IF193"/>
  <c r="IE193"/>
  <c r="ID193"/>
  <c r="IC193"/>
  <c r="IB193"/>
  <c r="IA193"/>
  <c r="HZ193"/>
  <c r="HY193"/>
  <c r="HX193"/>
  <c r="HW193"/>
  <c r="HV193"/>
  <c r="HU193"/>
  <c r="HT193"/>
  <c r="HS193"/>
  <c r="HR193"/>
  <c r="HQ193"/>
  <c r="HP193"/>
  <c r="HO193"/>
  <c r="HN193"/>
  <c r="HM193"/>
  <c r="HL193"/>
  <c r="HK193"/>
  <c r="HJ193"/>
  <c r="HI193"/>
  <c r="HH193"/>
  <c r="HG193"/>
  <c r="HF193"/>
  <c r="HE193"/>
  <c r="HD193"/>
  <c r="HC193"/>
  <c r="HB193"/>
  <c r="HA193"/>
  <c r="GZ193"/>
  <c r="GY193"/>
  <c r="GX193"/>
  <c r="GW193"/>
  <c r="GV193"/>
  <c r="GU193"/>
  <c r="GT193"/>
  <c r="GS193"/>
  <c r="GR193"/>
  <c r="GQ193"/>
  <c r="GP193"/>
  <c r="GO193"/>
  <c r="GN193"/>
  <c r="GM193"/>
  <c r="GL193"/>
  <c r="GK193"/>
  <c r="GJ193"/>
  <c r="GI193"/>
  <c r="GH193"/>
  <c r="GG193"/>
  <c r="GF193"/>
  <c r="GE193"/>
  <c r="GD193"/>
  <c r="GC193"/>
  <c r="GB193"/>
  <c r="GA193"/>
  <c r="FZ193"/>
  <c r="FY193"/>
  <c r="FX193"/>
  <c r="FW193"/>
  <c r="FV193"/>
  <c r="FU193"/>
  <c r="FT193"/>
  <c r="FS193"/>
  <c r="FR193"/>
  <c r="FQ193"/>
  <c r="FP193"/>
  <c r="FO193"/>
  <c r="FN193"/>
  <c r="FM193"/>
  <c r="FL193"/>
  <c r="FK193"/>
  <c r="FJ193"/>
  <c r="FI193"/>
  <c r="FH193"/>
  <c r="FG193"/>
  <c r="FF193"/>
  <c r="FE193"/>
  <c r="FD193"/>
  <c r="FC193"/>
  <c r="FB193"/>
  <c r="FA193"/>
  <c r="EZ193"/>
  <c r="EY193"/>
  <c r="EX193"/>
  <c r="EW193"/>
  <c r="EV193"/>
  <c r="EU193"/>
  <c r="ET193"/>
  <c r="ES193"/>
  <c r="ER193"/>
  <c r="EQ193"/>
  <c r="EP193"/>
  <c r="EO193"/>
  <c r="EN193"/>
  <c r="EM193"/>
  <c r="EL193"/>
  <c r="EK193"/>
  <c r="EJ193"/>
  <c r="EI193"/>
  <c r="EH193"/>
  <c r="EG193"/>
  <c r="EF193"/>
  <c r="EE193"/>
  <c r="ED193"/>
  <c r="EC193"/>
  <c r="EB193"/>
  <c r="EA193"/>
  <c r="DZ193"/>
  <c r="DY193"/>
  <c r="DX193"/>
  <c r="DW193"/>
  <c r="DV193"/>
  <c r="DU193"/>
  <c r="DT193"/>
  <c r="DS193"/>
  <c r="DR193"/>
  <c r="DQ193"/>
  <c r="DP193"/>
  <c r="DO193"/>
  <c r="DN193"/>
  <c r="DM193"/>
  <c r="DL193"/>
  <c r="DK193"/>
  <c r="DJ193"/>
  <c r="DI193"/>
  <c r="DH193"/>
  <c r="DG193"/>
  <c r="DF193"/>
  <c r="DE193"/>
  <c r="DD193"/>
  <c r="DC193"/>
  <c r="DB193"/>
  <c r="DA193"/>
  <c r="CZ193"/>
  <c r="CY193"/>
  <c r="CX193"/>
  <c r="CW193"/>
  <c r="CV193"/>
  <c r="CU193"/>
  <c r="CT193"/>
  <c r="CS193"/>
  <c r="CR193"/>
  <c r="CQ193"/>
  <c r="CP193"/>
  <c r="CO193"/>
  <c r="CN193"/>
  <c r="CM193"/>
  <c r="CL193"/>
  <c r="CK193"/>
  <c r="CJ193"/>
  <c r="CI193"/>
  <c r="CH193"/>
  <c r="CG193"/>
  <c r="CF193"/>
  <c r="CE193"/>
  <c r="CD193"/>
  <c r="CC193"/>
  <c r="CB193"/>
  <c r="CA193"/>
  <c r="BZ193"/>
  <c r="BY193"/>
  <c r="BX193"/>
  <c r="BW193"/>
  <c r="BV193"/>
  <c r="BU193"/>
  <c r="BT193"/>
  <c r="BS193"/>
  <c r="BR193"/>
  <c r="BQ193"/>
  <c r="BP193"/>
  <c r="BO193"/>
  <c r="BN193"/>
  <c r="BM193"/>
  <c r="BL193"/>
  <c r="BK193"/>
  <c r="BJ193"/>
  <c r="BI193"/>
  <c r="BH193"/>
  <c r="BG193"/>
  <c r="BF193"/>
  <c r="BE193"/>
  <c r="BD193"/>
  <c r="BC193"/>
  <c r="BB193"/>
  <c r="BA193"/>
  <c r="AZ193"/>
  <c r="AY193"/>
  <c r="AX193"/>
  <c r="AW193"/>
  <c r="AV193"/>
  <c r="AU193"/>
  <c r="AT193"/>
  <c r="AS193"/>
  <c r="AR193"/>
  <c r="AQ193"/>
  <c r="AP193"/>
  <c r="AO193"/>
  <c r="AN193"/>
  <c r="AM193"/>
  <c r="AL193"/>
  <c r="AK193"/>
  <c r="AJ193"/>
  <c r="AI193"/>
  <c r="AH193"/>
  <c r="AG193"/>
  <c r="AF193"/>
  <c r="AE193"/>
  <c r="AD193"/>
  <c r="AC193"/>
  <c r="AB193"/>
  <c r="AA193"/>
  <c r="Z193"/>
  <c r="Y193"/>
  <c r="X193"/>
  <c r="W193"/>
  <c r="V193"/>
  <c r="U193"/>
  <c r="T193"/>
  <c r="S193"/>
  <c r="R193"/>
  <c r="Q193"/>
  <c r="P193"/>
  <c r="O193"/>
  <c r="N193"/>
  <c r="M193"/>
  <c r="L193"/>
  <c r="K193"/>
  <c r="J193"/>
  <c r="I193"/>
  <c r="H193"/>
  <c r="G193"/>
  <c r="F193"/>
  <c r="E193"/>
  <c r="D193"/>
  <c r="C193"/>
  <c r="B193"/>
  <c r="A193"/>
  <c r="IV192"/>
  <c r="IU192"/>
  <c r="IT192"/>
  <c r="IS192"/>
  <c r="IR192"/>
  <c r="IQ192"/>
  <c r="IP192"/>
  <c r="IO192"/>
  <c r="IN192"/>
  <c r="IM192"/>
  <c r="IL192"/>
  <c r="IK192"/>
  <c r="IJ192"/>
  <c r="II192"/>
  <c r="IH192"/>
  <c r="IG192"/>
  <c r="IF192"/>
  <c r="IE192"/>
  <c r="ID192"/>
  <c r="IC192"/>
  <c r="IB192"/>
  <c r="IA192"/>
  <c r="HZ192"/>
  <c r="HY192"/>
  <c r="HX192"/>
  <c r="HW192"/>
  <c r="HV192"/>
  <c r="HU192"/>
  <c r="HT192"/>
  <c r="HS192"/>
  <c r="HR192"/>
  <c r="HQ192"/>
  <c r="HP192"/>
  <c r="HO192"/>
  <c r="HN192"/>
  <c r="HM192"/>
  <c r="HL192"/>
  <c r="HK192"/>
  <c r="HJ192"/>
  <c r="HI192"/>
  <c r="HH192"/>
  <c r="HG192"/>
  <c r="HF192"/>
  <c r="HE192"/>
  <c r="HD192"/>
  <c r="HC192"/>
  <c r="HB192"/>
  <c r="HA192"/>
  <c r="GZ192"/>
  <c r="GY192"/>
  <c r="GX192"/>
  <c r="GW192"/>
  <c r="GV192"/>
  <c r="GU192"/>
  <c r="GT192"/>
  <c r="GS192"/>
  <c r="GR192"/>
  <c r="GQ192"/>
  <c r="GP192"/>
  <c r="GO192"/>
  <c r="GN192"/>
  <c r="GM192"/>
  <c r="GL192"/>
  <c r="GK192"/>
  <c r="GJ192"/>
  <c r="GI192"/>
  <c r="GH192"/>
  <c r="GG192"/>
  <c r="GF192"/>
  <c r="GE192"/>
  <c r="GD192"/>
  <c r="GC192"/>
  <c r="GB192"/>
  <c r="GA192"/>
  <c r="FZ192"/>
  <c r="FY192"/>
  <c r="FX192"/>
  <c r="FW192"/>
  <c r="FV192"/>
  <c r="FU192"/>
  <c r="FT192"/>
  <c r="FS192"/>
  <c r="FR192"/>
  <c r="FQ192"/>
  <c r="FP192"/>
  <c r="FO192"/>
  <c r="FN192"/>
  <c r="FM192"/>
  <c r="FL192"/>
  <c r="FK192"/>
  <c r="FJ192"/>
  <c r="FI192"/>
  <c r="FH192"/>
  <c r="FG192"/>
  <c r="FF192"/>
  <c r="FE192"/>
  <c r="FD192"/>
  <c r="FC192"/>
  <c r="FB192"/>
  <c r="FA192"/>
  <c r="EZ192"/>
  <c r="EY192"/>
  <c r="EX192"/>
  <c r="EW192"/>
  <c r="EV192"/>
  <c r="EU192"/>
  <c r="ET192"/>
  <c r="ES192"/>
  <c r="ER192"/>
  <c r="EQ192"/>
  <c r="EP192"/>
  <c r="EO192"/>
  <c r="EN192"/>
  <c r="EM192"/>
  <c r="EL192"/>
  <c r="EK192"/>
  <c r="EJ192"/>
  <c r="EI192"/>
  <c r="EH192"/>
  <c r="EG192"/>
  <c r="EF192"/>
  <c r="EE192"/>
  <c r="ED192"/>
  <c r="EC192"/>
  <c r="EB192"/>
  <c r="EA192"/>
  <c r="DZ192"/>
  <c r="DY192"/>
  <c r="DX192"/>
  <c r="DW192"/>
  <c r="DV192"/>
  <c r="DU192"/>
  <c r="DT192"/>
  <c r="DS192"/>
  <c r="DR192"/>
  <c r="DQ192"/>
  <c r="DP192"/>
  <c r="DO192"/>
  <c r="DN192"/>
  <c r="DM192"/>
  <c r="DL192"/>
  <c r="DK192"/>
  <c r="DJ192"/>
  <c r="DI192"/>
  <c r="DH192"/>
  <c r="DG192"/>
  <c r="DF192"/>
  <c r="DE192"/>
  <c r="DD192"/>
  <c r="DC192"/>
  <c r="DB192"/>
  <c r="DA192"/>
  <c r="CZ192"/>
  <c r="CY192"/>
  <c r="CX192"/>
  <c r="CW192"/>
  <c r="CV192"/>
  <c r="CU192"/>
  <c r="CT192"/>
  <c r="CS192"/>
  <c r="CR192"/>
  <c r="CQ192"/>
  <c r="CP192"/>
  <c r="CO192"/>
  <c r="CN192"/>
  <c r="CM192"/>
  <c r="CL192"/>
  <c r="CK192"/>
  <c r="CJ192"/>
  <c r="CI192"/>
  <c r="CH192"/>
  <c r="CG192"/>
  <c r="CF192"/>
  <c r="CE192"/>
  <c r="CD192"/>
  <c r="CC192"/>
  <c r="CB192"/>
  <c r="CA192"/>
  <c r="BZ192"/>
  <c r="BY192"/>
  <c r="BX192"/>
  <c r="BW192"/>
  <c r="BV192"/>
  <c r="BU192"/>
  <c r="BT192"/>
  <c r="BS192"/>
  <c r="BR192"/>
  <c r="BQ192"/>
  <c r="BP192"/>
  <c r="BO192"/>
  <c r="BN192"/>
  <c r="BM192"/>
  <c r="BL192"/>
  <c r="BK192"/>
  <c r="BJ192"/>
  <c r="BI192"/>
  <c r="BH192"/>
  <c r="BG192"/>
  <c r="BF192"/>
  <c r="BE192"/>
  <c r="BD192"/>
  <c r="BC192"/>
  <c r="BB192"/>
  <c r="BA192"/>
  <c r="AZ192"/>
  <c r="AY192"/>
  <c r="AX192"/>
  <c r="AW192"/>
  <c r="AV192"/>
  <c r="AU192"/>
  <c r="AT192"/>
  <c r="AS192"/>
  <c r="AR192"/>
  <c r="AQ192"/>
  <c r="AP192"/>
  <c r="AO192"/>
  <c r="AN192"/>
  <c r="AM192"/>
  <c r="AL192"/>
  <c r="AK192"/>
  <c r="AJ192"/>
  <c r="AI192"/>
  <c r="AH192"/>
  <c r="AG192"/>
  <c r="AF192"/>
  <c r="AE192"/>
  <c r="AD192"/>
  <c r="AC192"/>
  <c r="AB192"/>
  <c r="AA192"/>
  <c r="Z192"/>
  <c r="Y192"/>
  <c r="X192"/>
  <c r="W192"/>
  <c r="V192"/>
  <c r="U192"/>
  <c r="T192"/>
  <c r="S192"/>
  <c r="R192"/>
  <c r="Q192"/>
  <c r="P192"/>
  <c r="O192"/>
  <c r="N192"/>
  <c r="M192"/>
  <c r="L192"/>
  <c r="K192"/>
  <c r="J192"/>
  <c r="I192"/>
  <c r="H192"/>
  <c r="G192"/>
  <c r="F192"/>
  <c r="E192"/>
  <c r="D192"/>
  <c r="C192"/>
  <c r="B192"/>
  <c r="A192"/>
  <c r="IV191"/>
  <c r="IU191"/>
  <c r="IT191"/>
  <c r="IS191"/>
  <c r="IR191"/>
  <c r="IQ191"/>
  <c r="IP191"/>
  <c r="IO191"/>
  <c r="IN191"/>
  <c r="IM191"/>
  <c r="IL191"/>
  <c r="IK191"/>
  <c r="IJ191"/>
  <c r="II191"/>
  <c r="IH191"/>
  <c r="IG191"/>
  <c r="IF191"/>
  <c r="IE191"/>
  <c r="ID191"/>
  <c r="IC191"/>
  <c r="IB191"/>
  <c r="IA191"/>
  <c r="HZ191"/>
  <c r="HY191"/>
  <c r="HX191"/>
  <c r="HW191"/>
  <c r="HV191"/>
  <c r="HU191"/>
  <c r="HT191"/>
  <c r="HS191"/>
  <c r="HR191"/>
  <c r="HQ191"/>
  <c r="HP191"/>
  <c r="HO191"/>
  <c r="HN191"/>
  <c r="HM191"/>
  <c r="HL191"/>
  <c r="HK191"/>
  <c r="HJ191"/>
  <c r="HI191"/>
  <c r="HH191"/>
  <c r="HG191"/>
  <c r="HF191"/>
  <c r="HE191"/>
  <c r="HD191"/>
  <c r="HC191"/>
  <c r="HB191"/>
  <c r="HA191"/>
  <c r="GZ191"/>
  <c r="GY191"/>
  <c r="GX191"/>
  <c r="GW191"/>
  <c r="GV191"/>
  <c r="GU191"/>
  <c r="GT191"/>
  <c r="GS191"/>
  <c r="GR191"/>
  <c r="GQ191"/>
  <c r="GP191"/>
  <c r="GO191"/>
  <c r="GN191"/>
  <c r="GM191"/>
  <c r="GL191"/>
  <c r="GK191"/>
  <c r="GJ191"/>
  <c r="GI191"/>
  <c r="GH191"/>
  <c r="GG191"/>
  <c r="GF191"/>
  <c r="GE191"/>
  <c r="GD191"/>
  <c r="GC191"/>
  <c r="GB191"/>
  <c r="GA191"/>
  <c r="FZ191"/>
  <c r="FY191"/>
  <c r="FX191"/>
  <c r="FW191"/>
  <c r="FV191"/>
  <c r="FU191"/>
  <c r="FT191"/>
  <c r="FS191"/>
  <c r="FR191"/>
  <c r="FQ191"/>
  <c r="FP191"/>
  <c r="FO191"/>
  <c r="FN191"/>
  <c r="FM191"/>
  <c r="FL191"/>
  <c r="FK191"/>
  <c r="FJ191"/>
  <c r="FI191"/>
  <c r="FH191"/>
  <c r="FG191"/>
  <c r="FF191"/>
  <c r="FE191"/>
  <c r="FD191"/>
  <c r="FC191"/>
  <c r="FB191"/>
  <c r="FA191"/>
  <c r="EZ191"/>
  <c r="EY191"/>
  <c r="EX191"/>
  <c r="EW191"/>
  <c r="EV191"/>
  <c r="EU191"/>
  <c r="ET191"/>
  <c r="ES191"/>
  <c r="ER191"/>
  <c r="EQ191"/>
  <c r="EP191"/>
  <c r="EO191"/>
  <c r="EN191"/>
  <c r="EM191"/>
  <c r="EL191"/>
  <c r="EK191"/>
  <c r="EJ191"/>
  <c r="EI191"/>
  <c r="EH191"/>
  <c r="EG191"/>
  <c r="EF191"/>
  <c r="EE191"/>
  <c r="ED191"/>
  <c r="EC191"/>
  <c r="EB191"/>
  <c r="EA191"/>
  <c r="DZ191"/>
  <c r="DY191"/>
  <c r="DX191"/>
  <c r="DW191"/>
  <c r="DV191"/>
  <c r="DU191"/>
  <c r="DT191"/>
  <c r="DS191"/>
  <c r="DR191"/>
  <c r="DQ191"/>
  <c r="DP191"/>
  <c r="DO191"/>
  <c r="DN191"/>
  <c r="DM191"/>
  <c r="DL191"/>
  <c r="DK191"/>
  <c r="DJ191"/>
  <c r="DI191"/>
  <c r="DH191"/>
  <c r="DG191"/>
  <c r="DF191"/>
  <c r="DE191"/>
  <c r="DD191"/>
  <c r="DC191"/>
  <c r="DB191"/>
  <c r="DA191"/>
  <c r="CZ191"/>
  <c r="CY191"/>
  <c r="CX191"/>
  <c r="CW191"/>
  <c r="CV191"/>
  <c r="CU191"/>
  <c r="CT191"/>
  <c r="CS191"/>
  <c r="CR191"/>
  <c r="CQ191"/>
  <c r="CP191"/>
  <c r="CO191"/>
  <c r="CN191"/>
  <c r="CM191"/>
  <c r="CL191"/>
  <c r="CK191"/>
  <c r="CJ191"/>
  <c r="CI191"/>
  <c r="CH191"/>
  <c r="CG191"/>
  <c r="CF191"/>
  <c r="CE191"/>
  <c r="CD191"/>
  <c r="CC191"/>
  <c r="CB191"/>
  <c r="CA191"/>
  <c r="BZ191"/>
  <c r="BY191"/>
  <c r="BX191"/>
  <c r="BW191"/>
  <c r="BV191"/>
  <c r="BU191"/>
  <c r="BT191"/>
  <c r="BS191"/>
  <c r="BR191"/>
  <c r="BQ191"/>
  <c r="BP191"/>
  <c r="BO191"/>
  <c r="BN191"/>
  <c r="BM191"/>
  <c r="BL191"/>
  <c r="BK191"/>
  <c r="BJ191"/>
  <c r="BI191"/>
  <c r="BH191"/>
  <c r="BG191"/>
  <c r="BF191"/>
  <c r="BE191"/>
  <c r="BD191"/>
  <c r="BC191"/>
  <c r="BB191"/>
  <c r="BA191"/>
  <c r="AZ191"/>
  <c r="AY191"/>
  <c r="AX191"/>
  <c r="AW191"/>
  <c r="AV191"/>
  <c r="AU191"/>
  <c r="AT191"/>
  <c r="AS191"/>
  <c r="AR191"/>
  <c r="AQ191"/>
  <c r="AP191"/>
  <c r="AO191"/>
  <c r="AN191"/>
  <c r="AM191"/>
  <c r="AL191"/>
  <c r="AK191"/>
  <c r="AJ191"/>
  <c r="AI191"/>
  <c r="AH191"/>
  <c r="AG191"/>
  <c r="AF191"/>
  <c r="AE191"/>
  <c r="AD191"/>
  <c r="AC191"/>
  <c r="AB191"/>
  <c r="AA191"/>
  <c r="Z191"/>
  <c r="Y191"/>
  <c r="X191"/>
  <c r="W191"/>
  <c r="V191"/>
  <c r="U191"/>
  <c r="T191"/>
  <c r="S191"/>
  <c r="R191"/>
  <c r="Q191"/>
  <c r="P191"/>
  <c r="O191"/>
  <c r="N191"/>
  <c r="M191"/>
  <c r="L191"/>
  <c r="K191"/>
  <c r="J191"/>
  <c r="I191"/>
  <c r="H191"/>
  <c r="G191"/>
  <c r="F191"/>
  <c r="E191"/>
  <c r="D191"/>
  <c r="C191"/>
  <c r="B191"/>
  <c r="A191"/>
  <c r="IV190"/>
  <c r="IU190"/>
  <c r="IT190"/>
  <c r="IS190"/>
  <c r="IR190"/>
  <c r="IQ190"/>
  <c r="IP190"/>
  <c r="IO190"/>
  <c r="IN190"/>
  <c r="IM190"/>
  <c r="IL190"/>
  <c r="IK190"/>
  <c r="IJ190"/>
  <c r="II190"/>
  <c r="IH190"/>
  <c r="IG190"/>
  <c r="IF190"/>
  <c r="IE190"/>
  <c r="ID190"/>
  <c r="IC190"/>
  <c r="IB190"/>
  <c r="IA190"/>
  <c r="HZ190"/>
  <c r="HY190"/>
  <c r="HX190"/>
  <c r="HW190"/>
  <c r="HV190"/>
  <c r="HU190"/>
  <c r="HT190"/>
  <c r="HS190"/>
  <c r="HR190"/>
  <c r="HQ190"/>
  <c r="HP190"/>
  <c r="HO190"/>
  <c r="HN190"/>
  <c r="HM190"/>
  <c r="HL190"/>
  <c r="HK190"/>
  <c r="HJ190"/>
  <c r="HI190"/>
  <c r="HH190"/>
  <c r="HG190"/>
  <c r="HF190"/>
  <c r="HE190"/>
  <c r="HD190"/>
  <c r="HC190"/>
  <c r="HB190"/>
  <c r="HA190"/>
  <c r="GZ190"/>
  <c r="GY190"/>
  <c r="GX190"/>
  <c r="GW190"/>
  <c r="GV190"/>
  <c r="GU190"/>
  <c r="GT190"/>
  <c r="GS190"/>
  <c r="GR190"/>
  <c r="GQ190"/>
  <c r="GP190"/>
  <c r="GO190"/>
  <c r="GN190"/>
  <c r="GM190"/>
  <c r="GL190"/>
  <c r="GK190"/>
  <c r="GJ190"/>
  <c r="GI190"/>
  <c r="GH190"/>
  <c r="GG190"/>
  <c r="GF190"/>
  <c r="GE190"/>
  <c r="GD190"/>
  <c r="GC190"/>
  <c r="GB190"/>
  <c r="GA190"/>
  <c r="FZ190"/>
  <c r="FY190"/>
  <c r="FX190"/>
  <c r="FW190"/>
  <c r="FV190"/>
  <c r="FU190"/>
  <c r="FT190"/>
  <c r="FS190"/>
  <c r="FR190"/>
  <c r="FQ190"/>
  <c r="FP190"/>
  <c r="FO190"/>
  <c r="FN190"/>
  <c r="FM190"/>
  <c r="FL190"/>
  <c r="FK190"/>
  <c r="FJ190"/>
  <c r="FI190"/>
  <c r="FH190"/>
  <c r="FG190"/>
  <c r="FF190"/>
  <c r="FE190"/>
  <c r="FD190"/>
  <c r="FC190"/>
  <c r="FB190"/>
  <c r="FA190"/>
  <c r="EZ190"/>
  <c r="EY190"/>
  <c r="EX190"/>
  <c r="EW190"/>
  <c r="EV190"/>
  <c r="EU190"/>
  <c r="ET190"/>
  <c r="ES190"/>
  <c r="ER190"/>
  <c r="EQ190"/>
  <c r="EP190"/>
  <c r="EO190"/>
  <c r="EN190"/>
  <c r="EM190"/>
  <c r="EL190"/>
  <c r="EK190"/>
  <c r="EJ190"/>
  <c r="EI190"/>
  <c r="EH190"/>
  <c r="EG190"/>
  <c r="EF190"/>
  <c r="EE190"/>
  <c r="ED190"/>
  <c r="EC190"/>
  <c r="EB190"/>
  <c r="EA190"/>
  <c r="DZ190"/>
  <c r="DY190"/>
  <c r="DX190"/>
  <c r="DW190"/>
  <c r="DV190"/>
  <c r="DU190"/>
  <c r="DT190"/>
  <c r="DS190"/>
  <c r="DR190"/>
  <c r="DQ190"/>
  <c r="DP190"/>
  <c r="DO190"/>
  <c r="DN190"/>
  <c r="DM190"/>
  <c r="DL190"/>
  <c r="DK190"/>
  <c r="DJ190"/>
  <c r="DI190"/>
  <c r="DH190"/>
  <c r="DG190"/>
  <c r="DF190"/>
  <c r="DE190"/>
  <c r="DD190"/>
  <c r="DC190"/>
  <c r="DB190"/>
  <c r="DA190"/>
  <c r="CZ190"/>
  <c r="CY190"/>
  <c r="CX190"/>
  <c r="CW190"/>
  <c r="CV190"/>
  <c r="CU190"/>
  <c r="CT190"/>
  <c r="CS190"/>
  <c r="CR190"/>
  <c r="CQ190"/>
  <c r="CP190"/>
  <c r="CO190"/>
  <c r="CN190"/>
  <c r="CM190"/>
  <c r="CL190"/>
  <c r="CK190"/>
  <c r="CJ190"/>
  <c r="CI190"/>
  <c r="CH190"/>
  <c r="CG190"/>
  <c r="CF190"/>
  <c r="CE190"/>
  <c r="CD190"/>
  <c r="CC190"/>
  <c r="CB190"/>
  <c r="CA190"/>
  <c r="BZ190"/>
  <c r="BY190"/>
  <c r="BX190"/>
  <c r="BW190"/>
  <c r="BV190"/>
  <c r="BU190"/>
  <c r="BT190"/>
  <c r="BS190"/>
  <c r="BR190"/>
  <c r="BQ190"/>
  <c r="BP190"/>
  <c r="BO190"/>
  <c r="BN190"/>
  <c r="BM190"/>
  <c r="BL190"/>
  <c r="BK190"/>
  <c r="BJ190"/>
  <c r="BI190"/>
  <c r="BH190"/>
  <c r="BG190"/>
  <c r="BF190"/>
  <c r="BE190"/>
  <c r="BD190"/>
  <c r="BC190"/>
  <c r="BB190"/>
  <c r="BA190"/>
  <c r="AZ190"/>
  <c r="AY190"/>
  <c r="AX190"/>
  <c r="AW190"/>
  <c r="AV190"/>
  <c r="AU190"/>
  <c r="AT190"/>
  <c r="AS190"/>
  <c r="AR190"/>
  <c r="AQ190"/>
  <c r="AP190"/>
  <c r="AO190"/>
  <c r="AN190"/>
  <c r="AM190"/>
  <c r="AL190"/>
  <c r="AK190"/>
  <c r="AJ190"/>
  <c r="AI190"/>
  <c r="AH190"/>
  <c r="AG190"/>
  <c r="AF190"/>
  <c r="AE190"/>
  <c r="AD190"/>
  <c r="AC190"/>
  <c r="AB190"/>
  <c r="AA190"/>
  <c r="Z190"/>
  <c r="Y190"/>
  <c r="X190"/>
  <c r="W190"/>
  <c r="V190"/>
  <c r="U190"/>
  <c r="T190"/>
  <c r="S190"/>
  <c r="R190"/>
  <c r="Q190"/>
  <c r="P190"/>
  <c r="O190"/>
  <c r="N190"/>
  <c r="M190"/>
  <c r="L190"/>
  <c r="K190"/>
  <c r="J190"/>
  <c r="I190"/>
  <c r="H190"/>
  <c r="G190"/>
  <c r="F190"/>
  <c r="E190"/>
  <c r="D190"/>
  <c r="C190"/>
  <c r="B190"/>
  <c r="A190"/>
  <c r="IV189"/>
  <c r="IU189"/>
  <c r="IT189"/>
  <c r="IS189"/>
  <c r="IR189"/>
  <c r="IQ189"/>
  <c r="IP189"/>
  <c r="IO189"/>
  <c r="IN189"/>
  <c r="IM189"/>
  <c r="IL189"/>
  <c r="IK189"/>
  <c r="IJ189"/>
  <c r="II189"/>
  <c r="IH189"/>
  <c r="IG189"/>
  <c r="IF189"/>
  <c r="IE189"/>
  <c r="ID189"/>
  <c r="IC189"/>
  <c r="IB189"/>
  <c r="IA189"/>
  <c r="HZ189"/>
  <c r="HY189"/>
  <c r="HX189"/>
  <c r="HW189"/>
  <c r="HV189"/>
  <c r="HU189"/>
  <c r="HT189"/>
  <c r="HS189"/>
  <c r="HR189"/>
  <c r="HQ189"/>
  <c r="HP189"/>
  <c r="HO189"/>
  <c r="HN189"/>
  <c r="HM189"/>
  <c r="HL189"/>
  <c r="HK189"/>
  <c r="HJ189"/>
  <c r="HI189"/>
  <c r="HH189"/>
  <c r="HG189"/>
  <c r="HF189"/>
  <c r="HE189"/>
  <c r="HD189"/>
  <c r="HC189"/>
  <c r="HB189"/>
  <c r="HA189"/>
  <c r="GZ189"/>
  <c r="GY189"/>
  <c r="GX189"/>
  <c r="GW189"/>
  <c r="GV189"/>
  <c r="GU189"/>
  <c r="GT189"/>
  <c r="GS189"/>
  <c r="GR189"/>
  <c r="GQ189"/>
  <c r="GP189"/>
  <c r="GO189"/>
  <c r="GN189"/>
  <c r="GM189"/>
  <c r="GL189"/>
  <c r="GK189"/>
  <c r="GJ189"/>
  <c r="GI189"/>
  <c r="GH189"/>
  <c r="GG189"/>
  <c r="GF189"/>
  <c r="GE189"/>
  <c r="GD189"/>
  <c r="GC189"/>
  <c r="GB189"/>
  <c r="GA189"/>
  <c r="FZ189"/>
  <c r="FY189"/>
  <c r="FX189"/>
  <c r="FW189"/>
  <c r="FV189"/>
  <c r="FU189"/>
  <c r="FT189"/>
  <c r="FS189"/>
  <c r="FR189"/>
  <c r="FQ189"/>
  <c r="FP189"/>
  <c r="FO189"/>
  <c r="FN189"/>
  <c r="FM189"/>
  <c r="FL189"/>
  <c r="FK189"/>
  <c r="FJ189"/>
  <c r="FI189"/>
  <c r="FH189"/>
  <c r="FG189"/>
  <c r="FF189"/>
  <c r="FE189"/>
  <c r="FD189"/>
  <c r="FC189"/>
  <c r="FB189"/>
  <c r="FA189"/>
  <c r="EZ189"/>
  <c r="EY189"/>
  <c r="EX189"/>
  <c r="EW189"/>
  <c r="EV189"/>
  <c r="EU189"/>
  <c r="ET189"/>
  <c r="ES189"/>
  <c r="ER189"/>
  <c r="EQ189"/>
  <c r="EP189"/>
  <c r="EO189"/>
  <c r="EN189"/>
  <c r="EM189"/>
  <c r="EL189"/>
  <c r="EK189"/>
  <c r="EJ189"/>
  <c r="EI189"/>
  <c r="EH189"/>
  <c r="EG189"/>
  <c r="EF189"/>
  <c r="EE189"/>
  <c r="ED189"/>
  <c r="EC189"/>
  <c r="EB189"/>
  <c r="EA189"/>
  <c r="DZ189"/>
  <c r="DY189"/>
  <c r="DX189"/>
  <c r="DW189"/>
  <c r="DV189"/>
  <c r="DU189"/>
  <c r="DT189"/>
  <c r="DS189"/>
  <c r="DR189"/>
  <c r="DQ189"/>
  <c r="DP189"/>
  <c r="DO189"/>
  <c r="DN189"/>
  <c r="DM189"/>
  <c r="DL189"/>
  <c r="DK189"/>
  <c r="DJ189"/>
  <c r="DI189"/>
  <c r="DH189"/>
  <c r="DG189"/>
  <c r="DF189"/>
  <c r="DE189"/>
  <c r="DD189"/>
  <c r="DC189"/>
  <c r="DB189"/>
  <c r="DA189"/>
  <c r="CZ189"/>
  <c r="CY189"/>
  <c r="CX189"/>
  <c r="CW189"/>
  <c r="CV189"/>
  <c r="CU189"/>
  <c r="CT189"/>
  <c r="CS189"/>
  <c r="CR189"/>
  <c r="CQ189"/>
  <c r="CP189"/>
  <c r="CO189"/>
  <c r="CN189"/>
  <c r="CM189"/>
  <c r="CL189"/>
  <c r="CK189"/>
  <c r="CJ189"/>
  <c r="CI189"/>
  <c r="CH189"/>
  <c r="CG189"/>
  <c r="CF189"/>
  <c r="CE189"/>
  <c r="CD189"/>
  <c r="CC189"/>
  <c r="CB189"/>
  <c r="CA189"/>
  <c r="BZ189"/>
  <c r="BY189"/>
  <c r="BX189"/>
  <c r="BW189"/>
  <c r="BV189"/>
  <c r="BU189"/>
  <c r="BT189"/>
  <c r="BS189"/>
  <c r="BR189"/>
  <c r="BQ189"/>
  <c r="BP189"/>
  <c r="BO189"/>
  <c r="BN189"/>
  <c r="BM189"/>
  <c r="BL189"/>
  <c r="BK189"/>
  <c r="BJ189"/>
  <c r="BI189"/>
  <c r="BH189"/>
  <c r="BG189"/>
  <c r="BF189"/>
  <c r="BE189"/>
  <c r="BD189"/>
  <c r="BC189"/>
  <c r="BB189"/>
  <c r="BA189"/>
  <c r="AZ189"/>
  <c r="AY189"/>
  <c r="AX189"/>
  <c r="AW189"/>
  <c r="AV189"/>
  <c r="AU189"/>
  <c r="AT189"/>
  <c r="AS189"/>
  <c r="AR189"/>
  <c r="AQ189"/>
  <c r="AP189"/>
  <c r="AO189"/>
  <c r="AN189"/>
  <c r="AM189"/>
  <c r="AL189"/>
  <c r="AK189"/>
  <c r="AJ189"/>
  <c r="AI189"/>
  <c r="AH189"/>
  <c r="AG189"/>
  <c r="AF189"/>
  <c r="AE189"/>
  <c r="AD189"/>
  <c r="AC189"/>
  <c r="AB189"/>
  <c r="AA189"/>
  <c r="Z189"/>
  <c r="Y189"/>
  <c r="X189"/>
  <c r="W189"/>
  <c r="V189"/>
  <c r="U189"/>
  <c r="T189"/>
  <c r="S189"/>
  <c r="R189"/>
  <c r="Q189"/>
  <c r="P189"/>
  <c r="O189"/>
  <c r="N189"/>
  <c r="M189"/>
  <c r="L189"/>
  <c r="K189"/>
  <c r="J189"/>
  <c r="I189"/>
  <c r="H189"/>
  <c r="G189"/>
  <c r="F189"/>
  <c r="E189"/>
  <c r="D189"/>
  <c r="C189"/>
  <c r="B189"/>
  <c r="A189"/>
  <c r="IV188"/>
  <c r="IU188"/>
  <c r="IT188"/>
  <c r="IS188"/>
  <c r="IR188"/>
  <c r="IQ188"/>
  <c r="IP188"/>
  <c r="IO188"/>
  <c r="IN188"/>
  <c r="IM188"/>
  <c r="IL188"/>
  <c r="IK188"/>
  <c r="IJ188"/>
  <c r="II188"/>
  <c r="IH188"/>
  <c r="IG188"/>
  <c r="IF188"/>
  <c r="IE188"/>
  <c r="ID188"/>
  <c r="IC188"/>
  <c r="IB188"/>
  <c r="IA188"/>
  <c r="HZ188"/>
  <c r="HY188"/>
  <c r="HX188"/>
  <c r="HW188"/>
  <c r="HV188"/>
  <c r="HU188"/>
  <c r="HT188"/>
  <c r="HS188"/>
  <c r="HR188"/>
  <c r="HQ188"/>
  <c r="HP188"/>
  <c r="HO188"/>
  <c r="HN188"/>
  <c r="HM188"/>
  <c r="HL188"/>
  <c r="HK188"/>
  <c r="HJ188"/>
  <c r="HI188"/>
  <c r="HH188"/>
  <c r="HG188"/>
  <c r="HF188"/>
  <c r="HE188"/>
  <c r="HD188"/>
  <c r="HC188"/>
  <c r="HB188"/>
  <c r="HA188"/>
  <c r="GZ188"/>
  <c r="GY188"/>
  <c r="GX188"/>
  <c r="GW188"/>
  <c r="GV188"/>
  <c r="GU188"/>
  <c r="GT188"/>
  <c r="GS188"/>
  <c r="GR188"/>
  <c r="GQ188"/>
  <c r="GP188"/>
  <c r="GO188"/>
  <c r="GN188"/>
  <c r="GM188"/>
  <c r="GL188"/>
  <c r="GK188"/>
  <c r="GJ188"/>
  <c r="GI188"/>
  <c r="GH188"/>
  <c r="GG188"/>
  <c r="GF188"/>
  <c r="GE188"/>
  <c r="GD188"/>
  <c r="GC188"/>
  <c r="GB188"/>
  <c r="GA188"/>
  <c r="FZ188"/>
  <c r="FY188"/>
  <c r="FX188"/>
  <c r="FW188"/>
  <c r="FV188"/>
  <c r="FU188"/>
  <c r="FT188"/>
  <c r="FS188"/>
  <c r="FR188"/>
  <c r="FQ188"/>
  <c r="FP188"/>
  <c r="FO188"/>
  <c r="FN188"/>
  <c r="FM188"/>
  <c r="FL188"/>
  <c r="FK188"/>
  <c r="FJ188"/>
  <c r="FI188"/>
  <c r="FH188"/>
  <c r="FG188"/>
  <c r="FF188"/>
  <c r="FE188"/>
  <c r="FD188"/>
  <c r="FC188"/>
  <c r="FB188"/>
  <c r="FA188"/>
  <c r="EZ188"/>
  <c r="EY188"/>
  <c r="EX188"/>
  <c r="EW188"/>
  <c r="EV188"/>
  <c r="EU188"/>
  <c r="ET188"/>
  <c r="ES188"/>
  <c r="ER188"/>
  <c r="EQ188"/>
  <c r="EP188"/>
  <c r="EO188"/>
  <c r="EN188"/>
  <c r="EM188"/>
  <c r="EL188"/>
  <c r="EK188"/>
  <c r="EJ188"/>
  <c r="EI188"/>
  <c r="EH188"/>
  <c r="EG188"/>
  <c r="EF188"/>
  <c r="EE188"/>
  <c r="ED188"/>
  <c r="EC188"/>
  <c r="EB188"/>
  <c r="EA188"/>
  <c r="DZ188"/>
  <c r="DY188"/>
  <c r="DX188"/>
  <c r="DW188"/>
  <c r="DV188"/>
  <c r="DU188"/>
  <c r="DT188"/>
  <c r="DS188"/>
  <c r="DR188"/>
  <c r="DQ188"/>
  <c r="DP188"/>
  <c r="DO188"/>
  <c r="DN188"/>
  <c r="DM188"/>
  <c r="DL188"/>
  <c r="DK188"/>
  <c r="DJ188"/>
  <c r="DI188"/>
  <c r="DH188"/>
  <c r="DG188"/>
  <c r="DF188"/>
  <c r="DE188"/>
  <c r="DD188"/>
  <c r="DC188"/>
  <c r="DB188"/>
  <c r="DA188"/>
  <c r="CZ188"/>
  <c r="CY188"/>
  <c r="CX188"/>
  <c r="CW188"/>
  <c r="CV188"/>
  <c r="CU188"/>
  <c r="CT188"/>
  <c r="CS188"/>
  <c r="CR188"/>
  <c r="CQ188"/>
  <c r="CP188"/>
  <c r="CO188"/>
  <c r="CN188"/>
  <c r="CM188"/>
  <c r="CL188"/>
  <c r="CK188"/>
  <c r="CJ188"/>
  <c r="CI188"/>
  <c r="CH188"/>
  <c r="CG188"/>
  <c r="CF188"/>
  <c r="CE188"/>
  <c r="CD188"/>
  <c r="CC188"/>
  <c r="CB188"/>
  <c r="CA188"/>
  <c r="BZ188"/>
  <c r="BY188"/>
  <c r="BX188"/>
  <c r="BW188"/>
  <c r="BV188"/>
  <c r="BU188"/>
  <c r="BT188"/>
  <c r="BS188"/>
  <c r="BR188"/>
  <c r="BQ188"/>
  <c r="BP188"/>
  <c r="BO188"/>
  <c r="BN188"/>
  <c r="BM188"/>
  <c r="BL188"/>
  <c r="BK188"/>
  <c r="BJ188"/>
  <c r="BI188"/>
  <c r="BH188"/>
  <c r="BG188"/>
  <c r="BF188"/>
  <c r="BE188"/>
  <c r="BD188"/>
  <c r="BC188"/>
  <c r="BB188"/>
  <c r="BA188"/>
  <c r="AZ188"/>
  <c r="AY188"/>
  <c r="AX188"/>
  <c r="AW188"/>
  <c r="AV188"/>
  <c r="AU188"/>
  <c r="AT188"/>
  <c r="AS188"/>
  <c r="AR188"/>
  <c r="AQ188"/>
  <c r="AP188"/>
  <c r="AO188"/>
  <c r="AN188"/>
  <c r="AM188"/>
  <c r="AL188"/>
  <c r="AK188"/>
  <c r="AJ188"/>
  <c r="AI188"/>
  <c r="AH188"/>
  <c r="AG188"/>
  <c r="AF188"/>
  <c r="AE188"/>
  <c r="AD188"/>
  <c r="AC188"/>
  <c r="AB188"/>
  <c r="AA188"/>
  <c r="Z188"/>
  <c r="Y188"/>
  <c r="X188"/>
  <c r="W188"/>
  <c r="V188"/>
  <c r="U188"/>
  <c r="T188"/>
  <c r="S188"/>
  <c r="R188"/>
  <c r="Q188"/>
  <c r="P188"/>
  <c r="O188"/>
  <c r="N188"/>
  <c r="M188"/>
  <c r="L188"/>
  <c r="K188"/>
  <c r="J188"/>
  <c r="I188"/>
  <c r="H188"/>
  <c r="G188"/>
  <c r="F188"/>
  <c r="E188"/>
  <c r="D188"/>
  <c r="C188"/>
  <c r="B188"/>
  <c r="A188"/>
  <c r="IV187"/>
  <c r="IU187"/>
  <c r="IT187"/>
  <c r="IS187"/>
  <c r="IR187"/>
  <c r="IQ187"/>
  <c r="IP187"/>
  <c r="IO187"/>
  <c r="IN187"/>
  <c r="IM187"/>
  <c r="IL187"/>
  <c r="IK187"/>
  <c r="IJ187"/>
  <c r="II187"/>
  <c r="IH187"/>
  <c r="IG187"/>
  <c r="IF187"/>
  <c r="IE187"/>
  <c r="ID187"/>
  <c r="IC187"/>
  <c r="IB187"/>
  <c r="IA187"/>
  <c r="HZ187"/>
  <c r="HY187"/>
  <c r="HX187"/>
  <c r="HW187"/>
  <c r="HV187"/>
  <c r="HU187"/>
  <c r="HT187"/>
  <c r="HS187"/>
  <c r="HR187"/>
  <c r="HQ187"/>
  <c r="HP187"/>
  <c r="HO187"/>
  <c r="HN187"/>
  <c r="HM187"/>
  <c r="HL187"/>
  <c r="HK187"/>
  <c r="HJ187"/>
  <c r="HI187"/>
  <c r="HH187"/>
  <c r="HG187"/>
  <c r="HF187"/>
  <c r="HE187"/>
  <c r="HD187"/>
  <c r="HC187"/>
  <c r="HB187"/>
  <c r="HA187"/>
  <c r="GZ187"/>
  <c r="GY187"/>
  <c r="GX187"/>
  <c r="GW187"/>
  <c r="GV187"/>
  <c r="GU187"/>
  <c r="GT187"/>
  <c r="GS187"/>
  <c r="GR187"/>
  <c r="GQ187"/>
  <c r="GP187"/>
  <c r="GO187"/>
  <c r="GN187"/>
  <c r="GM187"/>
  <c r="GL187"/>
  <c r="GK187"/>
  <c r="GJ187"/>
  <c r="GI187"/>
  <c r="GH187"/>
  <c r="GG187"/>
  <c r="GF187"/>
  <c r="GE187"/>
  <c r="GD187"/>
  <c r="GC187"/>
  <c r="GB187"/>
  <c r="GA187"/>
  <c r="FZ187"/>
  <c r="FY187"/>
  <c r="FX187"/>
  <c r="FW187"/>
  <c r="FV187"/>
  <c r="FU187"/>
  <c r="FT187"/>
  <c r="FS187"/>
  <c r="FR187"/>
  <c r="FQ187"/>
  <c r="FP187"/>
  <c r="FO187"/>
  <c r="FN187"/>
  <c r="FM187"/>
  <c r="FL187"/>
  <c r="FK187"/>
  <c r="FJ187"/>
  <c r="FI187"/>
  <c r="FH187"/>
  <c r="FG187"/>
  <c r="FF187"/>
  <c r="FE187"/>
  <c r="FD187"/>
  <c r="FC187"/>
  <c r="FB187"/>
  <c r="FA187"/>
  <c r="EZ187"/>
  <c r="EY187"/>
  <c r="EX187"/>
  <c r="EW187"/>
  <c r="EV187"/>
  <c r="EU187"/>
  <c r="ET187"/>
  <c r="ES187"/>
  <c r="ER187"/>
  <c r="EQ187"/>
  <c r="EP187"/>
  <c r="EO187"/>
  <c r="EN187"/>
  <c r="EM187"/>
  <c r="EL187"/>
  <c r="EK187"/>
  <c r="EJ187"/>
  <c r="EI187"/>
  <c r="EH187"/>
  <c r="EG187"/>
  <c r="EF187"/>
  <c r="EE187"/>
  <c r="ED187"/>
  <c r="EC187"/>
  <c r="EB187"/>
  <c r="EA187"/>
  <c r="DZ187"/>
  <c r="DY187"/>
  <c r="DX187"/>
  <c r="DW187"/>
  <c r="DV187"/>
  <c r="DU187"/>
  <c r="DT187"/>
  <c r="DS187"/>
  <c r="DR187"/>
  <c r="DQ187"/>
  <c r="DP187"/>
  <c r="DO187"/>
  <c r="DN187"/>
  <c r="DM187"/>
  <c r="DL187"/>
  <c r="DK187"/>
  <c r="DJ187"/>
  <c r="DI187"/>
  <c r="DH187"/>
  <c r="DG187"/>
  <c r="DF187"/>
  <c r="DE187"/>
  <c r="DD187"/>
  <c r="DC187"/>
  <c r="DB187"/>
  <c r="DA187"/>
  <c r="CZ187"/>
  <c r="CY187"/>
  <c r="CX187"/>
  <c r="CW187"/>
  <c r="CV187"/>
  <c r="CU187"/>
  <c r="CT187"/>
  <c r="CS187"/>
  <c r="CR187"/>
  <c r="CQ187"/>
  <c r="CP187"/>
  <c r="CO187"/>
  <c r="CN187"/>
  <c r="CM187"/>
  <c r="CL187"/>
  <c r="CK187"/>
  <c r="CJ187"/>
  <c r="CI187"/>
  <c r="CH187"/>
  <c r="CG187"/>
  <c r="CF187"/>
  <c r="CE187"/>
  <c r="CD187"/>
  <c r="CC187"/>
  <c r="CB187"/>
  <c r="CA187"/>
  <c r="BZ187"/>
  <c r="BY187"/>
  <c r="BX187"/>
  <c r="BW187"/>
  <c r="BV187"/>
  <c r="BU187"/>
  <c r="BT187"/>
  <c r="BS187"/>
  <c r="BR187"/>
  <c r="BQ187"/>
  <c r="BP187"/>
  <c r="BO187"/>
  <c r="BN187"/>
  <c r="BM187"/>
  <c r="BL187"/>
  <c r="BK187"/>
  <c r="BJ187"/>
  <c r="BI187"/>
  <c r="BH187"/>
  <c r="BG187"/>
  <c r="BF187"/>
  <c r="BE187"/>
  <c r="BD187"/>
  <c r="BC187"/>
  <c r="BB187"/>
  <c r="BA187"/>
  <c r="AZ187"/>
  <c r="AY187"/>
  <c r="AX187"/>
  <c r="AW187"/>
  <c r="AV187"/>
  <c r="AU187"/>
  <c r="AT187"/>
  <c r="AS187"/>
  <c r="AR187"/>
  <c r="AQ187"/>
  <c r="AP187"/>
  <c r="AO187"/>
  <c r="AN187"/>
  <c r="AM187"/>
  <c r="AL187"/>
  <c r="AK187"/>
  <c r="AJ187"/>
  <c r="AI187"/>
  <c r="AH187"/>
  <c r="AG187"/>
  <c r="AF187"/>
  <c r="AE187"/>
  <c r="AD187"/>
  <c r="AC187"/>
  <c r="AB187"/>
  <c r="AA187"/>
  <c r="Z187"/>
  <c r="Y187"/>
  <c r="X187"/>
  <c r="W187"/>
  <c r="V187"/>
  <c r="U187"/>
  <c r="T187"/>
  <c r="S187"/>
  <c r="R187"/>
  <c r="Q187"/>
  <c r="P187"/>
  <c r="O187"/>
  <c r="N187"/>
  <c r="M187"/>
  <c r="L187"/>
  <c r="K187"/>
  <c r="J187"/>
  <c r="I187"/>
  <c r="H187"/>
  <c r="G187"/>
  <c r="F187"/>
  <c r="E187"/>
  <c r="D187"/>
  <c r="C187"/>
  <c r="B187"/>
  <c r="A187"/>
  <c r="IV186"/>
  <c r="IU186"/>
  <c r="IT186"/>
  <c r="IS186"/>
  <c r="IR186"/>
  <c r="IQ186"/>
  <c r="IP186"/>
  <c r="IO186"/>
  <c r="IN186"/>
  <c r="IM186"/>
  <c r="IL186"/>
  <c r="IK186"/>
  <c r="IJ186"/>
  <c r="II186"/>
  <c r="IH186"/>
  <c r="IG186"/>
  <c r="IF186"/>
  <c r="IE186"/>
  <c r="ID186"/>
  <c r="IC186"/>
  <c r="IB186"/>
  <c r="IA186"/>
  <c r="HZ186"/>
  <c r="HY186"/>
  <c r="HX186"/>
  <c r="HW186"/>
  <c r="HV186"/>
  <c r="HU186"/>
  <c r="HT186"/>
  <c r="HS186"/>
  <c r="HR186"/>
  <c r="HQ186"/>
  <c r="HP186"/>
  <c r="HO186"/>
  <c r="HN186"/>
  <c r="HM186"/>
  <c r="HL186"/>
  <c r="HK186"/>
  <c r="HJ186"/>
  <c r="HI186"/>
  <c r="HH186"/>
  <c r="HG186"/>
  <c r="HF186"/>
  <c r="HE186"/>
  <c r="HD186"/>
  <c r="HC186"/>
  <c r="HB186"/>
  <c r="HA186"/>
  <c r="GZ186"/>
  <c r="GY186"/>
  <c r="GX186"/>
  <c r="GW186"/>
  <c r="GV186"/>
  <c r="GU186"/>
  <c r="GT186"/>
  <c r="GS186"/>
  <c r="GR186"/>
  <c r="GQ186"/>
  <c r="GP186"/>
  <c r="GO186"/>
  <c r="GN186"/>
  <c r="GM186"/>
  <c r="GL186"/>
  <c r="GK186"/>
  <c r="GJ186"/>
  <c r="GI186"/>
  <c r="GH186"/>
  <c r="GG186"/>
  <c r="GF186"/>
  <c r="GE186"/>
  <c r="GD186"/>
  <c r="GC186"/>
  <c r="GB186"/>
  <c r="GA186"/>
  <c r="FZ186"/>
  <c r="FY186"/>
  <c r="FX186"/>
  <c r="FW186"/>
  <c r="FV186"/>
  <c r="FU186"/>
  <c r="FT186"/>
  <c r="FS186"/>
  <c r="FR186"/>
  <c r="FQ186"/>
  <c r="FP186"/>
  <c r="FO186"/>
  <c r="FN186"/>
  <c r="FM186"/>
  <c r="FL186"/>
  <c r="FK186"/>
  <c r="FJ186"/>
  <c r="FI186"/>
  <c r="FH186"/>
  <c r="FG186"/>
  <c r="FF186"/>
  <c r="FE186"/>
  <c r="FD186"/>
  <c r="FC186"/>
  <c r="FB186"/>
  <c r="FA186"/>
  <c r="EZ186"/>
  <c r="EY186"/>
  <c r="EX186"/>
  <c r="EW186"/>
  <c r="EV186"/>
  <c r="EU186"/>
  <c r="ET186"/>
  <c r="ES186"/>
  <c r="ER186"/>
  <c r="EQ186"/>
  <c r="EP186"/>
  <c r="EO186"/>
  <c r="EN186"/>
  <c r="EM186"/>
  <c r="EL186"/>
  <c r="EK186"/>
  <c r="EJ186"/>
  <c r="EI186"/>
  <c r="EH186"/>
  <c r="EG186"/>
  <c r="EF186"/>
  <c r="EE186"/>
  <c r="ED186"/>
  <c r="EC186"/>
  <c r="EB186"/>
  <c r="EA186"/>
  <c r="DZ186"/>
  <c r="DY186"/>
  <c r="DX186"/>
  <c r="DW186"/>
  <c r="DV186"/>
  <c r="DU186"/>
  <c r="DT186"/>
  <c r="DS186"/>
  <c r="DR186"/>
  <c r="DQ186"/>
  <c r="DP186"/>
  <c r="DO186"/>
  <c r="DN186"/>
  <c r="DM186"/>
  <c r="DL186"/>
  <c r="DK186"/>
  <c r="DJ186"/>
  <c r="DI186"/>
  <c r="DH186"/>
  <c r="DG186"/>
  <c r="DF186"/>
  <c r="DE186"/>
  <c r="DD186"/>
  <c r="DC186"/>
  <c r="DB186"/>
  <c r="DA186"/>
  <c r="CZ186"/>
  <c r="CY186"/>
  <c r="CX186"/>
  <c r="CW186"/>
  <c r="CV186"/>
  <c r="CU186"/>
  <c r="CT186"/>
  <c r="CS186"/>
  <c r="CR186"/>
  <c r="CQ186"/>
  <c r="CP186"/>
  <c r="CO186"/>
  <c r="CN186"/>
  <c r="CM186"/>
  <c r="CL186"/>
  <c r="CK186"/>
  <c r="CJ186"/>
  <c r="CI186"/>
  <c r="CH186"/>
  <c r="CG186"/>
  <c r="CF186"/>
  <c r="CE186"/>
  <c r="CD186"/>
  <c r="CC186"/>
  <c r="CB186"/>
  <c r="CA186"/>
  <c r="BZ186"/>
  <c r="BY186"/>
  <c r="BX186"/>
  <c r="BW186"/>
  <c r="BV186"/>
  <c r="BU186"/>
  <c r="BT186"/>
  <c r="BS186"/>
  <c r="BR186"/>
  <c r="BQ186"/>
  <c r="BP186"/>
  <c r="BO186"/>
  <c r="BN186"/>
  <c r="BM186"/>
  <c r="BL186"/>
  <c r="BK186"/>
  <c r="BJ186"/>
  <c r="BI186"/>
  <c r="BH186"/>
  <c r="BG186"/>
  <c r="BF186"/>
  <c r="BE186"/>
  <c r="BD186"/>
  <c r="BC186"/>
  <c r="BB186"/>
  <c r="BA186"/>
  <c r="AZ186"/>
  <c r="AY186"/>
  <c r="AX186"/>
  <c r="AW186"/>
  <c r="AV186"/>
  <c r="AU186"/>
  <c r="AT186"/>
  <c r="AS186"/>
  <c r="AR186"/>
  <c r="AQ186"/>
  <c r="AP186"/>
  <c r="AO186"/>
  <c r="AN186"/>
  <c r="AM186"/>
  <c r="AL186"/>
  <c r="AK186"/>
  <c r="AJ186"/>
  <c r="AI186"/>
  <c r="AH186"/>
  <c r="AG186"/>
  <c r="AF186"/>
  <c r="AE186"/>
  <c r="AD186"/>
  <c r="AC186"/>
  <c r="AB186"/>
  <c r="AA186"/>
  <c r="Z186"/>
  <c r="Y186"/>
  <c r="X186"/>
  <c r="W186"/>
  <c r="V186"/>
  <c r="U186"/>
  <c r="T186"/>
  <c r="S186"/>
  <c r="R186"/>
  <c r="Q186"/>
  <c r="P186"/>
  <c r="O186"/>
  <c r="N186"/>
  <c r="M186"/>
  <c r="L186"/>
  <c r="K186"/>
  <c r="J186"/>
  <c r="I186"/>
  <c r="H186"/>
  <c r="G186"/>
  <c r="F186"/>
  <c r="E186"/>
  <c r="D186"/>
  <c r="C186"/>
  <c r="B186"/>
  <c r="A186"/>
  <c r="IV185"/>
  <c r="IU185"/>
  <c r="IT185"/>
  <c r="IS185"/>
  <c r="IR185"/>
  <c r="IQ185"/>
  <c r="IP185"/>
  <c r="IO185"/>
  <c r="IN185"/>
  <c r="IM185"/>
  <c r="IL185"/>
  <c r="IK185"/>
  <c r="IJ185"/>
  <c r="II185"/>
  <c r="IH185"/>
  <c r="IG185"/>
  <c r="IF185"/>
  <c r="IE185"/>
  <c r="ID185"/>
  <c r="IC185"/>
  <c r="IB185"/>
  <c r="IA185"/>
  <c r="HZ185"/>
  <c r="HY185"/>
  <c r="HX185"/>
  <c r="HW185"/>
  <c r="HV185"/>
  <c r="HU185"/>
  <c r="HT185"/>
  <c r="HS185"/>
  <c r="HR185"/>
  <c r="HQ185"/>
  <c r="HP185"/>
  <c r="HO185"/>
  <c r="HN185"/>
  <c r="HM185"/>
  <c r="HL185"/>
  <c r="HK185"/>
  <c r="HJ185"/>
  <c r="HI185"/>
  <c r="HH185"/>
  <c r="HG185"/>
  <c r="HF185"/>
  <c r="HE185"/>
  <c r="HD185"/>
  <c r="HC185"/>
  <c r="HB185"/>
  <c r="HA185"/>
  <c r="GZ185"/>
  <c r="GY185"/>
  <c r="GX185"/>
  <c r="GW185"/>
  <c r="GV185"/>
  <c r="GU185"/>
  <c r="GT185"/>
  <c r="GS185"/>
  <c r="GR185"/>
  <c r="GQ185"/>
  <c r="GP185"/>
  <c r="GO185"/>
  <c r="GN185"/>
  <c r="GM185"/>
  <c r="GL185"/>
  <c r="GK185"/>
  <c r="GJ185"/>
  <c r="GI185"/>
  <c r="GH185"/>
  <c r="GG185"/>
  <c r="GF185"/>
  <c r="GE185"/>
  <c r="GD185"/>
  <c r="GC185"/>
  <c r="GB185"/>
  <c r="GA185"/>
  <c r="FZ185"/>
  <c r="FY185"/>
  <c r="FX185"/>
  <c r="FW185"/>
  <c r="FV185"/>
  <c r="FU185"/>
  <c r="FT185"/>
  <c r="FS185"/>
  <c r="FR185"/>
  <c r="FQ185"/>
  <c r="FP185"/>
  <c r="FO185"/>
  <c r="FN185"/>
  <c r="FM185"/>
  <c r="FL185"/>
  <c r="FK185"/>
  <c r="FJ185"/>
  <c r="FI185"/>
  <c r="FH185"/>
  <c r="FG185"/>
  <c r="FF185"/>
  <c r="FE185"/>
  <c r="FD185"/>
  <c r="FC185"/>
  <c r="FB185"/>
  <c r="FA185"/>
  <c r="EZ185"/>
  <c r="EY185"/>
  <c r="EX185"/>
  <c r="EW185"/>
  <c r="EV185"/>
  <c r="EU185"/>
  <c r="ET185"/>
  <c r="ES185"/>
  <c r="ER185"/>
  <c r="EQ185"/>
  <c r="EP185"/>
  <c r="EO185"/>
  <c r="EN185"/>
  <c r="EM185"/>
  <c r="EL185"/>
  <c r="EK185"/>
  <c r="EJ185"/>
  <c r="EI185"/>
  <c r="EH185"/>
  <c r="EG185"/>
  <c r="EF185"/>
  <c r="EE185"/>
  <c r="ED185"/>
  <c r="EC185"/>
  <c r="EB185"/>
  <c r="EA185"/>
  <c r="DZ185"/>
  <c r="DY185"/>
  <c r="DX185"/>
  <c r="DW185"/>
  <c r="DV185"/>
  <c r="DU185"/>
  <c r="DT185"/>
  <c r="DS185"/>
  <c r="DR185"/>
  <c r="DQ185"/>
  <c r="DP185"/>
  <c r="DO185"/>
  <c r="DN185"/>
  <c r="DM185"/>
  <c r="DL185"/>
  <c r="DK185"/>
  <c r="DJ185"/>
  <c r="DI185"/>
  <c r="DH185"/>
  <c r="DG185"/>
  <c r="DF185"/>
  <c r="DE185"/>
  <c r="DD185"/>
  <c r="DC185"/>
  <c r="DB185"/>
  <c r="DA185"/>
  <c r="CZ185"/>
  <c r="CY185"/>
  <c r="CX185"/>
  <c r="CW185"/>
  <c r="CV185"/>
  <c r="CU185"/>
  <c r="CT185"/>
  <c r="CS185"/>
  <c r="CR185"/>
  <c r="CQ185"/>
  <c r="CP185"/>
  <c r="CO185"/>
  <c r="CN185"/>
  <c r="CM185"/>
  <c r="CL185"/>
  <c r="CK185"/>
  <c r="CJ185"/>
  <c r="CI185"/>
  <c r="CH185"/>
  <c r="CG185"/>
  <c r="CF185"/>
  <c r="CE185"/>
  <c r="CD185"/>
  <c r="CC185"/>
  <c r="CB185"/>
  <c r="CA185"/>
  <c r="BZ185"/>
  <c r="BY185"/>
  <c r="BX185"/>
  <c r="BW185"/>
  <c r="BV185"/>
  <c r="BU185"/>
  <c r="BT185"/>
  <c r="BS185"/>
  <c r="BR185"/>
  <c r="BQ185"/>
  <c r="BP185"/>
  <c r="BO185"/>
  <c r="BN185"/>
  <c r="BM185"/>
  <c r="BL185"/>
  <c r="BK185"/>
  <c r="BJ185"/>
  <c r="BI185"/>
  <c r="BH185"/>
  <c r="BG185"/>
  <c r="BF185"/>
  <c r="BE185"/>
  <c r="BD185"/>
  <c r="BC185"/>
  <c r="BB185"/>
  <c r="BA185"/>
  <c r="AZ185"/>
  <c r="AY185"/>
  <c r="AX185"/>
  <c r="AW185"/>
  <c r="AV185"/>
  <c r="AU185"/>
  <c r="AT185"/>
  <c r="AS185"/>
  <c r="AR185"/>
  <c r="AQ185"/>
  <c r="AP185"/>
  <c r="AO185"/>
  <c r="AN185"/>
  <c r="AM185"/>
  <c r="AL185"/>
  <c r="AK185"/>
  <c r="AJ185"/>
  <c r="AI185"/>
  <c r="AH185"/>
  <c r="AG185"/>
  <c r="AF185"/>
  <c r="AE185"/>
  <c r="AD185"/>
  <c r="AC185"/>
  <c r="AB185"/>
  <c r="AA185"/>
  <c r="Z185"/>
  <c r="Y185"/>
  <c r="X185"/>
  <c r="W185"/>
  <c r="V185"/>
  <c r="U185"/>
  <c r="T185"/>
  <c r="S185"/>
  <c r="R185"/>
  <c r="Q185"/>
  <c r="P185"/>
  <c r="O185"/>
  <c r="N185"/>
  <c r="M185"/>
  <c r="L185"/>
  <c r="K185"/>
  <c r="J185"/>
  <c r="I185"/>
  <c r="H185"/>
  <c r="G185"/>
  <c r="F185"/>
  <c r="E185"/>
  <c r="D185"/>
  <c r="C185"/>
  <c r="B185"/>
  <c r="A185"/>
  <c r="IV184"/>
  <c r="IU184"/>
  <c r="IT184"/>
  <c r="IS184"/>
  <c r="IR184"/>
  <c r="IQ184"/>
  <c r="IP184"/>
  <c r="IO184"/>
  <c r="IN184"/>
  <c r="IM184"/>
  <c r="IL184"/>
  <c r="IK184"/>
  <c r="IJ184"/>
  <c r="II184"/>
  <c r="IH184"/>
  <c r="IG184"/>
  <c r="IF184"/>
  <c r="IE184"/>
  <c r="ID184"/>
  <c r="IC184"/>
  <c r="IB184"/>
  <c r="IA184"/>
  <c r="HZ184"/>
  <c r="HY184"/>
  <c r="HX184"/>
  <c r="HW184"/>
  <c r="HV184"/>
  <c r="HU184"/>
  <c r="HT184"/>
  <c r="HS184"/>
  <c r="HR184"/>
  <c r="HQ184"/>
  <c r="HP184"/>
  <c r="HO184"/>
  <c r="HN184"/>
  <c r="HM184"/>
  <c r="HL184"/>
  <c r="HK184"/>
  <c r="HJ184"/>
  <c r="HI184"/>
  <c r="HH184"/>
  <c r="HG184"/>
  <c r="HF184"/>
  <c r="HE184"/>
  <c r="HD184"/>
  <c r="HC184"/>
  <c r="HB184"/>
  <c r="HA184"/>
  <c r="GZ184"/>
  <c r="GY184"/>
  <c r="GX184"/>
  <c r="GW184"/>
  <c r="GV184"/>
  <c r="GU184"/>
  <c r="GT184"/>
  <c r="GS184"/>
  <c r="GR184"/>
  <c r="GQ184"/>
  <c r="GP184"/>
  <c r="GO184"/>
  <c r="GN184"/>
  <c r="GM184"/>
  <c r="GL184"/>
  <c r="GK184"/>
  <c r="GJ184"/>
  <c r="GI184"/>
  <c r="GH184"/>
  <c r="GG184"/>
  <c r="GF184"/>
  <c r="GE184"/>
  <c r="GD184"/>
  <c r="GC184"/>
  <c r="GB184"/>
  <c r="GA184"/>
  <c r="FZ184"/>
  <c r="FY184"/>
  <c r="FX184"/>
  <c r="FW184"/>
  <c r="FV184"/>
  <c r="FU184"/>
  <c r="FT184"/>
  <c r="FS184"/>
  <c r="FR184"/>
  <c r="FQ184"/>
  <c r="FP184"/>
  <c r="FO184"/>
  <c r="FN184"/>
  <c r="FM184"/>
  <c r="FL184"/>
  <c r="FK184"/>
  <c r="FJ184"/>
  <c r="FI184"/>
  <c r="FH184"/>
  <c r="FG184"/>
  <c r="FF184"/>
  <c r="FE184"/>
  <c r="FD184"/>
  <c r="FC184"/>
  <c r="FB184"/>
  <c r="FA184"/>
  <c r="EZ184"/>
  <c r="EY184"/>
  <c r="EX184"/>
  <c r="EW184"/>
  <c r="EV184"/>
  <c r="EU184"/>
  <c r="ET184"/>
  <c r="ES184"/>
  <c r="ER184"/>
  <c r="EQ184"/>
  <c r="EP184"/>
  <c r="EO184"/>
  <c r="EN184"/>
  <c r="EM184"/>
  <c r="EL184"/>
  <c r="EK184"/>
  <c r="EJ184"/>
  <c r="EI184"/>
  <c r="EH184"/>
  <c r="EG184"/>
  <c r="EF184"/>
  <c r="EE184"/>
  <c r="ED184"/>
  <c r="EC184"/>
  <c r="EB184"/>
  <c r="EA184"/>
  <c r="DZ184"/>
  <c r="DY184"/>
  <c r="DX184"/>
  <c r="DW184"/>
  <c r="DV184"/>
  <c r="DU184"/>
  <c r="DT184"/>
  <c r="DS184"/>
  <c r="DR184"/>
  <c r="DQ184"/>
  <c r="DP184"/>
  <c r="DO184"/>
  <c r="DN184"/>
  <c r="DM184"/>
  <c r="DL184"/>
  <c r="DK184"/>
  <c r="DJ184"/>
  <c r="DI184"/>
  <c r="DH184"/>
  <c r="DG184"/>
  <c r="DF184"/>
  <c r="DE184"/>
  <c r="DD184"/>
  <c r="DC184"/>
  <c r="DB184"/>
  <c r="DA184"/>
  <c r="CZ184"/>
  <c r="CY184"/>
  <c r="CX184"/>
  <c r="CW184"/>
  <c r="CV184"/>
  <c r="CU184"/>
  <c r="CT184"/>
  <c r="CS184"/>
  <c r="CR184"/>
  <c r="CQ184"/>
  <c r="CP184"/>
  <c r="CO184"/>
  <c r="CN184"/>
  <c r="CM184"/>
  <c r="CL184"/>
  <c r="CK184"/>
  <c r="CJ184"/>
  <c r="CI184"/>
  <c r="CH184"/>
  <c r="CG184"/>
  <c r="CF184"/>
  <c r="CE184"/>
  <c r="CD184"/>
  <c r="CC184"/>
  <c r="CB184"/>
  <c r="CA184"/>
  <c r="BZ184"/>
  <c r="BY184"/>
  <c r="BX184"/>
  <c r="BW184"/>
  <c r="BV184"/>
  <c r="BU184"/>
  <c r="BT184"/>
  <c r="BS184"/>
  <c r="BR184"/>
  <c r="BQ184"/>
  <c r="BP184"/>
  <c r="BO184"/>
  <c r="BN184"/>
  <c r="BM184"/>
  <c r="BL184"/>
  <c r="BK184"/>
  <c r="BJ184"/>
  <c r="BI184"/>
  <c r="BH184"/>
  <c r="BG184"/>
  <c r="BF184"/>
  <c r="BE184"/>
  <c r="BD184"/>
  <c r="BC184"/>
  <c r="BB184"/>
  <c r="BA184"/>
  <c r="AZ184"/>
  <c r="AY184"/>
  <c r="AX184"/>
  <c r="AW184"/>
  <c r="AV184"/>
  <c r="AU184"/>
  <c r="AT184"/>
  <c r="AS184"/>
  <c r="AR184"/>
  <c r="AQ184"/>
  <c r="AP184"/>
  <c r="AO184"/>
  <c r="AN184"/>
  <c r="AM184"/>
  <c r="AL184"/>
  <c r="AK184"/>
  <c r="AJ184"/>
  <c r="AI184"/>
  <c r="AH184"/>
  <c r="AG184"/>
  <c r="AF184"/>
  <c r="AE184"/>
  <c r="AD184"/>
  <c r="AC184"/>
  <c r="AB184"/>
  <c r="AA184"/>
  <c r="Z184"/>
  <c r="Y184"/>
  <c r="X184"/>
  <c r="W184"/>
  <c r="V184"/>
  <c r="U184"/>
  <c r="T184"/>
  <c r="S184"/>
  <c r="R184"/>
  <c r="Q184"/>
  <c r="P184"/>
  <c r="O184"/>
  <c r="N184"/>
  <c r="M184"/>
  <c r="L184"/>
  <c r="K184"/>
  <c r="J184"/>
  <c r="I184"/>
  <c r="H184"/>
  <c r="G184"/>
  <c r="F184"/>
  <c r="E184"/>
  <c r="D184"/>
  <c r="C184"/>
  <c r="B184"/>
  <c r="A184"/>
  <c r="IV183"/>
  <c r="IU183"/>
  <c r="IT183"/>
  <c r="IS183"/>
  <c r="IR183"/>
  <c r="IQ183"/>
  <c r="IP183"/>
  <c r="IO183"/>
  <c r="IN183"/>
  <c r="IM183"/>
  <c r="IL183"/>
  <c r="IK183"/>
  <c r="IJ183"/>
  <c r="II183"/>
  <c r="IH183"/>
  <c r="IG183"/>
  <c r="IF183"/>
  <c r="IE183"/>
  <c r="ID183"/>
  <c r="IC183"/>
  <c r="IB183"/>
  <c r="IA183"/>
  <c r="HZ183"/>
  <c r="HY183"/>
  <c r="HX183"/>
  <c r="HW183"/>
  <c r="HV183"/>
  <c r="HU183"/>
  <c r="HT183"/>
  <c r="HS183"/>
  <c r="HR183"/>
  <c r="HQ183"/>
  <c r="HP183"/>
  <c r="HO183"/>
  <c r="HN183"/>
  <c r="HM183"/>
  <c r="HL183"/>
  <c r="HK183"/>
  <c r="HJ183"/>
  <c r="HI183"/>
  <c r="HH183"/>
  <c r="HG183"/>
  <c r="HF183"/>
  <c r="HE183"/>
  <c r="HD183"/>
  <c r="HC183"/>
  <c r="HB183"/>
  <c r="HA183"/>
  <c r="GZ183"/>
  <c r="GY183"/>
  <c r="GX183"/>
  <c r="GW183"/>
  <c r="GV183"/>
  <c r="GU183"/>
  <c r="GT183"/>
  <c r="GS183"/>
  <c r="GR183"/>
  <c r="GQ183"/>
  <c r="GP183"/>
  <c r="GO183"/>
  <c r="GN183"/>
  <c r="GM183"/>
  <c r="GL183"/>
  <c r="GK183"/>
  <c r="GJ183"/>
  <c r="GI183"/>
  <c r="GH183"/>
  <c r="GG183"/>
  <c r="GF183"/>
  <c r="GE183"/>
  <c r="GD183"/>
  <c r="GC183"/>
  <c r="GB183"/>
  <c r="GA183"/>
  <c r="FZ183"/>
  <c r="FY183"/>
  <c r="FX183"/>
  <c r="FW183"/>
  <c r="FV183"/>
  <c r="FU183"/>
  <c r="FT183"/>
  <c r="FS183"/>
  <c r="FR183"/>
  <c r="FQ183"/>
  <c r="FP183"/>
  <c r="FO183"/>
  <c r="FN183"/>
  <c r="FM183"/>
  <c r="FL183"/>
  <c r="FK183"/>
  <c r="FJ183"/>
  <c r="FI183"/>
  <c r="FH183"/>
  <c r="FG183"/>
  <c r="FF183"/>
  <c r="FE183"/>
  <c r="FD183"/>
  <c r="FC183"/>
  <c r="FB183"/>
  <c r="FA183"/>
  <c r="EZ183"/>
  <c r="EY183"/>
  <c r="EX183"/>
  <c r="EW183"/>
  <c r="EV183"/>
  <c r="EU183"/>
  <c r="ET183"/>
  <c r="ES183"/>
  <c r="ER183"/>
  <c r="EQ183"/>
  <c r="EP183"/>
  <c r="EO183"/>
  <c r="EN183"/>
  <c r="EM183"/>
  <c r="EL183"/>
  <c r="EK183"/>
  <c r="EJ183"/>
  <c r="EI183"/>
  <c r="EH183"/>
  <c r="EG183"/>
  <c r="EF183"/>
  <c r="EE183"/>
  <c r="ED183"/>
  <c r="EC183"/>
  <c r="EB183"/>
  <c r="EA183"/>
  <c r="DZ183"/>
  <c r="DY183"/>
  <c r="DX183"/>
  <c r="DW183"/>
  <c r="DV183"/>
  <c r="DU183"/>
  <c r="DT183"/>
  <c r="DS183"/>
  <c r="DR183"/>
  <c r="DQ183"/>
  <c r="DP183"/>
  <c r="DO183"/>
  <c r="DN183"/>
  <c r="DM183"/>
  <c r="DL183"/>
  <c r="DK183"/>
  <c r="DJ183"/>
  <c r="DI183"/>
  <c r="DH183"/>
  <c r="DG183"/>
  <c r="DF183"/>
  <c r="DE183"/>
  <c r="DD183"/>
  <c r="DC183"/>
  <c r="DB183"/>
  <c r="DA183"/>
  <c r="CZ183"/>
  <c r="CY183"/>
  <c r="CX183"/>
  <c r="CW183"/>
  <c r="CV183"/>
  <c r="CU183"/>
  <c r="CT183"/>
  <c r="CS183"/>
  <c r="CR183"/>
  <c r="CQ183"/>
  <c r="CP183"/>
  <c r="CO183"/>
  <c r="CN183"/>
  <c r="CM183"/>
  <c r="CL183"/>
  <c r="CK183"/>
  <c r="CJ183"/>
  <c r="CI183"/>
  <c r="CH183"/>
  <c r="CG183"/>
  <c r="CF183"/>
  <c r="CE183"/>
  <c r="CD183"/>
  <c r="CC183"/>
  <c r="CB183"/>
  <c r="CA183"/>
  <c r="BZ183"/>
  <c r="BY183"/>
  <c r="BX183"/>
  <c r="BW183"/>
  <c r="BV183"/>
  <c r="BU183"/>
  <c r="BT183"/>
  <c r="BS183"/>
  <c r="BR183"/>
  <c r="BQ183"/>
  <c r="BP183"/>
  <c r="BO183"/>
  <c r="BN183"/>
  <c r="BM183"/>
  <c r="BL183"/>
  <c r="BK183"/>
  <c r="BJ183"/>
  <c r="BI183"/>
  <c r="BH183"/>
  <c r="BG183"/>
  <c r="BF183"/>
  <c r="BE183"/>
  <c r="BD183"/>
  <c r="BC183"/>
  <c r="BB183"/>
  <c r="BA183"/>
  <c r="AZ183"/>
  <c r="AY183"/>
  <c r="AX183"/>
  <c r="AW183"/>
  <c r="AV183"/>
  <c r="AU183"/>
  <c r="AT183"/>
  <c r="AS183"/>
  <c r="AR183"/>
  <c r="AQ183"/>
  <c r="AP183"/>
  <c r="AO183"/>
  <c r="AN183"/>
  <c r="AM183"/>
  <c r="AL183"/>
  <c r="AK183"/>
  <c r="AJ183"/>
  <c r="AI183"/>
  <c r="AH183"/>
  <c r="AG183"/>
  <c r="AF183"/>
  <c r="AE183"/>
  <c r="AD183"/>
  <c r="AC183"/>
  <c r="AB183"/>
  <c r="AA183"/>
  <c r="Z183"/>
  <c r="Y183"/>
  <c r="X183"/>
  <c r="W183"/>
  <c r="V183"/>
  <c r="U183"/>
  <c r="T183"/>
  <c r="S183"/>
  <c r="R183"/>
  <c r="Q183"/>
  <c r="P183"/>
  <c r="O183"/>
  <c r="N183"/>
  <c r="M183"/>
  <c r="L183"/>
  <c r="K183"/>
  <c r="J183"/>
  <c r="I183"/>
  <c r="H183"/>
  <c r="G183"/>
  <c r="F183"/>
  <c r="E183"/>
  <c r="D183"/>
  <c r="C183"/>
  <c r="B183"/>
  <c r="A183"/>
  <c r="IV182"/>
  <c r="IU182"/>
  <c r="IT182"/>
  <c r="IS182"/>
  <c r="IR182"/>
  <c r="IQ182"/>
  <c r="IP182"/>
  <c r="IO182"/>
  <c r="IN182"/>
  <c r="IM182"/>
  <c r="IL182"/>
  <c r="IK182"/>
  <c r="IJ182"/>
  <c r="II182"/>
  <c r="IH182"/>
  <c r="IG182"/>
  <c r="IF182"/>
  <c r="IE182"/>
  <c r="ID182"/>
  <c r="IC182"/>
  <c r="IB182"/>
  <c r="IA182"/>
  <c r="HZ182"/>
  <c r="HY182"/>
  <c r="HX182"/>
  <c r="HW182"/>
  <c r="HV182"/>
  <c r="HU182"/>
  <c r="HT182"/>
  <c r="HS182"/>
  <c r="HR182"/>
  <c r="HQ182"/>
  <c r="HP182"/>
  <c r="HO182"/>
  <c r="HN182"/>
  <c r="HM182"/>
  <c r="HL182"/>
  <c r="HK182"/>
  <c r="HJ182"/>
  <c r="HI182"/>
  <c r="HH182"/>
  <c r="HG182"/>
  <c r="HF182"/>
  <c r="HE182"/>
  <c r="HD182"/>
  <c r="HC182"/>
  <c r="HB182"/>
  <c r="HA182"/>
  <c r="GZ182"/>
  <c r="GY182"/>
  <c r="GX182"/>
  <c r="GW182"/>
  <c r="GV182"/>
  <c r="GU182"/>
  <c r="GT182"/>
  <c r="GS182"/>
  <c r="GR182"/>
  <c r="GQ182"/>
  <c r="GP182"/>
  <c r="GO182"/>
  <c r="GN182"/>
  <c r="GM182"/>
  <c r="GL182"/>
  <c r="GK182"/>
  <c r="GJ182"/>
  <c r="GI182"/>
  <c r="GH182"/>
  <c r="GG182"/>
  <c r="GF182"/>
  <c r="GE182"/>
  <c r="GD182"/>
  <c r="GC182"/>
  <c r="GB182"/>
  <c r="GA182"/>
  <c r="FZ182"/>
  <c r="FY182"/>
  <c r="FX182"/>
  <c r="FW182"/>
  <c r="FV182"/>
  <c r="FU182"/>
  <c r="FT182"/>
  <c r="FS182"/>
  <c r="FR182"/>
  <c r="FQ182"/>
  <c r="FP182"/>
  <c r="FO182"/>
  <c r="FN182"/>
  <c r="FM182"/>
  <c r="FL182"/>
  <c r="FK182"/>
  <c r="FJ182"/>
  <c r="FI182"/>
  <c r="FH182"/>
  <c r="FG182"/>
  <c r="FF182"/>
  <c r="FE182"/>
  <c r="FD182"/>
  <c r="FC182"/>
  <c r="FB182"/>
  <c r="FA182"/>
  <c r="EZ182"/>
  <c r="EY182"/>
  <c r="EX182"/>
  <c r="EW182"/>
  <c r="EV182"/>
  <c r="EU182"/>
  <c r="ET182"/>
  <c r="ES182"/>
  <c r="ER182"/>
  <c r="EQ182"/>
  <c r="EP182"/>
  <c r="EO182"/>
  <c r="EN182"/>
  <c r="EM182"/>
  <c r="EL182"/>
  <c r="EK182"/>
  <c r="EJ182"/>
  <c r="EI182"/>
  <c r="EH182"/>
  <c r="EG182"/>
  <c r="EF182"/>
  <c r="EE182"/>
  <c r="ED182"/>
  <c r="EC182"/>
  <c r="EB182"/>
  <c r="EA182"/>
  <c r="DZ182"/>
  <c r="DY182"/>
  <c r="DX182"/>
  <c r="DW182"/>
  <c r="DV182"/>
  <c r="DU182"/>
  <c r="DT182"/>
  <c r="DS182"/>
  <c r="DR182"/>
  <c r="DQ182"/>
  <c r="DP182"/>
  <c r="DO182"/>
  <c r="DN182"/>
  <c r="DM182"/>
  <c r="DL182"/>
  <c r="DK182"/>
  <c r="DJ182"/>
  <c r="DI182"/>
  <c r="DH182"/>
  <c r="DG182"/>
  <c r="DF182"/>
  <c r="DE182"/>
  <c r="DD182"/>
  <c r="DC182"/>
  <c r="DB182"/>
  <c r="DA182"/>
  <c r="CZ182"/>
  <c r="CY182"/>
  <c r="CX182"/>
  <c r="CW182"/>
  <c r="CV182"/>
  <c r="CU182"/>
  <c r="CT182"/>
  <c r="CS182"/>
  <c r="CR182"/>
  <c r="CQ182"/>
  <c r="CP182"/>
  <c r="CO182"/>
  <c r="CN182"/>
  <c r="CM182"/>
  <c r="CL182"/>
  <c r="CK182"/>
  <c r="CJ182"/>
  <c r="CI182"/>
  <c r="CH182"/>
  <c r="CG182"/>
  <c r="CF182"/>
  <c r="CE182"/>
  <c r="CD182"/>
  <c r="CC182"/>
  <c r="CB182"/>
  <c r="CA182"/>
  <c r="BZ182"/>
  <c r="BY182"/>
  <c r="BX182"/>
  <c r="BW182"/>
  <c r="BV182"/>
  <c r="BU182"/>
  <c r="BT182"/>
  <c r="BS182"/>
  <c r="BR182"/>
  <c r="BQ182"/>
  <c r="BP182"/>
  <c r="BO182"/>
  <c r="BN182"/>
  <c r="BM182"/>
  <c r="BL182"/>
  <c r="BK182"/>
  <c r="BJ182"/>
  <c r="BI182"/>
  <c r="BH182"/>
  <c r="BG182"/>
  <c r="BF182"/>
  <c r="BE182"/>
  <c r="BD182"/>
  <c r="BC182"/>
  <c r="BB182"/>
  <c r="BA182"/>
  <c r="AZ182"/>
  <c r="AY182"/>
  <c r="AX182"/>
  <c r="AW182"/>
  <c r="AV182"/>
  <c r="AU182"/>
  <c r="AT182"/>
  <c r="AS182"/>
  <c r="AR182"/>
  <c r="AQ182"/>
  <c r="AP182"/>
  <c r="AO182"/>
  <c r="AN182"/>
  <c r="AM182"/>
  <c r="AL182"/>
  <c r="AK182"/>
  <c r="AJ182"/>
  <c r="AI182"/>
  <c r="AH182"/>
  <c r="AG182"/>
  <c r="AF182"/>
  <c r="AE182"/>
  <c r="AD182"/>
  <c r="AC182"/>
  <c r="AB182"/>
  <c r="AA182"/>
  <c r="Z182"/>
  <c r="Y182"/>
  <c r="X182"/>
  <c r="W182"/>
  <c r="V182"/>
  <c r="U182"/>
  <c r="T182"/>
  <c r="S182"/>
  <c r="R182"/>
  <c r="Q182"/>
  <c r="P182"/>
  <c r="O182"/>
  <c r="N182"/>
  <c r="M182"/>
  <c r="L182"/>
  <c r="K182"/>
  <c r="J182"/>
  <c r="I182"/>
  <c r="H182"/>
  <c r="G182"/>
  <c r="F182"/>
  <c r="E182"/>
  <c r="D182"/>
  <c r="C182"/>
  <c r="B182"/>
  <c r="A182"/>
  <c r="IV181"/>
  <c r="IU181"/>
  <c r="IT181"/>
  <c r="IS181"/>
  <c r="IR181"/>
  <c r="IQ181"/>
  <c r="IP181"/>
  <c r="IO181"/>
  <c r="IN181"/>
  <c r="IM181"/>
  <c r="IL181"/>
  <c r="IK181"/>
  <c r="IJ181"/>
  <c r="II181"/>
  <c r="IH181"/>
  <c r="IG181"/>
  <c r="IF181"/>
  <c r="IE181"/>
  <c r="ID181"/>
  <c r="IC181"/>
  <c r="IB181"/>
  <c r="IA181"/>
  <c r="HZ181"/>
  <c r="HY181"/>
  <c r="HX181"/>
  <c r="HW181"/>
  <c r="HV181"/>
  <c r="HU181"/>
  <c r="HT181"/>
  <c r="HS181"/>
  <c r="HR181"/>
  <c r="HQ181"/>
  <c r="HP181"/>
  <c r="HO181"/>
  <c r="HN181"/>
  <c r="HM181"/>
  <c r="HL181"/>
  <c r="HK181"/>
  <c r="HJ181"/>
  <c r="HI181"/>
  <c r="HH181"/>
  <c r="HG181"/>
  <c r="HF181"/>
  <c r="HE181"/>
  <c r="HD181"/>
  <c r="HC181"/>
  <c r="HB181"/>
  <c r="HA181"/>
  <c r="GZ181"/>
  <c r="GY181"/>
  <c r="GX181"/>
  <c r="GW181"/>
  <c r="GV181"/>
  <c r="GU181"/>
  <c r="GT181"/>
  <c r="GS181"/>
  <c r="GR181"/>
  <c r="GQ181"/>
  <c r="GP181"/>
  <c r="GO181"/>
  <c r="GN181"/>
  <c r="GM181"/>
  <c r="GL181"/>
  <c r="GK181"/>
  <c r="GJ181"/>
  <c r="GI181"/>
  <c r="GH181"/>
  <c r="GG181"/>
  <c r="GF181"/>
  <c r="GE181"/>
  <c r="GD181"/>
  <c r="GC181"/>
  <c r="GB181"/>
  <c r="GA181"/>
  <c r="FZ181"/>
  <c r="FY181"/>
  <c r="FX181"/>
  <c r="FW181"/>
  <c r="FV181"/>
  <c r="FU181"/>
  <c r="FT181"/>
  <c r="FS181"/>
  <c r="FR181"/>
  <c r="FQ181"/>
  <c r="FP181"/>
  <c r="FO181"/>
  <c r="FN181"/>
  <c r="FM181"/>
  <c r="FL181"/>
  <c r="FK181"/>
  <c r="FJ181"/>
  <c r="FI181"/>
  <c r="FH181"/>
  <c r="FG181"/>
  <c r="FF181"/>
  <c r="FE181"/>
  <c r="FD181"/>
  <c r="FC181"/>
  <c r="FB181"/>
  <c r="FA181"/>
  <c r="EZ181"/>
  <c r="EY181"/>
  <c r="EX181"/>
  <c r="EW181"/>
  <c r="EV181"/>
  <c r="EU181"/>
  <c r="ET181"/>
  <c r="ES181"/>
  <c r="ER181"/>
  <c r="EQ181"/>
  <c r="EP181"/>
  <c r="EO181"/>
  <c r="EN181"/>
  <c r="EM181"/>
  <c r="EL181"/>
  <c r="EK181"/>
  <c r="EJ181"/>
  <c r="EI181"/>
  <c r="EH181"/>
  <c r="EG181"/>
  <c r="EF181"/>
  <c r="EE181"/>
  <c r="ED181"/>
  <c r="EC181"/>
  <c r="EB181"/>
  <c r="EA181"/>
  <c r="DZ181"/>
  <c r="DY181"/>
  <c r="DX181"/>
  <c r="DW181"/>
  <c r="DV181"/>
  <c r="DU181"/>
  <c r="DT181"/>
  <c r="DS181"/>
  <c r="DR181"/>
  <c r="DQ181"/>
  <c r="DP181"/>
  <c r="DO181"/>
  <c r="DN181"/>
  <c r="DM181"/>
  <c r="DL181"/>
  <c r="DK181"/>
  <c r="DJ181"/>
  <c r="DI181"/>
  <c r="DH181"/>
  <c r="DG181"/>
  <c r="DF181"/>
  <c r="DE181"/>
  <c r="DD181"/>
  <c r="DC181"/>
  <c r="DB181"/>
  <c r="DA181"/>
  <c r="CZ181"/>
  <c r="CY181"/>
  <c r="CX181"/>
  <c r="CW181"/>
  <c r="CV181"/>
  <c r="CU181"/>
  <c r="CT181"/>
  <c r="CS181"/>
  <c r="CR181"/>
  <c r="CQ181"/>
  <c r="CP181"/>
  <c r="CO181"/>
  <c r="CN181"/>
  <c r="CM181"/>
  <c r="CL181"/>
  <c r="CK181"/>
  <c r="CJ181"/>
  <c r="CI181"/>
  <c r="CH181"/>
  <c r="CG181"/>
  <c r="CF181"/>
  <c r="CE181"/>
  <c r="CD181"/>
  <c r="CC181"/>
  <c r="CB181"/>
  <c r="CA181"/>
  <c r="BZ181"/>
  <c r="BY181"/>
  <c r="BX181"/>
  <c r="BW181"/>
  <c r="BV181"/>
  <c r="BU181"/>
  <c r="BT181"/>
  <c r="BS181"/>
  <c r="BR181"/>
  <c r="BQ181"/>
  <c r="BP181"/>
  <c r="BO181"/>
  <c r="BN181"/>
  <c r="BM181"/>
  <c r="BL181"/>
  <c r="BK181"/>
  <c r="BJ181"/>
  <c r="BI181"/>
  <c r="BH181"/>
  <c r="BG181"/>
  <c r="BF181"/>
  <c r="BE181"/>
  <c r="BD181"/>
  <c r="BC181"/>
  <c r="BB181"/>
  <c r="BA181"/>
  <c r="AZ181"/>
  <c r="AY181"/>
  <c r="AX181"/>
  <c r="AW181"/>
  <c r="AV181"/>
  <c r="AU181"/>
  <c r="AT181"/>
  <c r="AS181"/>
  <c r="AR181"/>
  <c r="AQ181"/>
  <c r="AP181"/>
  <c r="AO181"/>
  <c r="AN181"/>
  <c r="AM181"/>
  <c r="AL181"/>
  <c r="AK181"/>
  <c r="AJ181"/>
  <c r="AI181"/>
  <c r="AH181"/>
  <c r="AG181"/>
  <c r="AF181"/>
  <c r="AE181"/>
  <c r="AD181"/>
  <c r="AC181"/>
  <c r="AB181"/>
  <c r="AA181"/>
  <c r="Z181"/>
  <c r="Y181"/>
  <c r="X181"/>
  <c r="W181"/>
  <c r="V181"/>
  <c r="U181"/>
  <c r="T181"/>
  <c r="S181"/>
  <c r="R181"/>
  <c r="Q181"/>
  <c r="P181"/>
  <c r="O181"/>
  <c r="N181"/>
  <c r="M181"/>
  <c r="L181"/>
  <c r="K181"/>
  <c r="J181"/>
  <c r="I181"/>
  <c r="H181"/>
  <c r="G181"/>
  <c r="F181"/>
  <c r="E181"/>
  <c r="D181"/>
  <c r="C181"/>
  <c r="B181"/>
  <c r="A181"/>
  <c r="IV180"/>
  <c r="IU180"/>
  <c r="IT180"/>
  <c r="IS180"/>
  <c r="IR180"/>
  <c r="IQ180"/>
  <c r="IP180"/>
  <c r="IO180"/>
  <c r="IN180"/>
  <c r="IM180"/>
  <c r="IL180"/>
  <c r="IK180"/>
  <c r="IJ180"/>
  <c r="II180"/>
  <c r="IH180"/>
  <c r="IG180"/>
  <c r="IF180"/>
  <c r="IE180"/>
  <c r="ID180"/>
  <c r="IC180"/>
  <c r="IB180"/>
  <c r="IA180"/>
  <c r="HZ180"/>
  <c r="HY180"/>
  <c r="HX180"/>
  <c r="HW180"/>
  <c r="HV180"/>
  <c r="HU180"/>
  <c r="HT180"/>
  <c r="HS180"/>
  <c r="HR180"/>
  <c r="HQ180"/>
  <c r="HP180"/>
  <c r="HO180"/>
  <c r="HN180"/>
  <c r="HM180"/>
  <c r="HL180"/>
  <c r="HK180"/>
  <c r="HJ180"/>
  <c r="HI180"/>
  <c r="HH180"/>
  <c r="HG180"/>
  <c r="HF180"/>
  <c r="HE180"/>
  <c r="HD180"/>
  <c r="HC180"/>
  <c r="HB180"/>
  <c r="HA180"/>
  <c r="GZ180"/>
  <c r="GY180"/>
  <c r="GX180"/>
  <c r="GW180"/>
  <c r="GV180"/>
  <c r="GU180"/>
  <c r="GT180"/>
  <c r="GS180"/>
  <c r="GR180"/>
  <c r="GQ180"/>
  <c r="GP180"/>
  <c r="GO180"/>
  <c r="GN180"/>
  <c r="GM180"/>
  <c r="GL180"/>
  <c r="GK180"/>
  <c r="GJ180"/>
  <c r="GI180"/>
  <c r="GH180"/>
  <c r="GG180"/>
  <c r="GF180"/>
  <c r="GE180"/>
  <c r="GD180"/>
  <c r="GC180"/>
  <c r="GB180"/>
  <c r="GA180"/>
  <c r="FZ180"/>
  <c r="FY180"/>
  <c r="FX180"/>
  <c r="FW180"/>
  <c r="FV180"/>
  <c r="FU180"/>
  <c r="FT180"/>
  <c r="FS180"/>
  <c r="FR180"/>
  <c r="FQ180"/>
  <c r="FP180"/>
  <c r="FO180"/>
  <c r="FN180"/>
  <c r="FM180"/>
  <c r="FL180"/>
  <c r="FK180"/>
  <c r="FJ180"/>
  <c r="FI180"/>
  <c r="FH180"/>
  <c r="FG180"/>
  <c r="FF180"/>
  <c r="FE180"/>
  <c r="FD180"/>
  <c r="FC180"/>
  <c r="FB180"/>
  <c r="FA180"/>
  <c r="EZ180"/>
  <c r="EY180"/>
  <c r="EX180"/>
  <c r="EW180"/>
  <c r="EV180"/>
  <c r="EU180"/>
  <c r="ET180"/>
  <c r="ES180"/>
  <c r="ER180"/>
  <c r="EQ180"/>
  <c r="EP180"/>
  <c r="EO180"/>
  <c r="EN180"/>
  <c r="EM180"/>
  <c r="EL180"/>
  <c r="EK180"/>
  <c r="EJ180"/>
  <c r="EI180"/>
  <c r="EH180"/>
  <c r="EG180"/>
  <c r="EF180"/>
  <c r="EE180"/>
  <c r="ED180"/>
  <c r="EC180"/>
  <c r="EB180"/>
  <c r="EA180"/>
  <c r="DZ180"/>
  <c r="DY180"/>
  <c r="DX180"/>
  <c r="DW180"/>
  <c r="DV180"/>
  <c r="DU180"/>
  <c r="DT180"/>
  <c r="DS180"/>
  <c r="DR180"/>
  <c r="DQ180"/>
  <c r="DP180"/>
  <c r="DO180"/>
  <c r="DN180"/>
  <c r="DM180"/>
  <c r="DL180"/>
  <c r="DK180"/>
  <c r="DJ180"/>
  <c r="DI180"/>
  <c r="DH180"/>
  <c r="DG180"/>
  <c r="DF180"/>
  <c r="DE180"/>
  <c r="DD180"/>
  <c r="DC180"/>
  <c r="DB180"/>
  <c r="DA180"/>
  <c r="CZ180"/>
  <c r="CY180"/>
  <c r="CX180"/>
  <c r="CW180"/>
  <c r="CV180"/>
  <c r="CU180"/>
  <c r="CT180"/>
  <c r="CS180"/>
  <c r="CR180"/>
  <c r="CQ180"/>
  <c r="CP180"/>
  <c r="CO180"/>
  <c r="CN180"/>
  <c r="CM180"/>
  <c r="CL180"/>
  <c r="CK180"/>
  <c r="CJ180"/>
  <c r="CI180"/>
  <c r="CH180"/>
  <c r="CG180"/>
  <c r="CF180"/>
  <c r="CE180"/>
  <c r="CD180"/>
  <c r="CC180"/>
  <c r="CB180"/>
  <c r="CA180"/>
  <c r="BZ180"/>
  <c r="BY180"/>
  <c r="BX180"/>
  <c r="BW180"/>
  <c r="BV180"/>
  <c r="BU180"/>
  <c r="BT180"/>
  <c r="BS180"/>
  <c r="BR180"/>
  <c r="BQ180"/>
  <c r="BP180"/>
  <c r="BO180"/>
  <c r="BN180"/>
  <c r="BM180"/>
  <c r="BL180"/>
  <c r="BK180"/>
  <c r="BJ180"/>
  <c r="BI180"/>
  <c r="BH180"/>
  <c r="BG180"/>
  <c r="BF180"/>
  <c r="BE180"/>
  <c r="BD180"/>
  <c r="BC180"/>
  <c r="BB180"/>
  <c r="BA180"/>
  <c r="AZ180"/>
  <c r="AY180"/>
  <c r="AX180"/>
  <c r="AW180"/>
  <c r="AV180"/>
  <c r="AU180"/>
  <c r="AT180"/>
  <c r="AS180"/>
  <c r="AR180"/>
  <c r="AQ180"/>
  <c r="AP180"/>
  <c r="AO180"/>
  <c r="AN180"/>
  <c r="AM180"/>
  <c r="AL180"/>
  <c r="AK180"/>
  <c r="AJ180"/>
  <c r="AI180"/>
  <c r="AH180"/>
  <c r="AG180"/>
  <c r="AF180"/>
  <c r="AE180"/>
  <c r="AD180"/>
  <c r="AC180"/>
  <c r="AB180"/>
  <c r="AA180"/>
  <c r="Z180"/>
  <c r="Y180"/>
  <c r="X180"/>
  <c r="W180"/>
  <c r="V180"/>
  <c r="U180"/>
  <c r="T180"/>
  <c r="S180"/>
  <c r="R180"/>
  <c r="Q180"/>
  <c r="P180"/>
  <c r="O180"/>
  <c r="N180"/>
  <c r="M180"/>
  <c r="L180"/>
  <c r="K180"/>
  <c r="J180"/>
  <c r="I180"/>
  <c r="H180"/>
  <c r="G180"/>
  <c r="F180"/>
  <c r="E180"/>
  <c r="D180"/>
  <c r="C180"/>
  <c r="B180"/>
  <c r="A180"/>
  <c r="IV179"/>
  <c r="IU179"/>
  <c r="IT179"/>
  <c r="IS179"/>
  <c r="IR179"/>
  <c r="IQ179"/>
  <c r="IP179"/>
  <c r="IO179"/>
  <c r="IN179"/>
  <c r="IM179"/>
  <c r="IL179"/>
  <c r="IK179"/>
  <c r="IJ179"/>
  <c r="II179"/>
  <c r="IH179"/>
  <c r="IG179"/>
  <c r="IF179"/>
  <c r="IE179"/>
  <c r="ID179"/>
  <c r="IC179"/>
  <c r="IB179"/>
  <c r="IA179"/>
  <c r="HZ179"/>
  <c r="HY179"/>
  <c r="HX179"/>
  <c r="HW179"/>
  <c r="HV179"/>
  <c r="HU179"/>
  <c r="HT179"/>
  <c r="HS179"/>
  <c r="HR179"/>
  <c r="HQ179"/>
  <c r="HP179"/>
  <c r="HO179"/>
  <c r="HN179"/>
  <c r="HM179"/>
  <c r="HL179"/>
  <c r="HK179"/>
  <c r="HJ179"/>
  <c r="HI179"/>
  <c r="HH179"/>
  <c r="HG179"/>
  <c r="HF179"/>
  <c r="HE179"/>
  <c r="HD179"/>
  <c r="HC179"/>
  <c r="HB179"/>
  <c r="HA179"/>
  <c r="GZ179"/>
  <c r="GY179"/>
  <c r="GX179"/>
  <c r="GW179"/>
  <c r="GV179"/>
  <c r="GU179"/>
  <c r="GT179"/>
  <c r="GS179"/>
  <c r="GR179"/>
  <c r="GQ179"/>
  <c r="GP179"/>
  <c r="GO179"/>
  <c r="GN179"/>
  <c r="GM179"/>
  <c r="GL179"/>
  <c r="GK179"/>
  <c r="GJ179"/>
  <c r="GI179"/>
  <c r="GH179"/>
  <c r="GG179"/>
  <c r="GF179"/>
  <c r="GE179"/>
  <c r="GD179"/>
  <c r="GC179"/>
  <c r="GB179"/>
  <c r="GA179"/>
  <c r="FZ179"/>
  <c r="FY179"/>
  <c r="FX179"/>
  <c r="FW179"/>
  <c r="FV179"/>
  <c r="FU179"/>
  <c r="FT179"/>
  <c r="FS179"/>
  <c r="FR179"/>
  <c r="FQ179"/>
  <c r="FP179"/>
  <c r="FO179"/>
  <c r="FN179"/>
  <c r="FM179"/>
  <c r="FL179"/>
  <c r="FK179"/>
  <c r="FJ179"/>
  <c r="FI179"/>
  <c r="FH179"/>
  <c r="FG179"/>
  <c r="FF179"/>
  <c r="FE179"/>
  <c r="FD179"/>
  <c r="FC179"/>
  <c r="FB179"/>
  <c r="FA179"/>
  <c r="EZ179"/>
  <c r="EY179"/>
  <c r="EX179"/>
  <c r="EW179"/>
  <c r="EV179"/>
  <c r="EU179"/>
  <c r="ET179"/>
  <c r="ES179"/>
  <c r="ER179"/>
  <c r="EQ179"/>
  <c r="EP179"/>
  <c r="EO179"/>
  <c r="EN179"/>
  <c r="EM179"/>
  <c r="EL179"/>
  <c r="EK179"/>
  <c r="EJ179"/>
  <c r="EI179"/>
  <c r="EH179"/>
  <c r="EG179"/>
  <c r="EF179"/>
  <c r="EE179"/>
  <c r="ED179"/>
  <c r="EC179"/>
  <c r="EB179"/>
  <c r="EA179"/>
  <c r="DZ179"/>
  <c r="DY179"/>
  <c r="DX179"/>
  <c r="DW179"/>
  <c r="DV179"/>
  <c r="DU179"/>
  <c r="DT179"/>
  <c r="DS179"/>
  <c r="DR179"/>
  <c r="DQ179"/>
  <c r="DP179"/>
  <c r="DO179"/>
  <c r="DN179"/>
  <c r="DM179"/>
  <c r="DL179"/>
  <c r="DK179"/>
  <c r="DJ179"/>
  <c r="DI179"/>
  <c r="DH179"/>
  <c r="DG179"/>
  <c r="DF179"/>
  <c r="DE179"/>
  <c r="DD179"/>
  <c r="DC179"/>
  <c r="DB179"/>
  <c r="DA179"/>
  <c r="CZ179"/>
  <c r="CY179"/>
  <c r="CX179"/>
  <c r="CW179"/>
  <c r="CV179"/>
  <c r="CU179"/>
  <c r="CT179"/>
  <c r="CS179"/>
  <c r="CR179"/>
  <c r="CQ179"/>
  <c r="CP179"/>
  <c r="CO179"/>
  <c r="CN179"/>
  <c r="CM179"/>
  <c r="CL179"/>
  <c r="CK179"/>
  <c r="CJ179"/>
  <c r="CI179"/>
  <c r="CH179"/>
  <c r="CG179"/>
  <c r="CF179"/>
  <c r="CE179"/>
  <c r="CD179"/>
  <c r="CC179"/>
  <c r="CB179"/>
  <c r="CA179"/>
  <c r="BZ179"/>
  <c r="BY179"/>
  <c r="BX179"/>
  <c r="BW179"/>
  <c r="BV179"/>
  <c r="BU179"/>
  <c r="BT179"/>
  <c r="BS179"/>
  <c r="BR179"/>
  <c r="BQ179"/>
  <c r="BP179"/>
  <c r="BO179"/>
  <c r="BN179"/>
  <c r="BM179"/>
  <c r="BL179"/>
  <c r="BK179"/>
  <c r="BJ179"/>
  <c r="BI179"/>
  <c r="BH179"/>
  <c r="BG179"/>
  <c r="BF179"/>
  <c r="BE179"/>
  <c r="BD179"/>
  <c r="BC179"/>
  <c r="BB179"/>
  <c r="BA179"/>
  <c r="AZ179"/>
  <c r="AY179"/>
  <c r="AX179"/>
  <c r="AW179"/>
  <c r="AV179"/>
  <c r="AU179"/>
  <c r="AT179"/>
  <c r="AS179"/>
  <c r="AR179"/>
  <c r="AQ179"/>
  <c r="AP179"/>
  <c r="AO179"/>
  <c r="AN179"/>
  <c r="AM179"/>
  <c r="AL179"/>
  <c r="AK179"/>
  <c r="AJ179"/>
  <c r="AI179"/>
  <c r="AH179"/>
  <c r="AG179"/>
  <c r="AF179"/>
  <c r="AE179"/>
  <c r="AD179"/>
  <c r="AC179"/>
  <c r="AB179"/>
  <c r="AA179"/>
  <c r="Z179"/>
  <c r="Y179"/>
  <c r="X179"/>
  <c r="W179"/>
  <c r="V179"/>
  <c r="U179"/>
  <c r="T179"/>
  <c r="S179"/>
  <c r="R179"/>
  <c r="Q179"/>
  <c r="P179"/>
  <c r="O179"/>
  <c r="N179"/>
  <c r="M179"/>
  <c r="L179"/>
  <c r="K179"/>
  <c r="J179"/>
  <c r="I179"/>
  <c r="H179"/>
  <c r="G179"/>
  <c r="F179"/>
  <c r="E179"/>
  <c r="D179"/>
  <c r="C179"/>
  <c r="B179"/>
  <c r="A179"/>
  <c r="IV178"/>
  <c r="IU178"/>
  <c r="IT178"/>
  <c r="IS178"/>
  <c r="IR178"/>
  <c r="IQ178"/>
  <c r="IP178"/>
  <c r="IO178"/>
  <c r="IN178"/>
  <c r="IM178"/>
  <c r="IL178"/>
  <c r="IK178"/>
  <c r="IJ178"/>
  <c r="II178"/>
  <c r="IH178"/>
  <c r="IG178"/>
  <c r="IF178"/>
  <c r="IE178"/>
  <c r="ID178"/>
  <c r="IC178"/>
  <c r="IB178"/>
  <c r="IA178"/>
  <c r="HZ178"/>
  <c r="HY178"/>
  <c r="HX178"/>
  <c r="HW178"/>
  <c r="HV178"/>
  <c r="HU178"/>
  <c r="HT178"/>
  <c r="HS178"/>
  <c r="HR178"/>
  <c r="HQ178"/>
  <c r="HP178"/>
  <c r="HO178"/>
  <c r="HN178"/>
  <c r="HM178"/>
  <c r="HL178"/>
  <c r="HK178"/>
  <c r="HJ178"/>
  <c r="HI178"/>
  <c r="HH178"/>
  <c r="HG178"/>
  <c r="HF178"/>
  <c r="HE178"/>
  <c r="HD178"/>
  <c r="HC178"/>
  <c r="HB178"/>
  <c r="HA178"/>
  <c r="GZ178"/>
  <c r="GY178"/>
  <c r="GX178"/>
  <c r="GW178"/>
  <c r="GV178"/>
  <c r="GU178"/>
  <c r="GT178"/>
  <c r="GS178"/>
  <c r="GR178"/>
  <c r="GQ178"/>
  <c r="GP178"/>
  <c r="GO178"/>
  <c r="GN178"/>
  <c r="GM178"/>
  <c r="GL178"/>
  <c r="GK178"/>
  <c r="GJ178"/>
  <c r="GI178"/>
  <c r="GH178"/>
  <c r="GG178"/>
  <c r="GF178"/>
  <c r="GE178"/>
  <c r="GD178"/>
  <c r="GC178"/>
  <c r="GB178"/>
  <c r="GA178"/>
  <c r="FZ178"/>
  <c r="FY178"/>
  <c r="FX178"/>
  <c r="FW178"/>
  <c r="FV178"/>
  <c r="FU178"/>
  <c r="FT178"/>
  <c r="FS178"/>
  <c r="FR178"/>
  <c r="FQ178"/>
  <c r="FP178"/>
  <c r="FO178"/>
  <c r="FN178"/>
  <c r="FM178"/>
  <c r="FL178"/>
  <c r="FK178"/>
  <c r="FJ178"/>
  <c r="FI178"/>
  <c r="FH178"/>
  <c r="FG178"/>
  <c r="FF178"/>
  <c r="FE178"/>
  <c r="FD178"/>
  <c r="FC178"/>
  <c r="FB178"/>
  <c r="FA178"/>
  <c r="EZ178"/>
  <c r="EY178"/>
  <c r="EX178"/>
  <c r="EW178"/>
  <c r="EV178"/>
  <c r="EU178"/>
  <c r="ET178"/>
  <c r="ES178"/>
  <c r="ER178"/>
  <c r="EQ178"/>
  <c r="EP178"/>
  <c r="EO178"/>
  <c r="EN178"/>
  <c r="EM178"/>
  <c r="EL178"/>
  <c r="EK178"/>
  <c r="EJ178"/>
  <c r="EI178"/>
  <c r="EH178"/>
  <c r="EG178"/>
  <c r="EF178"/>
  <c r="EE178"/>
  <c r="ED178"/>
  <c r="EC178"/>
  <c r="EB178"/>
  <c r="EA178"/>
  <c r="DZ178"/>
  <c r="DY178"/>
  <c r="DX178"/>
  <c r="DW178"/>
  <c r="DV178"/>
  <c r="DU178"/>
  <c r="DT178"/>
  <c r="DS178"/>
  <c r="DR178"/>
  <c r="DQ178"/>
  <c r="DP178"/>
  <c r="DO178"/>
  <c r="DN178"/>
  <c r="DM178"/>
  <c r="DL178"/>
  <c r="DK178"/>
  <c r="DJ178"/>
  <c r="DI178"/>
  <c r="DH178"/>
  <c r="DG178"/>
  <c r="DF178"/>
  <c r="DE178"/>
  <c r="DD178"/>
  <c r="DC178"/>
  <c r="DB178"/>
  <c r="DA178"/>
  <c r="CZ178"/>
  <c r="CY178"/>
  <c r="CX178"/>
  <c r="CW178"/>
  <c r="CV178"/>
  <c r="CU178"/>
  <c r="CT178"/>
  <c r="CS178"/>
  <c r="CR178"/>
  <c r="CQ178"/>
  <c r="CP178"/>
  <c r="CO178"/>
  <c r="CN178"/>
  <c r="CM178"/>
  <c r="CL178"/>
  <c r="CK178"/>
  <c r="CJ178"/>
  <c r="CI178"/>
  <c r="CH178"/>
  <c r="CG178"/>
  <c r="CF178"/>
  <c r="CE178"/>
  <c r="CD178"/>
  <c r="CC178"/>
  <c r="CB178"/>
  <c r="CA178"/>
  <c r="BZ178"/>
  <c r="BY178"/>
  <c r="BX178"/>
  <c r="BW178"/>
  <c r="BV178"/>
  <c r="BU178"/>
  <c r="BT178"/>
  <c r="BS178"/>
  <c r="BR178"/>
  <c r="BQ178"/>
  <c r="BP178"/>
  <c r="BO178"/>
  <c r="BN178"/>
  <c r="BM178"/>
  <c r="BL178"/>
  <c r="BK178"/>
  <c r="BJ178"/>
  <c r="BI178"/>
  <c r="BH178"/>
  <c r="BG178"/>
  <c r="BF178"/>
  <c r="BE178"/>
  <c r="BD178"/>
  <c r="BC178"/>
  <c r="BB178"/>
  <c r="BA178"/>
  <c r="AZ178"/>
  <c r="AY178"/>
  <c r="AX178"/>
  <c r="AW178"/>
  <c r="AV178"/>
  <c r="AU178"/>
  <c r="AT178"/>
  <c r="AS178"/>
  <c r="AR178"/>
  <c r="AQ178"/>
  <c r="AP178"/>
  <c r="AO178"/>
  <c r="AN178"/>
  <c r="AM178"/>
  <c r="AL178"/>
  <c r="AK178"/>
  <c r="AJ178"/>
  <c r="AI178"/>
  <c r="AH178"/>
  <c r="AG178"/>
  <c r="AF178"/>
  <c r="AE178"/>
  <c r="AD178"/>
  <c r="AC178"/>
  <c r="AB178"/>
  <c r="AA178"/>
  <c r="Z178"/>
  <c r="Y178"/>
  <c r="X178"/>
  <c r="W178"/>
  <c r="V178"/>
  <c r="U178"/>
  <c r="T178"/>
  <c r="S178"/>
  <c r="R178"/>
  <c r="Q178"/>
  <c r="P178"/>
  <c r="O178"/>
  <c r="N178"/>
  <c r="M178"/>
  <c r="L178"/>
  <c r="K178"/>
  <c r="J178"/>
  <c r="I178"/>
  <c r="H178"/>
  <c r="G178"/>
  <c r="F178"/>
  <c r="E178"/>
  <c r="D178"/>
  <c r="C178"/>
  <c r="B178"/>
  <c r="A178"/>
  <c r="IV177"/>
  <c r="IU177"/>
  <c r="IT177"/>
  <c r="IS177"/>
  <c r="IR177"/>
  <c r="IQ177"/>
  <c r="IP177"/>
  <c r="IO177"/>
  <c r="IN177"/>
  <c r="IM177"/>
  <c r="IL177"/>
  <c r="IK177"/>
  <c r="IJ177"/>
  <c r="II177"/>
  <c r="IH177"/>
  <c r="IG177"/>
  <c r="IF177"/>
  <c r="IE177"/>
  <c r="ID177"/>
  <c r="IC177"/>
  <c r="IB177"/>
  <c r="IA177"/>
  <c r="HZ177"/>
  <c r="HY177"/>
  <c r="HX177"/>
  <c r="HW177"/>
  <c r="HV177"/>
  <c r="HU177"/>
  <c r="HT177"/>
  <c r="HS177"/>
  <c r="HR177"/>
  <c r="HQ177"/>
  <c r="HP177"/>
  <c r="HO177"/>
  <c r="HN177"/>
  <c r="HM177"/>
  <c r="HL177"/>
  <c r="HK177"/>
  <c r="HJ177"/>
  <c r="HI177"/>
  <c r="HH177"/>
  <c r="HG177"/>
  <c r="HF177"/>
  <c r="HE177"/>
  <c r="HD177"/>
  <c r="HC177"/>
  <c r="HB177"/>
  <c r="HA177"/>
  <c r="GZ177"/>
  <c r="GY177"/>
  <c r="GX177"/>
  <c r="GW177"/>
  <c r="GV177"/>
  <c r="GU177"/>
  <c r="GT177"/>
  <c r="GS177"/>
  <c r="GR177"/>
  <c r="GQ177"/>
  <c r="GP177"/>
  <c r="GO177"/>
  <c r="GN177"/>
  <c r="GM177"/>
  <c r="GL177"/>
  <c r="GK177"/>
  <c r="GJ177"/>
  <c r="GI177"/>
  <c r="GH177"/>
  <c r="GG177"/>
  <c r="GF177"/>
  <c r="GE177"/>
  <c r="GD177"/>
  <c r="GC177"/>
  <c r="GB177"/>
  <c r="GA177"/>
  <c r="FZ177"/>
  <c r="FY177"/>
  <c r="FX177"/>
  <c r="FW177"/>
  <c r="FV177"/>
  <c r="FU177"/>
  <c r="FT177"/>
  <c r="FS177"/>
  <c r="FR177"/>
  <c r="FQ177"/>
  <c r="FP177"/>
  <c r="FO177"/>
  <c r="FN177"/>
  <c r="FM177"/>
  <c r="FL177"/>
  <c r="FK177"/>
  <c r="FJ177"/>
  <c r="FI177"/>
  <c r="FH177"/>
  <c r="FG177"/>
  <c r="FF177"/>
  <c r="FE177"/>
  <c r="FD177"/>
  <c r="FC177"/>
  <c r="FB177"/>
  <c r="FA177"/>
  <c r="EZ177"/>
  <c r="EY177"/>
  <c r="EX177"/>
  <c r="EW177"/>
  <c r="EV177"/>
  <c r="EU177"/>
  <c r="ET177"/>
  <c r="ES177"/>
  <c r="ER177"/>
  <c r="EQ177"/>
  <c r="EP177"/>
  <c r="EO177"/>
  <c r="EN177"/>
  <c r="EM177"/>
  <c r="EL177"/>
  <c r="EK177"/>
  <c r="EJ177"/>
  <c r="EI177"/>
  <c r="EH177"/>
  <c r="EG177"/>
  <c r="EF177"/>
  <c r="EE177"/>
  <c r="ED177"/>
  <c r="EC177"/>
  <c r="EB177"/>
  <c r="EA177"/>
  <c r="DZ177"/>
  <c r="DY177"/>
  <c r="DX177"/>
  <c r="DW177"/>
  <c r="DV177"/>
  <c r="DU177"/>
  <c r="DT177"/>
  <c r="DS177"/>
  <c r="DR177"/>
  <c r="DQ177"/>
  <c r="DP177"/>
  <c r="DO177"/>
  <c r="DN177"/>
  <c r="DM177"/>
  <c r="DL177"/>
  <c r="DK177"/>
  <c r="DJ177"/>
  <c r="DI177"/>
  <c r="DH177"/>
  <c r="DG177"/>
  <c r="DF177"/>
  <c r="DE177"/>
  <c r="DD177"/>
  <c r="DC177"/>
  <c r="DB177"/>
  <c r="DA177"/>
  <c r="CZ177"/>
  <c r="CY177"/>
  <c r="CX177"/>
  <c r="CW177"/>
  <c r="CV177"/>
  <c r="CU177"/>
  <c r="CT177"/>
  <c r="CS177"/>
  <c r="CR177"/>
  <c r="CQ177"/>
  <c r="CP177"/>
  <c r="CO177"/>
  <c r="CN177"/>
  <c r="CM177"/>
  <c r="CL177"/>
  <c r="CK177"/>
  <c r="CJ177"/>
  <c r="CI177"/>
  <c r="CH177"/>
  <c r="CG177"/>
  <c r="CF177"/>
  <c r="CE177"/>
  <c r="CD177"/>
  <c r="CC177"/>
  <c r="CB177"/>
  <c r="CA177"/>
  <c r="BZ177"/>
  <c r="BY177"/>
  <c r="BX177"/>
  <c r="BW177"/>
  <c r="BV177"/>
  <c r="BU177"/>
  <c r="BT177"/>
  <c r="BS177"/>
  <c r="BR177"/>
  <c r="BQ177"/>
  <c r="BP177"/>
  <c r="BO177"/>
  <c r="BN177"/>
  <c r="BM177"/>
  <c r="BL177"/>
  <c r="BK177"/>
  <c r="BJ177"/>
  <c r="BI177"/>
  <c r="BH177"/>
  <c r="BG177"/>
  <c r="BF177"/>
  <c r="BE177"/>
  <c r="BD177"/>
  <c r="BC177"/>
  <c r="BB177"/>
  <c r="BA177"/>
  <c r="AZ177"/>
  <c r="AY177"/>
  <c r="AX177"/>
  <c r="AW177"/>
  <c r="AV177"/>
  <c r="AU177"/>
  <c r="AT177"/>
  <c r="AS177"/>
  <c r="AR177"/>
  <c r="AQ177"/>
  <c r="AP177"/>
  <c r="AO177"/>
  <c r="AN177"/>
  <c r="AM177"/>
  <c r="AL177"/>
  <c r="AK177"/>
  <c r="AJ177"/>
  <c r="AI177"/>
  <c r="AH177"/>
  <c r="AG177"/>
  <c r="AF177"/>
  <c r="AE177"/>
  <c r="AD177"/>
  <c r="AC177"/>
  <c r="AB177"/>
  <c r="AA177"/>
  <c r="Z177"/>
  <c r="Y177"/>
  <c r="X177"/>
  <c r="W177"/>
  <c r="V177"/>
  <c r="U177"/>
  <c r="T177"/>
  <c r="S177"/>
  <c r="R177"/>
  <c r="Q177"/>
  <c r="P177"/>
  <c r="O177"/>
  <c r="N177"/>
  <c r="M177"/>
  <c r="L177"/>
  <c r="K177"/>
  <c r="J177"/>
  <c r="I177"/>
  <c r="H177"/>
  <c r="G177"/>
  <c r="F177"/>
  <c r="E177"/>
  <c r="D177"/>
  <c r="C177"/>
  <c r="B177"/>
  <c r="A177"/>
  <c r="IV176"/>
  <c r="IU176"/>
  <c r="IT176"/>
  <c r="IS176"/>
  <c r="IR176"/>
  <c r="IQ176"/>
  <c r="IP176"/>
  <c r="IO176"/>
  <c r="IN176"/>
  <c r="IM176"/>
  <c r="IL176"/>
  <c r="IK176"/>
  <c r="IJ176"/>
  <c r="II176"/>
  <c r="IH176"/>
  <c r="IG176"/>
  <c r="IF176"/>
  <c r="IE176"/>
  <c r="ID176"/>
  <c r="IC176"/>
  <c r="IB176"/>
  <c r="IA176"/>
  <c r="HZ176"/>
  <c r="HY176"/>
  <c r="HX176"/>
  <c r="HW176"/>
  <c r="HV176"/>
  <c r="HU176"/>
  <c r="HT176"/>
  <c r="HS176"/>
  <c r="HR176"/>
  <c r="HQ176"/>
  <c r="HP176"/>
  <c r="HO176"/>
  <c r="HN176"/>
  <c r="HM176"/>
  <c r="HL176"/>
  <c r="HK176"/>
  <c r="HJ176"/>
  <c r="HI176"/>
  <c r="HH176"/>
  <c r="HG176"/>
  <c r="HF176"/>
  <c r="HE176"/>
  <c r="HD176"/>
  <c r="HC176"/>
  <c r="HB176"/>
  <c r="HA176"/>
  <c r="GZ176"/>
  <c r="GY176"/>
  <c r="GX176"/>
  <c r="GW176"/>
  <c r="GV176"/>
  <c r="GU176"/>
  <c r="GT176"/>
  <c r="GS176"/>
  <c r="GR176"/>
  <c r="GQ176"/>
  <c r="GP176"/>
  <c r="GO176"/>
  <c r="GN176"/>
  <c r="GM176"/>
  <c r="GL176"/>
  <c r="GK176"/>
  <c r="GJ176"/>
  <c r="GI176"/>
  <c r="GH176"/>
  <c r="GG176"/>
  <c r="GF176"/>
  <c r="GE176"/>
  <c r="GD176"/>
  <c r="GC176"/>
  <c r="GB176"/>
  <c r="GA176"/>
  <c r="FZ176"/>
  <c r="FY176"/>
  <c r="FX176"/>
  <c r="FW176"/>
  <c r="FV176"/>
  <c r="FU176"/>
  <c r="FT176"/>
  <c r="FS176"/>
  <c r="FR176"/>
  <c r="FQ176"/>
  <c r="FP176"/>
  <c r="FO176"/>
  <c r="FN176"/>
  <c r="FM176"/>
  <c r="FL176"/>
  <c r="FK176"/>
  <c r="FJ176"/>
  <c r="FI176"/>
  <c r="FH176"/>
  <c r="FG176"/>
  <c r="FF176"/>
  <c r="FE176"/>
  <c r="FD176"/>
  <c r="FC176"/>
  <c r="FB176"/>
  <c r="FA176"/>
  <c r="EZ176"/>
  <c r="EY176"/>
  <c r="EX176"/>
  <c r="EW176"/>
  <c r="EV176"/>
  <c r="EU176"/>
  <c r="ET176"/>
  <c r="ES176"/>
  <c r="ER176"/>
  <c r="EQ176"/>
  <c r="EP176"/>
  <c r="EO176"/>
  <c r="EN176"/>
  <c r="EM176"/>
  <c r="EL176"/>
  <c r="EK176"/>
  <c r="EJ176"/>
  <c r="EI176"/>
  <c r="EH176"/>
  <c r="EG176"/>
  <c r="EF176"/>
  <c r="EE176"/>
  <c r="ED176"/>
  <c r="EC176"/>
  <c r="EB176"/>
  <c r="EA176"/>
  <c r="DZ176"/>
  <c r="DY176"/>
  <c r="DX176"/>
  <c r="DW176"/>
  <c r="DV176"/>
  <c r="DU176"/>
  <c r="DT176"/>
  <c r="DS176"/>
  <c r="DR176"/>
  <c r="DQ176"/>
  <c r="DP176"/>
  <c r="DO176"/>
  <c r="DN176"/>
  <c r="DM176"/>
  <c r="DL176"/>
  <c r="DK176"/>
  <c r="DJ176"/>
  <c r="DI176"/>
  <c r="DH176"/>
  <c r="DG176"/>
  <c r="DF176"/>
  <c r="DE176"/>
  <c r="DD176"/>
  <c r="DC176"/>
  <c r="DB176"/>
  <c r="DA176"/>
  <c r="CZ176"/>
  <c r="CY176"/>
  <c r="CX176"/>
  <c r="CW176"/>
  <c r="CV176"/>
  <c r="CU176"/>
  <c r="CT176"/>
  <c r="CS176"/>
  <c r="CR176"/>
  <c r="CQ176"/>
  <c r="CP176"/>
  <c r="CO176"/>
  <c r="CN176"/>
  <c r="CM176"/>
  <c r="CL176"/>
  <c r="CK176"/>
  <c r="CJ176"/>
  <c r="CI176"/>
  <c r="CH176"/>
  <c r="CG176"/>
  <c r="CF176"/>
  <c r="CE176"/>
  <c r="CD176"/>
  <c r="CC176"/>
  <c r="CB176"/>
  <c r="CA176"/>
  <c r="BZ176"/>
  <c r="BY176"/>
  <c r="BX176"/>
  <c r="BW176"/>
  <c r="BV176"/>
  <c r="BU176"/>
  <c r="BT176"/>
  <c r="BS176"/>
  <c r="BR176"/>
  <c r="BQ176"/>
  <c r="BP176"/>
  <c r="BO176"/>
  <c r="BN176"/>
  <c r="BM176"/>
  <c r="BL176"/>
  <c r="BK176"/>
  <c r="BJ176"/>
  <c r="BI176"/>
  <c r="BH176"/>
  <c r="BG176"/>
  <c r="BF176"/>
  <c r="BE176"/>
  <c r="BD176"/>
  <c r="BC176"/>
  <c r="BB176"/>
  <c r="BA176"/>
  <c r="AZ176"/>
  <c r="AY176"/>
  <c r="AX176"/>
  <c r="AW176"/>
  <c r="AV176"/>
  <c r="AU176"/>
  <c r="AT176"/>
  <c r="AS176"/>
  <c r="AR176"/>
  <c r="AQ176"/>
  <c r="AP176"/>
  <c r="AO176"/>
  <c r="AN176"/>
  <c r="AM176"/>
  <c r="AL176"/>
  <c r="AK176"/>
  <c r="AJ176"/>
  <c r="AI176"/>
  <c r="AH176"/>
  <c r="AG176"/>
  <c r="AF176"/>
  <c r="AE176"/>
  <c r="AD176"/>
  <c r="AC176"/>
  <c r="AB176"/>
  <c r="AA176"/>
  <c r="Z176"/>
  <c r="Y176"/>
  <c r="X176"/>
  <c r="W176"/>
  <c r="V176"/>
  <c r="U176"/>
  <c r="T176"/>
  <c r="S176"/>
  <c r="R176"/>
  <c r="Q176"/>
  <c r="P176"/>
  <c r="O176"/>
  <c r="N176"/>
  <c r="M176"/>
  <c r="L176"/>
  <c r="K176"/>
  <c r="J176"/>
  <c r="I176"/>
  <c r="H176"/>
  <c r="G176"/>
  <c r="F176"/>
  <c r="E176"/>
  <c r="D176"/>
  <c r="C176"/>
  <c r="B176"/>
  <c r="A176"/>
  <c r="IV175"/>
  <c r="IU175"/>
  <c r="IT175"/>
  <c r="IS175"/>
  <c r="IR175"/>
  <c r="IQ175"/>
  <c r="IP175"/>
  <c r="IO175"/>
  <c r="IN175"/>
  <c r="IM175"/>
  <c r="IL175"/>
  <c r="IK175"/>
  <c r="IJ175"/>
  <c r="II175"/>
  <c r="IH175"/>
  <c r="IG175"/>
  <c r="IF175"/>
  <c r="IE175"/>
  <c r="ID175"/>
  <c r="IC175"/>
  <c r="IB175"/>
  <c r="IA175"/>
  <c r="HZ175"/>
  <c r="HY175"/>
  <c r="HX175"/>
  <c r="HW175"/>
  <c r="HV175"/>
  <c r="HU175"/>
  <c r="HT175"/>
  <c r="HS175"/>
  <c r="HR175"/>
  <c r="HQ175"/>
  <c r="HP175"/>
  <c r="HO175"/>
  <c r="HN175"/>
  <c r="HM175"/>
  <c r="HL175"/>
  <c r="HK175"/>
  <c r="HJ175"/>
  <c r="HI175"/>
  <c r="HH175"/>
  <c r="HG175"/>
  <c r="HF175"/>
  <c r="HE175"/>
  <c r="HD175"/>
  <c r="HC175"/>
  <c r="HB175"/>
  <c r="HA175"/>
  <c r="GZ175"/>
  <c r="GY175"/>
  <c r="GX175"/>
  <c r="GW175"/>
  <c r="GV175"/>
  <c r="GU175"/>
  <c r="GT175"/>
  <c r="GS175"/>
  <c r="GR175"/>
  <c r="GQ175"/>
  <c r="GP175"/>
  <c r="GO175"/>
  <c r="GN175"/>
  <c r="GM175"/>
  <c r="GL175"/>
  <c r="GK175"/>
  <c r="GJ175"/>
  <c r="GI175"/>
  <c r="GH175"/>
  <c r="GG175"/>
  <c r="GF175"/>
  <c r="GE175"/>
  <c r="GD175"/>
  <c r="GC175"/>
  <c r="GB175"/>
  <c r="GA175"/>
  <c r="FZ175"/>
  <c r="FY175"/>
  <c r="FX175"/>
  <c r="FW175"/>
  <c r="FV175"/>
  <c r="FU175"/>
  <c r="FT175"/>
  <c r="FS175"/>
  <c r="FR175"/>
  <c r="FQ175"/>
  <c r="FP175"/>
  <c r="FO175"/>
  <c r="FN175"/>
  <c r="FM175"/>
  <c r="FL175"/>
  <c r="FK175"/>
  <c r="FJ175"/>
  <c r="FI175"/>
  <c r="FH175"/>
  <c r="FG175"/>
  <c r="FF175"/>
  <c r="FE175"/>
  <c r="FD175"/>
  <c r="FC175"/>
  <c r="FB175"/>
  <c r="FA175"/>
  <c r="EZ175"/>
  <c r="EY175"/>
  <c r="EX175"/>
  <c r="EW175"/>
  <c r="EV175"/>
  <c r="EU175"/>
  <c r="ET175"/>
  <c r="ES175"/>
  <c r="ER175"/>
  <c r="EQ175"/>
  <c r="EP175"/>
  <c r="EO175"/>
  <c r="EN175"/>
  <c r="EM175"/>
  <c r="EL175"/>
  <c r="EK175"/>
  <c r="EJ175"/>
  <c r="EI175"/>
  <c r="EH175"/>
  <c r="EG175"/>
  <c r="EF175"/>
  <c r="EE175"/>
  <c r="ED175"/>
  <c r="EC175"/>
  <c r="EB175"/>
  <c r="EA175"/>
  <c r="DZ175"/>
  <c r="DY175"/>
  <c r="DX175"/>
  <c r="DW175"/>
  <c r="DV175"/>
  <c r="DU175"/>
  <c r="DT175"/>
  <c r="DS175"/>
  <c r="DR175"/>
  <c r="DQ175"/>
  <c r="DP175"/>
  <c r="DO175"/>
  <c r="DN175"/>
  <c r="DM175"/>
  <c r="DL175"/>
  <c r="DK175"/>
  <c r="DJ175"/>
  <c r="DI175"/>
  <c r="DH175"/>
  <c r="DG175"/>
  <c r="DF175"/>
  <c r="DE175"/>
  <c r="DD175"/>
  <c r="DC175"/>
  <c r="DB175"/>
  <c r="DA175"/>
  <c r="CZ175"/>
  <c r="CY175"/>
  <c r="CX175"/>
  <c r="CW175"/>
  <c r="CV175"/>
  <c r="CU175"/>
  <c r="CT175"/>
  <c r="CS175"/>
  <c r="CR175"/>
  <c r="CQ175"/>
  <c r="CP175"/>
  <c r="CO175"/>
  <c r="CN175"/>
  <c r="CM175"/>
  <c r="CL175"/>
  <c r="CK175"/>
  <c r="CJ175"/>
  <c r="CI175"/>
  <c r="CH175"/>
  <c r="CG175"/>
  <c r="CF175"/>
  <c r="CE175"/>
  <c r="CD175"/>
  <c r="CC175"/>
  <c r="CB175"/>
  <c r="CA175"/>
  <c r="BZ175"/>
  <c r="BY175"/>
  <c r="BX175"/>
  <c r="BW175"/>
  <c r="BV175"/>
  <c r="BU175"/>
  <c r="BT175"/>
  <c r="BS175"/>
  <c r="BR175"/>
  <c r="BQ175"/>
  <c r="BP175"/>
  <c r="BO175"/>
  <c r="BN175"/>
  <c r="BM175"/>
  <c r="BL175"/>
  <c r="BK175"/>
  <c r="BJ175"/>
  <c r="BI175"/>
  <c r="BH175"/>
  <c r="BG175"/>
  <c r="BF175"/>
  <c r="BE175"/>
  <c r="BD175"/>
  <c r="BC175"/>
  <c r="BB175"/>
  <c r="BA175"/>
  <c r="AZ175"/>
  <c r="AY175"/>
  <c r="AX175"/>
  <c r="AW175"/>
  <c r="AV175"/>
  <c r="AU175"/>
  <c r="AT175"/>
  <c r="AS175"/>
  <c r="AR175"/>
  <c r="AQ175"/>
  <c r="AP175"/>
  <c r="AO175"/>
  <c r="AN175"/>
  <c r="AM175"/>
  <c r="AL175"/>
  <c r="AK175"/>
  <c r="AJ175"/>
  <c r="AI175"/>
  <c r="AH175"/>
  <c r="AG175"/>
  <c r="AF175"/>
  <c r="AE175"/>
  <c r="AD175"/>
  <c r="AC175"/>
  <c r="AB175"/>
  <c r="AA175"/>
  <c r="Z175"/>
  <c r="Y175"/>
  <c r="X175"/>
  <c r="W175"/>
  <c r="V175"/>
  <c r="U175"/>
  <c r="T175"/>
  <c r="S175"/>
  <c r="R175"/>
  <c r="Q175"/>
  <c r="P175"/>
  <c r="O175"/>
  <c r="N175"/>
  <c r="M175"/>
  <c r="L175"/>
  <c r="K175"/>
  <c r="J175"/>
  <c r="I175"/>
  <c r="H175"/>
  <c r="G175"/>
  <c r="F175"/>
  <c r="E175"/>
  <c r="D175"/>
  <c r="C175"/>
  <c r="B175"/>
  <c r="A175"/>
  <c r="IV174"/>
  <c r="IU174"/>
  <c r="IT174"/>
  <c r="IS174"/>
  <c r="IR174"/>
  <c r="IQ174"/>
  <c r="IP174"/>
  <c r="IO174"/>
  <c r="IN174"/>
  <c r="IM174"/>
  <c r="IL174"/>
  <c r="IK174"/>
  <c r="IJ174"/>
  <c r="II174"/>
  <c r="IH174"/>
  <c r="IG174"/>
  <c r="IF174"/>
  <c r="IE174"/>
  <c r="ID174"/>
  <c r="IC174"/>
  <c r="IB174"/>
  <c r="IA174"/>
  <c r="HZ174"/>
  <c r="HY174"/>
  <c r="HX174"/>
  <c r="HW174"/>
  <c r="HV174"/>
  <c r="HU174"/>
  <c r="HT174"/>
  <c r="HS174"/>
  <c r="HR174"/>
  <c r="HQ174"/>
  <c r="HP174"/>
  <c r="HO174"/>
  <c r="HN174"/>
  <c r="HM174"/>
  <c r="HL174"/>
  <c r="HK174"/>
  <c r="HJ174"/>
  <c r="HI174"/>
  <c r="HH174"/>
  <c r="HG174"/>
  <c r="HF174"/>
  <c r="HE174"/>
  <c r="HD174"/>
  <c r="HC174"/>
  <c r="HB174"/>
  <c r="HA174"/>
  <c r="GZ174"/>
  <c r="GY174"/>
  <c r="GX174"/>
  <c r="GW174"/>
  <c r="GV174"/>
  <c r="GU174"/>
  <c r="GT174"/>
  <c r="GS174"/>
  <c r="GR174"/>
  <c r="GQ174"/>
  <c r="GP174"/>
  <c r="GO174"/>
  <c r="GN174"/>
  <c r="GM174"/>
  <c r="GL174"/>
  <c r="GK174"/>
  <c r="GJ174"/>
  <c r="GI174"/>
  <c r="GH174"/>
  <c r="GG174"/>
  <c r="GF174"/>
  <c r="GE174"/>
  <c r="GD174"/>
  <c r="GC174"/>
  <c r="GB174"/>
  <c r="GA174"/>
  <c r="FZ174"/>
  <c r="FY174"/>
  <c r="FX174"/>
  <c r="FW174"/>
  <c r="FV174"/>
  <c r="FU174"/>
  <c r="FT174"/>
  <c r="FS174"/>
  <c r="FR174"/>
  <c r="FQ174"/>
  <c r="FP174"/>
  <c r="FO174"/>
  <c r="FN174"/>
  <c r="FM174"/>
  <c r="FL174"/>
  <c r="FK174"/>
  <c r="FJ174"/>
  <c r="FI174"/>
  <c r="FH174"/>
  <c r="FG174"/>
  <c r="FF174"/>
  <c r="FE174"/>
  <c r="FD174"/>
  <c r="FC174"/>
  <c r="FB174"/>
  <c r="FA174"/>
  <c r="EZ174"/>
  <c r="EY174"/>
  <c r="EX174"/>
  <c r="EW174"/>
  <c r="EV174"/>
  <c r="EU174"/>
  <c r="ET174"/>
  <c r="ES174"/>
  <c r="ER174"/>
  <c r="EQ174"/>
  <c r="EP174"/>
  <c r="EO174"/>
  <c r="EN174"/>
  <c r="EM174"/>
  <c r="EL174"/>
  <c r="EK174"/>
  <c r="EJ174"/>
  <c r="EI174"/>
  <c r="EH174"/>
  <c r="EG174"/>
  <c r="EF174"/>
  <c r="EE174"/>
  <c r="ED174"/>
  <c r="EC174"/>
  <c r="EB174"/>
  <c r="EA174"/>
  <c r="DZ174"/>
  <c r="DY174"/>
  <c r="DX174"/>
  <c r="DW174"/>
  <c r="DV174"/>
  <c r="DU174"/>
  <c r="DT174"/>
  <c r="DS174"/>
  <c r="DR174"/>
  <c r="DQ174"/>
  <c r="DP174"/>
  <c r="DO174"/>
  <c r="DN174"/>
  <c r="DM174"/>
  <c r="DL174"/>
  <c r="DK174"/>
  <c r="DJ174"/>
  <c r="DI174"/>
  <c r="DH174"/>
  <c r="DG174"/>
  <c r="DF174"/>
  <c r="DE174"/>
  <c r="DD174"/>
  <c r="DC174"/>
  <c r="DB174"/>
  <c r="DA174"/>
  <c r="CZ174"/>
  <c r="CY174"/>
  <c r="CX174"/>
  <c r="CW174"/>
  <c r="CV174"/>
  <c r="CU174"/>
  <c r="CT174"/>
  <c r="CS174"/>
  <c r="CR174"/>
  <c r="CQ174"/>
  <c r="CP174"/>
  <c r="CO174"/>
  <c r="CN174"/>
  <c r="CM174"/>
  <c r="CL174"/>
  <c r="CK174"/>
  <c r="CJ174"/>
  <c r="CI174"/>
  <c r="CH174"/>
  <c r="CG174"/>
  <c r="CF174"/>
  <c r="CE174"/>
  <c r="CD174"/>
  <c r="CC174"/>
  <c r="CB174"/>
  <c r="CA174"/>
  <c r="BZ174"/>
  <c r="BY174"/>
  <c r="BX174"/>
  <c r="BW174"/>
  <c r="BV174"/>
  <c r="BU174"/>
  <c r="BT174"/>
  <c r="BS174"/>
  <c r="BR174"/>
  <c r="BQ174"/>
  <c r="BP174"/>
  <c r="BO174"/>
  <c r="BN174"/>
  <c r="BM174"/>
  <c r="BL174"/>
  <c r="BK174"/>
  <c r="BJ174"/>
  <c r="BI174"/>
  <c r="BH174"/>
  <c r="BG174"/>
  <c r="BF174"/>
  <c r="BE174"/>
  <c r="BD174"/>
  <c r="BC174"/>
  <c r="BB174"/>
  <c r="BA174"/>
  <c r="AZ174"/>
  <c r="AY174"/>
  <c r="AX174"/>
  <c r="AW174"/>
  <c r="AV174"/>
  <c r="AU174"/>
  <c r="AT174"/>
  <c r="AS174"/>
  <c r="AR174"/>
  <c r="AQ174"/>
  <c r="AP174"/>
  <c r="AO174"/>
  <c r="AN174"/>
  <c r="AM174"/>
  <c r="AL174"/>
  <c r="AK174"/>
  <c r="AJ174"/>
  <c r="AI174"/>
  <c r="AH174"/>
  <c r="AG174"/>
  <c r="AF174"/>
  <c r="AE174"/>
  <c r="AD174"/>
  <c r="AC174"/>
  <c r="AB174"/>
  <c r="AA174"/>
  <c r="Z174"/>
  <c r="Y174"/>
  <c r="X174"/>
  <c r="W174"/>
  <c r="V174"/>
  <c r="U174"/>
  <c r="T174"/>
  <c r="S174"/>
  <c r="R174"/>
  <c r="Q174"/>
  <c r="P174"/>
  <c r="O174"/>
  <c r="N174"/>
  <c r="M174"/>
  <c r="L174"/>
  <c r="K174"/>
  <c r="J174"/>
  <c r="I174"/>
  <c r="H174"/>
  <c r="G174"/>
  <c r="F174"/>
  <c r="E174"/>
  <c r="D174"/>
  <c r="C174"/>
  <c r="B174"/>
  <c r="A174"/>
  <c r="IV173"/>
  <c r="IU173"/>
  <c r="IT173"/>
  <c r="IS173"/>
  <c r="IR173"/>
  <c r="IQ173"/>
  <c r="IP173"/>
  <c r="IO173"/>
  <c r="IN173"/>
  <c r="IM173"/>
  <c r="IL173"/>
  <c r="IK173"/>
  <c r="IJ173"/>
  <c r="II173"/>
  <c r="IH173"/>
  <c r="IG173"/>
  <c r="IF173"/>
  <c r="IE173"/>
  <c r="ID173"/>
  <c r="IC173"/>
  <c r="IB173"/>
  <c r="IA173"/>
  <c r="HZ173"/>
  <c r="HY173"/>
  <c r="HX173"/>
  <c r="HW173"/>
  <c r="HV173"/>
  <c r="HU173"/>
  <c r="HT173"/>
  <c r="HS173"/>
  <c r="HR173"/>
  <c r="HQ173"/>
  <c r="HP173"/>
  <c r="HO173"/>
  <c r="HN173"/>
  <c r="HM173"/>
  <c r="HL173"/>
  <c r="HK173"/>
  <c r="HJ173"/>
  <c r="HI173"/>
  <c r="HH173"/>
  <c r="HG173"/>
  <c r="HF173"/>
  <c r="HE173"/>
  <c r="HD173"/>
  <c r="HC173"/>
  <c r="HB173"/>
  <c r="HA173"/>
  <c r="GZ173"/>
  <c r="GY173"/>
  <c r="GX173"/>
  <c r="GW173"/>
  <c r="GV173"/>
  <c r="GU173"/>
  <c r="GT173"/>
  <c r="GS173"/>
  <c r="GR173"/>
  <c r="GQ173"/>
  <c r="GP173"/>
  <c r="GO173"/>
  <c r="GN173"/>
  <c r="GM173"/>
  <c r="GL173"/>
  <c r="GK173"/>
  <c r="GJ173"/>
  <c r="GI173"/>
  <c r="GH173"/>
  <c r="GG173"/>
  <c r="GF173"/>
  <c r="GE173"/>
  <c r="GD173"/>
  <c r="GC173"/>
  <c r="GB173"/>
  <c r="GA173"/>
  <c r="FZ173"/>
  <c r="FY173"/>
  <c r="FX173"/>
  <c r="FW173"/>
  <c r="FV173"/>
  <c r="FU173"/>
  <c r="FT173"/>
  <c r="FS173"/>
  <c r="FR173"/>
  <c r="FQ173"/>
  <c r="FP173"/>
  <c r="FO173"/>
  <c r="FN173"/>
  <c r="FM173"/>
  <c r="FL173"/>
  <c r="FK173"/>
  <c r="FJ173"/>
  <c r="FI173"/>
  <c r="FH173"/>
  <c r="FG173"/>
  <c r="FF173"/>
  <c r="FE173"/>
  <c r="FD173"/>
  <c r="FC173"/>
  <c r="FB173"/>
  <c r="FA173"/>
  <c r="EZ173"/>
  <c r="EY173"/>
  <c r="EX173"/>
  <c r="EW173"/>
  <c r="EV173"/>
  <c r="EU173"/>
  <c r="ET173"/>
  <c r="ES173"/>
  <c r="ER173"/>
  <c r="EQ173"/>
  <c r="EP173"/>
  <c r="EO173"/>
  <c r="EN173"/>
  <c r="EM173"/>
  <c r="EL173"/>
  <c r="EK173"/>
  <c r="EJ173"/>
  <c r="EI173"/>
  <c r="EH173"/>
  <c r="EG173"/>
  <c r="EF173"/>
  <c r="EE173"/>
  <c r="ED173"/>
  <c r="EC173"/>
  <c r="EB173"/>
  <c r="EA173"/>
  <c r="DZ173"/>
  <c r="DY173"/>
  <c r="DX173"/>
  <c r="DW173"/>
  <c r="DV173"/>
  <c r="DU173"/>
  <c r="DT173"/>
  <c r="DS173"/>
  <c r="DR173"/>
  <c r="DQ173"/>
  <c r="DP173"/>
  <c r="DO173"/>
  <c r="DN173"/>
  <c r="DM173"/>
  <c r="DL173"/>
  <c r="DK173"/>
  <c r="DJ173"/>
  <c r="DI173"/>
  <c r="DH173"/>
  <c r="DG173"/>
  <c r="DF173"/>
  <c r="DE173"/>
  <c r="DD173"/>
  <c r="DC173"/>
  <c r="DB173"/>
  <c r="DA173"/>
  <c r="CZ173"/>
  <c r="CY173"/>
  <c r="CX173"/>
  <c r="CW173"/>
  <c r="CV173"/>
  <c r="CU173"/>
  <c r="CT173"/>
  <c r="CS173"/>
  <c r="CR173"/>
  <c r="CQ173"/>
  <c r="CP173"/>
  <c r="CO173"/>
  <c r="CN173"/>
  <c r="CM173"/>
  <c r="CL173"/>
  <c r="CK173"/>
  <c r="CJ173"/>
  <c r="CI173"/>
  <c r="CH173"/>
  <c r="CG173"/>
  <c r="CF173"/>
  <c r="CE173"/>
  <c r="CD173"/>
  <c r="CC173"/>
  <c r="CB173"/>
  <c r="CA173"/>
  <c r="BZ173"/>
  <c r="BY173"/>
  <c r="BX173"/>
  <c r="BW173"/>
  <c r="BV173"/>
  <c r="BU173"/>
  <c r="BT173"/>
  <c r="BS173"/>
  <c r="BR173"/>
  <c r="BQ173"/>
  <c r="BP173"/>
  <c r="BO173"/>
  <c r="BN173"/>
  <c r="BM173"/>
  <c r="BL173"/>
  <c r="BK173"/>
  <c r="BJ173"/>
  <c r="BI173"/>
  <c r="BH173"/>
  <c r="BG173"/>
  <c r="BF173"/>
  <c r="BE173"/>
  <c r="BD173"/>
  <c r="BC173"/>
  <c r="BB173"/>
  <c r="BA173"/>
  <c r="AZ173"/>
  <c r="AY173"/>
  <c r="AX173"/>
  <c r="AW173"/>
  <c r="AV173"/>
  <c r="AU173"/>
  <c r="AT173"/>
  <c r="AS173"/>
  <c r="AR173"/>
  <c r="AQ173"/>
  <c r="AP173"/>
  <c r="AO173"/>
  <c r="AN173"/>
  <c r="AM173"/>
  <c r="AL173"/>
  <c r="AK173"/>
  <c r="AJ173"/>
  <c r="AI173"/>
  <c r="AH173"/>
  <c r="AG173"/>
  <c r="AF173"/>
  <c r="AE173"/>
  <c r="AD173"/>
  <c r="AC173"/>
  <c r="AB173"/>
  <c r="AA173"/>
  <c r="Z173"/>
  <c r="Y173"/>
  <c r="X173"/>
  <c r="W173"/>
  <c r="V173"/>
  <c r="U173"/>
  <c r="T173"/>
  <c r="S173"/>
  <c r="R173"/>
  <c r="Q173"/>
  <c r="P173"/>
  <c r="O173"/>
  <c r="N173"/>
  <c r="M173"/>
  <c r="L173"/>
  <c r="K173"/>
  <c r="J173"/>
  <c r="I173"/>
  <c r="H173"/>
  <c r="G173"/>
  <c r="F173"/>
  <c r="E173"/>
  <c r="D173"/>
  <c r="C173"/>
  <c r="B173"/>
  <c r="A173"/>
  <c r="IV172"/>
  <c r="IU172"/>
  <c r="IT172"/>
  <c r="IS172"/>
  <c r="IR172"/>
  <c r="IQ172"/>
  <c r="IP172"/>
  <c r="IO172"/>
  <c r="IN172"/>
  <c r="IM172"/>
  <c r="IL172"/>
  <c r="IK172"/>
  <c r="IJ172"/>
  <c r="II172"/>
  <c r="IH172"/>
  <c r="IG172"/>
  <c r="IF172"/>
  <c r="IE172"/>
  <c r="ID172"/>
  <c r="IC172"/>
  <c r="IB172"/>
  <c r="IA172"/>
  <c r="HZ172"/>
  <c r="HY172"/>
  <c r="HX172"/>
  <c r="HW172"/>
  <c r="HV172"/>
  <c r="HU172"/>
  <c r="HT172"/>
  <c r="HS172"/>
  <c r="HR172"/>
  <c r="HQ172"/>
  <c r="HP172"/>
  <c r="HO172"/>
  <c r="HN172"/>
  <c r="HM172"/>
  <c r="HL172"/>
  <c r="HK172"/>
  <c r="HJ172"/>
  <c r="HI172"/>
  <c r="HH172"/>
  <c r="HG172"/>
  <c r="HF172"/>
  <c r="HE172"/>
  <c r="HD172"/>
  <c r="HC172"/>
  <c r="HB172"/>
  <c r="HA172"/>
  <c r="GZ172"/>
  <c r="GY172"/>
  <c r="GX172"/>
  <c r="GW172"/>
  <c r="GV172"/>
  <c r="GU172"/>
  <c r="GT172"/>
  <c r="GS172"/>
  <c r="GR172"/>
  <c r="GQ172"/>
  <c r="GP172"/>
  <c r="GO172"/>
  <c r="GN172"/>
  <c r="GM172"/>
  <c r="GL172"/>
  <c r="GK172"/>
  <c r="GJ172"/>
  <c r="GI172"/>
  <c r="GH172"/>
  <c r="GG172"/>
  <c r="GF172"/>
  <c r="GE172"/>
  <c r="GD172"/>
  <c r="GC172"/>
  <c r="GB172"/>
  <c r="GA172"/>
  <c r="FZ172"/>
  <c r="FY172"/>
  <c r="FX172"/>
  <c r="FW172"/>
  <c r="FV172"/>
  <c r="FU172"/>
  <c r="FT172"/>
  <c r="FS172"/>
  <c r="FR172"/>
  <c r="FQ172"/>
  <c r="FP172"/>
  <c r="FO172"/>
  <c r="FN172"/>
  <c r="FM172"/>
  <c r="FL172"/>
  <c r="FK172"/>
  <c r="FJ172"/>
  <c r="FI172"/>
  <c r="FH172"/>
  <c r="FG172"/>
  <c r="FF172"/>
  <c r="FE172"/>
  <c r="FD172"/>
  <c r="FC172"/>
  <c r="FB172"/>
  <c r="FA172"/>
  <c r="EZ172"/>
  <c r="EY172"/>
  <c r="EX172"/>
  <c r="EW172"/>
  <c r="EV172"/>
  <c r="EU172"/>
  <c r="ET172"/>
  <c r="ES172"/>
  <c r="ER172"/>
  <c r="EQ172"/>
  <c r="EP172"/>
  <c r="EO172"/>
  <c r="EN172"/>
  <c r="EM172"/>
  <c r="EL172"/>
  <c r="EK172"/>
  <c r="EJ172"/>
  <c r="EI172"/>
  <c r="EH172"/>
  <c r="EG172"/>
  <c r="EF172"/>
  <c r="EE172"/>
  <c r="ED172"/>
  <c r="EC172"/>
  <c r="EB172"/>
  <c r="EA172"/>
  <c r="DZ172"/>
  <c r="DY172"/>
  <c r="DX172"/>
  <c r="DW172"/>
  <c r="DV172"/>
  <c r="DU172"/>
  <c r="DT172"/>
  <c r="DS172"/>
  <c r="DR172"/>
  <c r="DQ172"/>
  <c r="DP172"/>
  <c r="DO172"/>
  <c r="DN172"/>
  <c r="DM172"/>
  <c r="DL172"/>
  <c r="DK172"/>
  <c r="DJ172"/>
  <c r="DI172"/>
  <c r="DH172"/>
  <c r="DG172"/>
  <c r="DF172"/>
  <c r="DE172"/>
  <c r="DD172"/>
  <c r="DC172"/>
  <c r="DB172"/>
  <c r="DA172"/>
  <c r="CZ172"/>
  <c r="CY172"/>
  <c r="CX172"/>
  <c r="CW172"/>
  <c r="CV172"/>
  <c r="CU172"/>
  <c r="CT172"/>
  <c r="CS172"/>
  <c r="CR172"/>
  <c r="CQ172"/>
  <c r="CP172"/>
  <c r="CO172"/>
  <c r="CN172"/>
  <c r="CM172"/>
  <c r="CL172"/>
  <c r="CK172"/>
  <c r="CJ172"/>
  <c r="CI172"/>
  <c r="CH172"/>
  <c r="CG172"/>
  <c r="CF172"/>
  <c r="CE172"/>
  <c r="CD172"/>
  <c r="CC172"/>
  <c r="CB172"/>
  <c r="CA172"/>
  <c r="BZ172"/>
  <c r="BY172"/>
  <c r="BX172"/>
  <c r="BW172"/>
  <c r="BV172"/>
  <c r="BU172"/>
  <c r="BT172"/>
  <c r="BS172"/>
  <c r="BR172"/>
  <c r="BQ172"/>
  <c r="BP172"/>
  <c r="BO172"/>
  <c r="BN172"/>
  <c r="BM172"/>
  <c r="BL172"/>
  <c r="BK172"/>
  <c r="BJ172"/>
  <c r="BI172"/>
  <c r="BH172"/>
  <c r="BG172"/>
  <c r="BF172"/>
  <c r="BE172"/>
  <c r="BD172"/>
  <c r="BC172"/>
  <c r="BB172"/>
  <c r="BA172"/>
  <c r="AZ172"/>
  <c r="AY172"/>
  <c r="AX172"/>
  <c r="AW172"/>
  <c r="AV172"/>
  <c r="AU172"/>
  <c r="AT172"/>
  <c r="AS172"/>
  <c r="AR172"/>
  <c r="AQ172"/>
  <c r="AP172"/>
  <c r="AO172"/>
  <c r="AN172"/>
  <c r="AM172"/>
  <c r="AL172"/>
  <c r="AK172"/>
  <c r="AJ172"/>
  <c r="AI172"/>
  <c r="AH172"/>
  <c r="AG172"/>
  <c r="AF172"/>
  <c r="AE172"/>
  <c r="AD172"/>
  <c r="AC172"/>
  <c r="AB172"/>
  <c r="AA172"/>
  <c r="Z172"/>
  <c r="Y172"/>
  <c r="X172"/>
  <c r="W172"/>
  <c r="V172"/>
  <c r="U172"/>
  <c r="T172"/>
  <c r="S172"/>
  <c r="R172"/>
  <c r="Q172"/>
  <c r="P172"/>
  <c r="O172"/>
  <c r="N172"/>
  <c r="M172"/>
  <c r="L172"/>
  <c r="K172"/>
  <c r="J172"/>
  <c r="I172"/>
  <c r="H172"/>
  <c r="G172"/>
  <c r="F172"/>
  <c r="E172"/>
  <c r="D172"/>
  <c r="C172"/>
  <c r="B172"/>
  <c r="A172"/>
  <c r="IV171"/>
  <c r="IU171"/>
  <c r="IT171"/>
  <c r="IS171"/>
  <c r="IR171"/>
  <c r="IQ171"/>
  <c r="IP171"/>
  <c r="IO171"/>
  <c r="IN171"/>
  <c r="IM171"/>
  <c r="IL171"/>
  <c r="IK171"/>
  <c r="IJ171"/>
  <c r="II171"/>
  <c r="IH171"/>
  <c r="IG171"/>
  <c r="IF171"/>
  <c r="IE171"/>
  <c r="ID171"/>
  <c r="IC171"/>
  <c r="IB171"/>
  <c r="IA171"/>
  <c r="HZ171"/>
  <c r="HY171"/>
  <c r="HX171"/>
  <c r="HW171"/>
  <c r="HV171"/>
  <c r="HU171"/>
  <c r="HT171"/>
  <c r="HS171"/>
  <c r="HR171"/>
  <c r="HQ171"/>
  <c r="HP171"/>
  <c r="HO171"/>
  <c r="HN171"/>
  <c r="HM171"/>
  <c r="HL171"/>
  <c r="HK171"/>
  <c r="HJ171"/>
  <c r="HI171"/>
  <c r="HH171"/>
  <c r="HG171"/>
  <c r="HF171"/>
  <c r="HE171"/>
  <c r="HD171"/>
  <c r="HC171"/>
  <c r="HB171"/>
  <c r="HA171"/>
  <c r="GZ171"/>
  <c r="GY171"/>
  <c r="GX171"/>
  <c r="GW171"/>
  <c r="GV171"/>
  <c r="GU171"/>
  <c r="GT171"/>
  <c r="GS171"/>
  <c r="GR171"/>
  <c r="GQ171"/>
  <c r="GP171"/>
  <c r="GO171"/>
  <c r="GN171"/>
  <c r="GM171"/>
  <c r="GL171"/>
  <c r="GK171"/>
  <c r="GJ171"/>
  <c r="GI171"/>
  <c r="GH171"/>
  <c r="GG171"/>
  <c r="GF171"/>
  <c r="GE171"/>
  <c r="GD171"/>
  <c r="GC171"/>
  <c r="GB171"/>
  <c r="GA171"/>
  <c r="FZ171"/>
  <c r="FY171"/>
  <c r="FX171"/>
  <c r="FW171"/>
  <c r="FV171"/>
  <c r="FU171"/>
  <c r="FT171"/>
  <c r="FS171"/>
  <c r="FR171"/>
  <c r="FQ171"/>
  <c r="FP171"/>
  <c r="FO171"/>
  <c r="FN171"/>
  <c r="FM171"/>
  <c r="FL171"/>
  <c r="FK171"/>
  <c r="FJ171"/>
  <c r="FI171"/>
  <c r="FH171"/>
  <c r="FG171"/>
  <c r="FF171"/>
  <c r="FE171"/>
  <c r="FD171"/>
  <c r="FC171"/>
  <c r="FB171"/>
  <c r="FA171"/>
  <c r="EZ171"/>
  <c r="EY171"/>
  <c r="EX171"/>
  <c r="EW171"/>
  <c r="EV171"/>
  <c r="EU171"/>
  <c r="ET171"/>
  <c r="ES171"/>
  <c r="ER171"/>
  <c r="EQ171"/>
  <c r="EP171"/>
  <c r="EO171"/>
  <c r="EN171"/>
  <c r="EM171"/>
  <c r="EL171"/>
  <c r="EK171"/>
  <c r="EJ171"/>
  <c r="EI171"/>
  <c r="EH171"/>
  <c r="EG171"/>
  <c r="EF171"/>
  <c r="EE171"/>
  <c r="ED171"/>
  <c r="EC171"/>
  <c r="EB171"/>
  <c r="EA171"/>
  <c r="DZ171"/>
  <c r="DY171"/>
  <c r="DX171"/>
  <c r="DW171"/>
  <c r="DV171"/>
  <c r="DU171"/>
  <c r="DT171"/>
  <c r="DS171"/>
  <c r="DR171"/>
  <c r="DQ171"/>
  <c r="DP171"/>
  <c r="DO171"/>
  <c r="DN171"/>
  <c r="DM171"/>
  <c r="DL171"/>
  <c r="DK171"/>
  <c r="DJ171"/>
  <c r="DI171"/>
  <c r="DH171"/>
  <c r="DG171"/>
  <c r="DF171"/>
  <c r="DE171"/>
  <c r="DD171"/>
  <c r="DC171"/>
  <c r="DB171"/>
  <c r="DA171"/>
  <c r="CZ171"/>
  <c r="CY171"/>
  <c r="CX171"/>
  <c r="CW171"/>
  <c r="CV171"/>
  <c r="CU171"/>
  <c r="CT171"/>
  <c r="CS171"/>
  <c r="CR171"/>
  <c r="CQ171"/>
  <c r="CP171"/>
  <c r="CO171"/>
  <c r="CN171"/>
  <c r="CM171"/>
  <c r="CL171"/>
  <c r="CK171"/>
  <c r="CJ171"/>
  <c r="CI171"/>
  <c r="CH171"/>
  <c r="CG171"/>
  <c r="CF171"/>
  <c r="CE171"/>
  <c r="CD171"/>
  <c r="CC171"/>
  <c r="CB171"/>
  <c r="CA171"/>
  <c r="BZ171"/>
  <c r="BY171"/>
  <c r="BX171"/>
  <c r="BW171"/>
  <c r="BV171"/>
  <c r="BU171"/>
  <c r="BT171"/>
  <c r="BS171"/>
  <c r="BR171"/>
  <c r="BQ171"/>
  <c r="BP171"/>
  <c r="BO171"/>
  <c r="BN171"/>
  <c r="BM171"/>
  <c r="BL171"/>
  <c r="BK171"/>
  <c r="BJ171"/>
  <c r="BI171"/>
  <c r="BH171"/>
  <c r="BG171"/>
  <c r="BF171"/>
  <c r="BE171"/>
  <c r="BD171"/>
  <c r="BC171"/>
  <c r="BB171"/>
  <c r="BA171"/>
  <c r="AZ171"/>
  <c r="AY171"/>
  <c r="AX171"/>
  <c r="AW171"/>
  <c r="AV171"/>
  <c r="AU171"/>
  <c r="AT171"/>
  <c r="AS171"/>
  <c r="AR171"/>
  <c r="AQ171"/>
  <c r="AP171"/>
  <c r="AO171"/>
  <c r="AN171"/>
  <c r="AM171"/>
  <c r="AL171"/>
  <c r="AK171"/>
  <c r="AJ171"/>
  <c r="AI171"/>
  <c r="AH171"/>
  <c r="AG171"/>
  <c r="AF171"/>
  <c r="AE171"/>
  <c r="AD171"/>
  <c r="AC171"/>
  <c r="AB171"/>
  <c r="AA171"/>
  <c r="Z171"/>
  <c r="Y171"/>
  <c r="X171"/>
  <c r="W171"/>
  <c r="V171"/>
  <c r="U171"/>
  <c r="T171"/>
  <c r="S171"/>
  <c r="R171"/>
  <c r="Q171"/>
  <c r="P171"/>
  <c r="O171"/>
  <c r="N171"/>
  <c r="M171"/>
  <c r="L171"/>
  <c r="K171"/>
  <c r="J171"/>
  <c r="I171"/>
  <c r="H171"/>
  <c r="G171"/>
  <c r="F171"/>
  <c r="E171"/>
  <c r="D171"/>
  <c r="C171"/>
  <c r="B171"/>
  <c r="A171"/>
  <c r="IV170"/>
  <c r="IU170"/>
  <c r="IT170"/>
  <c r="IS170"/>
  <c r="IR170"/>
  <c r="IQ170"/>
  <c r="IP170"/>
  <c r="IO170"/>
  <c r="IN170"/>
  <c r="IM170"/>
  <c r="IL170"/>
  <c r="IK170"/>
  <c r="IJ170"/>
  <c r="II170"/>
  <c r="IH170"/>
  <c r="IG170"/>
  <c r="IF170"/>
  <c r="IE170"/>
  <c r="ID170"/>
  <c r="IC170"/>
  <c r="IB170"/>
  <c r="IA170"/>
  <c r="HZ170"/>
  <c r="HY170"/>
  <c r="HX170"/>
  <c r="HW170"/>
  <c r="HV170"/>
  <c r="HU170"/>
  <c r="HT170"/>
  <c r="HS170"/>
  <c r="HR170"/>
  <c r="HQ170"/>
  <c r="HP170"/>
  <c r="HO170"/>
  <c r="HN170"/>
  <c r="HM170"/>
  <c r="HL170"/>
  <c r="HK170"/>
  <c r="HJ170"/>
  <c r="HI170"/>
  <c r="HH170"/>
  <c r="HG170"/>
  <c r="HF170"/>
  <c r="HE170"/>
  <c r="HD170"/>
  <c r="HC170"/>
  <c r="HB170"/>
  <c r="HA170"/>
  <c r="GZ170"/>
  <c r="GY170"/>
  <c r="GX170"/>
  <c r="GW170"/>
  <c r="GV170"/>
  <c r="GU170"/>
  <c r="GT170"/>
  <c r="GS170"/>
  <c r="GR170"/>
  <c r="GQ170"/>
  <c r="GP170"/>
  <c r="GO170"/>
  <c r="GN170"/>
  <c r="GM170"/>
  <c r="GL170"/>
  <c r="GK170"/>
  <c r="GJ170"/>
  <c r="GI170"/>
  <c r="GH170"/>
  <c r="GG170"/>
  <c r="GF170"/>
  <c r="GE170"/>
  <c r="GD170"/>
  <c r="GC170"/>
  <c r="GB170"/>
  <c r="GA170"/>
  <c r="FZ170"/>
  <c r="FY170"/>
  <c r="FX170"/>
  <c r="FW170"/>
  <c r="FV170"/>
  <c r="FU170"/>
  <c r="FT170"/>
  <c r="FS170"/>
  <c r="FR170"/>
  <c r="FQ170"/>
  <c r="FP170"/>
  <c r="FO170"/>
  <c r="FN170"/>
  <c r="FM170"/>
  <c r="FL170"/>
  <c r="FK170"/>
  <c r="FJ170"/>
  <c r="FI170"/>
  <c r="FH170"/>
  <c r="FG170"/>
  <c r="FF170"/>
  <c r="FE170"/>
  <c r="FD170"/>
  <c r="FC170"/>
  <c r="FB170"/>
  <c r="FA170"/>
  <c r="EZ170"/>
  <c r="EY170"/>
  <c r="EX170"/>
  <c r="EW170"/>
  <c r="EV170"/>
  <c r="EU170"/>
  <c r="ET170"/>
  <c r="ES170"/>
  <c r="ER170"/>
  <c r="EQ170"/>
  <c r="EP170"/>
  <c r="EO170"/>
  <c r="EN170"/>
  <c r="EM170"/>
  <c r="EL170"/>
  <c r="EK170"/>
  <c r="EJ170"/>
  <c r="EI170"/>
  <c r="EH170"/>
  <c r="EG170"/>
  <c r="EF170"/>
  <c r="EE170"/>
  <c r="ED170"/>
  <c r="EC170"/>
  <c r="EB170"/>
  <c r="EA170"/>
  <c r="DZ170"/>
  <c r="DY170"/>
  <c r="DX170"/>
  <c r="DW170"/>
  <c r="DV170"/>
  <c r="DU170"/>
  <c r="DT170"/>
  <c r="DS170"/>
  <c r="DR170"/>
  <c r="DQ170"/>
  <c r="DP170"/>
  <c r="DO170"/>
  <c r="DN170"/>
  <c r="DM170"/>
  <c r="DL170"/>
  <c r="DK170"/>
  <c r="DJ170"/>
  <c r="DI170"/>
  <c r="DH170"/>
  <c r="DG170"/>
  <c r="DF170"/>
  <c r="DE170"/>
  <c r="DD170"/>
  <c r="DC170"/>
  <c r="DB170"/>
  <c r="DA170"/>
  <c r="CZ170"/>
  <c r="CY170"/>
  <c r="CX170"/>
  <c r="CW170"/>
  <c r="CV170"/>
  <c r="CU170"/>
  <c r="CT170"/>
  <c r="CS170"/>
  <c r="CR170"/>
  <c r="CQ170"/>
  <c r="CP170"/>
  <c r="CO170"/>
  <c r="CN170"/>
  <c r="CM170"/>
  <c r="CL170"/>
  <c r="CK170"/>
  <c r="CJ170"/>
  <c r="CI170"/>
  <c r="CH170"/>
  <c r="CG170"/>
  <c r="CF170"/>
  <c r="CE170"/>
  <c r="CD170"/>
  <c r="CC170"/>
  <c r="CB170"/>
  <c r="CA170"/>
  <c r="BZ170"/>
  <c r="BY170"/>
  <c r="BX170"/>
  <c r="BW170"/>
  <c r="BV170"/>
  <c r="BU170"/>
  <c r="BT170"/>
  <c r="BS170"/>
  <c r="BR170"/>
  <c r="BQ170"/>
  <c r="BP170"/>
  <c r="BO170"/>
  <c r="BN170"/>
  <c r="BM170"/>
  <c r="BL170"/>
  <c r="BK170"/>
  <c r="BJ170"/>
  <c r="BI170"/>
  <c r="BH170"/>
  <c r="BG170"/>
  <c r="BF170"/>
  <c r="BE170"/>
  <c r="BD170"/>
  <c r="BC170"/>
  <c r="BB170"/>
  <c r="BA170"/>
  <c r="AZ170"/>
  <c r="AY170"/>
  <c r="AX170"/>
  <c r="AW170"/>
  <c r="AV170"/>
  <c r="AU170"/>
  <c r="AT170"/>
  <c r="AS170"/>
  <c r="AR170"/>
  <c r="AQ170"/>
  <c r="AP170"/>
  <c r="AO170"/>
  <c r="AN170"/>
  <c r="AM170"/>
  <c r="AL170"/>
  <c r="AK170"/>
  <c r="AJ170"/>
  <c r="AI170"/>
  <c r="AH170"/>
  <c r="AG170"/>
  <c r="AF170"/>
  <c r="AE170"/>
  <c r="AD170"/>
  <c r="AC170"/>
  <c r="AB170"/>
  <c r="AA170"/>
  <c r="Z170"/>
  <c r="Y170"/>
  <c r="X170"/>
  <c r="W170"/>
  <c r="V170"/>
  <c r="U170"/>
  <c r="T170"/>
  <c r="S170"/>
  <c r="R170"/>
  <c r="Q170"/>
  <c r="P170"/>
  <c r="O170"/>
  <c r="N170"/>
  <c r="M170"/>
  <c r="L170"/>
  <c r="K170"/>
  <c r="J170"/>
  <c r="I170"/>
  <c r="H170"/>
  <c r="G170"/>
  <c r="F170"/>
  <c r="E170"/>
  <c r="D170"/>
  <c r="C170"/>
  <c r="B170"/>
  <c r="A170"/>
  <c r="IV169"/>
  <c r="IU169"/>
  <c r="IT169"/>
  <c r="IS169"/>
  <c r="IR169"/>
  <c r="IQ169"/>
  <c r="IP169"/>
  <c r="IO169"/>
  <c r="IN169"/>
  <c r="IM169"/>
  <c r="IL169"/>
  <c r="IK169"/>
  <c r="IJ169"/>
  <c r="II169"/>
  <c r="IH169"/>
  <c r="IG169"/>
  <c r="IF169"/>
  <c r="IE169"/>
  <c r="ID169"/>
  <c r="IC169"/>
  <c r="IB169"/>
  <c r="IA169"/>
  <c r="HZ169"/>
  <c r="HY169"/>
  <c r="HX169"/>
  <c r="HW169"/>
  <c r="HV169"/>
  <c r="HU169"/>
  <c r="HT169"/>
  <c r="HS169"/>
  <c r="HR169"/>
  <c r="HQ169"/>
  <c r="HP169"/>
  <c r="HO169"/>
  <c r="HN169"/>
  <c r="HM169"/>
  <c r="HL169"/>
  <c r="HK169"/>
  <c r="HJ169"/>
  <c r="HI169"/>
  <c r="HH169"/>
  <c r="HG169"/>
  <c r="HF169"/>
  <c r="HE169"/>
  <c r="HD169"/>
  <c r="HC169"/>
  <c r="HB169"/>
  <c r="HA169"/>
  <c r="GZ169"/>
  <c r="GY169"/>
  <c r="GX169"/>
  <c r="GW169"/>
  <c r="GV169"/>
  <c r="GU169"/>
  <c r="GT169"/>
  <c r="GS169"/>
  <c r="GR169"/>
  <c r="GQ169"/>
  <c r="GP169"/>
  <c r="GO169"/>
  <c r="GN169"/>
  <c r="GM169"/>
  <c r="GL169"/>
  <c r="GK169"/>
  <c r="GJ169"/>
  <c r="GI169"/>
  <c r="GH169"/>
  <c r="GG169"/>
  <c r="GF169"/>
  <c r="GE169"/>
  <c r="GD169"/>
  <c r="GC169"/>
  <c r="GB169"/>
  <c r="GA169"/>
  <c r="FZ169"/>
  <c r="FY169"/>
  <c r="FX169"/>
  <c r="FW169"/>
  <c r="FV169"/>
  <c r="FU169"/>
  <c r="FT169"/>
  <c r="FS169"/>
  <c r="FR169"/>
  <c r="FQ169"/>
  <c r="FP169"/>
  <c r="FO169"/>
  <c r="FN169"/>
  <c r="FM169"/>
  <c r="FL169"/>
  <c r="FK169"/>
  <c r="FJ169"/>
  <c r="FI169"/>
  <c r="FH169"/>
  <c r="FG169"/>
  <c r="FF169"/>
  <c r="FE169"/>
  <c r="FD169"/>
  <c r="FC169"/>
  <c r="FB169"/>
  <c r="FA169"/>
  <c r="EZ169"/>
  <c r="EY169"/>
  <c r="EX169"/>
  <c r="EW169"/>
  <c r="EV169"/>
  <c r="EU169"/>
  <c r="ET169"/>
  <c r="ES169"/>
  <c r="ER169"/>
  <c r="EQ169"/>
  <c r="EP169"/>
  <c r="EO169"/>
  <c r="EN169"/>
  <c r="EM169"/>
  <c r="EL169"/>
  <c r="EK169"/>
  <c r="EJ169"/>
  <c r="EI169"/>
  <c r="EH169"/>
  <c r="EG169"/>
  <c r="EF169"/>
  <c r="EE169"/>
  <c r="ED169"/>
  <c r="EC169"/>
  <c r="EB169"/>
  <c r="EA169"/>
  <c r="DZ169"/>
  <c r="DY169"/>
  <c r="DX169"/>
  <c r="DW169"/>
  <c r="DV169"/>
  <c r="DU169"/>
  <c r="DT169"/>
  <c r="DS169"/>
  <c r="DR169"/>
  <c r="DQ169"/>
  <c r="DP169"/>
  <c r="DO169"/>
  <c r="DN169"/>
  <c r="DM169"/>
  <c r="DL169"/>
  <c r="DK169"/>
  <c r="DJ169"/>
  <c r="DI169"/>
  <c r="DH169"/>
  <c r="DG169"/>
  <c r="DF169"/>
  <c r="DE169"/>
  <c r="DD169"/>
  <c r="DC169"/>
  <c r="DB169"/>
  <c r="DA169"/>
  <c r="CZ169"/>
  <c r="CY169"/>
  <c r="CX169"/>
  <c r="CW169"/>
  <c r="CV169"/>
  <c r="CU169"/>
  <c r="CT169"/>
  <c r="CS169"/>
  <c r="CR169"/>
  <c r="CQ169"/>
  <c r="CP169"/>
  <c r="CO169"/>
  <c r="CN169"/>
  <c r="CM169"/>
  <c r="CL169"/>
  <c r="CK169"/>
  <c r="CJ169"/>
  <c r="CI169"/>
  <c r="CH169"/>
  <c r="CG169"/>
  <c r="CF169"/>
  <c r="CE169"/>
  <c r="CD169"/>
  <c r="CC169"/>
  <c r="CB169"/>
  <c r="CA169"/>
  <c r="BZ169"/>
  <c r="BY169"/>
  <c r="BX169"/>
  <c r="BW169"/>
  <c r="BV169"/>
  <c r="BU169"/>
  <c r="BT169"/>
  <c r="BS169"/>
  <c r="BR169"/>
  <c r="BQ169"/>
  <c r="BP169"/>
  <c r="BO169"/>
  <c r="BN169"/>
  <c r="BM169"/>
  <c r="BL169"/>
  <c r="BK169"/>
  <c r="BJ169"/>
  <c r="BI169"/>
  <c r="BH169"/>
  <c r="BG169"/>
  <c r="BF169"/>
  <c r="BE169"/>
  <c r="BD169"/>
  <c r="BC169"/>
  <c r="BB169"/>
  <c r="BA169"/>
  <c r="AZ169"/>
  <c r="AY169"/>
  <c r="AX169"/>
  <c r="AW169"/>
  <c r="AV169"/>
  <c r="AU169"/>
  <c r="AT169"/>
  <c r="AS169"/>
  <c r="AR169"/>
  <c r="AQ169"/>
  <c r="AP169"/>
  <c r="AO169"/>
  <c r="AN169"/>
  <c r="AM169"/>
  <c r="AL169"/>
  <c r="AK169"/>
  <c r="AJ169"/>
  <c r="AI169"/>
  <c r="AH169"/>
  <c r="AG169"/>
  <c r="AF169"/>
  <c r="AE169"/>
  <c r="AD169"/>
  <c r="AC169"/>
  <c r="AB169"/>
  <c r="AA169"/>
  <c r="Z169"/>
  <c r="Y169"/>
  <c r="X169"/>
  <c r="W169"/>
  <c r="V169"/>
  <c r="U169"/>
  <c r="T169"/>
  <c r="S169"/>
  <c r="R169"/>
  <c r="Q169"/>
  <c r="P169"/>
  <c r="O169"/>
  <c r="N169"/>
  <c r="M169"/>
  <c r="L169"/>
  <c r="K169"/>
  <c r="J169"/>
  <c r="I169"/>
  <c r="H169"/>
  <c r="G169"/>
  <c r="F169"/>
  <c r="E169"/>
  <c r="D169"/>
  <c r="C169"/>
  <c r="B169"/>
  <c r="A169"/>
  <c r="IV168"/>
  <c r="IU168"/>
  <c r="IT168"/>
  <c r="IS168"/>
  <c r="IR168"/>
  <c r="IQ168"/>
  <c r="IP168"/>
  <c r="IO168"/>
  <c r="IN168"/>
  <c r="IM168"/>
  <c r="IL168"/>
  <c r="IK168"/>
  <c r="IJ168"/>
  <c r="II168"/>
  <c r="IH168"/>
  <c r="IG168"/>
  <c r="IF168"/>
  <c r="IE168"/>
  <c r="ID168"/>
  <c r="IC168"/>
  <c r="IB168"/>
  <c r="IA168"/>
  <c r="HZ168"/>
  <c r="HY168"/>
  <c r="HX168"/>
  <c r="HW168"/>
  <c r="HV168"/>
  <c r="HU168"/>
  <c r="HT168"/>
  <c r="HS168"/>
  <c r="HR168"/>
  <c r="HQ168"/>
  <c r="HP168"/>
  <c r="HO168"/>
  <c r="HN168"/>
  <c r="HM168"/>
  <c r="HL168"/>
  <c r="HK168"/>
  <c r="HJ168"/>
  <c r="HI168"/>
  <c r="HH168"/>
  <c r="HG168"/>
  <c r="HF168"/>
  <c r="HE168"/>
  <c r="HD168"/>
  <c r="HC168"/>
  <c r="HB168"/>
  <c r="HA168"/>
  <c r="GZ168"/>
  <c r="GY168"/>
  <c r="GX168"/>
  <c r="GW168"/>
  <c r="GV168"/>
  <c r="GU168"/>
  <c r="GT168"/>
  <c r="GS168"/>
  <c r="GR168"/>
  <c r="GQ168"/>
  <c r="GP168"/>
  <c r="GO168"/>
  <c r="GN168"/>
  <c r="GM168"/>
  <c r="GL168"/>
  <c r="GK168"/>
  <c r="GJ168"/>
  <c r="GI168"/>
  <c r="GH168"/>
  <c r="GG168"/>
  <c r="GF168"/>
  <c r="GE168"/>
  <c r="GD168"/>
  <c r="GC168"/>
  <c r="GB168"/>
  <c r="GA168"/>
  <c r="FZ168"/>
  <c r="FY168"/>
  <c r="FX168"/>
  <c r="FW168"/>
  <c r="FV168"/>
  <c r="FU168"/>
  <c r="FT168"/>
  <c r="FS168"/>
  <c r="FR168"/>
  <c r="FQ168"/>
  <c r="FP168"/>
  <c r="FO168"/>
  <c r="FN168"/>
  <c r="FM168"/>
  <c r="FL168"/>
  <c r="FK168"/>
  <c r="FJ168"/>
  <c r="FI168"/>
  <c r="FH168"/>
  <c r="FG168"/>
  <c r="FF168"/>
  <c r="FE168"/>
  <c r="FD168"/>
  <c r="FC168"/>
  <c r="FB168"/>
  <c r="FA168"/>
  <c r="EZ168"/>
  <c r="EY168"/>
  <c r="EX168"/>
  <c r="EW168"/>
  <c r="EV168"/>
  <c r="EU168"/>
  <c r="ET168"/>
  <c r="ES168"/>
  <c r="ER168"/>
  <c r="EQ168"/>
  <c r="EP168"/>
  <c r="EO168"/>
  <c r="EN168"/>
  <c r="EM168"/>
  <c r="EL168"/>
  <c r="EK168"/>
  <c r="EJ168"/>
  <c r="EI168"/>
  <c r="EH168"/>
  <c r="EG168"/>
  <c r="EF168"/>
  <c r="EE168"/>
  <c r="ED168"/>
  <c r="EC168"/>
  <c r="EB168"/>
  <c r="EA168"/>
  <c r="DZ168"/>
  <c r="DY168"/>
  <c r="DX168"/>
  <c r="DW168"/>
  <c r="DV168"/>
  <c r="DU168"/>
  <c r="DT168"/>
  <c r="DS168"/>
  <c r="DR168"/>
  <c r="DQ168"/>
  <c r="DP168"/>
  <c r="DO168"/>
  <c r="DN168"/>
  <c r="DM168"/>
  <c r="DL168"/>
  <c r="DK168"/>
  <c r="DJ168"/>
  <c r="DI168"/>
  <c r="DH168"/>
  <c r="DG168"/>
  <c r="DF168"/>
  <c r="DE168"/>
  <c r="DD168"/>
  <c r="DC168"/>
  <c r="DB168"/>
  <c r="DA168"/>
  <c r="CZ168"/>
  <c r="CY168"/>
  <c r="CX168"/>
  <c r="CW168"/>
  <c r="CV168"/>
  <c r="CU168"/>
  <c r="CT168"/>
  <c r="CS168"/>
  <c r="CR168"/>
  <c r="CQ168"/>
  <c r="CP168"/>
  <c r="CO168"/>
  <c r="CN168"/>
  <c r="CM168"/>
  <c r="CL168"/>
  <c r="CK168"/>
  <c r="CJ168"/>
  <c r="CI168"/>
  <c r="CH168"/>
  <c r="CG168"/>
  <c r="CF168"/>
  <c r="CE168"/>
  <c r="CD168"/>
  <c r="CC168"/>
  <c r="CB168"/>
  <c r="CA168"/>
  <c r="BZ168"/>
  <c r="BY168"/>
  <c r="BX168"/>
  <c r="BW168"/>
  <c r="BV168"/>
  <c r="BU168"/>
  <c r="BT168"/>
  <c r="BS168"/>
  <c r="BR168"/>
  <c r="BQ168"/>
  <c r="BP168"/>
  <c r="BO168"/>
  <c r="BN168"/>
  <c r="BM168"/>
  <c r="BL168"/>
  <c r="BK168"/>
  <c r="BJ168"/>
  <c r="BI168"/>
  <c r="BH168"/>
  <c r="BG168"/>
  <c r="BF168"/>
  <c r="BE168"/>
  <c r="BD168"/>
  <c r="BC168"/>
  <c r="BB168"/>
  <c r="BA168"/>
  <c r="AZ168"/>
  <c r="AY168"/>
  <c r="AX168"/>
  <c r="AW168"/>
  <c r="AV168"/>
  <c r="AU168"/>
  <c r="AT168"/>
  <c r="AS168"/>
  <c r="AR168"/>
  <c r="AQ168"/>
  <c r="AP168"/>
  <c r="AO168"/>
  <c r="AN168"/>
  <c r="AM168"/>
  <c r="AL168"/>
  <c r="AK168"/>
  <c r="AJ168"/>
  <c r="AI168"/>
  <c r="AH168"/>
  <c r="AG168"/>
  <c r="AF168"/>
  <c r="AE168"/>
  <c r="AD168"/>
  <c r="AC168"/>
  <c r="AB168"/>
  <c r="AA168"/>
  <c r="Z168"/>
  <c r="Y168"/>
  <c r="X168"/>
  <c r="W168"/>
  <c r="V168"/>
  <c r="U168"/>
  <c r="T168"/>
  <c r="S168"/>
  <c r="R168"/>
  <c r="Q168"/>
  <c r="P168"/>
  <c r="O168"/>
  <c r="N168"/>
  <c r="M168"/>
  <c r="L168"/>
  <c r="K168"/>
  <c r="J168"/>
  <c r="I168"/>
  <c r="H168"/>
  <c r="G168"/>
  <c r="F168"/>
  <c r="E168"/>
  <c r="D168"/>
  <c r="C168"/>
  <c r="B168"/>
  <c r="A168"/>
  <c r="IV167"/>
  <c r="IU167"/>
  <c r="IT167"/>
  <c r="IS167"/>
  <c r="IR167"/>
  <c r="IQ167"/>
  <c r="IP167"/>
  <c r="IO167"/>
  <c r="IN167"/>
  <c r="IM167"/>
  <c r="IL167"/>
  <c r="IK167"/>
  <c r="IJ167"/>
  <c r="II167"/>
  <c r="IH167"/>
  <c r="IG167"/>
  <c r="IF167"/>
  <c r="IE167"/>
  <c r="ID167"/>
  <c r="IC167"/>
  <c r="IB167"/>
  <c r="IA167"/>
  <c r="HZ167"/>
  <c r="HY167"/>
  <c r="HX167"/>
  <c r="HW167"/>
  <c r="HV167"/>
  <c r="HU167"/>
  <c r="HT167"/>
  <c r="HS167"/>
  <c r="HR167"/>
  <c r="HQ167"/>
  <c r="HP167"/>
  <c r="HO167"/>
  <c r="HN167"/>
  <c r="HM167"/>
  <c r="HL167"/>
  <c r="HK167"/>
  <c r="HJ167"/>
  <c r="HI167"/>
  <c r="HH167"/>
  <c r="HG167"/>
  <c r="HF167"/>
  <c r="HE167"/>
  <c r="HD167"/>
  <c r="HC167"/>
  <c r="HB167"/>
  <c r="HA167"/>
  <c r="GZ167"/>
  <c r="GY167"/>
  <c r="GX167"/>
  <c r="GW167"/>
  <c r="GV167"/>
  <c r="GU167"/>
  <c r="GT167"/>
  <c r="GS167"/>
  <c r="GR167"/>
  <c r="GQ167"/>
  <c r="GP167"/>
  <c r="GO167"/>
  <c r="GN167"/>
  <c r="GM167"/>
  <c r="GL167"/>
  <c r="GK167"/>
  <c r="GJ167"/>
  <c r="GI167"/>
  <c r="GH167"/>
  <c r="GG167"/>
  <c r="GF167"/>
  <c r="GE167"/>
  <c r="GD167"/>
  <c r="GC167"/>
  <c r="GB167"/>
  <c r="GA167"/>
  <c r="FZ167"/>
  <c r="FY167"/>
  <c r="FX167"/>
  <c r="FW167"/>
  <c r="FV167"/>
  <c r="FU167"/>
  <c r="FT167"/>
  <c r="FS167"/>
  <c r="FR167"/>
  <c r="FQ167"/>
  <c r="FP167"/>
  <c r="FO167"/>
  <c r="FN167"/>
  <c r="FM167"/>
  <c r="FL167"/>
  <c r="FK167"/>
  <c r="FJ167"/>
  <c r="FI167"/>
  <c r="FH167"/>
  <c r="FG167"/>
  <c r="FF167"/>
  <c r="FE167"/>
  <c r="FD167"/>
  <c r="FC167"/>
  <c r="FB167"/>
  <c r="FA167"/>
  <c r="EZ167"/>
  <c r="EY167"/>
  <c r="EX167"/>
  <c r="EW167"/>
  <c r="EV167"/>
  <c r="EU167"/>
  <c r="ET167"/>
  <c r="ES167"/>
  <c r="ER167"/>
  <c r="EQ167"/>
  <c r="EP167"/>
  <c r="EO167"/>
  <c r="EN167"/>
  <c r="EM167"/>
  <c r="EL167"/>
  <c r="EK167"/>
  <c r="EJ167"/>
  <c r="EI167"/>
  <c r="EH167"/>
  <c r="EG167"/>
  <c r="EF167"/>
  <c r="EE167"/>
  <c r="ED167"/>
  <c r="EC167"/>
  <c r="EB167"/>
  <c r="EA167"/>
  <c r="DZ167"/>
  <c r="DY167"/>
  <c r="DX167"/>
  <c r="DW167"/>
  <c r="DV167"/>
  <c r="DU167"/>
  <c r="DT167"/>
  <c r="DS167"/>
  <c r="DR167"/>
  <c r="DQ167"/>
  <c r="DP167"/>
  <c r="DO167"/>
  <c r="DN167"/>
  <c r="DM167"/>
  <c r="DL167"/>
  <c r="DK167"/>
  <c r="DJ167"/>
  <c r="DI167"/>
  <c r="DH167"/>
  <c r="DG167"/>
  <c r="DF167"/>
  <c r="DE167"/>
  <c r="DD167"/>
  <c r="DC167"/>
  <c r="DB167"/>
  <c r="DA167"/>
  <c r="CZ167"/>
  <c r="CY167"/>
  <c r="CX167"/>
  <c r="CW167"/>
  <c r="CV167"/>
  <c r="CU167"/>
  <c r="CT167"/>
  <c r="CS167"/>
  <c r="CR167"/>
  <c r="CQ167"/>
  <c r="CP167"/>
  <c r="CO167"/>
  <c r="CN167"/>
  <c r="CM167"/>
  <c r="CL167"/>
  <c r="CK167"/>
  <c r="CJ167"/>
  <c r="CI167"/>
  <c r="CH167"/>
  <c r="CG167"/>
  <c r="CF167"/>
  <c r="CE167"/>
  <c r="CD167"/>
  <c r="CC167"/>
  <c r="CB167"/>
  <c r="CA167"/>
  <c r="BZ167"/>
  <c r="BY167"/>
  <c r="BX167"/>
  <c r="BW167"/>
  <c r="BV167"/>
  <c r="BU167"/>
  <c r="BT167"/>
  <c r="BS167"/>
  <c r="BR167"/>
  <c r="BQ167"/>
  <c r="BP167"/>
  <c r="BO167"/>
  <c r="BN167"/>
  <c r="BM167"/>
  <c r="BL167"/>
  <c r="BK167"/>
  <c r="BJ167"/>
  <c r="BI167"/>
  <c r="BH167"/>
  <c r="BG167"/>
  <c r="BF167"/>
  <c r="BE167"/>
  <c r="BD167"/>
  <c r="BC167"/>
  <c r="BB167"/>
  <c r="BA167"/>
  <c r="AZ167"/>
  <c r="AY167"/>
  <c r="AX167"/>
  <c r="AW167"/>
  <c r="AV167"/>
  <c r="AU167"/>
  <c r="AT167"/>
  <c r="AS167"/>
  <c r="AR167"/>
  <c r="AQ167"/>
  <c r="AP167"/>
  <c r="AO167"/>
  <c r="AN167"/>
  <c r="AM167"/>
  <c r="AL167"/>
  <c r="AK167"/>
  <c r="AJ167"/>
  <c r="AI167"/>
  <c r="AH167"/>
  <c r="AG167"/>
  <c r="AF167"/>
  <c r="AE167"/>
  <c r="AD167"/>
  <c r="AC167"/>
  <c r="AB167"/>
  <c r="AA167"/>
  <c r="Z167"/>
  <c r="Y167"/>
  <c r="X167"/>
  <c r="W167"/>
  <c r="V167"/>
  <c r="U167"/>
  <c r="T167"/>
  <c r="S167"/>
  <c r="R167"/>
  <c r="Q167"/>
  <c r="P167"/>
  <c r="O167"/>
  <c r="N167"/>
  <c r="M167"/>
  <c r="L167"/>
  <c r="K167"/>
  <c r="J167"/>
  <c r="I167"/>
  <c r="H167"/>
  <c r="G167"/>
  <c r="F167"/>
  <c r="E167"/>
  <c r="D167"/>
  <c r="C167"/>
  <c r="B167"/>
  <c r="A167"/>
  <c r="IV166"/>
  <c r="IU166"/>
  <c r="IT166"/>
  <c r="IS166"/>
  <c r="IR166"/>
  <c r="IQ166"/>
  <c r="IP166"/>
  <c r="IO166"/>
  <c r="IN166"/>
  <c r="IM166"/>
  <c r="IL166"/>
  <c r="IK166"/>
  <c r="IJ166"/>
  <c r="II166"/>
  <c r="IH166"/>
  <c r="IG166"/>
  <c r="IF166"/>
  <c r="IE166"/>
  <c r="ID166"/>
  <c r="IC166"/>
  <c r="IB166"/>
  <c r="IA166"/>
  <c r="HZ166"/>
  <c r="HY166"/>
  <c r="HX166"/>
  <c r="HW166"/>
  <c r="HV166"/>
  <c r="HU166"/>
  <c r="HT166"/>
  <c r="HS166"/>
  <c r="HR166"/>
  <c r="HQ166"/>
  <c r="HP166"/>
  <c r="HO166"/>
  <c r="HN166"/>
  <c r="HM166"/>
  <c r="HL166"/>
  <c r="HK166"/>
  <c r="HJ166"/>
  <c r="HI166"/>
  <c r="HH166"/>
  <c r="HG166"/>
  <c r="HF166"/>
  <c r="HE166"/>
  <c r="HD166"/>
  <c r="HC166"/>
  <c r="HB166"/>
  <c r="HA166"/>
  <c r="GZ166"/>
  <c r="GY166"/>
  <c r="GX166"/>
  <c r="GW166"/>
  <c r="GV166"/>
  <c r="GU166"/>
  <c r="GT166"/>
  <c r="GS166"/>
  <c r="GR166"/>
  <c r="GQ166"/>
  <c r="GP166"/>
  <c r="GO166"/>
  <c r="GN166"/>
  <c r="GM166"/>
  <c r="GL166"/>
  <c r="GK166"/>
  <c r="GJ166"/>
  <c r="GI166"/>
  <c r="GH166"/>
  <c r="GG166"/>
  <c r="GF166"/>
  <c r="GE166"/>
  <c r="GD166"/>
  <c r="GC166"/>
  <c r="GB166"/>
  <c r="GA166"/>
  <c r="FZ166"/>
  <c r="FY166"/>
  <c r="FX166"/>
  <c r="FW166"/>
  <c r="FV166"/>
  <c r="FU166"/>
  <c r="FT166"/>
  <c r="FS166"/>
  <c r="FR166"/>
  <c r="FQ166"/>
  <c r="FP166"/>
  <c r="FO166"/>
  <c r="FN166"/>
  <c r="FM166"/>
  <c r="FL166"/>
  <c r="FK166"/>
  <c r="FJ166"/>
  <c r="FI166"/>
  <c r="FH166"/>
  <c r="FG166"/>
  <c r="FF166"/>
  <c r="FE166"/>
  <c r="FD166"/>
  <c r="FC166"/>
  <c r="FB166"/>
  <c r="FA166"/>
  <c r="EZ166"/>
  <c r="EY166"/>
  <c r="EX166"/>
  <c r="EW166"/>
  <c r="EV166"/>
  <c r="EU166"/>
  <c r="ET166"/>
  <c r="ES166"/>
  <c r="ER166"/>
  <c r="EQ166"/>
  <c r="EP166"/>
  <c r="EO166"/>
  <c r="EN166"/>
  <c r="EM166"/>
  <c r="EL166"/>
  <c r="EK166"/>
  <c r="EJ166"/>
  <c r="EI166"/>
  <c r="EH166"/>
  <c r="EG166"/>
  <c r="EF166"/>
  <c r="EE166"/>
  <c r="ED166"/>
  <c r="EC166"/>
  <c r="EB166"/>
  <c r="EA166"/>
  <c r="DZ166"/>
  <c r="DY166"/>
  <c r="DX166"/>
  <c r="DW166"/>
  <c r="DV166"/>
  <c r="DU166"/>
  <c r="DT166"/>
  <c r="DS166"/>
  <c r="DR166"/>
  <c r="DQ166"/>
  <c r="DP166"/>
  <c r="DO166"/>
  <c r="DN166"/>
  <c r="DM166"/>
  <c r="DL166"/>
  <c r="DK166"/>
  <c r="DJ166"/>
  <c r="DI166"/>
  <c r="DH166"/>
  <c r="DG166"/>
  <c r="DF166"/>
  <c r="DE166"/>
  <c r="DD166"/>
  <c r="DC166"/>
  <c r="DB166"/>
  <c r="DA166"/>
  <c r="CZ166"/>
  <c r="CY166"/>
  <c r="CX166"/>
  <c r="CW166"/>
  <c r="CV166"/>
  <c r="CU166"/>
  <c r="CT166"/>
  <c r="CS166"/>
  <c r="CR166"/>
  <c r="CQ166"/>
  <c r="CP166"/>
  <c r="CO166"/>
  <c r="CN166"/>
  <c r="CM166"/>
  <c r="CL166"/>
  <c r="CK166"/>
  <c r="CJ166"/>
  <c r="CI166"/>
  <c r="CH166"/>
  <c r="CG166"/>
  <c r="CF166"/>
  <c r="CE166"/>
  <c r="CD166"/>
  <c r="CC166"/>
  <c r="CB166"/>
  <c r="CA166"/>
  <c r="BZ166"/>
  <c r="BY166"/>
  <c r="BX166"/>
  <c r="BW166"/>
  <c r="BV166"/>
  <c r="BU166"/>
  <c r="BT166"/>
  <c r="BS166"/>
  <c r="BR166"/>
  <c r="BQ166"/>
  <c r="BP166"/>
  <c r="BO166"/>
  <c r="BN166"/>
  <c r="BM166"/>
  <c r="BL166"/>
  <c r="BK166"/>
  <c r="BJ166"/>
  <c r="BI166"/>
  <c r="BH166"/>
  <c r="BG166"/>
  <c r="BF166"/>
  <c r="BE166"/>
  <c r="BD166"/>
  <c r="BC166"/>
  <c r="BB166"/>
  <c r="BA166"/>
  <c r="AZ166"/>
  <c r="AY166"/>
  <c r="AX166"/>
  <c r="AW166"/>
  <c r="AV166"/>
  <c r="AU166"/>
  <c r="AT166"/>
  <c r="AS166"/>
  <c r="AR166"/>
  <c r="AQ166"/>
  <c r="AP166"/>
  <c r="AO166"/>
  <c r="AN166"/>
  <c r="AM166"/>
  <c r="AL166"/>
  <c r="AK166"/>
  <c r="AJ166"/>
  <c r="AI166"/>
  <c r="AH166"/>
  <c r="AG166"/>
  <c r="AF166"/>
  <c r="AE166"/>
  <c r="AD166"/>
  <c r="AC166"/>
  <c r="AB166"/>
  <c r="AA166"/>
  <c r="Z166"/>
  <c r="Y166"/>
  <c r="X166"/>
  <c r="W166"/>
  <c r="V166"/>
  <c r="U166"/>
  <c r="T166"/>
  <c r="S166"/>
  <c r="R166"/>
  <c r="Q166"/>
  <c r="P166"/>
  <c r="O166"/>
  <c r="N166"/>
  <c r="M166"/>
  <c r="L166"/>
  <c r="K166"/>
  <c r="J166"/>
  <c r="I166"/>
  <c r="H166"/>
  <c r="G166"/>
  <c r="F166"/>
  <c r="E166"/>
  <c r="D166"/>
  <c r="C166"/>
  <c r="B166"/>
  <c r="A166"/>
  <c r="IV165"/>
  <c r="IU165"/>
  <c r="IT165"/>
  <c r="IS165"/>
  <c r="IR165"/>
  <c r="IQ165"/>
  <c r="IP165"/>
  <c r="IO165"/>
  <c r="IN165"/>
  <c r="IM165"/>
  <c r="IL165"/>
  <c r="IK165"/>
  <c r="IJ165"/>
  <c r="II165"/>
  <c r="IH165"/>
  <c r="IG165"/>
  <c r="IF165"/>
  <c r="IE165"/>
  <c r="ID165"/>
  <c r="IC165"/>
  <c r="IB165"/>
  <c r="IA165"/>
  <c r="HZ165"/>
  <c r="HY165"/>
  <c r="HX165"/>
  <c r="HW165"/>
  <c r="HV165"/>
  <c r="HU165"/>
  <c r="HT165"/>
  <c r="HS165"/>
  <c r="HR165"/>
  <c r="HQ165"/>
  <c r="HP165"/>
  <c r="HO165"/>
  <c r="HN165"/>
  <c r="HM165"/>
  <c r="HL165"/>
  <c r="HK165"/>
  <c r="HJ165"/>
  <c r="HI165"/>
  <c r="HH165"/>
  <c r="HG165"/>
  <c r="HF165"/>
  <c r="HE165"/>
  <c r="HD165"/>
  <c r="HC165"/>
  <c r="HB165"/>
  <c r="HA165"/>
  <c r="GZ165"/>
  <c r="GY165"/>
  <c r="GX165"/>
  <c r="GW165"/>
  <c r="GV165"/>
  <c r="GU165"/>
  <c r="GT165"/>
  <c r="GS165"/>
  <c r="GR165"/>
  <c r="GQ165"/>
  <c r="GP165"/>
  <c r="GO165"/>
  <c r="GN165"/>
  <c r="GM165"/>
  <c r="GL165"/>
  <c r="GK165"/>
  <c r="GJ165"/>
  <c r="GI165"/>
  <c r="GH165"/>
  <c r="GG165"/>
  <c r="GF165"/>
  <c r="GE165"/>
  <c r="GD165"/>
  <c r="GC165"/>
  <c r="GB165"/>
  <c r="GA165"/>
  <c r="FZ165"/>
  <c r="FY165"/>
  <c r="FX165"/>
  <c r="FW165"/>
  <c r="FV165"/>
  <c r="FU165"/>
  <c r="FT165"/>
  <c r="FS165"/>
  <c r="FR165"/>
  <c r="FQ165"/>
  <c r="FP165"/>
  <c r="FO165"/>
  <c r="FN165"/>
  <c r="FM165"/>
  <c r="FL165"/>
  <c r="FK165"/>
  <c r="FJ165"/>
  <c r="FI165"/>
  <c r="FH165"/>
  <c r="FG165"/>
  <c r="FF165"/>
  <c r="FE165"/>
  <c r="FD165"/>
  <c r="FC165"/>
  <c r="FB165"/>
  <c r="FA165"/>
  <c r="EZ165"/>
  <c r="EY165"/>
  <c r="EX165"/>
  <c r="EW165"/>
  <c r="EV165"/>
  <c r="EU165"/>
  <c r="ET165"/>
  <c r="ES165"/>
  <c r="ER165"/>
  <c r="EQ165"/>
  <c r="EP165"/>
  <c r="EO165"/>
  <c r="EN165"/>
  <c r="EM165"/>
  <c r="EL165"/>
  <c r="EK165"/>
  <c r="EJ165"/>
  <c r="EI165"/>
  <c r="EH165"/>
  <c r="EG165"/>
  <c r="EF165"/>
  <c r="EE165"/>
  <c r="ED165"/>
  <c r="EC165"/>
  <c r="EB165"/>
  <c r="EA165"/>
  <c r="DZ165"/>
  <c r="DY165"/>
  <c r="DX165"/>
  <c r="DW165"/>
  <c r="DV165"/>
  <c r="DU165"/>
  <c r="DT165"/>
  <c r="DS165"/>
  <c r="DR165"/>
  <c r="DQ165"/>
  <c r="DP165"/>
  <c r="DO165"/>
  <c r="DN165"/>
  <c r="DM165"/>
  <c r="DL165"/>
  <c r="DK165"/>
  <c r="DJ165"/>
  <c r="DI165"/>
  <c r="DH165"/>
  <c r="DG165"/>
  <c r="DF165"/>
  <c r="DE165"/>
  <c r="DD165"/>
  <c r="DC165"/>
  <c r="DB165"/>
  <c r="DA165"/>
  <c r="CZ165"/>
  <c r="CY165"/>
  <c r="CX165"/>
  <c r="CW165"/>
  <c r="CV165"/>
  <c r="CU165"/>
  <c r="CT165"/>
  <c r="CS165"/>
  <c r="CR165"/>
  <c r="CQ165"/>
  <c r="CP165"/>
  <c r="CO165"/>
  <c r="CN165"/>
  <c r="CM165"/>
  <c r="CL165"/>
  <c r="CK165"/>
  <c r="CJ165"/>
  <c r="CI165"/>
  <c r="CH165"/>
  <c r="CG165"/>
  <c r="CF165"/>
  <c r="CE165"/>
  <c r="CD165"/>
  <c r="CC165"/>
  <c r="CB165"/>
  <c r="CA165"/>
  <c r="BZ165"/>
  <c r="BY165"/>
  <c r="BX165"/>
  <c r="BW165"/>
  <c r="BV165"/>
  <c r="BU165"/>
  <c r="BT165"/>
  <c r="BS165"/>
  <c r="BR165"/>
  <c r="BQ165"/>
  <c r="BP165"/>
  <c r="BO165"/>
  <c r="BN165"/>
  <c r="BM165"/>
  <c r="BL165"/>
  <c r="BK165"/>
  <c r="BJ165"/>
  <c r="BI165"/>
  <c r="BH165"/>
  <c r="BG165"/>
  <c r="BF165"/>
  <c r="BE165"/>
  <c r="BD165"/>
  <c r="BC165"/>
  <c r="BB165"/>
  <c r="BA165"/>
  <c r="AZ165"/>
  <c r="AY165"/>
  <c r="AX165"/>
  <c r="AW165"/>
  <c r="AV165"/>
  <c r="AU165"/>
  <c r="AT165"/>
  <c r="AS165"/>
  <c r="AR165"/>
  <c r="AQ165"/>
  <c r="AP165"/>
  <c r="AO165"/>
  <c r="AN165"/>
  <c r="AM165"/>
  <c r="AL165"/>
  <c r="AK165"/>
  <c r="AJ165"/>
  <c r="AI165"/>
  <c r="AH165"/>
  <c r="AG165"/>
  <c r="AF165"/>
  <c r="AE165"/>
  <c r="AD165"/>
  <c r="AC165"/>
  <c r="AB165"/>
  <c r="AA165"/>
  <c r="Z165"/>
  <c r="Y165"/>
  <c r="X165"/>
  <c r="W165"/>
  <c r="V165"/>
  <c r="U165"/>
  <c r="T165"/>
  <c r="S165"/>
  <c r="R165"/>
  <c r="Q165"/>
  <c r="P165"/>
  <c r="O165"/>
  <c r="N165"/>
  <c r="M165"/>
  <c r="L165"/>
  <c r="K165"/>
  <c r="J165"/>
  <c r="I165"/>
  <c r="H165"/>
  <c r="G165"/>
  <c r="F165"/>
  <c r="E165"/>
  <c r="D165"/>
  <c r="C165"/>
  <c r="B165"/>
  <c r="A165"/>
  <c r="IV164"/>
  <c r="IU164"/>
  <c r="IT164"/>
  <c r="IS164"/>
  <c r="IR164"/>
  <c r="IQ164"/>
  <c r="IP164"/>
  <c r="IO164"/>
  <c r="IN164"/>
  <c r="IM164"/>
  <c r="IL164"/>
  <c r="IK164"/>
  <c r="IJ164"/>
  <c r="II164"/>
  <c r="IH164"/>
  <c r="IG164"/>
  <c r="IF164"/>
  <c r="IE164"/>
  <c r="ID164"/>
  <c r="IC164"/>
  <c r="IB164"/>
  <c r="IA164"/>
  <c r="HZ164"/>
  <c r="HY164"/>
  <c r="HX164"/>
  <c r="HW164"/>
  <c r="HV164"/>
  <c r="HU164"/>
  <c r="HT164"/>
  <c r="HS164"/>
  <c r="HR164"/>
  <c r="HQ164"/>
  <c r="HP164"/>
  <c r="HO164"/>
  <c r="HN164"/>
  <c r="HM164"/>
  <c r="HL164"/>
  <c r="HK164"/>
  <c r="HJ164"/>
  <c r="HI164"/>
  <c r="HH164"/>
  <c r="HG164"/>
  <c r="HF164"/>
  <c r="HE164"/>
  <c r="HD164"/>
  <c r="HC164"/>
  <c r="HB164"/>
  <c r="HA164"/>
  <c r="GZ164"/>
  <c r="GY164"/>
  <c r="GX164"/>
  <c r="GW164"/>
  <c r="GV164"/>
  <c r="GU164"/>
  <c r="GT164"/>
  <c r="GS164"/>
  <c r="GR164"/>
  <c r="GQ164"/>
  <c r="GP164"/>
  <c r="GO164"/>
  <c r="GN164"/>
  <c r="GM164"/>
  <c r="GL164"/>
  <c r="GK164"/>
  <c r="GJ164"/>
  <c r="GI164"/>
  <c r="GH164"/>
  <c r="GG164"/>
  <c r="GF164"/>
  <c r="GE164"/>
  <c r="GD164"/>
  <c r="GC164"/>
  <c r="GB164"/>
  <c r="GA164"/>
  <c r="FZ164"/>
  <c r="FY164"/>
  <c r="FX164"/>
  <c r="FW164"/>
  <c r="FV164"/>
  <c r="FU164"/>
  <c r="FT164"/>
  <c r="FS164"/>
  <c r="FR164"/>
  <c r="FQ164"/>
  <c r="FP164"/>
  <c r="FO164"/>
  <c r="FN164"/>
  <c r="FM164"/>
  <c r="FL164"/>
  <c r="FK164"/>
  <c r="FJ164"/>
  <c r="FI164"/>
  <c r="FH164"/>
  <c r="FG164"/>
  <c r="FF164"/>
  <c r="FE164"/>
  <c r="FD164"/>
  <c r="FC164"/>
  <c r="FB164"/>
  <c r="FA164"/>
  <c r="EZ164"/>
  <c r="EY164"/>
  <c r="EX164"/>
  <c r="EW164"/>
  <c r="EV164"/>
  <c r="EU164"/>
  <c r="ET164"/>
  <c r="ES164"/>
  <c r="ER164"/>
  <c r="EQ164"/>
  <c r="EP164"/>
  <c r="EO164"/>
  <c r="EN164"/>
  <c r="EM164"/>
  <c r="EL164"/>
  <c r="EK164"/>
  <c r="EJ164"/>
  <c r="EI164"/>
  <c r="EH164"/>
  <c r="EG164"/>
  <c r="EF164"/>
  <c r="EE164"/>
  <c r="ED164"/>
  <c r="EC164"/>
  <c r="EB164"/>
  <c r="EA164"/>
  <c r="DZ164"/>
  <c r="DY164"/>
  <c r="DX164"/>
  <c r="DW164"/>
  <c r="DV164"/>
  <c r="DU164"/>
  <c r="DT164"/>
  <c r="DS164"/>
  <c r="DR164"/>
  <c r="DQ164"/>
  <c r="DP164"/>
  <c r="DO164"/>
  <c r="DN164"/>
  <c r="DM164"/>
  <c r="DL164"/>
  <c r="DK164"/>
  <c r="DJ164"/>
  <c r="DI164"/>
  <c r="DH164"/>
  <c r="DG164"/>
  <c r="DF164"/>
  <c r="DE164"/>
  <c r="DD164"/>
  <c r="DC164"/>
  <c r="DB164"/>
  <c r="DA164"/>
  <c r="CZ164"/>
  <c r="CY164"/>
  <c r="CX164"/>
  <c r="CW164"/>
  <c r="CV164"/>
  <c r="CU164"/>
  <c r="CT164"/>
  <c r="CS164"/>
  <c r="CR164"/>
  <c r="CQ164"/>
  <c r="CP164"/>
  <c r="CO164"/>
  <c r="CN164"/>
  <c r="CM164"/>
  <c r="CL164"/>
  <c r="CK164"/>
  <c r="CJ164"/>
  <c r="CI164"/>
  <c r="CH164"/>
  <c r="CG164"/>
  <c r="CF164"/>
  <c r="CE164"/>
  <c r="CD164"/>
  <c r="CC164"/>
  <c r="CB164"/>
  <c r="CA164"/>
  <c r="BZ164"/>
  <c r="BY164"/>
  <c r="BX164"/>
  <c r="BW164"/>
  <c r="BV164"/>
  <c r="BU164"/>
  <c r="BT164"/>
  <c r="BS164"/>
  <c r="BR164"/>
  <c r="BQ164"/>
  <c r="BP164"/>
  <c r="BO164"/>
  <c r="BN164"/>
  <c r="BM164"/>
  <c r="BL164"/>
  <c r="BK164"/>
  <c r="BJ164"/>
  <c r="BI164"/>
  <c r="BH164"/>
  <c r="BG164"/>
  <c r="BF164"/>
  <c r="BE164"/>
  <c r="BD164"/>
  <c r="BC164"/>
  <c r="BB164"/>
  <c r="BA164"/>
  <c r="AZ164"/>
  <c r="AY164"/>
  <c r="AX164"/>
  <c r="AW164"/>
  <c r="AV164"/>
  <c r="AU164"/>
  <c r="AT164"/>
  <c r="AS164"/>
  <c r="AR164"/>
  <c r="AQ164"/>
  <c r="AP164"/>
  <c r="AO164"/>
  <c r="AN164"/>
  <c r="AM164"/>
  <c r="AL164"/>
  <c r="AK164"/>
  <c r="AJ164"/>
  <c r="AI164"/>
  <c r="AH164"/>
  <c r="AG164"/>
  <c r="AF164"/>
  <c r="AE164"/>
  <c r="AD164"/>
  <c r="AC164"/>
  <c r="AB164"/>
  <c r="AA164"/>
  <c r="Z164"/>
  <c r="Y164"/>
  <c r="X164"/>
  <c r="W164"/>
  <c r="V164"/>
  <c r="U164"/>
  <c r="T164"/>
  <c r="S164"/>
  <c r="R164"/>
  <c r="Q164"/>
  <c r="P164"/>
  <c r="O164"/>
  <c r="N164"/>
  <c r="M164"/>
  <c r="L164"/>
  <c r="K164"/>
  <c r="J164"/>
  <c r="I164"/>
  <c r="H164"/>
  <c r="G164"/>
  <c r="F164"/>
  <c r="E164"/>
  <c r="D164"/>
  <c r="C164"/>
  <c r="B164"/>
  <c r="A164"/>
  <c r="IV163"/>
  <c r="IU163"/>
  <c r="IT163"/>
  <c r="IS163"/>
  <c r="IR163"/>
  <c r="IQ163"/>
  <c r="IP163"/>
  <c r="IO163"/>
  <c r="IN163"/>
  <c r="IM163"/>
  <c r="IL163"/>
  <c r="IK163"/>
  <c r="IJ163"/>
  <c r="II163"/>
  <c r="IH163"/>
  <c r="IG163"/>
  <c r="IF163"/>
  <c r="IE163"/>
  <c r="ID163"/>
  <c r="IC163"/>
  <c r="IB163"/>
  <c r="IA163"/>
  <c r="HZ163"/>
  <c r="HY163"/>
  <c r="HX163"/>
  <c r="HW163"/>
  <c r="HV163"/>
  <c r="HU163"/>
  <c r="HT163"/>
  <c r="HS163"/>
  <c r="HR163"/>
  <c r="HQ163"/>
  <c r="HP163"/>
  <c r="HO163"/>
  <c r="HN163"/>
  <c r="HM163"/>
  <c r="HL163"/>
  <c r="HK163"/>
  <c r="HJ163"/>
  <c r="HI163"/>
  <c r="HH163"/>
  <c r="HG163"/>
  <c r="HF163"/>
  <c r="HE163"/>
  <c r="HD163"/>
  <c r="HC163"/>
  <c r="HB163"/>
  <c r="HA163"/>
  <c r="GZ163"/>
  <c r="GY163"/>
  <c r="GX163"/>
  <c r="GW163"/>
  <c r="GV163"/>
  <c r="GU163"/>
  <c r="GT163"/>
  <c r="GS163"/>
  <c r="GR163"/>
  <c r="GQ163"/>
  <c r="GP163"/>
  <c r="GO163"/>
  <c r="GN163"/>
  <c r="GM163"/>
  <c r="GL163"/>
  <c r="GK163"/>
  <c r="GJ163"/>
  <c r="GI163"/>
  <c r="GH163"/>
  <c r="GG163"/>
  <c r="GF163"/>
  <c r="GE163"/>
  <c r="GD163"/>
  <c r="GC163"/>
  <c r="GB163"/>
  <c r="GA163"/>
  <c r="FZ163"/>
  <c r="FY163"/>
  <c r="FX163"/>
  <c r="FW163"/>
  <c r="FV163"/>
  <c r="FU163"/>
  <c r="FT163"/>
  <c r="FS163"/>
  <c r="FR163"/>
  <c r="FQ163"/>
  <c r="FP163"/>
  <c r="FO163"/>
  <c r="FN163"/>
  <c r="FM163"/>
  <c r="FL163"/>
  <c r="FK163"/>
  <c r="FJ163"/>
  <c r="FI163"/>
  <c r="FH163"/>
  <c r="FG163"/>
  <c r="FF163"/>
  <c r="FE163"/>
  <c r="FD163"/>
  <c r="FC163"/>
  <c r="FB163"/>
  <c r="FA163"/>
  <c r="EZ163"/>
  <c r="EY163"/>
  <c r="EX163"/>
  <c r="EW163"/>
  <c r="EV163"/>
  <c r="EU163"/>
  <c r="ET163"/>
  <c r="ES163"/>
  <c r="ER163"/>
  <c r="EQ163"/>
  <c r="EP163"/>
  <c r="EO163"/>
  <c r="EN163"/>
  <c r="EM163"/>
  <c r="EL163"/>
  <c r="EK163"/>
  <c r="EJ163"/>
  <c r="EI163"/>
  <c r="EH163"/>
  <c r="EG163"/>
  <c r="EF163"/>
  <c r="EE163"/>
  <c r="ED163"/>
  <c r="EC163"/>
  <c r="EB163"/>
  <c r="EA163"/>
  <c r="DZ163"/>
  <c r="DY163"/>
  <c r="DX163"/>
  <c r="DW163"/>
  <c r="DV163"/>
  <c r="DU163"/>
  <c r="DT163"/>
  <c r="DS163"/>
  <c r="DR163"/>
  <c r="DQ163"/>
  <c r="DP163"/>
  <c r="DO163"/>
  <c r="DN163"/>
  <c r="DM163"/>
  <c r="DL163"/>
  <c r="DK163"/>
  <c r="DJ163"/>
  <c r="DI163"/>
  <c r="DH163"/>
  <c r="DG163"/>
  <c r="DF163"/>
  <c r="DE163"/>
  <c r="DD163"/>
  <c r="DC163"/>
  <c r="DB163"/>
  <c r="DA163"/>
  <c r="CZ163"/>
  <c r="CY163"/>
  <c r="CX163"/>
  <c r="CW163"/>
  <c r="CV163"/>
  <c r="CU163"/>
  <c r="CT163"/>
  <c r="CS163"/>
  <c r="CR163"/>
  <c r="CQ163"/>
  <c r="CP163"/>
  <c r="CO163"/>
  <c r="CN163"/>
  <c r="CM163"/>
  <c r="CL163"/>
  <c r="CK163"/>
  <c r="CJ163"/>
  <c r="CI163"/>
  <c r="CH163"/>
  <c r="CG163"/>
  <c r="CF163"/>
  <c r="CE163"/>
  <c r="CD163"/>
  <c r="CC163"/>
  <c r="CB163"/>
  <c r="CA163"/>
  <c r="BZ163"/>
  <c r="BY163"/>
  <c r="BX163"/>
  <c r="BW163"/>
  <c r="BV163"/>
  <c r="BU163"/>
  <c r="BT163"/>
  <c r="BS163"/>
  <c r="BR163"/>
  <c r="BQ163"/>
  <c r="BP163"/>
  <c r="BO163"/>
  <c r="BN163"/>
  <c r="BM163"/>
  <c r="BL163"/>
  <c r="BK163"/>
  <c r="BJ163"/>
  <c r="BI163"/>
  <c r="BH163"/>
  <c r="BG163"/>
  <c r="BF163"/>
  <c r="BE163"/>
  <c r="BD163"/>
  <c r="BC163"/>
  <c r="BB163"/>
  <c r="BA163"/>
  <c r="AZ163"/>
  <c r="AY163"/>
  <c r="AX163"/>
  <c r="AW163"/>
  <c r="AV163"/>
  <c r="AU163"/>
  <c r="AT163"/>
  <c r="AS163"/>
  <c r="AR163"/>
  <c r="AQ163"/>
  <c r="AP163"/>
  <c r="AO163"/>
  <c r="AN163"/>
  <c r="AM163"/>
  <c r="AL163"/>
  <c r="AK163"/>
  <c r="AJ163"/>
  <c r="AI163"/>
  <c r="AH163"/>
  <c r="AG163"/>
  <c r="AF163"/>
  <c r="AE163"/>
  <c r="AD163"/>
  <c r="AC163"/>
  <c r="AB163"/>
  <c r="AA163"/>
  <c r="Z163"/>
  <c r="Y163"/>
  <c r="X163"/>
  <c r="W163"/>
  <c r="V163"/>
  <c r="U163"/>
  <c r="T163"/>
  <c r="S163"/>
  <c r="R163"/>
  <c r="Q163"/>
  <c r="P163"/>
  <c r="O163"/>
  <c r="N163"/>
  <c r="M163"/>
  <c r="L163"/>
  <c r="K163"/>
  <c r="J163"/>
  <c r="I163"/>
  <c r="H163"/>
  <c r="G163"/>
  <c r="F163"/>
  <c r="E163"/>
  <c r="D163"/>
  <c r="C163"/>
  <c r="B163"/>
  <c r="A163"/>
  <c r="IV162"/>
  <c r="IU162"/>
  <c r="IT162"/>
  <c r="IS162"/>
  <c r="IR162"/>
  <c r="IQ162"/>
  <c r="IP162"/>
  <c r="IO162"/>
  <c r="IN162"/>
  <c r="IM162"/>
  <c r="IL162"/>
  <c r="IK162"/>
  <c r="IJ162"/>
  <c r="II162"/>
  <c r="IH162"/>
  <c r="IG162"/>
  <c r="IF162"/>
  <c r="IE162"/>
  <c r="ID162"/>
  <c r="IC162"/>
  <c r="IB162"/>
  <c r="IA162"/>
  <c r="HZ162"/>
  <c r="HY162"/>
  <c r="HX162"/>
  <c r="HW162"/>
  <c r="HV162"/>
  <c r="HU162"/>
  <c r="HT162"/>
  <c r="HS162"/>
  <c r="HR162"/>
  <c r="HQ162"/>
  <c r="HP162"/>
  <c r="HO162"/>
  <c r="HN162"/>
  <c r="HM162"/>
  <c r="HL162"/>
  <c r="HK162"/>
  <c r="HJ162"/>
  <c r="HI162"/>
  <c r="HH162"/>
  <c r="HG162"/>
  <c r="HF162"/>
  <c r="HE162"/>
  <c r="HD162"/>
  <c r="HC162"/>
  <c r="HB162"/>
  <c r="HA162"/>
  <c r="GZ162"/>
  <c r="GY162"/>
  <c r="GX162"/>
  <c r="GW162"/>
  <c r="GV162"/>
  <c r="GU162"/>
  <c r="GT162"/>
  <c r="GS162"/>
  <c r="GR162"/>
  <c r="GQ162"/>
  <c r="GP162"/>
  <c r="GO162"/>
  <c r="GN162"/>
  <c r="GM162"/>
  <c r="GL162"/>
  <c r="GK162"/>
  <c r="GJ162"/>
  <c r="GI162"/>
  <c r="GH162"/>
  <c r="GG162"/>
  <c r="GF162"/>
  <c r="GE162"/>
  <c r="GD162"/>
  <c r="GC162"/>
  <c r="GB162"/>
  <c r="GA162"/>
  <c r="FZ162"/>
  <c r="FY162"/>
  <c r="FX162"/>
  <c r="FW162"/>
  <c r="FV162"/>
  <c r="FU162"/>
  <c r="FT162"/>
  <c r="FS162"/>
  <c r="FR162"/>
  <c r="FQ162"/>
  <c r="FP162"/>
  <c r="FO162"/>
  <c r="FN162"/>
  <c r="FM162"/>
  <c r="FL162"/>
  <c r="FK162"/>
  <c r="FJ162"/>
  <c r="FI162"/>
  <c r="FH162"/>
  <c r="FG162"/>
  <c r="FF162"/>
  <c r="FE162"/>
  <c r="FD162"/>
  <c r="FC162"/>
  <c r="FB162"/>
  <c r="FA162"/>
  <c r="EZ162"/>
  <c r="EY162"/>
  <c r="EX162"/>
  <c r="EW162"/>
  <c r="EV162"/>
  <c r="EU162"/>
  <c r="ET162"/>
  <c r="ES162"/>
  <c r="ER162"/>
  <c r="EQ162"/>
  <c r="EP162"/>
  <c r="EO162"/>
  <c r="EN162"/>
  <c r="EM162"/>
  <c r="EL162"/>
  <c r="EK162"/>
  <c r="EJ162"/>
  <c r="EI162"/>
  <c r="EH162"/>
  <c r="EG162"/>
  <c r="EF162"/>
  <c r="EE162"/>
  <c r="ED162"/>
  <c r="EC162"/>
  <c r="EB162"/>
  <c r="EA162"/>
  <c r="DZ162"/>
  <c r="DY162"/>
  <c r="DX162"/>
  <c r="DW162"/>
  <c r="DV162"/>
  <c r="DU162"/>
  <c r="DT162"/>
  <c r="DS162"/>
  <c r="DR162"/>
  <c r="DQ162"/>
  <c r="DP162"/>
  <c r="DO162"/>
  <c r="DN162"/>
  <c r="DM162"/>
  <c r="DL162"/>
  <c r="DK162"/>
  <c r="DJ162"/>
  <c r="DI162"/>
  <c r="DH162"/>
  <c r="DG162"/>
  <c r="DF162"/>
  <c r="DE162"/>
  <c r="DD162"/>
  <c r="DC162"/>
  <c r="DB162"/>
  <c r="DA162"/>
  <c r="CZ162"/>
  <c r="CY162"/>
  <c r="CX162"/>
  <c r="CW162"/>
  <c r="CV162"/>
  <c r="CU162"/>
  <c r="CT162"/>
  <c r="CS162"/>
  <c r="CR162"/>
  <c r="CQ162"/>
  <c r="CP162"/>
  <c r="CO162"/>
  <c r="CN162"/>
  <c r="CM162"/>
  <c r="CL162"/>
  <c r="CK162"/>
  <c r="CJ162"/>
  <c r="CI162"/>
  <c r="CH162"/>
  <c r="CG162"/>
  <c r="CF162"/>
  <c r="CE162"/>
  <c r="CD162"/>
  <c r="CC162"/>
  <c r="CB162"/>
  <c r="CA162"/>
  <c r="BZ162"/>
  <c r="BY162"/>
  <c r="BX162"/>
  <c r="BW162"/>
  <c r="BV162"/>
  <c r="BU162"/>
  <c r="BT162"/>
  <c r="BS162"/>
  <c r="BR162"/>
  <c r="BQ162"/>
  <c r="BP162"/>
  <c r="BO162"/>
  <c r="BN162"/>
  <c r="BM162"/>
  <c r="BL162"/>
  <c r="BK162"/>
  <c r="BJ162"/>
  <c r="BI162"/>
  <c r="BH162"/>
  <c r="BG162"/>
  <c r="BF162"/>
  <c r="BE162"/>
  <c r="BD162"/>
  <c r="BC162"/>
  <c r="BB162"/>
  <c r="BA162"/>
  <c r="AZ162"/>
  <c r="AY162"/>
  <c r="AX162"/>
  <c r="AW162"/>
  <c r="AV162"/>
  <c r="AU162"/>
  <c r="AT162"/>
  <c r="AS162"/>
  <c r="AR162"/>
  <c r="AQ162"/>
  <c r="AP162"/>
  <c r="AO162"/>
  <c r="AN162"/>
  <c r="AM162"/>
  <c r="AL162"/>
  <c r="AK162"/>
  <c r="AJ162"/>
  <c r="AI162"/>
  <c r="AH162"/>
  <c r="AG162"/>
  <c r="AF162"/>
  <c r="AE162"/>
  <c r="AD162"/>
  <c r="AC162"/>
  <c r="AB162"/>
  <c r="AA162"/>
  <c r="Z162"/>
  <c r="Y162"/>
  <c r="X162"/>
  <c r="W162"/>
  <c r="V162"/>
  <c r="U162"/>
  <c r="T162"/>
  <c r="S162"/>
  <c r="R162"/>
  <c r="Q162"/>
  <c r="P162"/>
  <c r="O162"/>
  <c r="N162"/>
  <c r="M162"/>
  <c r="L162"/>
  <c r="K162"/>
  <c r="J162"/>
  <c r="I162"/>
  <c r="H162"/>
  <c r="G162"/>
  <c r="F162"/>
  <c r="E162"/>
  <c r="D162"/>
  <c r="C162"/>
  <c r="B162"/>
  <c r="A162"/>
  <c r="IV161"/>
  <c r="IU161"/>
  <c r="IT161"/>
  <c r="IS161"/>
  <c r="IR161"/>
  <c r="IQ161"/>
  <c r="IP161"/>
  <c r="IO161"/>
  <c r="IN161"/>
  <c r="IM161"/>
  <c r="IL161"/>
  <c r="IK161"/>
  <c r="IJ161"/>
  <c r="II161"/>
  <c r="IH161"/>
  <c r="IG161"/>
  <c r="IF161"/>
  <c r="IE161"/>
  <c r="ID161"/>
  <c r="IC161"/>
  <c r="IB161"/>
  <c r="IA161"/>
  <c r="HZ161"/>
  <c r="HY161"/>
  <c r="HX161"/>
  <c r="HW161"/>
  <c r="HV161"/>
  <c r="HU161"/>
  <c r="HT161"/>
  <c r="HS161"/>
  <c r="HR161"/>
  <c r="HQ161"/>
  <c r="HP161"/>
  <c r="HO161"/>
  <c r="HN161"/>
  <c r="HM161"/>
  <c r="HL161"/>
  <c r="HK161"/>
  <c r="HJ161"/>
  <c r="HI161"/>
  <c r="HH161"/>
  <c r="HG161"/>
  <c r="HF161"/>
  <c r="HE161"/>
  <c r="HD161"/>
  <c r="HC161"/>
  <c r="HB161"/>
  <c r="HA161"/>
  <c r="GZ161"/>
  <c r="GY161"/>
  <c r="GX161"/>
  <c r="GW161"/>
  <c r="GV161"/>
  <c r="GU161"/>
  <c r="GT161"/>
  <c r="GS161"/>
  <c r="GR161"/>
  <c r="GQ161"/>
  <c r="GP161"/>
  <c r="GO161"/>
  <c r="GN161"/>
  <c r="GM161"/>
  <c r="GL161"/>
  <c r="GK161"/>
  <c r="GJ161"/>
  <c r="GI161"/>
  <c r="GH161"/>
  <c r="GG161"/>
  <c r="GF161"/>
  <c r="GE161"/>
  <c r="GD161"/>
  <c r="GC161"/>
  <c r="GB161"/>
  <c r="GA161"/>
  <c r="FZ161"/>
  <c r="FY161"/>
  <c r="FX161"/>
  <c r="FW161"/>
  <c r="FV161"/>
  <c r="FU161"/>
  <c r="FT161"/>
  <c r="FS161"/>
  <c r="FR161"/>
  <c r="FQ161"/>
  <c r="FP161"/>
  <c r="FO161"/>
  <c r="FN161"/>
  <c r="FM161"/>
  <c r="FL161"/>
  <c r="FK161"/>
  <c r="FJ161"/>
  <c r="FI161"/>
  <c r="FH161"/>
  <c r="FG161"/>
  <c r="FF161"/>
  <c r="FE161"/>
  <c r="FD161"/>
  <c r="FC161"/>
  <c r="FB161"/>
  <c r="FA161"/>
  <c r="EZ161"/>
  <c r="EY161"/>
  <c r="EX161"/>
  <c r="EW161"/>
  <c r="EV161"/>
  <c r="EU161"/>
  <c r="ET161"/>
  <c r="ES161"/>
  <c r="ER161"/>
  <c r="EQ161"/>
  <c r="EP161"/>
  <c r="EO161"/>
  <c r="EN161"/>
  <c r="EM161"/>
  <c r="EL161"/>
  <c r="EK161"/>
  <c r="EJ161"/>
  <c r="EI161"/>
  <c r="EH161"/>
  <c r="EG161"/>
  <c r="EF161"/>
  <c r="EE161"/>
  <c r="ED161"/>
  <c r="EC161"/>
  <c r="EB161"/>
  <c r="EA161"/>
  <c r="DZ161"/>
  <c r="DY161"/>
  <c r="DX161"/>
  <c r="DW161"/>
  <c r="DV161"/>
  <c r="DU161"/>
  <c r="DT161"/>
  <c r="DS161"/>
  <c r="DR161"/>
  <c r="DQ161"/>
  <c r="DP161"/>
  <c r="DO161"/>
  <c r="DN161"/>
  <c r="DM161"/>
  <c r="DL161"/>
  <c r="DK161"/>
  <c r="DJ161"/>
  <c r="DI161"/>
  <c r="DH161"/>
  <c r="DG161"/>
  <c r="DF161"/>
  <c r="DE161"/>
  <c r="DD161"/>
  <c r="DC161"/>
  <c r="DB161"/>
  <c r="DA161"/>
  <c r="CZ161"/>
  <c r="CY161"/>
  <c r="CX161"/>
  <c r="CW161"/>
  <c r="CV161"/>
  <c r="CU161"/>
  <c r="CT161"/>
  <c r="CS161"/>
  <c r="CR161"/>
  <c r="CQ161"/>
  <c r="CP161"/>
  <c r="CO161"/>
  <c r="CN161"/>
  <c r="CM161"/>
  <c r="CL161"/>
  <c r="CK161"/>
  <c r="CJ161"/>
  <c r="CI161"/>
  <c r="CH161"/>
  <c r="CG161"/>
  <c r="CF161"/>
  <c r="CE161"/>
  <c r="CD161"/>
  <c r="CC161"/>
  <c r="CB161"/>
  <c r="CA161"/>
  <c r="BZ161"/>
  <c r="BY161"/>
  <c r="BX161"/>
  <c r="BW161"/>
  <c r="BV161"/>
  <c r="BU161"/>
  <c r="BT161"/>
  <c r="BS161"/>
  <c r="BR161"/>
  <c r="BQ161"/>
  <c r="BP161"/>
  <c r="BO161"/>
  <c r="BN161"/>
  <c r="BM161"/>
  <c r="BL161"/>
  <c r="BK161"/>
  <c r="BJ161"/>
  <c r="BI161"/>
  <c r="BH161"/>
  <c r="BG161"/>
  <c r="BF161"/>
  <c r="BE161"/>
  <c r="BD161"/>
  <c r="BC161"/>
  <c r="BB161"/>
  <c r="BA161"/>
  <c r="AZ161"/>
  <c r="AY161"/>
  <c r="AX161"/>
  <c r="AW161"/>
  <c r="AV161"/>
  <c r="AU161"/>
  <c r="AT161"/>
  <c r="AS161"/>
  <c r="AR161"/>
  <c r="AQ161"/>
  <c r="AP161"/>
  <c r="AO161"/>
  <c r="AN161"/>
  <c r="AM161"/>
  <c r="AL161"/>
  <c r="AK161"/>
  <c r="AJ161"/>
  <c r="AI161"/>
  <c r="AH161"/>
  <c r="AG161"/>
  <c r="AF161"/>
  <c r="AE161"/>
  <c r="AD161"/>
  <c r="AC161"/>
  <c r="AB161"/>
  <c r="AA161"/>
  <c r="Z161"/>
  <c r="Y161"/>
  <c r="X161"/>
  <c r="W161"/>
  <c r="V161"/>
  <c r="U161"/>
  <c r="T161"/>
  <c r="S161"/>
  <c r="R161"/>
  <c r="Q161"/>
  <c r="P161"/>
  <c r="O161"/>
  <c r="N161"/>
  <c r="M161"/>
  <c r="L161"/>
  <c r="K161"/>
  <c r="J161"/>
  <c r="I161"/>
  <c r="H161"/>
  <c r="G161"/>
  <c r="F161"/>
  <c r="E161"/>
  <c r="D161"/>
  <c r="C161"/>
  <c r="B161"/>
  <c r="A161"/>
  <c r="IV160"/>
  <c r="IU160"/>
  <c r="IT160"/>
  <c r="IS160"/>
  <c r="IR160"/>
  <c r="IQ160"/>
  <c r="IP160"/>
  <c r="IO160"/>
  <c r="IN160"/>
  <c r="IM160"/>
  <c r="IL160"/>
  <c r="IK160"/>
  <c r="IJ160"/>
  <c r="II160"/>
  <c r="IH160"/>
  <c r="IG160"/>
  <c r="IF160"/>
  <c r="IE160"/>
  <c r="ID160"/>
  <c r="IC160"/>
  <c r="IB160"/>
  <c r="IA160"/>
  <c r="HZ160"/>
  <c r="HY160"/>
  <c r="HX160"/>
  <c r="HW160"/>
  <c r="HV160"/>
  <c r="HU160"/>
  <c r="HT160"/>
  <c r="HS160"/>
  <c r="HR160"/>
  <c r="HQ160"/>
  <c r="HP160"/>
  <c r="HO160"/>
  <c r="HN160"/>
  <c r="HM160"/>
  <c r="HL160"/>
  <c r="HK160"/>
  <c r="HJ160"/>
  <c r="HI160"/>
  <c r="HH160"/>
  <c r="HG160"/>
  <c r="HF160"/>
  <c r="HE160"/>
  <c r="HD160"/>
  <c r="HC160"/>
  <c r="HB160"/>
  <c r="HA160"/>
  <c r="GZ160"/>
  <c r="GY160"/>
  <c r="GX160"/>
  <c r="GW160"/>
  <c r="GV160"/>
  <c r="GU160"/>
  <c r="GT160"/>
  <c r="GS160"/>
  <c r="GR160"/>
  <c r="GQ160"/>
  <c r="GP160"/>
  <c r="GO160"/>
  <c r="GN160"/>
  <c r="GM160"/>
  <c r="GL160"/>
  <c r="GK160"/>
  <c r="GJ160"/>
  <c r="GI160"/>
  <c r="GH160"/>
  <c r="GG160"/>
  <c r="GF160"/>
  <c r="GE160"/>
  <c r="GD160"/>
  <c r="GC160"/>
  <c r="GB160"/>
  <c r="GA160"/>
  <c r="FZ160"/>
  <c r="FY160"/>
  <c r="FX160"/>
  <c r="FW160"/>
  <c r="FV160"/>
  <c r="FU160"/>
  <c r="FT160"/>
  <c r="FS160"/>
  <c r="FR160"/>
  <c r="FQ160"/>
  <c r="FP160"/>
  <c r="FO160"/>
  <c r="FN160"/>
  <c r="FM160"/>
  <c r="FL160"/>
  <c r="FK160"/>
  <c r="FJ160"/>
  <c r="FI160"/>
  <c r="FH160"/>
  <c r="FG160"/>
  <c r="FF160"/>
  <c r="FE160"/>
  <c r="FD160"/>
  <c r="FC160"/>
  <c r="FB160"/>
  <c r="FA160"/>
  <c r="EZ160"/>
  <c r="EY160"/>
  <c r="EX160"/>
  <c r="EW160"/>
  <c r="EV160"/>
  <c r="EU160"/>
  <c r="ET160"/>
  <c r="ES160"/>
  <c r="ER160"/>
  <c r="EQ160"/>
  <c r="EP160"/>
  <c r="EO160"/>
  <c r="EN160"/>
  <c r="EM160"/>
  <c r="EL160"/>
  <c r="EK160"/>
  <c r="EJ160"/>
  <c r="EI160"/>
  <c r="EH160"/>
  <c r="EG160"/>
  <c r="EF160"/>
  <c r="EE160"/>
  <c r="ED160"/>
  <c r="EC160"/>
  <c r="EB160"/>
  <c r="EA160"/>
  <c r="DZ160"/>
  <c r="DY160"/>
  <c r="DX160"/>
  <c r="DW160"/>
  <c r="DV160"/>
  <c r="DU160"/>
  <c r="DT160"/>
  <c r="DS160"/>
  <c r="DR160"/>
  <c r="DQ160"/>
  <c r="DP160"/>
  <c r="DO160"/>
  <c r="DN160"/>
  <c r="DM160"/>
  <c r="DL160"/>
  <c r="DK160"/>
  <c r="DJ160"/>
  <c r="DI160"/>
  <c r="DH160"/>
  <c r="DG160"/>
  <c r="DF160"/>
  <c r="DE160"/>
  <c r="DD160"/>
  <c r="DC160"/>
  <c r="DB160"/>
  <c r="DA160"/>
  <c r="CZ160"/>
  <c r="CY160"/>
  <c r="CX160"/>
  <c r="CW160"/>
  <c r="CV160"/>
  <c r="CU160"/>
  <c r="CT160"/>
  <c r="CS160"/>
  <c r="CR160"/>
  <c r="CQ160"/>
  <c r="CP160"/>
  <c r="CO160"/>
  <c r="CN160"/>
  <c r="CM160"/>
  <c r="CL160"/>
  <c r="CK160"/>
  <c r="CJ160"/>
  <c r="CI160"/>
  <c r="CH160"/>
  <c r="CG160"/>
  <c r="CF160"/>
  <c r="CE160"/>
  <c r="CD160"/>
  <c r="CC160"/>
  <c r="CB160"/>
  <c r="CA160"/>
  <c r="BZ160"/>
  <c r="BY160"/>
  <c r="BX160"/>
  <c r="BW160"/>
  <c r="BV160"/>
  <c r="BU160"/>
  <c r="BT160"/>
  <c r="BS160"/>
  <c r="BR160"/>
  <c r="BQ160"/>
  <c r="BP160"/>
  <c r="BO160"/>
  <c r="BN160"/>
  <c r="BM160"/>
  <c r="BL160"/>
  <c r="BK160"/>
  <c r="BJ160"/>
  <c r="BI160"/>
  <c r="BH160"/>
  <c r="BG160"/>
  <c r="BF160"/>
  <c r="BE160"/>
  <c r="BD160"/>
  <c r="BC160"/>
  <c r="BB160"/>
  <c r="BA160"/>
  <c r="AZ160"/>
  <c r="AY160"/>
  <c r="AX160"/>
  <c r="AW160"/>
  <c r="AV160"/>
  <c r="AU160"/>
  <c r="AT160"/>
  <c r="AS160"/>
  <c r="AR160"/>
  <c r="AQ160"/>
  <c r="AP160"/>
  <c r="AO160"/>
  <c r="AN160"/>
  <c r="AM160"/>
  <c r="AL160"/>
  <c r="AK160"/>
  <c r="AJ160"/>
  <c r="AI160"/>
  <c r="AH160"/>
  <c r="AG160"/>
  <c r="AF160"/>
  <c r="AE160"/>
  <c r="AD160"/>
  <c r="AC160"/>
  <c r="AB160"/>
  <c r="AA160"/>
  <c r="Z160"/>
  <c r="Y160"/>
  <c r="X160"/>
  <c r="W160"/>
  <c r="V160"/>
  <c r="U160"/>
  <c r="T160"/>
  <c r="S160"/>
  <c r="R160"/>
  <c r="Q160"/>
  <c r="P160"/>
  <c r="O160"/>
  <c r="N160"/>
  <c r="M160"/>
  <c r="L160"/>
  <c r="K160"/>
  <c r="J160"/>
  <c r="I160"/>
  <c r="H160"/>
  <c r="G160"/>
  <c r="F160"/>
  <c r="E160"/>
  <c r="D160"/>
  <c r="C160"/>
  <c r="B160"/>
  <c r="A160"/>
  <c r="IV159"/>
  <c r="IU159"/>
  <c r="IT159"/>
  <c r="IS159"/>
  <c r="IR159"/>
  <c r="IQ159"/>
  <c r="IP159"/>
  <c r="IO159"/>
  <c r="IN159"/>
  <c r="IM159"/>
  <c r="IL159"/>
  <c r="IK159"/>
  <c r="IJ159"/>
  <c r="II159"/>
  <c r="IH159"/>
  <c r="IG159"/>
  <c r="IF159"/>
  <c r="IE159"/>
  <c r="ID159"/>
  <c r="IC159"/>
  <c r="IB159"/>
  <c r="IA159"/>
  <c r="HZ159"/>
  <c r="HY159"/>
  <c r="HX159"/>
  <c r="HW159"/>
  <c r="HV159"/>
  <c r="HU159"/>
  <c r="HT159"/>
  <c r="HS159"/>
  <c r="HR159"/>
  <c r="HQ159"/>
  <c r="HP159"/>
  <c r="HO159"/>
  <c r="HN159"/>
  <c r="HM159"/>
  <c r="HL159"/>
  <c r="HK159"/>
  <c r="HJ159"/>
  <c r="HI159"/>
  <c r="HH159"/>
  <c r="HG159"/>
  <c r="HF159"/>
  <c r="HE159"/>
  <c r="HD159"/>
  <c r="HC159"/>
  <c r="HB159"/>
  <c r="HA159"/>
  <c r="GZ159"/>
  <c r="GY159"/>
  <c r="GX159"/>
  <c r="GW159"/>
  <c r="GV159"/>
  <c r="GU159"/>
  <c r="GT159"/>
  <c r="GS159"/>
  <c r="GR159"/>
  <c r="GQ159"/>
  <c r="GP159"/>
  <c r="GO159"/>
  <c r="GN159"/>
  <c r="GM159"/>
  <c r="GL159"/>
  <c r="GK159"/>
  <c r="GJ159"/>
  <c r="GI159"/>
  <c r="GH159"/>
  <c r="GG159"/>
  <c r="GF159"/>
  <c r="GE159"/>
  <c r="GD159"/>
  <c r="GC159"/>
  <c r="GB159"/>
  <c r="GA159"/>
  <c r="FZ159"/>
  <c r="FY159"/>
  <c r="FX159"/>
  <c r="FW159"/>
  <c r="FV159"/>
  <c r="FU159"/>
  <c r="FT159"/>
  <c r="FS159"/>
  <c r="FR159"/>
  <c r="FQ159"/>
  <c r="FP159"/>
  <c r="FO159"/>
  <c r="FN159"/>
  <c r="FM159"/>
  <c r="FL159"/>
  <c r="FK159"/>
  <c r="FJ159"/>
  <c r="FI159"/>
  <c r="FH159"/>
  <c r="FG159"/>
  <c r="FF159"/>
  <c r="FE159"/>
  <c r="FD159"/>
  <c r="FC159"/>
  <c r="FB159"/>
  <c r="FA159"/>
  <c r="EZ159"/>
  <c r="EY159"/>
  <c r="EX159"/>
  <c r="EW159"/>
  <c r="EV159"/>
  <c r="EU159"/>
  <c r="ET159"/>
  <c r="ES159"/>
  <c r="ER159"/>
  <c r="EQ159"/>
  <c r="EP159"/>
  <c r="EO159"/>
  <c r="EN159"/>
  <c r="EM159"/>
  <c r="EL159"/>
  <c r="EK159"/>
  <c r="EJ159"/>
  <c r="EI159"/>
  <c r="EH159"/>
  <c r="EG159"/>
  <c r="EF159"/>
  <c r="EE159"/>
  <c r="ED159"/>
  <c r="EC159"/>
  <c r="EB159"/>
  <c r="EA159"/>
  <c r="DZ159"/>
  <c r="DY159"/>
  <c r="DX159"/>
  <c r="DW159"/>
  <c r="DV159"/>
  <c r="DU159"/>
  <c r="DT159"/>
  <c r="DS159"/>
  <c r="DR159"/>
  <c r="DQ159"/>
  <c r="DP159"/>
  <c r="DO159"/>
  <c r="DN159"/>
  <c r="DM159"/>
  <c r="DL159"/>
  <c r="DK159"/>
  <c r="DJ159"/>
  <c r="DI159"/>
  <c r="DH159"/>
  <c r="DG159"/>
  <c r="DF159"/>
  <c r="DE159"/>
  <c r="DD159"/>
  <c r="DC159"/>
  <c r="DB159"/>
  <c r="DA159"/>
  <c r="CZ159"/>
  <c r="CY159"/>
  <c r="CX159"/>
  <c r="CW159"/>
  <c r="CV159"/>
  <c r="CU159"/>
  <c r="CT159"/>
  <c r="CS159"/>
  <c r="CR159"/>
  <c r="CQ159"/>
  <c r="CP159"/>
  <c r="CO159"/>
  <c r="CN159"/>
  <c r="CM159"/>
  <c r="CL159"/>
  <c r="CK159"/>
  <c r="CJ159"/>
  <c r="CI159"/>
  <c r="CH159"/>
  <c r="CG159"/>
  <c r="CF159"/>
  <c r="CE159"/>
  <c r="CD159"/>
  <c r="CC159"/>
  <c r="CB159"/>
  <c r="CA159"/>
  <c r="BZ159"/>
  <c r="BY159"/>
  <c r="BX159"/>
  <c r="BW159"/>
  <c r="BV159"/>
  <c r="BU159"/>
  <c r="BT159"/>
  <c r="BS159"/>
  <c r="BR159"/>
  <c r="BQ159"/>
  <c r="BP159"/>
  <c r="BO159"/>
  <c r="BN159"/>
  <c r="BM159"/>
  <c r="BL159"/>
  <c r="BK159"/>
  <c r="BJ159"/>
  <c r="BI159"/>
  <c r="BH159"/>
  <c r="BG159"/>
  <c r="BF159"/>
  <c r="BE159"/>
  <c r="BD159"/>
  <c r="BC159"/>
  <c r="BB159"/>
  <c r="BA159"/>
  <c r="AZ159"/>
  <c r="AY159"/>
  <c r="AX159"/>
  <c r="AW159"/>
  <c r="AV159"/>
  <c r="AU159"/>
  <c r="AT159"/>
  <c r="AS159"/>
  <c r="AR159"/>
  <c r="AQ159"/>
  <c r="AP159"/>
  <c r="AO159"/>
  <c r="AN159"/>
  <c r="AM159"/>
  <c r="AL159"/>
  <c r="AK159"/>
  <c r="AJ159"/>
  <c r="AI159"/>
  <c r="AH159"/>
  <c r="AG159"/>
  <c r="AF159"/>
  <c r="AE159"/>
  <c r="AD159"/>
  <c r="AC159"/>
  <c r="AB159"/>
  <c r="AA159"/>
  <c r="Z159"/>
  <c r="Y159"/>
  <c r="X159"/>
  <c r="W159"/>
  <c r="V159"/>
  <c r="U159"/>
  <c r="T159"/>
  <c r="S159"/>
  <c r="R159"/>
  <c r="Q159"/>
  <c r="P159"/>
  <c r="O159"/>
  <c r="N159"/>
  <c r="M159"/>
  <c r="L159"/>
  <c r="K159"/>
  <c r="J159"/>
  <c r="I159"/>
  <c r="H159"/>
  <c r="G159"/>
  <c r="F159"/>
  <c r="E159"/>
  <c r="D159"/>
  <c r="C159"/>
  <c r="B159"/>
  <c r="A159"/>
  <c r="IV158"/>
  <c r="IU158"/>
  <c r="IT158"/>
  <c r="IS158"/>
  <c r="IR158"/>
  <c r="IQ158"/>
  <c r="IP158"/>
  <c r="IO158"/>
  <c r="IN158"/>
  <c r="IM158"/>
  <c r="IL158"/>
  <c r="IK158"/>
  <c r="IJ158"/>
  <c r="II158"/>
  <c r="IH158"/>
  <c r="IG158"/>
  <c r="IF158"/>
  <c r="IE158"/>
  <c r="ID158"/>
  <c r="IC158"/>
  <c r="IB158"/>
  <c r="IA158"/>
  <c r="HZ158"/>
  <c r="HY158"/>
  <c r="HX158"/>
  <c r="HW158"/>
  <c r="HV158"/>
  <c r="HU158"/>
  <c r="HT158"/>
  <c r="HS158"/>
  <c r="HR158"/>
  <c r="HQ158"/>
  <c r="HP158"/>
  <c r="HO158"/>
  <c r="HN158"/>
  <c r="HM158"/>
  <c r="HL158"/>
  <c r="HK158"/>
  <c r="HJ158"/>
  <c r="HI158"/>
  <c r="HH158"/>
  <c r="HG158"/>
  <c r="HF158"/>
  <c r="HE158"/>
  <c r="HD158"/>
  <c r="HC158"/>
  <c r="HB158"/>
  <c r="HA158"/>
  <c r="GZ158"/>
  <c r="GY158"/>
  <c r="GX158"/>
  <c r="GW158"/>
  <c r="GV158"/>
  <c r="GU158"/>
  <c r="GT158"/>
  <c r="GS158"/>
  <c r="GR158"/>
  <c r="GQ158"/>
  <c r="GP158"/>
  <c r="GO158"/>
  <c r="GN158"/>
  <c r="GM158"/>
  <c r="GL158"/>
  <c r="GK158"/>
  <c r="GJ158"/>
  <c r="GI158"/>
  <c r="GH158"/>
  <c r="GG158"/>
  <c r="GF158"/>
  <c r="GE158"/>
  <c r="GD158"/>
  <c r="GC158"/>
  <c r="GB158"/>
  <c r="GA158"/>
  <c r="FZ158"/>
  <c r="FY158"/>
  <c r="FX158"/>
  <c r="FW158"/>
  <c r="FV158"/>
  <c r="FU158"/>
  <c r="FT158"/>
  <c r="FS158"/>
  <c r="FR158"/>
  <c r="FQ158"/>
  <c r="FP158"/>
  <c r="FO158"/>
  <c r="FN158"/>
  <c r="FM158"/>
  <c r="FL158"/>
  <c r="FK158"/>
  <c r="FJ158"/>
  <c r="FI158"/>
  <c r="FH158"/>
  <c r="FG158"/>
  <c r="FF158"/>
  <c r="FE158"/>
  <c r="FD158"/>
  <c r="FC158"/>
  <c r="FB158"/>
  <c r="FA158"/>
  <c r="EZ158"/>
  <c r="EY158"/>
  <c r="EX158"/>
  <c r="EW158"/>
  <c r="EV158"/>
  <c r="EU158"/>
  <c r="ET158"/>
  <c r="ES158"/>
  <c r="ER158"/>
  <c r="EQ158"/>
  <c r="EP158"/>
  <c r="EO158"/>
  <c r="EN158"/>
  <c r="EM158"/>
  <c r="EL158"/>
  <c r="EK158"/>
  <c r="EJ158"/>
  <c r="EI158"/>
  <c r="EH158"/>
  <c r="EG158"/>
  <c r="EF158"/>
  <c r="EE158"/>
  <c r="ED158"/>
  <c r="EC158"/>
  <c r="EB158"/>
  <c r="EA158"/>
  <c r="DZ158"/>
  <c r="DY158"/>
  <c r="DX158"/>
  <c r="DW158"/>
  <c r="DV158"/>
  <c r="DU158"/>
  <c r="DT158"/>
  <c r="DS158"/>
  <c r="DR158"/>
  <c r="DQ158"/>
  <c r="DP158"/>
  <c r="DO158"/>
  <c r="DN158"/>
  <c r="DM158"/>
  <c r="DL158"/>
  <c r="DK158"/>
  <c r="DJ158"/>
  <c r="DI158"/>
  <c r="DH158"/>
  <c r="DG158"/>
  <c r="DF158"/>
  <c r="DE158"/>
  <c r="DD158"/>
  <c r="DC158"/>
  <c r="DB158"/>
  <c r="DA158"/>
  <c r="CZ158"/>
  <c r="CY158"/>
  <c r="CX158"/>
  <c r="CW158"/>
  <c r="CV158"/>
  <c r="CU158"/>
  <c r="CT158"/>
  <c r="CS158"/>
  <c r="CR158"/>
  <c r="CQ158"/>
  <c r="CP158"/>
  <c r="CO158"/>
  <c r="CN158"/>
  <c r="CM158"/>
  <c r="CL158"/>
  <c r="CK158"/>
  <c r="CJ158"/>
  <c r="CI158"/>
  <c r="CH158"/>
  <c r="CG158"/>
  <c r="CF158"/>
  <c r="CE158"/>
  <c r="CD158"/>
  <c r="CC158"/>
  <c r="CB158"/>
  <c r="CA158"/>
  <c r="BZ158"/>
  <c r="BY158"/>
  <c r="BX158"/>
  <c r="BW158"/>
  <c r="BV158"/>
  <c r="BU158"/>
  <c r="BT158"/>
  <c r="BS158"/>
  <c r="BR158"/>
  <c r="BQ158"/>
  <c r="BP158"/>
  <c r="BO158"/>
  <c r="BN158"/>
  <c r="BM158"/>
  <c r="BL158"/>
  <c r="BK158"/>
  <c r="BJ158"/>
  <c r="BI158"/>
  <c r="BH158"/>
  <c r="BG158"/>
  <c r="BF158"/>
  <c r="BE158"/>
  <c r="BD158"/>
  <c r="BC158"/>
  <c r="BB158"/>
  <c r="BA158"/>
  <c r="AZ158"/>
  <c r="AY158"/>
  <c r="AX158"/>
  <c r="AW158"/>
  <c r="AV158"/>
  <c r="AU158"/>
  <c r="AT158"/>
  <c r="AS158"/>
  <c r="AR158"/>
  <c r="AQ158"/>
  <c r="AP158"/>
  <c r="AO158"/>
  <c r="AN158"/>
  <c r="AM158"/>
  <c r="AL158"/>
  <c r="AK158"/>
  <c r="AJ158"/>
  <c r="AI158"/>
  <c r="AH158"/>
  <c r="AG158"/>
  <c r="AF158"/>
  <c r="AE158"/>
  <c r="AD158"/>
  <c r="AC158"/>
  <c r="AB158"/>
  <c r="AA158"/>
  <c r="Z158"/>
  <c r="Y158"/>
  <c r="X158"/>
  <c r="W158"/>
  <c r="V158"/>
  <c r="U158"/>
  <c r="T158"/>
  <c r="S158"/>
  <c r="R158"/>
  <c r="Q158"/>
  <c r="P158"/>
  <c r="O158"/>
  <c r="N158"/>
  <c r="M158"/>
  <c r="L158"/>
  <c r="K158"/>
  <c r="J158"/>
  <c r="I158"/>
  <c r="H158"/>
  <c r="G158"/>
  <c r="F158"/>
  <c r="E158"/>
  <c r="D158"/>
  <c r="C158"/>
  <c r="B158"/>
  <c r="A158"/>
  <c r="IV157"/>
  <c r="IU157"/>
  <c r="IT157"/>
  <c r="IS157"/>
  <c r="IR157"/>
  <c r="IQ157"/>
  <c r="IP157"/>
  <c r="IO157"/>
  <c r="IN157"/>
  <c r="IM157"/>
  <c r="IL157"/>
  <c r="IK157"/>
  <c r="IJ157"/>
  <c r="II157"/>
  <c r="IH157"/>
  <c r="IG157"/>
  <c r="IF157"/>
  <c r="IE157"/>
  <c r="ID157"/>
  <c r="IC157"/>
  <c r="IB157"/>
  <c r="IA157"/>
  <c r="HZ157"/>
  <c r="HY157"/>
  <c r="HX157"/>
  <c r="HW157"/>
  <c r="HV157"/>
  <c r="HU157"/>
  <c r="HT157"/>
  <c r="HS157"/>
  <c r="HR157"/>
  <c r="HQ157"/>
  <c r="HP157"/>
  <c r="HO157"/>
  <c r="HN157"/>
  <c r="HM157"/>
  <c r="HL157"/>
  <c r="HK157"/>
  <c r="HJ157"/>
  <c r="HI157"/>
  <c r="HH157"/>
  <c r="HG157"/>
  <c r="HF157"/>
  <c r="HE157"/>
  <c r="HD157"/>
  <c r="HC157"/>
  <c r="HB157"/>
  <c r="HA157"/>
  <c r="GZ157"/>
  <c r="GY157"/>
  <c r="GX157"/>
  <c r="GW157"/>
  <c r="GV157"/>
  <c r="GU157"/>
  <c r="GT157"/>
  <c r="GS157"/>
  <c r="GR157"/>
  <c r="GQ157"/>
  <c r="GP157"/>
  <c r="GO157"/>
  <c r="GN157"/>
  <c r="GM157"/>
  <c r="GL157"/>
  <c r="GK157"/>
  <c r="GJ157"/>
  <c r="GI157"/>
  <c r="GH157"/>
  <c r="GG157"/>
  <c r="GF157"/>
  <c r="GE157"/>
  <c r="GD157"/>
  <c r="GC157"/>
  <c r="GB157"/>
  <c r="GA157"/>
  <c r="FZ157"/>
  <c r="FY157"/>
  <c r="FX157"/>
  <c r="FW157"/>
  <c r="FV157"/>
  <c r="FU157"/>
  <c r="FT157"/>
  <c r="FS157"/>
  <c r="FR157"/>
  <c r="FQ157"/>
  <c r="FP157"/>
  <c r="FO157"/>
  <c r="FN157"/>
  <c r="FM157"/>
  <c r="FL157"/>
  <c r="FK157"/>
  <c r="FJ157"/>
  <c r="FI157"/>
  <c r="FH157"/>
  <c r="FG157"/>
  <c r="FF157"/>
  <c r="FE157"/>
  <c r="FD157"/>
  <c r="FC157"/>
  <c r="FB157"/>
  <c r="FA157"/>
  <c r="EZ157"/>
  <c r="EY157"/>
  <c r="EX157"/>
  <c r="EW157"/>
  <c r="EV157"/>
  <c r="EU157"/>
  <c r="ET157"/>
  <c r="ES157"/>
  <c r="ER157"/>
  <c r="EQ157"/>
  <c r="EP157"/>
  <c r="EO157"/>
  <c r="EN157"/>
  <c r="EM157"/>
  <c r="EL157"/>
  <c r="EK157"/>
  <c r="EJ157"/>
  <c r="EI157"/>
  <c r="EH157"/>
  <c r="EG157"/>
  <c r="EF157"/>
  <c r="EE157"/>
  <c r="ED157"/>
  <c r="EC157"/>
  <c r="EB157"/>
  <c r="EA157"/>
  <c r="DZ157"/>
  <c r="DY157"/>
  <c r="DX157"/>
  <c r="DW157"/>
  <c r="DV157"/>
  <c r="DU157"/>
  <c r="DT157"/>
  <c r="DS157"/>
  <c r="DR157"/>
  <c r="DQ157"/>
  <c r="DP157"/>
  <c r="DO157"/>
  <c r="DN157"/>
  <c r="DM157"/>
  <c r="DL157"/>
  <c r="DK157"/>
  <c r="DJ157"/>
  <c r="DI157"/>
  <c r="DH157"/>
  <c r="DG157"/>
  <c r="DF157"/>
  <c r="DE157"/>
  <c r="DD157"/>
  <c r="DC157"/>
  <c r="DB157"/>
  <c r="DA157"/>
  <c r="CZ157"/>
  <c r="CY157"/>
  <c r="CX157"/>
  <c r="CW157"/>
  <c r="CV157"/>
  <c r="CU157"/>
  <c r="CT157"/>
  <c r="CS157"/>
  <c r="CR157"/>
  <c r="CQ157"/>
  <c r="CP157"/>
  <c r="CO157"/>
  <c r="CN157"/>
  <c r="CM157"/>
  <c r="CL157"/>
  <c r="CK157"/>
  <c r="CJ157"/>
  <c r="CI157"/>
  <c r="CH157"/>
  <c r="CG157"/>
  <c r="CF157"/>
  <c r="CE157"/>
  <c r="CD157"/>
  <c r="CC157"/>
  <c r="CB157"/>
  <c r="CA157"/>
  <c r="BZ157"/>
  <c r="BY157"/>
  <c r="BX157"/>
  <c r="BW157"/>
  <c r="BV157"/>
  <c r="BU157"/>
  <c r="BT157"/>
  <c r="BS157"/>
  <c r="BR157"/>
  <c r="BQ157"/>
  <c r="BP157"/>
  <c r="BO157"/>
  <c r="BN157"/>
  <c r="BM157"/>
  <c r="BL157"/>
  <c r="BK157"/>
  <c r="BJ157"/>
  <c r="BI157"/>
  <c r="BH157"/>
  <c r="BG157"/>
  <c r="BF157"/>
  <c r="BE157"/>
  <c r="BD157"/>
  <c r="BC157"/>
  <c r="BB157"/>
  <c r="BA157"/>
  <c r="AZ157"/>
  <c r="AY157"/>
  <c r="AX157"/>
  <c r="AW157"/>
  <c r="AV157"/>
  <c r="AU157"/>
  <c r="AT157"/>
  <c r="AS157"/>
  <c r="AR157"/>
  <c r="AQ157"/>
  <c r="AP157"/>
  <c r="AO157"/>
  <c r="AN157"/>
  <c r="AM157"/>
  <c r="AL157"/>
  <c r="AK157"/>
  <c r="AJ157"/>
  <c r="AI157"/>
  <c r="AH157"/>
  <c r="AG157"/>
  <c r="AF157"/>
  <c r="AE157"/>
  <c r="AD157"/>
  <c r="AC157"/>
  <c r="AB157"/>
  <c r="AA157"/>
  <c r="Z157"/>
  <c r="Y157"/>
  <c r="X157"/>
  <c r="W157"/>
  <c r="V157"/>
  <c r="U157"/>
  <c r="T157"/>
  <c r="S157"/>
  <c r="R157"/>
  <c r="Q157"/>
  <c r="P157"/>
  <c r="O157"/>
  <c r="N157"/>
  <c r="M157"/>
  <c r="L157"/>
  <c r="K157"/>
  <c r="J157"/>
  <c r="I157"/>
  <c r="H157"/>
  <c r="G157"/>
  <c r="F157"/>
  <c r="E157"/>
  <c r="D157"/>
  <c r="C157"/>
  <c r="B157"/>
  <c r="A157"/>
  <c r="IV156"/>
  <c r="IU156"/>
  <c r="IT156"/>
  <c r="IS156"/>
  <c r="IR156"/>
  <c r="IQ156"/>
  <c r="IP156"/>
  <c r="IO156"/>
  <c r="IN156"/>
  <c r="IM156"/>
  <c r="IL156"/>
  <c r="IK156"/>
  <c r="IJ156"/>
  <c r="II156"/>
  <c r="IH156"/>
  <c r="IG156"/>
  <c r="IF156"/>
  <c r="IE156"/>
  <c r="ID156"/>
  <c r="IC156"/>
  <c r="IB156"/>
  <c r="IA156"/>
  <c r="HZ156"/>
  <c r="HY156"/>
  <c r="HX156"/>
  <c r="HW156"/>
  <c r="HV156"/>
  <c r="HU156"/>
  <c r="HT156"/>
  <c r="HS156"/>
  <c r="HR156"/>
  <c r="HQ156"/>
  <c r="HP156"/>
  <c r="HO156"/>
  <c r="HN156"/>
  <c r="HM156"/>
  <c r="HL156"/>
  <c r="HK156"/>
  <c r="HJ156"/>
  <c r="HI156"/>
  <c r="HH156"/>
  <c r="HG156"/>
  <c r="HF156"/>
  <c r="HE156"/>
  <c r="HD156"/>
  <c r="HC156"/>
  <c r="HB156"/>
  <c r="HA156"/>
  <c r="GZ156"/>
  <c r="GY156"/>
  <c r="GX156"/>
  <c r="GW156"/>
  <c r="GV156"/>
  <c r="GU156"/>
  <c r="GT156"/>
  <c r="GS156"/>
  <c r="GR156"/>
  <c r="GQ156"/>
  <c r="GP156"/>
  <c r="GO156"/>
  <c r="GN156"/>
  <c r="GM156"/>
  <c r="GL156"/>
  <c r="GK156"/>
  <c r="GJ156"/>
  <c r="GI156"/>
  <c r="GH156"/>
  <c r="GG156"/>
  <c r="GF156"/>
  <c r="GE156"/>
  <c r="GD156"/>
  <c r="GC156"/>
  <c r="GB156"/>
  <c r="GA156"/>
  <c r="FZ156"/>
  <c r="FY156"/>
  <c r="FX156"/>
  <c r="FW156"/>
  <c r="FV156"/>
  <c r="FU156"/>
  <c r="FT156"/>
  <c r="FS156"/>
  <c r="FR156"/>
  <c r="FQ156"/>
  <c r="FP156"/>
  <c r="FO156"/>
  <c r="FN156"/>
  <c r="FM156"/>
  <c r="FL156"/>
  <c r="FK156"/>
  <c r="FJ156"/>
  <c r="FI156"/>
  <c r="FH156"/>
  <c r="FG156"/>
  <c r="FF156"/>
  <c r="FE156"/>
  <c r="FD156"/>
  <c r="FC156"/>
  <c r="FB156"/>
  <c r="FA156"/>
  <c r="EZ156"/>
  <c r="EY156"/>
  <c r="EX156"/>
  <c r="EW156"/>
  <c r="EV156"/>
  <c r="EU156"/>
  <c r="ET156"/>
  <c r="ES156"/>
  <c r="ER156"/>
  <c r="EQ156"/>
  <c r="EP156"/>
  <c r="EO156"/>
  <c r="EN156"/>
  <c r="EM156"/>
  <c r="EL156"/>
  <c r="EK156"/>
  <c r="EJ156"/>
  <c r="EI156"/>
  <c r="EH156"/>
  <c r="EG156"/>
  <c r="EF156"/>
  <c r="EE156"/>
  <c r="ED156"/>
  <c r="EC156"/>
  <c r="EB156"/>
  <c r="EA156"/>
  <c r="DZ156"/>
  <c r="DY156"/>
  <c r="DX156"/>
  <c r="DW156"/>
  <c r="DV156"/>
  <c r="DU156"/>
  <c r="DT156"/>
  <c r="DS156"/>
  <c r="DR156"/>
  <c r="DQ156"/>
  <c r="DP156"/>
  <c r="DO156"/>
  <c r="DN156"/>
  <c r="DM156"/>
  <c r="DL156"/>
  <c r="DK156"/>
  <c r="DJ156"/>
  <c r="DI156"/>
  <c r="DH156"/>
  <c r="DG156"/>
  <c r="DF156"/>
  <c r="DE156"/>
  <c r="DD156"/>
  <c r="DC156"/>
  <c r="DB156"/>
  <c r="DA156"/>
  <c r="CZ156"/>
  <c r="CY156"/>
  <c r="CX156"/>
  <c r="CW156"/>
  <c r="CV156"/>
  <c r="CU156"/>
  <c r="CT156"/>
  <c r="CS156"/>
  <c r="CR156"/>
  <c r="CQ156"/>
  <c r="CP156"/>
  <c r="CO156"/>
  <c r="CN156"/>
  <c r="CM156"/>
  <c r="CL156"/>
  <c r="CK156"/>
  <c r="CJ156"/>
  <c r="CI156"/>
  <c r="CH156"/>
  <c r="CG156"/>
  <c r="CF156"/>
  <c r="CE156"/>
  <c r="CD156"/>
  <c r="CC156"/>
  <c r="CB156"/>
  <c r="CA156"/>
  <c r="BZ156"/>
  <c r="BY156"/>
  <c r="BX156"/>
  <c r="BW156"/>
  <c r="BV156"/>
  <c r="BU156"/>
  <c r="BT156"/>
  <c r="BS156"/>
  <c r="BR156"/>
  <c r="BQ156"/>
  <c r="BP156"/>
  <c r="BO156"/>
  <c r="BN156"/>
  <c r="BM156"/>
  <c r="BL156"/>
  <c r="BK156"/>
  <c r="BJ156"/>
  <c r="BI156"/>
  <c r="BH156"/>
  <c r="BG156"/>
  <c r="BF156"/>
  <c r="BE156"/>
  <c r="BD156"/>
  <c r="BC156"/>
  <c r="BB156"/>
  <c r="BA156"/>
  <c r="AZ156"/>
  <c r="AY156"/>
  <c r="AX156"/>
  <c r="AW156"/>
  <c r="AV156"/>
  <c r="AU156"/>
  <c r="AT156"/>
  <c r="AS156"/>
  <c r="AR156"/>
  <c r="AQ156"/>
  <c r="AP156"/>
  <c r="AO156"/>
  <c r="AN156"/>
  <c r="AM156"/>
  <c r="AL156"/>
  <c r="AK156"/>
  <c r="AJ156"/>
  <c r="AI156"/>
  <c r="AH156"/>
  <c r="AG156"/>
  <c r="AF156"/>
  <c r="AE156"/>
  <c r="AD156"/>
  <c r="AC156"/>
  <c r="AB156"/>
  <c r="AA156"/>
  <c r="Z156"/>
  <c r="Y156"/>
  <c r="X156"/>
  <c r="W156"/>
  <c r="V156"/>
  <c r="U156"/>
  <c r="T156"/>
  <c r="S156"/>
  <c r="R156"/>
  <c r="Q156"/>
  <c r="P156"/>
  <c r="O156"/>
  <c r="N156"/>
  <c r="M156"/>
  <c r="L156"/>
  <c r="K156"/>
  <c r="J156"/>
  <c r="I156"/>
  <c r="H156"/>
  <c r="G156"/>
  <c r="F156"/>
  <c r="E156"/>
  <c r="D156"/>
  <c r="C156"/>
  <c r="B156"/>
  <c r="A156"/>
  <c r="IV155"/>
  <c r="IU155"/>
  <c r="IT155"/>
  <c r="IS155"/>
  <c r="IR155"/>
  <c r="IQ155"/>
  <c r="IP155"/>
  <c r="IO155"/>
  <c r="IN155"/>
  <c r="IM155"/>
  <c r="IL155"/>
  <c r="IK155"/>
  <c r="IJ155"/>
  <c r="II155"/>
  <c r="IH155"/>
  <c r="IG155"/>
  <c r="IF155"/>
  <c r="IE155"/>
  <c r="ID155"/>
  <c r="IC155"/>
  <c r="IB155"/>
  <c r="IA155"/>
  <c r="HZ155"/>
  <c r="HY155"/>
  <c r="HX155"/>
  <c r="HW155"/>
  <c r="HV155"/>
  <c r="HU155"/>
  <c r="HT155"/>
  <c r="HS155"/>
  <c r="HR155"/>
  <c r="HQ155"/>
  <c r="HP155"/>
  <c r="HO155"/>
  <c r="HN155"/>
  <c r="HM155"/>
  <c r="HL155"/>
  <c r="HK155"/>
  <c r="HJ155"/>
  <c r="HI155"/>
  <c r="HH155"/>
  <c r="HG155"/>
  <c r="HF155"/>
  <c r="HE155"/>
  <c r="HD155"/>
  <c r="HC155"/>
  <c r="HB155"/>
  <c r="HA155"/>
  <c r="GZ155"/>
  <c r="GY155"/>
  <c r="GX155"/>
  <c r="GW155"/>
  <c r="GV155"/>
  <c r="GU155"/>
  <c r="GT155"/>
  <c r="GS155"/>
  <c r="GR155"/>
  <c r="GQ155"/>
  <c r="GP155"/>
  <c r="GO155"/>
  <c r="GN155"/>
  <c r="GM155"/>
  <c r="GL155"/>
  <c r="GK155"/>
  <c r="GJ155"/>
  <c r="GI155"/>
  <c r="GH155"/>
  <c r="GG155"/>
  <c r="GF155"/>
  <c r="GE155"/>
  <c r="GD155"/>
  <c r="GC155"/>
  <c r="GB155"/>
  <c r="GA155"/>
  <c r="FZ155"/>
  <c r="FY155"/>
  <c r="FX155"/>
  <c r="FW155"/>
  <c r="FV155"/>
  <c r="FU155"/>
  <c r="FT155"/>
  <c r="FS155"/>
  <c r="FR155"/>
  <c r="FQ155"/>
  <c r="FP155"/>
  <c r="FO155"/>
  <c r="FN155"/>
  <c r="FM155"/>
  <c r="FL155"/>
  <c r="FK155"/>
  <c r="FJ155"/>
  <c r="FI155"/>
  <c r="FH155"/>
  <c r="FG155"/>
  <c r="FF155"/>
  <c r="FE155"/>
  <c r="FD155"/>
  <c r="FC155"/>
  <c r="FB155"/>
  <c r="FA155"/>
  <c r="EZ155"/>
  <c r="EY155"/>
  <c r="EX155"/>
  <c r="EW155"/>
  <c r="EV155"/>
  <c r="EU155"/>
  <c r="ET155"/>
  <c r="ES155"/>
  <c r="ER155"/>
  <c r="EQ155"/>
  <c r="EP155"/>
  <c r="EO155"/>
  <c r="EN155"/>
  <c r="EM155"/>
  <c r="EL155"/>
  <c r="EK155"/>
  <c r="EJ155"/>
  <c r="EI155"/>
  <c r="EH155"/>
  <c r="EG155"/>
  <c r="EF155"/>
  <c r="EE155"/>
  <c r="ED155"/>
  <c r="EC155"/>
  <c r="EB155"/>
  <c r="EA155"/>
  <c r="DZ155"/>
  <c r="DY155"/>
  <c r="DX155"/>
  <c r="DW155"/>
  <c r="DV155"/>
  <c r="DU155"/>
  <c r="DT155"/>
  <c r="DS155"/>
  <c r="DR155"/>
  <c r="DQ155"/>
  <c r="DP155"/>
  <c r="DO155"/>
  <c r="DN155"/>
  <c r="DM155"/>
  <c r="DL155"/>
  <c r="DK155"/>
  <c r="DJ155"/>
  <c r="DI155"/>
  <c r="DH155"/>
  <c r="DG155"/>
  <c r="DF155"/>
  <c r="DE155"/>
  <c r="DD155"/>
  <c r="DC155"/>
  <c r="DB155"/>
  <c r="DA155"/>
  <c r="CZ155"/>
  <c r="CY155"/>
  <c r="CX155"/>
  <c r="CW155"/>
  <c r="CV155"/>
  <c r="CU155"/>
  <c r="CT155"/>
  <c r="CS155"/>
  <c r="CR155"/>
  <c r="CQ155"/>
  <c r="CP155"/>
  <c r="CO155"/>
  <c r="CN155"/>
  <c r="CM155"/>
  <c r="CL155"/>
  <c r="CK155"/>
  <c r="CJ155"/>
  <c r="CI155"/>
  <c r="CH155"/>
  <c r="CG155"/>
  <c r="CF155"/>
  <c r="CE155"/>
  <c r="CD155"/>
  <c r="CC155"/>
  <c r="CB155"/>
  <c r="CA155"/>
  <c r="BZ155"/>
  <c r="BY155"/>
  <c r="BX155"/>
  <c r="BW155"/>
  <c r="BV155"/>
  <c r="BU155"/>
  <c r="BT155"/>
  <c r="BS155"/>
  <c r="BR155"/>
  <c r="BQ155"/>
  <c r="BP155"/>
  <c r="BO155"/>
  <c r="BN155"/>
  <c r="BM155"/>
  <c r="BL155"/>
  <c r="BK155"/>
  <c r="BJ155"/>
  <c r="BI155"/>
  <c r="BH155"/>
  <c r="BG155"/>
  <c r="BF155"/>
  <c r="BE155"/>
  <c r="BD155"/>
  <c r="BC155"/>
  <c r="BB155"/>
  <c r="BA155"/>
  <c r="AZ155"/>
  <c r="AY155"/>
  <c r="AX155"/>
  <c r="AW155"/>
  <c r="AV155"/>
  <c r="AU155"/>
  <c r="AT155"/>
  <c r="AS155"/>
  <c r="AR155"/>
  <c r="AQ155"/>
  <c r="AP155"/>
  <c r="AO155"/>
  <c r="AN155"/>
  <c r="AM155"/>
  <c r="AL155"/>
  <c r="AK155"/>
  <c r="AJ155"/>
  <c r="AI155"/>
  <c r="AH155"/>
  <c r="AG155"/>
  <c r="AF155"/>
  <c r="AE155"/>
  <c r="AD155"/>
  <c r="AC155"/>
  <c r="AB155"/>
  <c r="AA155"/>
  <c r="Z155"/>
  <c r="Y155"/>
  <c r="X155"/>
  <c r="W155"/>
  <c r="V155"/>
  <c r="U155"/>
  <c r="T155"/>
  <c r="S155"/>
  <c r="R155"/>
  <c r="Q155"/>
  <c r="P155"/>
  <c r="O155"/>
  <c r="N155"/>
  <c r="M155"/>
  <c r="L155"/>
  <c r="K155"/>
  <c r="J155"/>
  <c r="I155"/>
  <c r="H155"/>
  <c r="G155"/>
  <c r="F155"/>
  <c r="E155"/>
  <c r="D155"/>
  <c r="C155"/>
  <c r="B155"/>
  <c r="A155"/>
  <c r="IV154"/>
  <c r="IU154"/>
  <c r="IT154"/>
  <c r="IS154"/>
  <c r="IR154"/>
  <c r="IQ154"/>
  <c r="IP154"/>
  <c r="IO154"/>
  <c r="IN154"/>
  <c r="IM154"/>
  <c r="IL154"/>
  <c r="IK154"/>
  <c r="IJ154"/>
  <c r="II154"/>
  <c r="IH154"/>
  <c r="IG154"/>
  <c r="IF154"/>
  <c r="IE154"/>
  <c r="ID154"/>
  <c r="IC154"/>
  <c r="IB154"/>
  <c r="IA154"/>
  <c r="HZ154"/>
  <c r="HY154"/>
  <c r="HX154"/>
  <c r="HW154"/>
  <c r="HV154"/>
  <c r="HU154"/>
  <c r="HT154"/>
  <c r="HS154"/>
  <c r="HR154"/>
  <c r="HQ154"/>
  <c r="HP154"/>
  <c r="HO154"/>
  <c r="HN154"/>
  <c r="HM154"/>
  <c r="HL154"/>
  <c r="HK154"/>
  <c r="HJ154"/>
  <c r="HI154"/>
  <c r="HH154"/>
  <c r="HG154"/>
  <c r="HF154"/>
  <c r="HE154"/>
  <c r="HD154"/>
  <c r="HC154"/>
  <c r="HB154"/>
  <c r="HA154"/>
  <c r="GZ154"/>
  <c r="GY154"/>
  <c r="GX154"/>
  <c r="GW154"/>
  <c r="GV154"/>
  <c r="GU154"/>
  <c r="GT154"/>
  <c r="GS154"/>
  <c r="GR154"/>
  <c r="GQ154"/>
  <c r="GP154"/>
  <c r="GO154"/>
  <c r="GN154"/>
  <c r="GM154"/>
  <c r="GL154"/>
  <c r="GK154"/>
  <c r="GJ154"/>
  <c r="GI154"/>
  <c r="GH154"/>
  <c r="GG154"/>
  <c r="GF154"/>
  <c r="GE154"/>
  <c r="GD154"/>
  <c r="GC154"/>
  <c r="GB154"/>
  <c r="GA154"/>
  <c r="FZ154"/>
  <c r="FY154"/>
  <c r="FX154"/>
  <c r="FW154"/>
  <c r="FV154"/>
  <c r="FU154"/>
  <c r="FT154"/>
  <c r="FS154"/>
  <c r="FR154"/>
  <c r="FQ154"/>
  <c r="FP154"/>
  <c r="FO154"/>
  <c r="FN154"/>
  <c r="FM154"/>
  <c r="FL154"/>
  <c r="FK154"/>
  <c r="FJ154"/>
  <c r="FI154"/>
  <c r="FH154"/>
  <c r="FG154"/>
  <c r="FF154"/>
  <c r="FE154"/>
  <c r="FD154"/>
  <c r="FC154"/>
  <c r="FB154"/>
  <c r="FA154"/>
  <c r="EZ154"/>
  <c r="EY154"/>
  <c r="EX154"/>
  <c r="EW154"/>
  <c r="EV154"/>
  <c r="EU154"/>
  <c r="ET154"/>
  <c r="ES154"/>
  <c r="ER154"/>
  <c r="EQ154"/>
  <c r="EP154"/>
  <c r="EO154"/>
  <c r="EN154"/>
  <c r="EM154"/>
  <c r="EL154"/>
  <c r="EK154"/>
  <c r="EJ154"/>
  <c r="EI154"/>
  <c r="EH154"/>
  <c r="EG154"/>
  <c r="EF154"/>
  <c r="EE154"/>
  <c r="ED154"/>
  <c r="EC154"/>
  <c r="EB154"/>
  <c r="EA154"/>
  <c r="DZ154"/>
  <c r="DY154"/>
  <c r="DX154"/>
  <c r="DW154"/>
  <c r="DV154"/>
  <c r="DU154"/>
  <c r="DT154"/>
  <c r="DS154"/>
  <c r="DR154"/>
  <c r="DQ154"/>
  <c r="DP154"/>
  <c r="DO154"/>
  <c r="DN154"/>
  <c r="DM154"/>
  <c r="DL154"/>
  <c r="DK154"/>
  <c r="DJ154"/>
  <c r="DI154"/>
  <c r="DH154"/>
  <c r="DG154"/>
  <c r="DF154"/>
  <c r="DE154"/>
  <c r="DD154"/>
  <c r="DC154"/>
  <c r="DB154"/>
  <c r="DA154"/>
  <c r="CZ154"/>
  <c r="CY154"/>
  <c r="CX154"/>
  <c r="CW154"/>
  <c r="CV154"/>
  <c r="CU154"/>
  <c r="CT154"/>
  <c r="CS154"/>
  <c r="CR154"/>
  <c r="CQ154"/>
  <c r="CP154"/>
  <c r="CO154"/>
  <c r="CN154"/>
  <c r="CM154"/>
  <c r="CL154"/>
  <c r="CK154"/>
  <c r="CJ154"/>
  <c r="CI154"/>
  <c r="CH154"/>
  <c r="CG154"/>
  <c r="CF154"/>
  <c r="CE154"/>
  <c r="CD154"/>
  <c r="CC154"/>
  <c r="CB154"/>
  <c r="CA154"/>
  <c r="BZ154"/>
  <c r="BY154"/>
  <c r="BX154"/>
  <c r="BW154"/>
  <c r="BV154"/>
  <c r="BU154"/>
  <c r="BT154"/>
  <c r="BS154"/>
  <c r="BR154"/>
  <c r="BQ154"/>
  <c r="BP154"/>
  <c r="BO154"/>
  <c r="BN154"/>
  <c r="BM154"/>
  <c r="BL154"/>
  <c r="BK154"/>
  <c r="BJ154"/>
  <c r="BI154"/>
  <c r="BH154"/>
  <c r="BG154"/>
  <c r="BF154"/>
  <c r="BE154"/>
  <c r="BD154"/>
  <c r="BC154"/>
  <c r="BB154"/>
  <c r="BA154"/>
  <c r="AZ154"/>
  <c r="AY154"/>
  <c r="AX154"/>
  <c r="AW154"/>
  <c r="AV154"/>
  <c r="AU154"/>
  <c r="AT154"/>
  <c r="AS154"/>
  <c r="AR154"/>
  <c r="AQ154"/>
  <c r="AP154"/>
  <c r="AO154"/>
  <c r="AN154"/>
  <c r="AM154"/>
  <c r="AL154"/>
  <c r="AK154"/>
  <c r="AJ154"/>
  <c r="AI154"/>
  <c r="AH154"/>
  <c r="AG154"/>
  <c r="AF154"/>
  <c r="AE154"/>
  <c r="AD154"/>
  <c r="AC154"/>
  <c r="AB154"/>
  <c r="AA154"/>
  <c r="Z154"/>
  <c r="Y154"/>
  <c r="X154"/>
  <c r="W154"/>
  <c r="V154"/>
  <c r="U154"/>
  <c r="T154"/>
  <c r="S154"/>
  <c r="R154"/>
  <c r="Q154"/>
  <c r="P154"/>
  <c r="O154"/>
  <c r="N154"/>
  <c r="M154"/>
  <c r="L154"/>
  <c r="K154"/>
  <c r="J154"/>
  <c r="I154"/>
  <c r="H154"/>
  <c r="G154"/>
  <c r="F154"/>
  <c r="E154"/>
  <c r="D154"/>
  <c r="C154"/>
  <c r="B154"/>
  <c r="A154"/>
  <c r="IV153"/>
  <c r="IU153"/>
  <c r="IT153"/>
  <c r="IS153"/>
  <c r="IR153"/>
  <c r="IQ153"/>
  <c r="IP153"/>
  <c r="IO153"/>
  <c r="IN153"/>
  <c r="IM153"/>
  <c r="IL153"/>
  <c r="IK153"/>
  <c r="IJ153"/>
  <c r="II153"/>
  <c r="IH153"/>
  <c r="IG153"/>
  <c r="IF153"/>
  <c r="IE153"/>
  <c r="ID153"/>
  <c r="IC153"/>
  <c r="IB153"/>
  <c r="IA153"/>
  <c r="HZ153"/>
  <c r="HY153"/>
  <c r="HX153"/>
  <c r="HW153"/>
  <c r="HV153"/>
  <c r="HU153"/>
  <c r="HT153"/>
  <c r="HS153"/>
  <c r="HR153"/>
  <c r="HQ153"/>
  <c r="HP153"/>
  <c r="HO153"/>
  <c r="HN153"/>
  <c r="HM153"/>
  <c r="HL153"/>
  <c r="HK153"/>
  <c r="HJ153"/>
  <c r="HI153"/>
  <c r="HH153"/>
  <c r="HG153"/>
  <c r="HF153"/>
  <c r="HE153"/>
  <c r="HD153"/>
  <c r="HC153"/>
  <c r="HB153"/>
  <c r="HA153"/>
  <c r="GZ153"/>
  <c r="GY153"/>
  <c r="GX153"/>
  <c r="GW153"/>
  <c r="GV153"/>
  <c r="GU153"/>
  <c r="GT153"/>
  <c r="GS153"/>
  <c r="GR153"/>
  <c r="GQ153"/>
  <c r="GP153"/>
  <c r="GO153"/>
  <c r="GN153"/>
  <c r="GM153"/>
  <c r="GL153"/>
  <c r="GK153"/>
  <c r="GJ153"/>
  <c r="GI153"/>
  <c r="GH153"/>
  <c r="GG153"/>
  <c r="GF153"/>
  <c r="GE153"/>
  <c r="GD153"/>
  <c r="GC153"/>
  <c r="GB153"/>
  <c r="GA153"/>
  <c r="FZ153"/>
  <c r="FY153"/>
  <c r="FX153"/>
  <c r="FW153"/>
  <c r="FV153"/>
  <c r="FU153"/>
  <c r="FT153"/>
  <c r="FS153"/>
  <c r="FR153"/>
  <c r="FQ153"/>
  <c r="FP153"/>
  <c r="FO153"/>
  <c r="FN153"/>
  <c r="FM153"/>
  <c r="FL153"/>
  <c r="FK153"/>
  <c r="FJ153"/>
  <c r="FI153"/>
  <c r="FH153"/>
  <c r="FG153"/>
  <c r="FF153"/>
  <c r="FE153"/>
  <c r="FD153"/>
  <c r="FC153"/>
  <c r="FB153"/>
  <c r="FA153"/>
  <c r="EZ153"/>
  <c r="EY153"/>
  <c r="EX153"/>
  <c r="EW153"/>
  <c r="EV153"/>
  <c r="EU153"/>
  <c r="ET153"/>
  <c r="ES153"/>
  <c r="ER153"/>
  <c r="EQ153"/>
  <c r="EP153"/>
  <c r="EO153"/>
  <c r="EN153"/>
  <c r="EM153"/>
  <c r="EL153"/>
  <c r="EK153"/>
  <c r="EJ153"/>
  <c r="EI153"/>
  <c r="EH153"/>
  <c r="EG153"/>
  <c r="EF153"/>
  <c r="EE153"/>
  <c r="ED153"/>
  <c r="EC153"/>
  <c r="EB153"/>
  <c r="EA153"/>
  <c r="DZ153"/>
  <c r="DY153"/>
  <c r="DX153"/>
  <c r="DW153"/>
  <c r="DV153"/>
  <c r="DU153"/>
  <c r="DT153"/>
  <c r="DS153"/>
  <c r="DR153"/>
  <c r="DQ153"/>
  <c r="DP153"/>
  <c r="DO153"/>
  <c r="DN153"/>
  <c r="DM153"/>
  <c r="DL153"/>
  <c r="DK153"/>
  <c r="DJ153"/>
  <c r="DI153"/>
  <c r="DH153"/>
  <c r="DG153"/>
  <c r="DF153"/>
  <c r="DE153"/>
  <c r="DD153"/>
  <c r="DC153"/>
  <c r="DB153"/>
  <c r="DA153"/>
  <c r="CZ153"/>
  <c r="CY153"/>
  <c r="CX153"/>
  <c r="CW153"/>
  <c r="CV153"/>
  <c r="CU153"/>
  <c r="CT153"/>
  <c r="CS153"/>
  <c r="CR153"/>
  <c r="CQ153"/>
  <c r="CP153"/>
  <c r="CO153"/>
  <c r="CN153"/>
  <c r="CM153"/>
  <c r="CL153"/>
  <c r="CK153"/>
  <c r="CJ153"/>
  <c r="CI153"/>
  <c r="CH153"/>
  <c r="CG153"/>
  <c r="CF153"/>
  <c r="CE153"/>
  <c r="CD153"/>
  <c r="CC153"/>
  <c r="CB153"/>
  <c r="CA153"/>
  <c r="BZ153"/>
  <c r="BY153"/>
  <c r="BX153"/>
  <c r="BW153"/>
  <c r="BV153"/>
  <c r="BU153"/>
  <c r="BT153"/>
  <c r="BS153"/>
  <c r="BR153"/>
  <c r="BQ153"/>
  <c r="BP153"/>
  <c r="BO153"/>
  <c r="BN153"/>
  <c r="BM153"/>
  <c r="BL153"/>
  <c r="BK153"/>
  <c r="BJ153"/>
  <c r="BI153"/>
  <c r="BH153"/>
  <c r="BG153"/>
  <c r="BF153"/>
  <c r="BE153"/>
  <c r="BD153"/>
  <c r="BC153"/>
  <c r="BB153"/>
  <c r="BA153"/>
  <c r="AZ153"/>
  <c r="AY153"/>
  <c r="AX153"/>
  <c r="AW153"/>
  <c r="AV153"/>
  <c r="AU153"/>
  <c r="AT153"/>
  <c r="AS153"/>
  <c r="AR153"/>
  <c r="AQ153"/>
  <c r="AP153"/>
  <c r="AO153"/>
  <c r="AN153"/>
  <c r="AM153"/>
  <c r="AL153"/>
  <c r="AK153"/>
  <c r="AJ153"/>
  <c r="AI153"/>
  <c r="AH153"/>
  <c r="AG153"/>
  <c r="AF153"/>
  <c r="AE153"/>
  <c r="AD153"/>
  <c r="AC153"/>
  <c r="AB153"/>
  <c r="AA153"/>
  <c r="Z153"/>
  <c r="Y153"/>
  <c r="X153"/>
  <c r="W153"/>
  <c r="V153"/>
  <c r="U153"/>
  <c r="T153"/>
  <c r="S153"/>
  <c r="R153"/>
  <c r="Q153"/>
  <c r="P153"/>
  <c r="O153"/>
  <c r="N153"/>
  <c r="M153"/>
  <c r="L153"/>
  <c r="K153"/>
  <c r="J153"/>
  <c r="I153"/>
  <c r="H153"/>
  <c r="G153"/>
  <c r="F153"/>
  <c r="E153"/>
  <c r="D153"/>
  <c r="C153"/>
  <c r="B153"/>
  <c r="A153"/>
  <c r="IV152"/>
  <c r="IU152"/>
  <c r="IT152"/>
  <c r="IS152"/>
  <c r="IR152"/>
  <c r="IQ152"/>
  <c r="IP152"/>
  <c r="IO152"/>
  <c r="IN152"/>
  <c r="IM152"/>
  <c r="IL152"/>
  <c r="IK152"/>
  <c r="IJ152"/>
  <c r="II152"/>
  <c r="IH152"/>
  <c r="IG152"/>
  <c r="IF152"/>
  <c r="IE152"/>
  <c r="ID152"/>
  <c r="IC152"/>
  <c r="IB152"/>
  <c r="IA152"/>
  <c r="HZ152"/>
  <c r="HY152"/>
  <c r="HX152"/>
  <c r="HW152"/>
  <c r="HV152"/>
  <c r="HU152"/>
  <c r="HT152"/>
  <c r="HS152"/>
  <c r="HR152"/>
  <c r="HQ152"/>
  <c r="HP152"/>
  <c r="HO152"/>
  <c r="HN152"/>
  <c r="HM152"/>
  <c r="HL152"/>
  <c r="HK152"/>
  <c r="HJ152"/>
  <c r="HI152"/>
  <c r="HH152"/>
  <c r="HG152"/>
  <c r="HF152"/>
  <c r="HE152"/>
  <c r="HD152"/>
  <c r="HC152"/>
  <c r="HB152"/>
  <c r="HA152"/>
  <c r="GZ152"/>
  <c r="GY152"/>
  <c r="GX152"/>
  <c r="GW152"/>
  <c r="GV152"/>
  <c r="GU152"/>
  <c r="GT152"/>
  <c r="GS152"/>
  <c r="GR152"/>
  <c r="GQ152"/>
  <c r="GP152"/>
  <c r="GO152"/>
  <c r="GN152"/>
  <c r="GM152"/>
  <c r="GL152"/>
  <c r="GK152"/>
  <c r="GJ152"/>
  <c r="GI152"/>
  <c r="GH152"/>
  <c r="GG152"/>
  <c r="GF152"/>
  <c r="GE152"/>
  <c r="GD152"/>
  <c r="GC152"/>
  <c r="GB152"/>
  <c r="GA152"/>
  <c r="FZ152"/>
  <c r="FY152"/>
  <c r="FX152"/>
  <c r="FW152"/>
  <c r="FV152"/>
  <c r="FU152"/>
  <c r="FT152"/>
  <c r="FS152"/>
  <c r="FR152"/>
  <c r="FQ152"/>
  <c r="FP152"/>
  <c r="FO152"/>
  <c r="FN152"/>
  <c r="FM152"/>
  <c r="FL152"/>
  <c r="FK152"/>
  <c r="FJ152"/>
  <c r="FI152"/>
  <c r="FH152"/>
  <c r="FG152"/>
  <c r="FF152"/>
  <c r="FE152"/>
  <c r="FD152"/>
  <c r="FC152"/>
  <c r="FB152"/>
  <c r="FA152"/>
  <c r="EZ152"/>
  <c r="EY152"/>
  <c r="EX152"/>
  <c r="EW152"/>
  <c r="EV152"/>
  <c r="EU152"/>
  <c r="ET152"/>
  <c r="ES152"/>
  <c r="ER152"/>
  <c r="EQ152"/>
  <c r="EP152"/>
  <c r="EO152"/>
  <c r="EN152"/>
  <c r="EM152"/>
  <c r="EL152"/>
  <c r="EK152"/>
  <c r="EJ152"/>
  <c r="EI152"/>
  <c r="EH152"/>
  <c r="EG152"/>
  <c r="EF152"/>
  <c r="EE152"/>
  <c r="ED152"/>
  <c r="EC152"/>
  <c r="EB152"/>
  <c r="EA152"/>
  <c r="DZ152"/>
  <c r="DY152"/>
  <c r="DX152"/>
  <c r="DW152"/>
  <c r="DV152"/>
  <c r="DU152"/>
  <c r="DT152"/>
  <c r="DS152"/>
  <c r="DR152"/>
  <c r="DQ152"/>
  <c r="DP152"/>
  <c r="DO152"/>
  <c r="DN152"/>
  <c r="DM152"/>
  <c r="DL152"/>
  <c r="DK152"/>
  <c r="DJ152"/>
  <c r="DI152"/>
  <c r="DH152"/>
  <c r="DG152"/>
  <c r="DF152"/>
  <c r="DE152"/>
  <c r="DD152"/>
  <c r="DC152"/>
  <c r="DB152"/>
  <c r="DA152"/>
  <c r="CZ152"/>
  <c r="CY152"/>
  <c r="CX152"/>
  <c r="CW152"/>
  <c r="CV152"/>
  <c r="CU152"/>
  <c r="CT152"/>
  <c r="CS152"/>
  <c r="CR152"/>
  <c r="CQ152"/>
  <c r="CP152"/>
  <c r="CO152"/>
  <c r="CN152"/>
  <c r="CM152"/>
  <c r="CL152"/>
  <c r="CK152"/>
  <c r="CJ152"/>
  <c r="CI152"/>
  <c r="CH152"/>
  <c r="CG152"/>
  <c r="CF152"/>
  <c r="CE152"/>
  <c r="CD152"/>
  <c r="CC152"/>
  <c r="CB152"/>
  <c r="CA152"/>
  <c r="BZ152"/>
  <c r="BY152"/>
  <c r="BX152"/>
  <c r="BW152"/>
  <c r="BV152"/>
  <c r="BU152"/>
  <c r="BT152"/>
  <c r="BS152"/>
  <c r="BR152"/>
  <c r="BQ152"/>
  <c r="BP152"/>
  <c r="BO152"/>
  <c r="BN152"/>
  <c r="BM152"/>
  <c r="BL152"/>
  <c r="BK152"/>
  <c r="BJ152"/>
  <c r="BI152"/>
  <c r="BH152"/>
  <c r="BG152"/>
  <c r="BF152"/>
  <c r="BE152"/>
  <c r="BD152"/>
  <c r="BC152"/>
  <c r="BB152"/>
  <c r="BA152"/>
  <c r="AZ152"/>
  <c r="AY152"/>
  <c r="AX152"/>
  <c r="AW152"/>
  <c r="AV152"/>
  <c r="AU152"/>
  <c r="AT152"/>
  <c r="AS152"/>
  <c r="AR152"/>
  <c r="AQ152"/>
  <c r="AP152"/>
  <c r="AO152"/>
  <c r="AN152"/>
  <c r="AM152"/>
  <c r="AL152"/>
  <c r="AK152"/>
  <c r="AJ152"/>
  <c r="AI152"/>
  <c r="AH152"/>
  <c r="AG152"/>
  <c r="AF152"/>
  <c r="AE152"/>
  <c r="AD152"/>
  <c r="AC152"/>
  <c r="AB152"/>
  <c r="AA152"/>
  <c r="Z152"/>
  <c r="Y152"/>
  <c r="X152"/>
  <c r="W152"/>
  <c r="V152"/>
  <c r="U152"/>
  <c r="T152"/>
  <c r="S152"/>
  <c r="R152"/>
  <c r="Q152"/>
  <c r="P152"/>
  <c r="O152"/>
  <c r="N152"/>
  <c r="M152"/>
  <c r="L152"/>
  <c r="K152"/>
  <c r="J152"/>
  <c r="I152"/>
  <c r="H152"/>
  <c r="G152"/>
  <c r="F152"/>
  <c r="E152"/>
  <c r="D152"/>
  <c r="C152"/>
  <c r="B152"/>
  <c r="A152"/>
  <c r="IV151"/>
  <c r="IU151"/>
  <c r="IT151"/>
  <c r="IS151"/>
  <c r="IR151"/>
  <c r="IQ151"/>
  <c r="IP151"/>
  <c r="IO151"/>
  <c r="IN151"/>
  <c r="IM151"/>
  <c r="IL151"/>
  <c r="IK151"/>
  <c r="IJ151"/>
  <c r="II151"/>
  <c r="IH151"/>
  <c r="IG151"/>
  <c r="IF151"/>
  <c r="IE151"/>
  <c r="ID151"/>
  <c r="IC151"/>
  <c r="IB151"/>
  <c r="IA151"/>
  <c r="HZ151"/>
  <c r="HY151"/>
  <c r="HX151"/>
  <c r="HW151"/>
  <c r="HV151"/>
  <c r="HU151"/>
  <c r="HT151"/>
  <c r="HS151"/>
  <c r="HR151"/>
  <c r="HQ151"/>
  <c r="HP151"/>
  <c r="HO151"/>
  <c r="HN151"/>
  <c r="HM151"/>
  <c r="HL151"/>
  <c r="HK151"/>
  <c r="HJ151"/>
  <c r="HI151"/>
  <c r="HH151"/>
  <c r="HG151"/>
  <c r="HF151"/>
  <c r="HE151"/>
  <c r="HD151"/>
  <c r="HC151"/>
  <c r="HB151"/>
  <c r="HA151"/>
  <c r="GZ151"/>
  <c r="GY151"/>
  <c r="GX151"/>
  <c r="GW151"/>
  <c r="GV151"/>
  <c r="GU151"/>
  <c r="GT151"/>
  <c r="GS151"/>
  <c r="GR151"/>
  <c r="GQ151"/>
  <c r="GP151"/>
  <c r="GO151"/>
  <c r="GN151"/>
  <c r="GM151"/>
  <c r="GL151"/>
  <c r="GK151"/>
  <c r="GJ151"/>
  <c r="GI151"/>
  <c r="GH151"/>
  <c r="GG151"/>
  <c r="GF151"/>
  <c r="GE151"/>
  <c r="GD151"/>
  <c r="GC151"/>
  <c r="GB151"/>
  <c r="GA151"/>
  <c r="FZ151"/>
  <c r="FY151"/>
  <c r="FX151"/>
  <c r="FW151"/>
  <c r="FV151"/>
  <c r="FU151"/>
  <c r="FT151"/>
  <c r="FS151"/>
  <c r="FR151"/>
  <c r="FQ151"/>
  <c r="FP151"/>
  <c r="FO151"/>
  <c r="FN151"/>
  <c r="FM151"/>
  <c r="FL151"/>
  <c r="FK151"/>
  <c r="FJ151"/>
  <c r="FI151"/>
  <c r="FH151"/>
  <c r="FG151"/>
  <c r="FF151"/>
  <c r="FE151"/>
  <c r="FD151"/>
  <c r="FC151"/>
  <c r="FB151"/>
  <c r="FA151"/>
  <c r="EZ151"/>
  <c r="EY151"/>
  <c r="EX151"/>
  <c r="EW151"/>
  <c r="EV151"/>
  <c r="EU151"/>
  <c r="ET151"/>
  <c r="ES151"/>
  <c r="ER151"/>
  <c r="EQ151"/>
  <c r="EP151"/>
  <c r="EO151"/>
  <c r="EN151"/>
  <c r="EM151"/>
  <c r="EL151"/>
  <c r="EK151"/>
  <c r="EJ151"/>
  <c r="EI151"/>
  <c r="EH151"/>
  <c r="EG151"/>
  <c r="EF151"/>
  <c r="EE151"/>
  <c r="ED151"/>
  <c r="EC151"/>
  <c r="EB151"/>
  <c r="EA151"/>
  <c r="DZ151"/>
  <c r="DY151"/>
  <c r="DX151"/>
  <c r="DW151"/>
  <c r="DV151"/>
  <c r="DU151"/>
  <c r="DT151"/>
  <c r="DS151"/>
  <c r="DR151"/>
  <c r="DQ151"/>
  <c r="DP151"/>
  <c r="DO151"/>
  <c r="DN151"/>
  <c r="DM151"/>
  <c r="DL151"/>
  <c r="DK151"/>
  <c r="DJ151"/>
  <c r="DI151"/>
  <c r="DH151"/>
  <c r="DG151"/>
  <c r="DF151"/>
  <c r="DE151"/>
  <c r="DD151"/>
  <c r="DC151"/>
  <c r="DB151"/>
  <c r="DA151"/>
  <c r="CZ151"/>
  <c r="CY151"/>
  <c r="CX151"/>
  <c r="CW151"/>
  <c r="CV151"/>
  <c r="CU151"/>
  <c r="CT151"/>
  <c r="CS151"/>
  <c r="CR151"/>
  <c r="CQ151"/>
  <c r="CP151"/>
  <c r="CO151"/>
  <c r="CN151"/>
  <c r="CM151"/>
  <c r="CL151"/>
  <c r="CK151"/>
  <c r="CJ151"/>
  <c r="CI151"/>
  <c r="CH151"/>
  <c r="CG151"/>
  <c r="CF151"/>
  <c r="CE151"/>
  <c r="CD151"/>
  <c r="CC151"/>
  <c r="CB151"/>
  <c r="CA151"/>
  <c r="BZ151"/>
  <c r="BY151"/>
  <c r="BX151"/>
  <c r="BW151"/>
  <c r="BV151"/>
  <c r="BU151"/>
  <c r="BT151"/>
  <c r="BS151"/>
  <c r="BR151"/>
  <c r="BQ151"/>
  <c r="BP151"/>
  <c r="BO151"/>
  <c r="BN151"/>
  <c r="BM151"/>
  <c r="BL151"/>
  <c r="BK151"/>
  <c r="BJ151"/>
  <c r="BI151"/>
  <c r="BH151"/>
  <c r="BG151"/>
  <c r="BF151"/>
  <c r="BE151"/>
  <c r="BD151"/>
  <c r="BC151"/>
  <c r="BB151"/>
  <c r="BA151"/>
  <c r="AZ151"/>
  <c r="AY151"/>
  <c r="AX151"/>
  <c r="AW151"/>
  <c r="AV151"/>
  <c r="AU151"/>
  <c r="AT151"/>
  <c r="AS151"/>
  <c r="AR151"/>
  <c r="AQ151"/>
  <c r="AP151"/>
  <c r="AO151"/>
  <c r="AN151"/>
  <c r="AM151"/>
  <c r="AL151"/>
  <c r="AK151"/>
  <c r="AJ151"/>
  <c r="AI151"/>
  <c r="AH151"/>
  <c r="AG151"/>
  <c r="AF151"/>
  <c r="AE151"/>
  <c r="AD151"/>
  <c r="AC151"/>
  <c r="AB151"/>
  <c r="AA151"/>
  <c r="Z151"/>
  <c r="Y151"/>
  <c r="X151"/>
  <c r="W151"/>
  <c r="V151"/>
  <c r="U151"/>
  <c r="T151"/>
  <c r="S151"/>
  <c r="R151"/>
  <c r="Q151"/>
  <c r="P151"/>
  <c r="O151"/>
  <c r="N151"/>
  <c r="M151"/>
  <c r="L151"/>
  <c r="K151"/>
  <c r="J151"/>
  <c r="I151"/>
  <c r="H151"/>
  <c r="G151"/>
  <c r="F151"/>
  <c r="E151"/>
  <c r="D151"/>
  <c r="C151"/>
  <c r="B151"/>
  <c r="A151"/>
  <c r="IV150"/>
  <c r="IU150"/>
  <c r="IT150"/>
  <c r="IS150"/>
  <c r="IR150"/>
  <c r="IQ150"/>
  <c r="IP150"/>
  <c r="IO150"/>
  <c r="IN150"/>
  <c r="IM150"/>
  <c r="IL150"/>
  <c r="IK150"/>
  <c r="IJ150"/>
  <c r="II150"/>
  <c r="IH150"/>
  <c r="IG150"/>
  <c r="IF150"/>
  <c r="IE150"/>
  <c r="ID150"/>
  <c r="IC150"/>
  <c r="IB150"/>
  <c r="IA150"/>
  <c r="HZ150"/>
  <c r="HY150"/>
  <c r="HX150"/>
  <c r="HW150"/>
  <c r="HV150"/>
  <c r="HU150"/>
  <c r="HT150"/>
  <c r="HS150"/>
  <c r="HR150"/>
  <c r="HQ150"/>
  <c r="HP150"/>
  <c r="HO150"/>
  <c r="HN150"/>
  <c r="HM150"/>
  <c r="HL150"/>
  <c r="HK150"/>
  <c r="HJ150"/>
  <c r="HI150"/>
  <c r="HH150"/>
  <c r="HG150"/>
  <c r="HF150"/>
  <c r="HE150"/>
  <c r="HD150"/>
  <c r="HC150"/>
  <c r="HB150"/>
  <c r="HA150"/>
  <c r="GZ150"/>
  <c r="GY150"/>
  <c r="GX150"/>
  <c r="GW150"/>
  <c r="GV150"/>
  <c r="GU150"/>
  <c r="GT150"/>
  <c r="GS150"/>
  <c r="GR150"/>
  <c r="GQ150"/>
  <c r="GP150"/>
  <c r="GO150"/>
  <c r="GN150"/>
  <c r="GM150"/>
  <c r="GL150"/>
  <c r="GK150"/>
  <c r="GJ150"/>
  <c r="GI150"/>
  <c r="GH150"/>
  <c r="GG150"/>
  <c r="GF150"/>
  <c r="GE150"/>
  <c r="GD150"/>
  <c r="GC150"/>
  <c r="GB150"/>
  <c r="GA150"/>
  <c r="FZ150"/>
  <c r="FY150"/>
  <c r="FX150"/>
  <c r="FW150"/>
  <c r="FV150"/>
  <c r="FU150"/>
  <c r="FT150"/>
  <c r="FS150"/>
  <c r="FR150"/>
  <c r="FQ150"/>
  <c r="FP150"/>
  <c r="FO150"/>
  <c r="FN150"/>
  <c r="FM150"/>
  <c r="FL150"/>
  <c r="FK150"/>
  <c r="FJ150"/>
  <c r="FI150"/>
  <c r="FH150"/>
  <c r="FG150"/>
  <c r="FF150"/>
  <c r="FE150"/>
  <c r="FD150"/>
  <c r="FC150"/>
  <c r="FB150"/>
  <c r="FA150"/>
  <c r="EZ150"/>
  <c r="EY150"/>
  <c r="EX150"/>
  <c r="EW150"/>
  <c r="EV150"/>
  <c r="EU150"/>
  <c r="ET150"/>
  <c r="ES150"/>
  <c r="ER150"/>
  <c r="EQ150"/>
  <c r="EP150"/>
  <c r="EO150"/>
  <c r="EN150"/>
  <c r="EM150"/>
  <c r="EL150"/>
  <c r="EK150"/>
  <c r="EJ150"/>
  <c r="EI150"/>
  <c r="EH150"/>
  <c r="EG150"/>
  <c r="EF150"/>
  <c r="EE150"/>
  <c r="ED150"/>
  <c r="EC150"/>
  <c r="EB150"/>
  <c r="EA150"/>
  <c r="DZ150"/>
  <c r="DY150"/>
  <c r="DX150"/>
  <c r="DW150"/>
  <c r="DV150"/>
  <c r="DU150"/>
  <c r="DT150"/>
  <c r="DS150"/>
  <c r="DR150"/>
  <c r="DQ150"/>
  <c r="DP150"/>
  <c r="DO150"/>
  <c r="DN150"/>
  <c r="DM150"/>
  <c r="DL150"/>
  <c r="DK150"/>
  <c r="DJ150"/>
  <c r="DI150"/>
  <c r="DH150"/>
  <c r="DG150"/>
  <c r="DF150"/>
  <c r="DE150"/>
  <c r="DD150"/>
  <c r="DC150"/>
  <c r="DB150"/>
  <c r="DA150"/>
  <c r="CZ150"/>
  <c r="CY150"/>
  <c r="CX150"/>
  <c r="CW150"/>
  <c r="CV150"/>
  <c r="CU150"/>
  <c r="CT150"/>
  <c r="CS150"/>
  <c r="CR150"/>
  <c r="CQ150"/>
  <c r="CP150"/>
  <c r="CO150"/>
  <c r="CN150"/>
  <c r="CM150"/>
  <c r="CL150"/>
  <c r="CK150"/>
  <c r="CJ150"/>
  <c r="CI150"/>
  <c r="CH150"/>
  <c r="CG150"/>
  <c r="CF150"/>
  <c r="CE150"/>
  <c r="CD150"/>
  <c r="CC150"/>
  <c r="CB150"/>
  <c r="CA150"/>
  <c r="BZ150"/>
  <c r="BY150"/>
  <c r="BX150"/>
  <c r="BW150"/>
  <c r="BV150"/>
  <c r="BU150"/>
  <c r="BT150"/>
  <c r="BS150"/>
  <c r="BR150"/>
  <c r="BQ150"/>
  <c r="BP150"/>
  <c r="BO150"/>
  <c r="BN150"/>
  <c r="BM150"/>
  <c r="BL150"/>
  <c r="BK150"/>
  <c r="BJ150"/>
  <c r="BI150"/>
  <c r="BH150"/>
  <c r="BG150"/>
  <c r="BF150"/>
  <c r="BE150"/>
  <c r="BD150"/>
  <c r="BC150"/>
  <c r="BB150"/>
  <c r="BA150"/>
  <c r="AZ150"/>
  <c r="AY150"/>
  <c r="AX150"/>
  <c r="AW150"/>
  <c r="AV150"/>
  <c r="AU150"/>
  <c r="AT150"/>
  <c r="AS150"/>
  <c r="AR150"/>
  <c r="AQ150"/>
  <c r="AP150"/>
  <c r="AO150"/>
  <c r="AN150"/>
  <c r="AM150"/>
  <c r="AL150"/>
  <c r="AK150"/>
  <c r="AJ150"/>
  <c r="AI150"/>
  <c r="AH150"/>
  <c r="AG150"/>
  <c r="AF150"/>
  <c r="AE150"/>
  <c r="AD150"/>
  <c r="AC150"/>
  <c r="AB150"/>
  <c r="AA150"/>
  <c r="Z150"/>
  <c r="Y150"/>
  <c r="X150"/>
  <c r="W150"/>
  <c r="V150"/>
  <c r="U150"/>
  <c r="T150"/>
  <c r="S150"/>
  <c r="R150"/>
  <c r="Q150"/>
  <c r="P150"/>
  <c r="O150"/>
  <c r="N150"/>
  <c r="M150"/>
  <c r="L150"/>
  <c r="K150"/>
  <c r="J150"/>
  <c r="I150"/>
  <c r="H150"/>
  <c r="G150"/>
  <c r="F150"/>
  <c r="E150"/>
  <c r="D150"/>
  <c r="C150"/>
  <c r="B150"/>
  <c r="A150"/>
  <c r="IV149"/>
  <c r="IU149"/>
  <c r="IT149"/>
  <c r="IS149"/>
  <c r="IR149"/>
  <c r="IQ149"/>
  <c r="IP149"/>
  <c r="IO149"/>
  <c r="IN149"/>
  <c r="IM149"/>
  <c r="IL149"/>
  <c r="IK149"/>
  <c r="IJ149"/>
  <c r="II149"/>
  <c r="IH149"/>
  <c r="IG149"/>
  <c r="IF149"/>
  <c r="IE149"/>
  <c r="ID149"/>
  <c r="IC149"/>
  <c r="IB149"/>
  <c r="IA149"/>
  <c r="HZ149"/>
  <c r="HY149"/>
  <c r="HX149"/>
  <c r="HW149"/>
  <c r="HV149"/>
  <c r="HU149"/>
  <c r="HT149"/>
  <c r="HS149"/>
  <c r="HR149"/>
  <c r="HQ149"/>
  <c r="HP149"/>
  <c r="HO149"/>
  <c r="HN149"/>
  <c r="HM149"/>
  <c r="HL149"/>
  <c r="HK149"/>
  <c r="HJ149"/>
  <c r="HI149"/>
  <c r="HH149"/>
  <c r="HG149"/>
  <c r="HF149"/>
  <c r="HE149"/>
  <c r="HD149"/>
  <c r="HC149"/>
  <c r="HB149"/>
  <c r="HA149"/>
  <c r="GZ149"/>
  <c r="GY149"/>
  <c r="GX149"/>
  <c r="GW149"/>
  <c r="GV149"/>
  <c r="GU149"/>
  <c r="GT149"/>
  <c r="GS149"/>
  <c r="GR149"/>
  <c r="GQ149"/>
  <c r="GP149"/>
  <c r="GO149"/>
  <c r="GN149"/>
  <c r="GM149"/>
  <c r="GL149"/>
  <c r="GK149"/>
  <c r="GJ149"/>
  <c r="GI149"/>
  <c r="GH149"/>
  <c r="GG149"/>
  <c r="GF149"/>
  <c r="GE149"/>
  <c r="GD149"/>
  <c r="GC149"/>
  <c r="GB149"/>
  <c r="GA149"/>
  <c r="FZ149"/>
  <c r="FY149"/>
  <c r="FX149"/>
  <c r="FW149"/>
  <c r="FV149"/>
  <c r="FU149"/>
  <c r="FT149"/>
  <c r="FS149"/>
  <c r="FR149"/>
  <c r="FQ149"/>
  <c r="FP149"/>
  <c r="FO149"/>
  <c r="FN149"/>
  <c r="FM149"/>
  <c r="FL149"/>
  <c r="FK149"/>
  <c r="FJ149"/>
  <c r="FI149"/>
  <c r="FH149"/>
  <c r="FG149"/>
  <c r="FF149"/>
  <c r="FE149"/>
  <c r="FD149"/>
  <c r="FC149"/>
  <c r="FB149"/>
  <c r="FA149"/>
  <c r="EZ149"/>
  <c r="EY149"/>
  <c r="EX149"/>
  <c r="EW149"/>
  <c r="EV149"/>
  <c r="EU149"/>
  <c r="ET149"/>
  <c r="ES149"/>
  <c r="ER149"/>
  <c r="EQ149"/>
  <c r="EP149"/>
  <c r="EO149"/>
  <c r="EN149"/>
  <c r="EM149"/>
  <c r="EL149"/>
  <c r="EK149"/>
  <c r="EJ149"/>
  <c r="EI149"/>
  <c r="EH149"/>
  <c r="EG149"/>
  <c r="EF149"/>
  <c r="EE149"/>
  <c r="ED149"/>
  <c r="EC149"/>
  <c r="EB149"/>
  <c r="EA149"/>
  <c r="DZ149"/>
  <c r="DY149"/>
  <c r="DX149"/>
  <c r="DW149"/>
  <c r="DV149"/>
  <c r="DU149"/>
  <c r="DT149"/>
  <c r="DS149"/>
  <c r="DR149"/>
  <c r="DQ149"/>
  <c r="DP149"/>
  <c r="DO149"/>
  <c r="DN149"/>
  <c r="DM149"/>
  <c r="DL149"/>
  <c r="DK149"/>
  <c r="DJ149"/>
  <c r="DI149"/>
  <c r="DH149"/>
  <c r="DG149"/>
  <c r="DF149"/>
  <c r="DE149"/>
  <c r="DD149"/>
  <c r="DC149"/>
  <c r="DB149"/>
  <c r="DA149"/>
  <c r="CZ149"/>
  <c r="CY149"/>
  <c r="CX149"/>
  <c r="CW149"/>
  <c r="CV149"/>
  <c r="CU149"/>
  <c r="CT149"/>
  <c r="CS149"/>
  <c r="CR149"/>
  <c r="CQ149"/>
  <c r="CP149"/>
  <c r="CO149"/>
  <c r="CN149"/>
  <c r="CM149"/>
  <c r="CL149"/>
  <c r="CK149"/>
  <c r="CJ149"/>
  <c r="CI149"/>
  <c r="CH149"/>
  <c r="CG149"/>
  <c r="CF149"/>
  <c r="CE149"/>
  <c r="CD149"/>
  <c r="CC149"/>
  <c r="CB149"/>
  <c r="CA149"/>
  <c r="BZ149"/>
  <c r="BY149"/>
  <c r="BX149"/>
  <c r="BW149"/>
  <c r="BV149"/>
  <c r="BU149"/>
  <c r="BT149"/>
  <c r="BS149"/>
  <c r="BR149"/>
  <c r="BQ149"/>
  <c r="BP149"/>
  <c r="BO149"/>
  <c r="BN149"/>
  <c r="BM149"/>
  <c r="BL149"/>
  <c r="BK149"/>
  <c r="BJ149"/>
  <c r="BI149"/>
  <c r="BH149"/>
  <c r="BG149"/>
  <c r="BF149"/>
  <c r="BE149"/>
  <c r="BD149"/>
  <c r="BC149"/>
  <c r="BB149"/>
  <c r="BA149"/>
  <c r="AZ149"/>
  <c r="AY149"/>
  <c r="AX149"/>
  <c r="AW149"/>
  <c r="AV149"/>
  <c r="AU149"/>
  <c r="AT149"/>
  <c r="AS149"/>
  <c r="AR149"/>
  <c r="AQ149"/>
  <c r="AP149"/>
  <c r="AO149"/>
  <c r="AN149"/>
  <c r="AM149"/>
  <c r="AL149"/>
  <c r="AK149"/>
  <c r="AJ149"/>
  <c r="AI149"/>
  <c r="AH149"/>
  <c r="AG149"/>
  <c r="AF149"/>
  <c r="AE149"/>
  <c r="AD149"/>
  <c r="AC149"/>
  <c r="AB149"/>
  <c r="AA149"/>
  <c r="Z149"/>
  <c r="Y149"/>
  <c r="X149"/>
  <c r="W149"/>
  <c r="V149"/>
  <c r="U149"/>
  <c r="T149"/>
  <c r="S149"/>
  <c r="R149"/>
  <c r="Q149"/>
  <c r="P149"/>
  <c r="O149"/>
  <c r="N149"/>
  <c r="M149"/>
  <c r="L149"/>
  <c r="K149"/>
  <c r="J149"/>
  <c r="I149"/>
  <c r="H149"/>
  <c r="G149"/>
  <c r="F149"/>
  <c r="E149"/>
  <c r="D149"/>
  <c r="C149"/>
  <c r="B149"/>
  <c r="A149"/>
  <c r="IV148"/>
  <c r="IU148"/>
  <c r="IT148"/>
  <c r="IS148"/>
  <c r="IR148"/>
  <c r="IQ148"/>
  <c r="IP148"/>
  <c r="IO148"/>
  <c r="IN148"/>
  <c r="IM148"/>
  <c r="IL148"/>
  <c r="IK148"/>
  <c r="IJ148"/>
  <c r="II148"/>
  <c r="IH148"/>
  <c r="IG148"/>
  <c r="IF148"/>
  <c r="IE148"/>
  <c r="ID148"/>
  <c r="IC148"/>
  <c r="IB148"/>
  <c r="IA148"/>
  <c r="HZ148"/>
  <c r="HY148"/>
  <c r="HX148"/>
  <c r="HW148"/>
  <c r="HV148"/>
  <c r="HU148"/>
  <c r="HT148"/>
  <c r="HS148"/>
  <c r="HR148"/>
  <c r="HQ148"/>
  <c r="HP148"/>
  <c r="HO148"/>
  <c r="HN148"/>
  <c r="HM148"/>
  <c r="HL148"/>
  <c r="HK148"/>
  <c r="HJ148"/>
  <c r="HI148"/>
  <c r="HH148"/>
  <c r="HG148"/>
  <c r="HF148"/>
  <c r="HE148"/>
  <c r="HD148"/>
  <c r="HC148"/>
  <c r="HB148"/>
  <c r="HA148"/>
  <c r="GZ148"/>
  <c r="GY148"/>
  <c r="GX148"/>
  <c r="GW148"/>
  <c r="GV148"/>
  <c r="GU148"/>
  <c r="GT148"/>
  <c r="GS148"/>
  <c r="GR148"/>
  <c r="GQ148"/>
  <c r="GP148"/>
  <c r="GO148"/>
  <c r="GN148"/>
  <c r="GM148"/>
  <c r="GL148"/>
  <c r="GK148"/>
  <c r="GJ148"/>
  <c r="GI148"/>
  <c r="GH148"/>
  <c r="GG148"/>
  <c r="GF148"/>
  <c r="GE148"/>
  <c r="GD148"/>
  <c r="GC148"/>
  <c r="GB148"/>
  <c r="GA148"/>
  <c r="FZ148"/>
  <c r="FY148"/>
  <c r="FX148"/>
  <c r="FW148"/>
  <c r="FV148"/>
  <c r="FU148"/>
  <c r="FT148"/>
  <c r="FS148"/>
  <c r="FR148"/>
  <c r="FQ148"/>
  <c r="FP148"/>
  <c r="FO148"/>
  <c r="FN148"/>
  <c r="FM148"/>
  <c r="FL148"/>
  <c r="FK148"/>
  <c r="FJ148"/>
  <c r="FI148"/>
  <c r="FH148"/>
  <c r="FG148"/>
  <c r="FF148"/>
  <c r="FE148"/>
  <c r="FD148"/>
  <c r="FC148"/>
  <c r="FB148"/>
  <c r="FA148"/>
  <c r="EZ148"/>
  <c r="EY148"/>
  <c r="EX148"/>
  <c r="EW148"/>
  <c r="EV148"/>
  <c r="EU148"/>
  <c r="ET148"/>
  <c r="ES148"/>
  <c r="ER148"/>
  <c r="EQ148"/>
  <c r="EP148"/>
  <c r="EO148"/>
  <c r="EN148"/>
  <c r="EM148"/>
  <c r="EL148"/>
  <c r="EK148"/>
  <c r="EJ148"/>
  <c r="EI148"/>
  <c r="EH148"/>
  <c r="EG148"/>
  <c r="EF148"/>
  <c r="EE148"/>
  <c r="ED148"/>
  <c r="EC148"/>
  <c r="EB148"/>
  <c r="EA148"/>
  <c r="DZ148"/>
  <c r="DY148"/>
  <c r="DX148"/>
  <c r="DW148"/>
  <c r="DV148"/>
  <c r="DU148"/>
  <c r="DT148"/>
  <c r="DS148"/>
  <c r="DR148"/>
  <c r="DQ148"/>
  <c r="DP148"/>
  <c r="DO148"/>
  <c r="DN148"/>
  <c r="DM148"/>
  <c r="DL148"/>
  <c r="DK148"/>
  <c r="DJ148"/>
  <c r="DI148"/>
  <c r="DH148"/>
  <c r="DG148"/>
  <c r="DF148"/>
  <c r="DE148"/>
  <c r="DD148"/>
  <c r="DC148"/>
  <c r="DB148"/>
  <c r="DA148"/>
  <c r="CZ148"/>
  <c r="CY148"/>
  <c r="CX148"/>
  <c r="CW148"/>
  <c r="CV148"/>
  <c r="CU148"/>
  <c r="CT148"/>
  <c r="CS148"/>
  <c r="CR148"/>
  <c r="CQ148"/>
  <c r="CP148"/>
  <c r="CO148"/>
  <c r="CN148"/>
  <c r="CM148"/>
  <c r="CL148"/>
  <c r="CK148"/>
  <c r="CJ148"/>
  <c r="CI148"/>
  <c r="CH148"/>
  <c r="CG148"/>
  <c r="CF148"/>
  <c r="CE148"/>
  <c r="CD148"/>
  <c r="CC148"/>
  <c r="CB148"/>
  <c r="CA148"/>
  <c r="BZ148"/>
  <c r="BY148"/>
  <c r="BX148"/>
  <c r="BW148"/>
  <c r="BV148"/>
  <c r="BU148"/>
  <c r="BT148"/>
  <c r="BS148"/>
  <c r="BR148"/>
  <c r="BQ148"/>
  <c r="BP148"/>
  <c r="BO148"/>
  <c r="BN148"/>
  <c r="BM148"/>
  <c r="BL148"/>
  <c r="BK148"/>
  <c r="BJ148"/>
  <c r="BI148"/>
  <c r="BH148"/>
  <c r="BG148"/>
  <c r="BF148"/>
  <c r="BE148"/>
  <c r="BD148"/>
  <c r="BC148"/>
  <c r="BB148"/>
  <c r="BA148"/>
  <c r="AZ148"/>
  <c r="AY148"/>
  <c r="AX148"/>
  <c r="AW148"/>
  <c r="AV148"/>
  <c r="AU148"/>
  <c r="AT148"/>
  <c r="AS148"/>
  <c r="AR148"/>
  <c r="AQ148"/>
  <c r="AP148"/>
  <c r="AO148"/>
  <c r="AN148"/>
  <c r="AM148"/>
  <c r="AL148"/>
  <c r="AK148"/>
  <c r="AJ148"/>
  <c r="AI148"/>
  <c r="AH148"/>
  <c r="AG148"/>
  <c r="AF148"/>
  <c r="AE148"/>
  <c r="AD148"/>
  <c r="AC148"/>
  <c r="AB148"/>
  <c r="AA148"/>
  <c r="Z148"/>
  <c r="Y148"/>
  <c r="X148"/>
  <c r="W148"/>
  <c r="V148"/>
  <c r="U148"/>
  <c r="T148"/>
  <c r="S148"/>
  <c r="R148"/>
  <c r="Q148"/>
  <c r="P148"/>
  <c r="O148"/>
  <c r="N148"/>
  <c r="M148"/>
  <c r="L148"/>
  <c r="K148"/>
  <c r="J148"/>
  <c r="I148"/>
  <c r="H148"/>
  <c r="G148"/>
  <c r="F148"/>
  <c r="E148"/>
  <c r="D148"/>
  <c r="C148"/>
  <c r="B148"/>
  <c r="A148"/>
  <c r="IV147"/>
  <c r="IU147"/>
  <c r="IT147"/>
  <c r="IS147"/>
  <c r="IR147"/>
  <c r="IQ147"/>
  <c r="IP147"/>
  <c r="IO147"/>
  <c r="IN147"/>
  <c r="IM147"/>
  <c r="IL147"/>
  <c r="IK147"/>
  <c r="IJ147"/>
  <c r="II147"/>
  <c r="IH147"/>
  <c r="IG147"/>
  <c r="IF147"/>
  <c r="IE147"/>
  <c r="ID147"/>
  <c r="IC147"/>
  <c r="IB147"/>
  <c r="IA147"/>
  <c r="HZ147"/>
  <c r="HY147"/>
  <c r="HX147"/>
  <c r="HW147"/>
  <c r="HV147"/>
  <c r="HU147"/>
  <c r="HT147"/>
  <c r="HS147"/>
  <c r="HR147"/>
  <c r="HQ147"/>
  <c r="HP147"/>
  <c r="HO147"/>
  <c r="HN147"/>
  <c r="HM147"/>
  <c r="HL147"/>
  <c r="HK147"/>
  <c r="HJ147"/>
  <c r="HI147"/>
  <c r="HH147"/>
  <c r="HG147"/>
  <c r="HF147"/>
  <c r="HE147"/>
  <c r="HD147"/>
  <c r="HC147"/>
  <c r="HB147"/>
  <c r="HA147"/>
  <c r="GZ147"/>
  <c r="GY147"/>
  <c r="GX147"/>
  <c r="GW147"/>
  <c r="GV147"/>
  <c r="GU147"/>
  <c r="GT147"/>
  <c r="GS147"/>
  <c r="GR147"/>
  <c r="GQ147"/>
  <c r="GP147"/>
  <c r="GO147"/>
  <c r="GN147"/>
  <c r="GM147"/>
  <c r="GL147"/>
  <c r="GK147"/>
  <c r="GJ147"/>
  <c r="GI147"/>
  <c r="GH147"/>
  <c r="GG147"/>
  <c r="GF147"/>
  <c r="GE147"/>
  <c r="GD147"/>
  <c r="GC147"/>
  <c r="GB147"/>
  <c r="GA147"/>
  <c r="FZ147"/>
  <c r="FY147"/>
  <c r="FX147"/>
  <c r="FW147"/>
  <c r="FV147"/>
  <c r="FU147"/>
  <c r="FT147"/>
  <c r="FS147"/>
  <c r="FR147"/>
  <c r="FQ147"/>
  <c r="FP147"/>
  <c r="FO147"/>
  <c r="FN147"/>
  <c r="FM147"/>
  <c r="FL147"/>
  <c r="FK147"/>
  <c r="FJ147"/>
  <c r="FI147"/>
  <c r="FH147"/>
  <c r="FG147"/>
  <c r="FF147"/>
  <c r="FE147"/>
  <c r="FD147"/>
  <c r="FC147"/>
  <c r="FB147"/>
  <c r="FA147"/>
  <c r="EZ147"/>
  <c r="EY147"/>
  <c r="EX147"/>
  <c r="EW147"/>
  <c r="EV147"/>
  <c r="EU147"/>
  <c r="ET147"/>
  <c r="ES147"/>
  <c r="ER147"/>
  <c r="EQ147"/>
  <c r="EP147"/>
  <c r="EO147"/>
  <c r="EN147"/>
  <c r="EM147"/>
  <c r="EL147"/>
  <c r="EK147"/>
  <c r="EJ147"/>
  <c r="EI147"/>
  <c r="EH147"/>
  <c r="EG147"/>
  <c r="EF147"/>
  <c r="EE147"/>
  <c r="ED147"/>
  <c r="EC147"/>
  <c r="EB147"/>
  <c r="EA147"/>
  <c r="DZ147"/>
  <c r="DY147"/>
  <c r="DX147"/>
  <c r="DW147"/>
  <c r="DV147"/>
  <c r="DU147"/>
  <c r="DT147"/>
  <c r="DS147"/>
  <c r="DR147"/>
  <c r="DQ147"/>
  <c r="DP147"/>
  <c r="DO147"/>
  <c r="DN147"/>
  <c r="DM147"/>
  <c r="DL147"/>
  <c r="DK147"/>
  <c r="DJ147"/>
  <c r="DI147"/>
  <c r="DH147"/>
  <c r="DG147"/>
  <c r="DF147"/>
  <c r="DE147"/>
  <c r="DD147"/>
  <c r="DC147"/>
  <c r="DB147"/>
  <c r="DA147"/>
  <c r="CZ147"/>
  <c r="CY147"/>
  <c r="CX147"/>
  <c r="CW147"/>
  <c r="CV147"/>
  <c r="CU147"/>
  <c r="CT147"/>
  <c r="CS147"/>
  <c r="CR147"/>
  <c r="CQ147"/>
  <c r="CP147"/>
  <c r="CO147"/>
  <c r="CN147"/>
  <c r="CM147"/>
  <c r="CL147"/>
  <c r="CK147"/>
  <c r="CJ147"/>
  <c r="CI147"/>
  <c r="CH147"/>
  <c r="CG147"/>
  <c r="CF147"/>
  <c r="CE147"/>
  <c r="CD147"/>
  <c r="CC147"/>
  <c r="CB147"/>
  <c r="CA147"/>
  <c r="BZ147"/>
  <c r="BY147"/>
  <c r="BX147"/>
  <c r="BW147"/>
  <c r="BV147"/>
  <c r="BU147"/>
  <c r="BT147"/>
  <c r="BS147"/>
  <c r="BR147"/>
  <c r="BQ147"/>
  <c r="BP147"/>
  <c r="BO147"/>
  <c r="BN147"/>
  <c r="BM147"/>
  <c r="BL147"/>
  <c r="BK147"/>
  <c r="BJ147"/>
  <c r="BI147"/>
  <c r="BH147"/>
  <c r="BG147"/>
  <c r="BF147"/>
  <c r="BE147"/>
  <c r="BD147"/>
  <c r="BC147"/>
  <c r="BB147"/>
  <c r="BA147"/>
  <c r="AZ147"/>
  <c r="AY147"/>
  <c r="AX147"/>
  <c r="AW147"/>
  <c r="AV147"/>
  <c r="AU147"/>
  <c r="AT147"/>
  <c r="AS147"/>
  <c r="AR147"/>
  <c r="AQ147"/>
  <c r="AP147"/>
  <c r="AO147"/>
  <c r="AN147"/>
  <c r="AM147"/>
  <c r="AL147"/>
  <c r="AK147"/>
  <c r="AJ147"/>
  <c r="AI147"/>
  <c r="AH147"/>
  <c r="AG147"/>
  <c r="AF147"/>
  <c r="AE147"/>
  <c r="AD147"/>
  <c r="AC147"/>
  <c r="AB147"/>
  <c r="AA147"/>
  <c r="Z147"/>
  <c r="Y147"/>
  <c r="X147"/>
  <c r="W147"/>
  <c r="V147"/>
  <c r="U147"/>
  <c r="T147"/>
  <c r="S147"/>
  <c r="R147"/>
  <c r="Q147"/>
  <c r="P147"/>
  <c r="O147"/>
  <c r="N147"/>
  <c r="M147"/>
  <c r="L147"/>
  <c r="K147"/>
  <c r="J147"/>
  <c r="I147"/>
  <c r="H147"/>
  <c r="G147"/>
  <c r="F147"/>
  <c r="E147"/>
  <c r="D147"/>
  <c r="C147"/>
  <c r="B147"/>
  <c r="A147"/>
  <c r="IV146"/>
  <c r="IU146"/>
  <c r="IT146"/>
  <c r="IS146"/>
  <c r="IR146"/>
  <c r="IQ146"/>
  <c r="IP146"/>
  <c r="IO146"/>
  <c r="IN146"/>
  <c r="IM146"/>
  <c r="IL146"/>
  <c r="IK146"/>
  <c r="IJ146"/>
  <c r="II146"/>
  <c r="IH146"/>
  <c r="IG146"/>
  <c r="IF146"/>
  <c r="IE146"/>
  <c r="ID146"/>
  <c r="IC146"/>
  <c r="IB146"/>
  <c r="IA146"/>
  <c r="HZ146"/>
  <c r="HY146"/>
  <c r="HX146"/>
  <c r="HW146"/>
  <c r="HV146"/>
  <c r="HU146"/>
  <c r="HT146"/>
  <c r="HS146"/>
  <c r="HR146"/>
  <c r="HQ146"/>
  <c r="HP146"/>
  <c r="HO146"/>
  <c r="HN146"/>
  <c r="HM146"/>
  <c r="HL146"/>
  <c r="HK146"/>
  <c r="HJ146"/>
  <c r="HI146"/>
  <c r="HH146"/>
  <c r="HG146"/>
  <c r="HF146"/>
  <c r="HE146"/>
  <c r="HD146"/>
  <c r="HC146"/>
  <c r="HB146"/>
  <c r="HA146"/>
  <c r="GZ146"/>
  <c r="GY146"/>
  <c r="GX146"/>
  <c r="GW146"/>
  <c r="GV146"/>
  <c r="GU146"/>
  <c r="GT146"/>
  <c r="GS146"/>
  <c r="GR146"/>
  <c r="GQ146"/>
  <c r="GP146"/>
  <c r="GO146"/>
  <c r="GN146"/>
  <c r="GM146"/>
  <c r="GL146"/>
  <c r="GK146"/>
  <c r="GJ146"/>
  <c r="GI146"/>
  <c r="GH146"/>
  <c r="GG146"/>
  <c r="GF146"/>
  <c r="GE146"/>
  <c r="GD146"/>
  <c r="GC146"/>
  <c r="GB146"/>
  <c r="GA146"/>
  <c r="FZ146"/>
  <c r="FY146"/>
  <c r="FX146"/>
  <c r="FW146"/>
  <c r="FV146"/>
  <c r="FU146"/>
  <c r="FT146"/>
  <c r="FS146"/>
  <c r="FR146"/>
  <c r="FQ146"/>
  <c r="FP146"/>
  <c r="FO146"/>
  <c r="FN146"/>
  <c r="FM146"/>
  <c r="FL146"/>
  <c r="FK146"/>
  <c r="FJ146"/>
  <c r="FI146"/>
  <c r="FH146"/>
  <c r="FG146"/>
  <c r="FF146"/>
  <c r="FE146"/>
  <c r="FD146"/>
  <c r="FC146"/>
  <c r="FB146"/>
  <c r="FA146"/>
  <c r="EZ146"/>
  <c r="EY146"/>
  <c r="EX146"/>
  <c r="EW146"/>
  <c r="EV146"/>
  <c r="EU146"/>
  <c r="ET146"/>
  <c r="ES146"/>
  <c r="ER146"/>
  <c r="EQ146"/>
  <c r="EP146"/>
  <c r="EO146"/>
  <c r="EN146"/>
  <c r="EM146"/>
  <c r="EL146"/>
  <c r="EK146"/>
  <c r="EJ146"/>
  <c r="EI146"/>
  <c r="EH146"/>
  <c r="EG146"/>
  <c r="EF146"/>
  <c r="EE146"/>
  <c r="ED146"/>
  <c r="EC146"/>
  <c r="EB146"/>
  <c r="EA146"/>
  <c r="DZ146"/>
  <c r="DY146"/>
  <c r="DX146"/>
  <c r="DW146"/>
  <c r="DV146"/>
  <c r="DU146"/>
  <c r="DT146"/>
  <c r="DS146"/>
  <c r="DR146"/>
  <c r="DQ146"/>
  <c r="DP146"/>
  <c r="DO146"/>
  <c r="DN146"/>
  <c r="DM146"/>
  <c r="DL146"/>
  <c r="DK146"/>
  <c r="DJ146"/>
  <c r="DI146"/>
  <c r="DH146"/>
  <c r="DG146"/>
  <c r="DF146"/>
  <c r="DE146"/>
  <c r="DD146"/>
  <c r="DC146"/>
  <c r="DB146"/>
  <c r="DA146"/>
  <c r="CZ146"/>
  <c r="CY146"/>
  <c r="CX146"/>
  <c r="CW146"/>
  <c r="CV146"/>
  <c r="CU146"/>
  <c r="CT146"/>
  <c r="CS146"/>
  <c r="CR146"/>
  <c r="CQ146"/>
  <c r="CP146"/>
  <c r="CO146"/>
  <c r="CN146"/>
  <c r="CM146"/>
  <c r="CL146"/>
  <c r="CK146"/>
  <c r="CJ146"/>
  <c r="CI146"/>
  <c r="CH146"/>
  <c r="CG146"/>
  <c r="CF146"/>
  <c r="CE146"/>
  <c r="CD146"/>
  <c r="CC146"/>
  <c r="CB146"/>
  <c r="CA146"/>
  <c r="BZ146"/>
  <c r="BY146"/>
  <c r="BX146"/>
  <c r="BW146"/>
  <c r="BV146"/>
  <c r="BU146"/>
  <c r="BT146"/>
  <c r="BS146"/>
  <c r="BR146"/>
  <c r="BQ146"/>
  <c r="BP146"/>
  <c r="BO146"/>
  <c r="BN146"/>
  <c r="BM146"/>
  <c r="BL146"/>
  <c r="BK146"/>
  <c r="BJ146"/>
  <c r="BI146"/>
  <c r="BH146"/>
  <c r="BG146"/>
  <c r="BF146"/>
  <c r="BE146"/>
  <c r="BD146"/>
  <c r="BC146"/>
  <c r="BB146"/>
  <c r="BA146"/>
  <c r="AZ146"/>
  <c r="AY146"/>
  <c r="AX146"/>
  <c r="AW146"/>
  <c r="AV146"/>
  <c r="AU146"/>
  <c r="AT146"/>
  <c r="AS146"/>
  <c r="AR146"/>
  <c r="AQ146"/>
  <c r="AP146"/>
  <c r="AO146"/>
  <c r="AN146"/>
  <c r="AM146"/>
  <c r="AL146"/>
  <c r="AK146"/>
  <c r="AJ146"/>
  <c r="AI146"/>
  <c r="AH146"/>
  <c r="AG146"/>
  <c r="AF146"/>
  <c r="AE146"/>
  <c r="AD146"/>
  <c r="AC146"/>
  <c r="AB146"/>
  <c r="AA146"/>
  <c r="Z146"/>
  <c r="Y146"/>
  <c r="X146"/>
  <c r="W146"/>
  <c r="V146"/>
  <c r="U146"/>
  <c r="T146"/>
  <c r="S146"/>
  <c r="R146"/>
  <c r="Q146"/>
  <c r="P146"/>
  <c r="O146"/>
  <c r="N146"/>
  <c r="M146"/>
  <c r="L146"/>
  <c r="K146"/>
  <c r="J146"/>
  <c r="I146"/>
  <c r="H146"/>
  <c r="G146"/>
  <c r="F146"/>
  <c r="E146"/>
  <c r="D146"/>
  <c r="C146"/>
  <c r="B146"/>
  <c r="A146"/>
  <c r="IV145"/>
  <c r="IU145"/>
  <c r="IT145"/>
  <c r="IS145"/>
  <c r="IR145"/>
  <c r="IQ145"/>
  <c r="IP145"/>
  <c r="IO145"/>
  <c r="IN145"/>
  <c r="IM145"/>
  <c r="IL145"/>
  <c r="IK145"/>
  <c r="IJ145"/>
  <c r="II145"/>
  <c r="IH145"/>
  <c r="IG145"/>
  <c r="IF145"/>
  <c r="IE145"/>
  <c r="ID145"/>
  <c r="IC145"/>
  <c r="IB145"/>
  <c r="IA145"/>
  <c r="HZ145"/>
  <c r="HY145"/>
  <c r="HX145"/>
  <c r="HW145"/>
  <c r="HV145"/>
  <c r="HU145"/>
  <c r="HT145"/>
  <c r="HS145"/>
  <c r="HR145"/>
  <c r="HQ145"/>
  <c r="HP145"/>
  <c r="HO145"/>
  <c r="HN145"/>
  <c r="HM145"/>
  <c r="HL145"/>
  <c r="HK145"/>
  <c r="HJ145"/>
  <c r="HI145"/>
  <c r="HH145"/>
  <c r="HG145"/>
  <c r="HF145"/>
  <c r="HE145"/>
  <c r="HD145"/>
  <c r="HC145"/>
  <c r="HB145"/>
  <c r="HA145"/>
  <c r="GZ145"/>
  <c r="GY145"/>
  <c r="GX145"/>
  <c r="GW145"/>
  <c r="GV145"/>
  <c r="GU145"/>
  <c r="GT145"/>
  <c r="GS145"/>
  <c r="GR145"/>
  <c r="GQ145"/>
  <c r="GP145"/>
  <c r="GO145"/>
  <c r="GN145"/>
  <c r="GM145"/>
  <c r="GL145"/>
  <c r="GK145"/>
  <c r="GJ145"/>
  <c r="GI145"/>
  <c r="GH145"/>
  <c r="GG145"/>
  <c r="GF145"/>
  <c r="GE145"/>
  <c r="GD145"/>
  <c r="GC145"/>
  <c r="GB145"/>
  <c r="GA145"/>
  <c r="FZ145"/>
  <c r="FY145"/>
  <c r="FX145"/>
  <c r="FW145"/>
  <c r="FV145"/>
  <c r="FU145"/>
  <c r="FT145"/>
  <c r="FS145"/>
  <c r="FR145"/>
  <c r="FQ145"/>
  <c r="FP145"/>
  <c r="FO145"/>
  <c r="FN145"/>
  <c r="FM145"/>
  <c r="FL145"/>
  <c r="FK145"/>
  <c r="FJ145"/>
  <c r="FI145"/>
  <c r="FH145"/>
  <c r="FG145"/>
  <c r="FF145"/>
  <c r="FE145"/>
  <c r="FD145"/>
  <c r="FC145"/>
  <c r="FB145"/>
  <c r="FA145"/>
  <c r="EZ145"/>
  <c r="EY145"/>
  <c r="EX145"/>
  <c r="EW145"/>
  <c r="EV145"/>
  <c r="EU145"/>
  <c r="ET145"/>
  <c r="ES145"/>
  <c r="ER145"/>
  <c r="EQ145"/>
  <c r="EP145"/>
  <c r="EO145"/>
  <c r="EN145"/>
  <c r="EM145"/>
  <c r="EL145"/>
  <c r="EK145"/>
  <c r="EJ145"/>
  <c r="EI145"/>
  <c r="EH145"/>
  <c r="EG145"/>
  <c r="EF145"/>
  <c r="EE145"/>
  <c r="ED145"/>
  <c r="EC145"/>
  <c r="EB145"/>
  <c r="EA145"/>
  <c r="DZ145"/>
  <c r="DY145"/>
  <c r="DX145"/>
  <c r="DW145"/>
  <c r="DV145"/>
  <c r="DU145"/>
  <c r="DT145"/>
  <c r="DS145"/>
  <c r="DR145"/>
  <c r="DQ145"/>
  <c r="DP145"/>
  <c r="DO145"/>
  <c r="DN145"/>
  <c r="DM145"/>
  <c r="DL145"/>
  <c r="DK145"/>
  <c r="DJ145"/>
  <c r="DI145"/>
  <c r="DH145"/>
  <c r="DG145"/>
  <c r="DF145"/>
  <c r="DE145"/>
  <c r="DD145"/>
  <c r="DC145"/>
  <c r="DB145"/>
  <c r="DA145"/>
  <c r="CZ145"/>
  <c r="CY145"/>
  <c r="CX145"/>
  <c r="CW145"/>
  <c r="CV145"/>
  <c r="CU145"/>
  <c r="CT145"/>
  <c r="CS145"/>
  <c r="CR145"/>
  <c r="CQ145"/>
  <c r="CP145"/>
  <c r="CO145"/>
  <c r="CN145"/>
  <c r="CM145"/>
  <c r="CL145"/>
  <c r="CK145"/>
  <c r="CJ145"/>
  <c r="CI145"/>
  <c r="CH145"/>
  <c r="CG145"/>
  <c r="CF145"/>
  <c r="CE145"/>
  <c r="CD145"/>
  <c r="CC145"/>
  <c r="CB145"/>
  <c r="CA145"/>
  <c r="BZ145"/>
  <c r="BY145"/>
  <c r="BX145"/>
  <c r="BW145"/>
  <c r="BV145"/>
  <c r="BU145"/>
  <c r="BT145"/>
  <c r="BS145"/>
  <c r="BR145"/>
  <c r="BQ145"/>
  <c r="BP145"/>
  <c r="BO145"/>
  <c r="BN145"/>
  <c r="BM145"/>
  <c r="BL145"/>
  <c r="BK145"/>
  <c r="BJ145"/>
  <c r="BI145"/>
  <c r="BH145"/>
  <c r="BG145"/>
  <c r="BF145"/>
  <c r="BE145"/>
  <c r="BD145"/>
  <c r="BC145"/>
  <c r="BB145"/>
  <c r="BA145"/>
  <c r="AZ145"/>
  <c r="AY145"/>
  <c r="AX145"/>
  <c r="AW145"/>
  <c r="AV145"/>
  <c r="AU145"/>
  <c r="AT145"/>
  <c r="AS145"/>
  <c r="AR145"/>
  <c r="AQ145"/>
  <c r="AP145"/>
  <c r="AO145"/>
  <c r="AN145"/>
  <c r="AM145"/>
  <c r="AL145"/>
  <c r="AK145"/>
  <c r="AJ145"/>
  <c r="AI145"/>
  <c r="AH145"/>
  <c r="AG145"/>
  <c r="AF145"/>
  <c r="AE145"/>
  <c r="AD145"/>
  <c r="AC145"/>
  <c r="AB145"/>
  <c r="AA145"/>
  <c r="Z145"/>
  <c r="Y145"/>
  <c r="X145"/>
  <c r="W145"/>
  <c r="V145"/>
  <c r="U145"/>
  <c r="T145"/>
  <c r="S145"/>
  <c r="R145"/>
  <c r="Q145"/>
  <c r="P145"/>
  <c r="O145"/>
  <c r="N145"/>
  <c r="M145"/>
  <c r="L145"/>
  <c r="K145"/>
  <c r="J145"/>
  <c r="I145"/>
  <c r="H145"/>
  <c r="G145"/>
  <c r="F145"/>
  <c r="E145"/>
  <c r="D145"/>
  <c r="C145"/>
  <c r="B145"/>
  <c r="A145"/>
  <c r="IV144"/>
  <c r="IU144"/>
  <c r="IT144"/>
  <c r="IS144"/>
  <c r="IR144"/>
  <c r="IQ144"/>
  <c r="IP144"/>
  <c r="IO144"/>
  <c r="IN144"/>
  <c r="IM144"/>
  <c r="IL144"/>
  <c r="IK144"/>
  <c r="IJ144"/>
  <c r="II144"/>
  <c r="IH144"/>
  <c r="IG144"/>
  <c r="IF144"/>
  <c r="IE144"/>
  <c r="ID144"/>
  <c r="IC144"/>
  <c r="IB144"/>
  <c r="IA144"/>
  <c r="HZ144"/>
  <c r="HY144"/>
  <c r="HX144"/>
  <c r="HW144"/>
  <c r="HV144"/>
  <c r="HU144"/>
  <c r="HT144"/>
  <c r="HS144"/>
  <c r="HR144"/>
  <c r="HQ144"/>
  <c r="HP144"/>
  <c r="HO144"/>
  <c r="HN144"/>
  <c r="HM144"/>
  <c r="HL144"/>
  <c r="HK144"/>
  <c r="HJ144"/>
  <c r="HI144"/>
  <c r="HH144"/>
  <c r="HG144"/>
  <c r="HF144"/>
  <c r="HE144"/>
  <c r="HD144"/>
  <c r="HC144"/>
  <c r="HB144"/>
  <c r="HA144"/>
  <c r="GZ144"/>
  <c r="GY144"/>
  <c r="GX144"/>
  <c r="GW144"/>
  <c r="GV144"/>
  <c r="GU144"/>
  <c r="GT144"/>
  <c r="GS144"/>
  <c r="GR144"/>
  <c r="GQ144"/>
  <c r="GP144"/>
  <c r="GO144"/>
  <c r="GN144"/>
  <c r="GM144"/>
  <c r="GL144"/>
  <c r="GK144"/>
  <c r="GJ144"/>
  <c r="GI144"/>
  <c r="GH144"/>
  <c r="GG144"/>
  <c r="GF144"/>
  <c r="GE144"/>
  <c r="GD144"/>
  <c r="GC144"/>
  <c r="GB144"/>
  <c r="GA144"/>
  <c r="FZ144"/>
  <c r="FY144"/>
  <c r="FX144"/>
  <c r="FW144"/>
  <c r="FV144"/>
  <c r="FU144"/>
  <c r="FT144"/>
  <c r="FS144"/>
  <c r="FR144"/>
  <c r="FQ144"/>
  <c r="FP144"/>
  <c r="FO144"/>
  <c r="FN144"/>
  <c r="FM144"/>
  <c r="FL144"/>
  <c r="FK144"/>
  <c r="FJ144"/>
  <c r="FI144"/>
  <c r="FH144"/>
  <c r="FG144"/>
  <c r="FF144"/>
  <c r="FE144"/>
  <c r="FD144"/>
  <c r="FC144"/>
  <c r="FB144"/>
  <c r="FA144"/>
  <c r="EZ144"/>
  <c r="EY144"/>
  <c r="EX144"/>
  <c r="EW144"/>
  <c r="EV144"/>
  <c r="EU144"/>
  <c r="ET144"/>
  <c r="ES144"/>
  <c r="ER144"/>
  <c r="EQ144"/>
  <c r="EP144"/>
  <c r="EO144"/>
  <c r="EN144"/>
  <c r="EM144"/>
  <c r="EL144"/>
  <c r="EK144"/>
  <c r="EJ144"/>
  <c r="EI144"/>
  <c r="EH144"/>
  <c r="EG144"/>
  <c r="EF144"/>
  <c r="EE144"/>
  <c r="ED144"/>
  <c r="EC144"/>
  <c r="EB144"/>
  <c r="EA144"/>
  <c r="DZ144"/>
  <c r="DY144"/>
  <c r="DX144"/>
  <c r="DW144"/>
  <c r="DV144"/>
  <c r="DU144"/>
  <c r="DT144"/>
  <c r="DS144"/>
  <c r="DR144"/>
  <c r="DQ144"/>
  <c r="DP144"/>
  <c r="DO144"/>
  <c r="DN144"/>
  <c r="DM144"/>
  <c r="DL144"/>
  <c r="DK144"/>
  <c r="DJ144"/>
  <c r="DI144"/>
  <c r="DH144"/>
  <c r="DG144"/>
  <c r="DF144"/>
  <c r="DE144"/>
  <c r="DD144"/>
  <c r="DC144"/>
  <c r="DB144"/>
  <c r="DA144"/>
  <c r="CZ144"/>
  <c r="CY144"/>
  <c r="CX144"/>
  <c r="CW144"/>
  <c r="CV144"/>
  <c r="CU144"/>
  <c r="CT144"/>
  <c r="CS144"/>
  <c r="CR144"/>
  <c r="CQ144"/>
  <c r="CP144"/>
  <c r="CO144"/>
  <c r="CN144"/>
  <c r="CM144"/>
  <c r="CL144"/>
  <c r="CK144"/>
  <c r="CJ144"/>
  <c r="CI144"/>
  <c r="CH144"/>
  <c r="CG144"/>
  <c r="CF144"/>
  <c r="CE144"/>
  <c r="CD144"/>
  <c r="CC144"/>
  <c r="CB144"/>
  <c r="CA144"/>
  <c r="BZ144"/>
  <c r="BY144"/>
  <c r="BX144"/>
  <c r="BW144"/>
  <c r="BV144"/>
  <c r="BU144"/>
  <c r="BT144"/>
  <c r="BS144"/>
  <c r="BR144"/>
  <c r="BQ144"/>
  <c r="BP144"/>
  <c r="BO144"/>
  <c r="BN144"/>
  <c r="BM144"/>
  <c r="BL144"/>
  <c r="BK144"/>
  <c r="BJ144"/>
  <c r="BI144"/>
  <c r="BH144"/>
  <c r="BG144"/>
  <c r="BF144"/>
  <c r="BE144"/>
  <c r="BD144"/>
  <c r="BC144"/>
  <c r="BB144"/>
  <c r="BA144"/>
  <c r="AZ144"/>
  <c r="AY144"/>
  <c r="AX144"/>
  <c r="AW144"/>
  <c r="AV144"/>
  <c r="AU144"/>
  <c r="AT144"/>
  <c r="AS144"/>
  <c r="AR144"/>
  <c r="AQ144"/>
  <c r="AP144"/>
  <c r="AO144"/>
  <c r="AN144"/>
  <c r="AM144"/>
  <c r="AL144"/>
  <c r="AK144"/>
  <c r="AJ144"/>
  <c r="AI144"/>
  <c r="AH144"/>
  <c r="AG144"/>
  <c r="AF144"/>
  <c r="AE144"/>
  <c r="AD144"/>
  <c r="AC144"/>
  <c r="AB144"/>
  <c r="AA144"/>
  <c r="Z144"/>
  <c r="Y144"/>
  <c r="X144"/>
  <c r="W144"/>
  <c r="V144"/>
  <c r="U144"/>
  <c r="T144"/>
  <c r="S144"/>
  <c r="R144"/>
  <c r="Q144"/>
  <c r="P144"/>
  <c r="O144"/>
  <c r="N144"/>
  <c r="M144"/>
  <c r="L144"/>
  <c r="K144"/>
  <c r="J144"/>
  <c r="I144"/>
  <c r="H144"/>
  <c r="G144"/>
  <c r="F144"/>
  <c r="E144"/>
  <c r="D144"/>
  <c r="C144"/>
  <c r="B144"/>
  <c r="A144"/>
  <c r="IV143"/>
  <c r="IU143"/>
  <c r="IT143"/>
  <c r="IS143"/>
  <c r="IR143"/>
  <c r="IQ143"/>
  <c r="IP143"/>
  <c r="IO143"/>
  <c r="IN143"/>
  <c r="IM143"/>
  <c r="IL143"/>
  <c r="IK143"/>
  <c r="IJ143"/>
  <c r="II143"/>
  <c r="IH143"/>
  <c r="IG143"/>
  <c r="IF143"/>
  <c r="IE143"/>
  <c r="ID143"/>
  <c r="IC143"/>
  <c r="IB143"/>
  <c r="IA143"/>
  <c r="HZ143"/>
  <c r="HY143"/>
  <c r="HX143"/>
  <c r="HW143"/>
  <c r="HV143"/>
  <c r="HU143"/>
  <c r="HT143"/>
  <c r="HS143"/>
  <c r="HR143"/>
  <c r="HQ143"/>
  <c r="HP143"/>
  <c r="HO143"/>
  <c r="HN143"/>
  <c r="HM143"/>
  <c r="HL143"/>
  <c r="HK143"/>
  <c r="HJ143"/>
  <c r="HI143"/>
  <c r="HH143"/>
  <c r="HG143"/>
  <c r="HF143"/>
  <c r="HE143"/>
  <c r="HD143"/>
  <c r="HC143"/>
  <c r="HB143"/>
  <c r="HA143"/>
  <c r="GZ143"/>
  <c r="GY143"/>
  <c r="GX143"/>
  <c r="GW143"/>
  <c r="GV143"/>
  <c r="GU143"/>
  <c r="GT143"/>
  <c r="GS143"/>
  <c r="GR143"/>
  <c r="GQ143"/>
  <c r="GP143"/>
  <c r="GO143"/>
  <c r="GN143"/>
  <c r="GM143"/>
  <c r="GL143"/>
  <c r="GK143"/>
  <c r="GJ143"/>
  <c r="GI143"/>
  <c r="GH143"/>
  <c r="GG143"/>
  <c r="GF143"/>
  <c r="GE143"/>
  <c r="GD143"/>
  <c r="GC143"/>
  <c r="GB143"/>
  <c r="GA143"/>
  <c r="FZ143"/>
  <c r="FY143"/>
  <c r="FX143"/>
  <c r="FW143"/>
  <c r="FV143"/>
  <c r="FU143"/>
  <c r="FT143"/>
  <c r="FS143"/>
  <c r="FR143"/>
  <c r="FQ143"/>
  <c r="FP143"/>
  <c r="FO143"/>
  <c r="FN143"/>
  <c r="FM143"/>
  <c r="FL143"/>
  <c r="FK143"/>
  <c r="FJ143"/>
  <c r="FI143"/>
  <c r="FH143"/>
  <c r="FG143"/>
  <c r="FF143"/>
  <c r="FE143"/>
  <c r="FD143"/>
  <c r="FC143"/>
  <c r="FB143"/>
  <c r="FA143"/>
  <c r="EZ143"/>
  <c r="EY143"/>
  <c r="EX143"/>
  <c r="EW143"/>
  <c r="EV143"/>
  <c r="EU143"/>
  <c r="ET143"/>
  <c r="ES143"/>
  <c r="ER143"/>
  <c r="EQ143"/>
  <c r="EP143"/>
  <c r="EO143"/>
  <c r="EN143"/>
  <c r="EM143"/>
  <c r="EL143"/>
  <c r="EK143"/>
  <c r="EJ143"/>
  <c r="EI143"/>
  <c r="EH143"/>
  <c r="EG143"/>
  <c r="EF143"/>
  <c r="EE143"/>
  <c r="ED143"/>
  <c r="EC143"/>
  <c r="EB143"/>
  <c r="EA143"/>
  <c r="DZ143"/>
  <c r="DY143"/>
  <c r="DX143"/>
  <c r="DW143"/>
  <c r="DV143"/>
  <c r="DU143"/>
  <c r="DT143"/>
  <c r="DS143"/>
  <c r="DR143"/>
  <c r="DQ143"/>
  <c r="DP143"/>
  <c r="DO143"/>
  <c r="DN143"/>
  <c r="DM143"/>
  <c r="DL143"/>
  <c r="DK143"/>
  <c r="DJ143"/>
  <c r="DI143"/>
  <c r="DH143"/>
  <c r="DG143"/>
  <c r="DF143"/>
  <c r="DE143"/>
  <c r="DD143"/>
  <c r="DC143"/>
  <c r="DB143"/>
  <c r="DA143"/>
  <c r="CZ143"/>
  <c r="CY143"/>
  <c r="CX143"/>
  <c r="CW143"/>
  <c r="CV143"/>
  <c r="CU143"/>
  <c r="CT143"/>
  <c r="CS143"/>
  <c r="CR143"/>
  <c r="CQ143"/>
  <c r="CP143"/>
  <c r="CO143"/>
  <c r="CN143"/>
  <c r="CM143"/>
  <c r="CL143"/>
  <c r="CK143"/>
  <c r="CJ143"/>
  <c r="CI143"/>
  <c r="CH143"/>
  <c r="CG143"/>
  <c r="CF143"/>
  <c r="CE143"/>
  <c r="CD143"/>
  <c r="CC143"/>
  <c r="CB143"/>
  <c r="CA143"/>
  <c r="BZ143"/>
  <c r="BY143"/>
  <c r="BX143"/>
  <c r="BW143"/>
  <c r="BV143"/>
  <c r="BU143"/>
  <c r="BT143"/>
  <c r="BS143"/>
  <c r="BR143"/>
  <c r="BQ143"/>
  <c r="BP143"/>
  <c r="BO143"/>
  <c r="BN143"/>
  <c r="BM143"/>
  <c r="BL143"/>
  <c r="BK143"/>
  <c r="BJ143"/>
  <c r="BI143"/>
  <c r="BH143"/>
  <c r="BG143"/>
  <c r="BF143"/>
  <c r="BE143"/>
  <c r="BD143"/>
  <c r="BC143"/>
  <c r="BB143"/>
  <c r="BA143"/>
  <c r="AZ143"/>
  <c r="AY143"/>
  <c r="AX143"/>
  <c r="AW143"/>
  <c r="AV143"/>
  <c r="AU143"/>
  <c r="AT143"/>
  <c r="AS143"/>
  <c r="AR143"/>
  <c r="AQ143"/>
  <c r="AP143"/>
  <c r="AO143"/>
  <c r="AN143"/>
  <c r="AM143"/>
  <c r="AL143"/>
  <c r="AK143"/>
  <c r="AJ143"/>
  <c r="AI143"/>
  <c r="AH143"/>
  <c r="AG143"/>
  <c r="AF143"/>
  <c r="AE143"/>
  <c r="AD143"/>
  <c r="AC143"/>
  <c r="AB143"/>
  <c r="AA143"/>
  <c r="Z143"/>
  <c r="Y143"/>
  <c r="X143"/>
  <c r="W143"/>
  <c r="V143"/>
  <c r="U143"/>
  <c r="T143"/>
  <c r="S143"/>
  <c r="R143"/>
  <c r="Q143"/>
  <c r="P143"/>
  <c r="O143"/>
  <c r="N143"/>
  <c r="M143"/>
  <c r="L143"/>
  <c r="K143"/>
  <c r="J143"/>
  <c r="I143"/>
  <c r="H143"/>
  <c r="G143"/>
  <c r="F143"/>
  <c r="E143"/>
  <c r="D143"/>
  <c r="C143"/>
  <c r="B143"/>
  <c r="A143"/>
  <c r="IV142"/>
  <c r="IU142"/>
  <c r="IT142"/>
  <c r="IS142"/>
  <c r="IR142"/>
  <c r="IQ142"/>
  <c r="IP142"/>
  <c r="IO142"/>
  <c r="IN142"/>
  <c r="IM142"/>
  <c r="IL142"/>
  <c r="IK142"/>
  <c r="IJ142"/>
  <c r="II142"/>
  <c r="IH142"/>
  <c r="IG142"/>
  <c r="IF142"/>
  <c r="IE142"/>
  <c r="ID142"/>
  <c r="IC142"/>
  <c r="IB142"/>
  <c r="IA142"/>
  <c r="HZ142"/>
  <c r="HY142"/>
  <c r="HX142"/>
  <c r="HW142"/>
  <c r="HV142"/>
  <c r="HU142"/>
  <c r="HT142"/>
  <c r="HS142"/>
  <c r="HR142"/>
  <c r="HQ142"/>
  <c r="HP142"/>
  <c r="HO142"/>
  <c r="HN142"/>
  <c r="HM142"/>
  <c r="HL142"/>
  <c r="HK142"/>
  <c r="HJ142"/>
  <c r="HI142"/>
  <c r="HH142"/>
  <c r="HG142"/>
  <c r="HF142"/>
  <c r="HE142"/>
  <c r="HD142"/>
  <c r="HC142"/>
  <c r="HB142"/>
  <c r="HA142"/>
  <c r="GZ142"/>
  <c r="GY142"/>
  <c r="GX142"/>
  <c r="GW142"/>
  <c r="GV142"/>
  <c r="GU142"/>
  <c r="GT142"/>
  <c r="GS142"/>
  <c r="GR142"/>
  <c r="GQ142"/>
  <c r="GP142"/>
  <c r="GO142"/>
  <c r="GN142"/>
  <c r="GM142"/>
  <c r="GL142"/>
  <c r="GK142"/>
  <c r="GJ142"/>
  <c r="GI142"/>
  <c r="GH142"/>
  <c r="GG142"/>
  <c r="GF142"/>
  <c r="GE142"/>
  <c r="GD142"/>
  <c r="GC142"/>
  <c r="GB142"/>
  <c r="GA142"/>
  <c r="FZ142"/>
  <c r="FY142"/>
  <c r="FX142"/>
  <c r="FW142"/>
  <c r="FV142"/>
  <c r="FU142"/>
  <c r="FT142"/>
  <c r="FS142"/>
  <c r="FR142"/>
  <c r="FQ142"/>
  <c r="FP142"/>
  <c r="FO142"/>
  <c r="FN142"/>
  <c r="FM142"/>
  <c r="FL142"/>
  <c r="FK142"/>
  <c r="FJ142"/>
  <c r="FI142"/>
  <c r="FH142"/>
  <c r="FG142"/>
  <c r="FF142"/>
  <c r="FE142"/>
  <c r="FD142"/>
  <c r="FC142"/>
  <c r="FB142"/>
  <c r="FA142"/>
  <c r="EZ142"/>
  <c r="EY142"/>
  <c r="EX142"/>
  <c r="EW142"/>
  <c r="EV142"/>
  <c r="EU142"/>
  <c r="ET142"/>
  <c r="ES142"/>
  <c r="ER142"/>
  <c r="EQ142"/>
  <c r="EP142"/>
  <c r="EO142"/>
  <c r="EN142"/>
  <c r="EM142"/>
  <c r="EL142"/>
  <c r="EK142"/>
  <c r="EJ142"/>
  <c r="EI142"/>
  <c r="EH142"/>
  <c r="EG142"/>
  <c r="EF142"/>
  <c r="EE142"/>
  <c r="ED142"/>
  <c r="EC142"/>
  <c r="EB142"/>
  <c r="EA142"/>
  <c r="DZ142"/>
  <c r="DY142"/>
  <c r="DX142"/>
  <c r="DW142"/>
  <c r="DV142"/>
  <c r="DU142"/>
  <c r="DT142"/>
  <c r="DS142"/>
  <c r="DR142"/>
  <c r="DQ142"/>
  <c r="DP142"/>
  <c r="DO142"/>
  <c r="DN142"/>
  <c r="DM142"/>
  <c r="DL142"/>
  <c r="DK142"/>
  <c r="DJ142"/>
  <c r="DI142"/>
  <c r="DH142"/>
  <c r="DG142"/>
  <c r="DF142"/>
  <c r="DE142"/>
  <c r="DD142"/>
  <c r="DC142"/>
  <c r="DB142"/>
  <c r="DA142"/>
  <c r="CZ142"/>
  <c r="CY142"/>
  <c r="CX142"/>
  <c r="CW142"/>
  <c r="CV142"/>
  <c r="CU142"/>
  <c r="CT142"/>
  <c r="CS142"/>
  <c r="CR142"/>
  <c r="CQ142"/>
  <c r="CP142"/>
  <c r="CO142"/>
  <c r="CN142"/>
  <c r="CM142"/>
  <c r="CL142"/>
  <c r="CK142"/>
  <c r="CJ142"/>
  <c r="CI142"/>
  <c r="CH142"/>
  <c r="CG142"/>
  <c r="CF142"/>
  <c r="CE142"/>
  <c r="CD142"/>
  <c r="CC142"/>
  <c r="CB142"/>
  <c r="CA142"/>
  <c r="BZ142"/>
  <c r="BY142"/>
  <c r="BX142"/>
  <c r="BW142"/>
  <c r="BV142"/>
  <c r="BU142"/>
  <c r="BT142"/>
  <c r="BS142"/>
  <c r="BR142"/>
  <c r="BQ142"/>
  <c r="BP142"/>
  <c r="BO142"/>
  <c r="BN142"/>
  <c r="BM142"/>
  <c r="BL142"/>
  <c r="BK142"/>
  <c r="BJ142"/>
  <c r="BI142"/>
  <c r="BH142"/>
  <c r="BG142"/>
  <c r="BF142"/>
  <c r="BE142"/>
  <c r="BD142"/>
  <c r="BC142"/>
  <c r="BB142"/>
  <c r="BA142"/>
  <c r="AZ142"/>
  <c r="AY142"/>
  <c r="AX142"/>
  <c r="AW142"/>
  <c r="AV142"/>
  <c r="AU142"/>
  <c r="AT142"/>
  <c r="AS142"/>
  <c r="AR142"/>
  <c r="AQ142"/>
  <c r="AP142"/>
  <c r="AO142"/>
  <c r="AN142"/>
  <c r="AM142"/>
  <c r="AL142"/>
  <c r="AK142"/>
  <c r="AJ142"/>
  <c r="AI142"/>
  <c r="AH142"/>
  <c r="AG142"/>
  <c r="AF142"/>
  <c r="AE142"/>
  <c r="AD142"/>
  <c r="AC142"/>
  <c r="AB142"/>
  <c r="AA142"/>
  <c r="Z142"/>
  <c r="Y142"/>
  <c r="X142"/>
  <c r="W142"/>
  <c r="V142"/>
  <c r="U142"/>
  <c r="T142"/>
  <c r="S142"/>
  <c r="R142"/>
  <c r="Q142"/>
  <c r="P142"/>
  <c r="O142"/>
  <c r="N142"/>
  <c r="M142"/>
  <c r="L142"/>
  <c r="K142"/>
  <c r="J142"/>
  <c r="I142"/>
  <c r="H142"/>
  <c r="G142"/>
  <c r="F142"/>
  <c r="E142"/>
  <c r="D142"/>
  <c r="C142"/>
  <c r="B142"/>
  <c r="A142"/>
  <c r="IV141"/>
  <c r="IU141"/>
  <c r="IT141"/>
  <c r="IS141"/>
  <c r="IR141"/>
  <c r="IQ141"/>
  <c r="IP141"/>
  <c r="IO141"/>
  <c r="IN141"/>
  <c r="IM141"/>
  <c r="IL141"/>
  <c r="IK141"/>
  <c r="IJ141"/>
  <c r="II141"/>
  <c r="IH141"/>
  <c r="IG141"/>
  <c r="IF141"/>
  <c r="IE141"/>
  <c r="ID141"/>
  <c r="IC141"/>
  <c r="IB141"/>
  <c r="IA141"/>
  <c r="HZ141"/>
  <c r="HY141"/>
  <c r="HX141"/>
  <c r="HW141"/>
  <c r="HV141"/>
  <c r="HU141"/>
  <c r="HT141"/>
  <c r="HS141"/>
  <c r="HR141"/>
  <c r="HQ141"/>
  <c r="HP141"/>
  <c r="HO141"/>
  <c r="HN141"/>
  <c r="HM141"/>
  <c r="HL141"/>
  <c r="HK141"/>
  <c r="HJ141"/>
  <c r="HI141"/>
  <c r="HH141"/>
  <c r="HG141"/>
  <c r="HF141"/>
  <c r="HE141"/>
  <c r="HD141"/>
  <c r="HC141"/>
  <c r="HB141"/>
  <c r="HA141"/>
  <c r="GZ141"/>
  <c r="GY141"/>
  <c r="GX141"/>
  <c r="GW141"/>
  <c r="GV141"/>
  <c r="GU141"/>
  <c r="GT141"/>
  <c r="GS141"/>
  <c r="GR141"/>
  <c r="GQ141"/>
  <c r="GP141"/>
  <c r="GO141"/>
  <c r="GN141"/>
  <c r="GM141"/>
  <c r="GL141"/>
  <c r="GK141"/>
  <c r="GJ141"/>
  <c r="GI141"/>
  <c r="GH141"/>
  <c r="GG141"/>
  <c r="GF141"/>
  <c r="GE141"/>
  <c r="GD141"/>
  <c r="GC141"/>
  <c r="GB141"/>
  <c r="GA141"/>
  <c r="FZ141"/>
  <c r="FY141"/>
  <c r="FX141"/>
  <c r="FW141"/>
  <c r="FV141"/>
  <c r="FU141"/>
  <c r="FT141"/>
  <c r="FS141"/>
  <c r="FR141"/>
  <c r="FQ141"/>
  <c r="FP141"/>
  <c r="FO141"/>
  <c r="FN141"/>
  <c r="FM141"/>
  <c r="FL141"/>
  <c r="FK141"/>
  <c r="FJ141"/>
  <c r="FI141"/>
  <c r="FH141"/>
  <c r="FG141"/>
  <c r="FF141"/>
  <c r="FE141"/>
  <c r="FD141"/>
  <c r="FC141"/>
  <c r="FB141"/>
  <c r="FA141"/>
  <c r="EZ141"/>
  <c r="EY141"/>
  <c r="EX141"/>
  <c r="EW141"/>
  <c r="EV141"/>
  <c r="EU141"/>
  <c r="ET141"/>
  <c r="ES141"/>
  <c r="ER141"/>
  <c r="EQ141"/>
  <c r="EP141"/>
  <c r="EO141"/>
  <c r="EN141"/>
  <c r="EM141"/>
  <c r="EL141"/>
  <c r="EK141"/>
  <c r="EJ141"/>
  <c r="EI141"/>
  <c r="EH141"/>
  <c r="EG141"/>
  <c r="EF141"/>
  <c r="EE141"/>
  <c r="ED141"/>
  <c r="EC141"/>
  <c r="EB141"/>
  <c r="EA141"/>
  <c r="DZ141"/>
  <c r="DY141"/>
  <c r="DX141"/>
  <c r="DW141"/>
  <c r="DV141"/>
  <c r="DU141"/>
  <c r="DT141"/>
  <c r="DS141"/>
  <c r="DR141"/>
  <c r="DQ141"/>
  <c r="DP141"/>
  <c r="DO141"/>
  <c r="DN141"/>
  <c r="DM141"/>
  <c r="DL141"/>
  <c r="DK141"/>
  <c r="DJ141"/>
  <c r="DI141"/>
  <c r="DH141"/>
  <c r="DG141"/>
  <c r="DF141"/>
  <c r="DE141"/>
  <c r="DD141"/>
  <c r="DC141"/>
  <c r="DB141"/>
  <c r="DA141"/>
  <c r="CZ141"/>
  <c r="CY141"/>
  <c r="CX141"/>
  <c r="CW141"/>
  <c r="CV141"/>
  <c r="CU141"/>
  <c r="CT141"/>
  <c r="CS141"/>
  <c r="CR141"/>
  <c r="CQ141"/>
  <c r="CP141"/>
  <c r="CO141"/>
  <c r="CN141"/>
  <c r="CM141"/>
  <c r="CL141"/>
  <c r="CK141"/>
  <c r="CJ141"/>
  <c r="CI141"/>
  <c r="CH141"/>
  <c r="CG141"/>
  <c r="CF141"/>
  <c r="CE141"/>
  <c r="CD141"/>
  <c r="CC141"/>
  <c r="CB141"/>
  <c r="CA141"/>
  <c r="BZ141"/>
  <c r="BY141"/>
  <c r="BX141"/>
  <c r="BW141"/>
  <c r="BV141"/>
  <c r="BU141"/>
  <c r="BT141"/>
  <c r="BS141"/>
  <c r="BR141"/>
  <c r="BQ141"/>
  <c r="BP141"/>
  <c r="BO141"/>
  <c r="BN141"/>
  <c r="BM141"/>
  <c r="BL141"/>
  <c r="BK141"/>
  <c r="BJ141"/>
  <c r="BI141"/>
  <c r="BH141"/>
  <c r="BG141"/>
  <c r="BF141"/>
  <c r="BE141"/>
  <c r="BD141"/>
  <c r="BC141"/>
  <c r="BB141"/>
  <c r="BA141"/>
  <c r="AZ141"/>
  <c r="AY141"/>
  <c r="AX141"/>
  <c r="AW141"/>
  <c r="AV141"/>
  <c r="AU141"/>
  <c r="AT141"/>
  <c r="AS141"/>
  <c r="AR141"/>
  <c r="AQ141"/>
  <c r="AP141"/>
  <c r="AO141"/>
  <c r="AN141"/>
  <c r="AM141"/>
  <c r="AL141"/>
  <c r="AK141"/>
  <c r="AJ141"/>
  <c r="AI141"/>
  <c r="AH141"/>
  <c r="AG141"/>
  <c r="AF141"/>
  <c r="AE141"/>
  <c r="AD141"/>
  <c r="AC141"/>
  <c r="AB141"/>
  <c r="AA141"/>
  <c r="Z141"/>
  <c r="Y141"/>
  <c r="X141"/>
  <c r="W141"/>
  <c r="V141"/>
  <c r="U141"/>
  <c r="T141"/>
  <c r="S141"/>
  <c r="R141"/>
  <c r="Q141"/>
  <c r="P141"/>
  <c r="O141"/>
  <c r="N141"/>
  <c r="M141"/>
  <c r="L141"/>
  <c r="K141"/>
  <c r="J141"/>
  <c r="I141"/>
  <c r="H141"/>
  <c r="G141"/>
  <c r="F141"/>
  <c r="E141"/>
  <c r="D141"/>
  <c r="C141"/>
  <c r="B141"/>
  <c r="A141"/>
  <c r="IV140"/>
  <c r="IU140"/>
  <c r="IT140"/>
  <c r="IS140"/>
  <c r="IR140"/>
  <c r="IQ140"/>
  <c r="IP140"/>
  <c r="IO140"/>
  <c r="IN140"/>
  <c r="IM140"/>
  <c r="IL140"/>
  <c r="IK140"/>
  <c r="IJ140"/>
  <c r="II140"/>
  <c r="IH140"/>
  <c r="IG140"/>
  <c r="IF140"/>
  <c r="IE140"/>
  <c r="ID140"/>
  <c r="IC140"/>
  <c r="IB140"/>
  <c r="IA140"/>
  <c r="HZ140"/>
  <c r="HY140"/>
  <c r="HX140"/>
  <c r="HW140"/>
  <c r="HV140"/>
  <c r="HU140"/>
  <c r="HT140"/>
  <c r="HS140"/>
  <c r="HR140"/>
  <c r="HQ140"/>
  <c r="HP140"/>
  <c r="HO140"/>
  <c r="HN140"/>
  <c r="HM140"/>
  <c r="HL140"/>
  <c r="HK140"/>
  <c r="HJ140"/>
  <c r="HI140"/>
  <c r="HH140"/>
  <c r="HG140"/>
  <c r="HF140"/>
  <c r="HE140"/>
  <c r="HD140"/>
  <c r="HC140"/>
  <c r="HB140"/>
  <c r="HA140"/>
  <c r="GZ140"/>
  <c r="GY140"/>
  <c r="GX140"/>
  <c r="GW140"/>
  <c r="GV140"/>
  <c r="GU140"/>
  <c r="GT140"/>
  <c r="GS140"/>
  <c r="GR140"/>
  <c r="GQ140"/>
  <c r="GP140"/>
  <c r="GO140"/>
  <c r="GN140"/>
  <c r="GM140"/>
  <c r="GL140"/>
  <c r="GK140"/>
  <c r="GJ140"/>
  <c r="GI140"/>
  <c r="GH140"/>
  <c r="GG140"/>
  <c r="GF140"/>
  <c r="GE140"/>
  <c r="GD140"/>
  <c r="GC140"/>
  <c r="GB140"/>
  <c r="GA140"/>
  <c r="FZ140"/>
  <c r="FY140"/>
  <c r="FX140"/>
  <c r="FW140"/>
  <c r="FV140"/>
  <c r="FU140"/>
  <c r="FT140"/>
  <c r="FS140"/>
  <c r="FR140"/>
  <c r="FQ140"/>
  <c r="FP140"/>
  <c r="FO140"/>
  <c r="FN140"/>
  <c r="FM140"/>
  <c r="FL140"/>
  <c r="FK140"/>
  <c r="FJ140"/>
  <c r="FI140"/>
  <c r="FH140"/>
  <c r="FG140"/>
  <c r="FF140"/>
  <c r="FE140"/>
  <c r="FD140"/>
  <c r="FC140"/>
  <c r="FB140"/>
  <c r="FA140"/>
  <c r="EZ140"/>
  <c r="EY140"/>
  <c r="EX140"/>
  <c r="EW140"/>
  <c r="EV140"/>
  <c r="EU140"/>
  <c r="ET140"/>
  <c r="ES140"/>
  <c r="ER140"/>
  <c r="EQ140"/>
  <c r="EP140"/>
  <c r="EO140"/>
  <c r="EN140"/>
  <c r="EM140"/>
  <c r="EL140"/>
  <c r="EK140"/>
  <c r="EJ140"/>
  <c r="EI140"/>
  <c r="EH140"/>
  <c r="EG140"/>
  <c r="EF140"/>
  <c r="EE140"/>
  <c r="ED140"/>
  <c r="EC140"/>
  <c r="EB140"/>
  <c r="EA140"/>
  <c r="DZ140"/>
  <c r="DY140"/>
  <c r="DX140"/>
  <c r="DW140"/>
  <c r="DV140"/>
  <c r="DU140"/>
  <c r="DT140"/>
  <c r="DS140"/>
  <c r="DR140"/>
  <c r="DQ140"/>
  <c r="DP140"/>
  <c r="DO140"/>
  <c r="DN140"/>
  <c r="DM140"/>
  <c r="DL140"/>
  <c r="DK140"/>
  <c r="DJ140"/>
  <c r="DI140"/>
  <c r="DH140"/>
  <c r="DG140"/>
  <c r="DF140"/>
  <c r="DE140"/>
  <c r="DD140"/>
  <c r="DC140"/>
  <c r="DB140"/>
  <c r="DA140"/>
  <c r="CZ140"/>
  <c r="CY140"/>
  <c r="CX140"/>
  <c r="CW140"/>
  <c r="CV140"/>
  <c r="CU140"/>
  <c r="CT140"/>
  <c r="CS140"/>
  <c r="CR140"/>
  <c r="CQ140"/>
  <c r="CP140"/>
  <c r="CO140"/>
  <c r="CN140"/>
  <c r="CM140"/>
  <c r="CL140"/>
  <c r="CK140"/>
  <c r="CJ140"/>
  <c r="CI140"/>
  <c r="CH140"/>
  <c r="CG140"/>
  <c r="CF140"/>
  <c r="CE140"/>
  <c r="CD140"/>
  <c r="CC140"/>
  <c r="CB140"/>
  <c r="CA140"/>
  <c r="BZ140"/>
  <c r="BY140"/>
  <c r="BX140"/>
  <c r="BW140"/>
  <c r="BV140"/>
  <c r="BU140"/>
  <c r="BT140"/>
  <c r="BS140"/>
  <c r="BR140"/>
  <c r="BQ140"/>
  <c r="BP140"/>
  <c r="BO140"/>
  <c r="BN140"/>
  <c r="BM140"/>
  <c r="BL140"/>
  <c r="BK140"/>
  <c r="BJ140"/>
  <c r="BI140"/>
  <c r="BH140"/>
  <c r="BG140"/>
  <c r="BF140"/>
  <c r="BE140"/>
  <c r="BD140"/>
  <c r="BC140"/>
  <c r="BB140"/>
  <c r="BA140"/>
  <c r="AZ140"/>
  <c r="AY140"/>
  <c r="AX140"/>
  <c r="AW140"/>
  <c r="AV140"/>
  <c r="AU140"/>
  <c r="AT140"/>
  <c r="AS140"/>
  <c r="AR140"/>
  <c r="AQ140"/>
  <c r="AP140"/>
  <c r="AO140"/>
  <c r="AN140"/>
  <c r="AM140"/>
  <c r="AL140"/>
  <c r="AK140"/>
  <c r="AJ140"/>
  <c r="AI140"/>
  <c r="AH140"/>
  <c r="AG140"/>
  <c r="AF140"/>
  <c r="AE140"/>
  <c r="AD140"/>
  <c r="AC140"/>
  <c r="AB140"/>
  <c r="AA140"/>
  <c r="Z140"/>
  <c r="Y140"/>
  <c r="X140"/>
  <c r="W140"/>
  <c r="V140"/>
  <c r="U140"/>
  <c r="T140"/>
  <c r="S140"/>
  <c r="R140"/>
  <c r="Q140"/>
  <c r="P140"/>
  <c r="O140"/>
  <c r="N140"/>
  <c r="M140"/>
  <c r="L140"/>
  <c r="K140"/>
  <c r="J140"/>
  <c r="I140"/>
  <c r="H140"/>
  <c r="G140"/>
  <c r="F140"/>
  <c r="E140"/>
  <c r="D140"/>
  <c r="C140"/>
  <c r="B140"/>
  <c r="A140"/>
  <c r="IV139"/>
  <c r="IU139"/>
  <c r="IT139"/>
  <c r="IS139"/>
  <c r="IR139"/>
  <c r="IQ139"/>
  <c r="IP139"/>
  <c r="IO139"/>
  <c r="IN139"/>
  <c r="IM139"/>
  <c r="IL139"/>
  <c r="IK139"/>
  <c r="IJ139"/>
  <c r="II139"/>
  <c r="IH139"/>
  <c r="IG139"/>
  <c r="IF139"/>
  <c r="IE139"/>
  <c r="ID139"/>
  <c r="IC139"/>
  <c r="IB139"/>
  <c r="IA139"/>
  <c r="HZ139"/>
  <c r="HY139"/>
  <c r="HX139"/>
  <c r="HW139"/>
  <c r="HV139"/>
  <c r="HU139"/>
  <c r="HT139"/>
  <c r="HS139"/>
  <c r="HR139"/>
  <c r="HQ139"/>
  <c r="HP139"/>
  <c r="HO139"/>
  <c r="HN139"/>
  <c r="HM139"/>
  <c r="HL139"/>
  <c r="HK139"/>
  <c r="HJ139"/>
  <c r="HI139"/>
  <c r="HH139"/>
  <c r="HG139"/>
  <c r="HF139"/>
  <c r="HE139"/>
  <c r="HD139"/>
  <c r="HC139"/>
  <c r="HB139"/>
  <c r="HA139"/>
  <c r="GZ139"/>
  <c r="GY139"/>
  <c r="GX139"/>
  <c r="GW139"/>
  <c r="GV139"/>
  <c r="GU139"/>
  <c r="GT139"/>
  <c r="GS139"/>
  <c r="GR139"/>
  <c r="GQ139"/>
  <c r="GP139"/>
  <c r="GO139"/>
  <c r="GN139"/>
  <c r="GM139"/>
  <c r="GL139"/>
  <c r="GK139"/>
  <c r="GJ139"/>
  <c r="GI139"/>
  <c r="GH139"/>
  <c r="GG139"/>
  <c r="GF139"/>
  <c r="GE139"/>
  <c r="GD139"/>
  <c r="GC139"/>
  <c r="GB139"/>
  <c r="GA139"/>
  <c r="FZ139"/>
  <c r="FY139"/>
  <c r="FX139"/>
  <c r="FW139"/>
  <c r="FV139"/>
  <c r="FU139"/>
  <c r="FT139"/>
  <c r="FS139"/>
  <c r="FR139"/>
  <c r="FQ139"/>
  <c r="FP139"/>
  <c r="FO139"/>
  <c r="FN139"/>
  <c r="FM139"/>
  <c r="FL139"/>
  <c r="FK139"/>
  <c r="FJ139"/>
  <c r="FI139"/>
  <c r="FH139"/>
  <c r="FG139"/>
  <c r="FF139"/>
  <c r="FE139"/>
  <c r="FD139"/>
  <c r="FC139"/>
  <c r="FB139"/>
  <c r="FA139"/>
  <c r="EZ139"/>
  <c r="EY139"/>
  <c r="EX139"/>
  <c r="EW139"/>
  <c r="EV139"/>
  <c r="EU139"/>
  <c r="ET139"/>
  <c r="ES139"/>
  <c r="ER139"/>
  <c r="EQ139"/>
  <c r="EP139"/>
  <c r="EO139"/>
  <c r="EN139"/>
  <c r="EM139"/>
  <c r="EL139"/>
  <c r="EK139"/>
  <c r="EJ139"/>
  <c r="EI139"/>
  <c r="EH139"/>
  <c r="EG139"/>
  <c r="EF139"/>
  <c r="EE139"/>
  <c r="ED139"/>
  <c r="EC139"/>
  <c r="EB139"/>
  <c r="EA139"/>
  <c r="DZ139"/>
  <c r="DY139"/>
  <c r="DX139"/>
  <c r="DW139"/>
  <c r="DV139"/>
  <c r="DU139"/>
  <c r="DT139"/>
  <c r="DS139"/>
  <c r="DR139"/>
  <c r="DQ139"/>
  <c r="DP139"/>
  <c r="DO139"/>
  <c r="DN139"/>
  <c r="DM139"/>
  <c r="DL139"/>
  <c r="DK139"/>
  <c r="DJ139"/>
  <c r="DI139"/>
  <c r="DH139"/>
  <c r="DG139"/>
  <c r="DF139"/>
  <c r="DE139"/>
  <c r="DD139"/>
  <c r="DC139"/>
  <c r="DB139"/>
  <c r="DA139"/>
  <c r="CZ139"/>
  <c r="CY139"/>
  <c r="CX139"/>
  <c r="CW139"/>
  <c r="CV139"/>
  <c r="CU139"/>
  <c r="CT139"/>
  <c r="CS139"/>
  <c r="CR139"/>
  <c r="CQ139"/>
  <c r="CP139"/>
  <c r="CO139"/>
  <c r="CN139"/>
  <c r="CM139"/>
  <c r="CL139"/>
  <c r="CK139"/>
  <c r="CJ139"/>
  <c r="CI139"/>
  <c r="CH139"/>
  <c r="CG139"/>
  <c r="CF139"/>
  <c r="CE139"/>
  <c r="CD139"/>
  <c r="CC139"/>
  <c r="CB139"/>
  <c r="CA139"/>
  <c r="BZ139"/>
  <c r="BY139"/>
  <c r="BX139"/>
  <c r="BW139"/>
  <c r="BV139"/>
  <c r="BU139"/>
  <c r="BT139"/>
  <c r="BS139"/>
  <c r="BR139"/>
  <c r="BQ139"/>
  <c r="BP139"/>
  <c r="BO139"/>
  <c r="BN139"/>
  <c r="BM139"/>
  <c r="BL139"/>
  <c r="BK139"/>
  <c r="BJ139"/>
  <c r="BI139"/>
  <c r="BH139"/>
  <c r="BG139"/>
  <c r="BF139"/>
  <c r="BE139"/>
  <c r="BD139"/>
  <c r="BC139"/>
  <c r="BB139"/>
  <c r="BA139"/>
  <c r="AZ139"/>
  <c r="AY139"/>
  <c r="AX139"/>
  <c r="AW139"/>
  <c r="AV139"/>
  <c r="AU139"/>
  <c r="AT139"/>
  <c r="AS139"/>
  <c r="AR139"/>
  <c r="AQ139"/>
  <c r="AP139"/>
  <c r="AO139"/>
  <c r="AN139"/>
  <c r="AM139"/>
  <c r="AL139"/>
  <c r="AK139"/>
  <c r="AJ139"/>
  <c r="AI139"/>
  <c r="AH139"/>
  <c r="AG139"/>
  <c r="AF139"/>
  <c r="AE139"/>
  <c r="AD139"/>
  <c r="AC139"/>
  <c r="AB139"/>
  <c r="AA139"/>
  <c r="Z139"/>
  <c r="Y139"/>
  <c r="X139"/>
  <c r="W139"/>
  <c r="V139"/>
  <c r="U139"/>
  <c r="T139"/>
  <c r="S139"/>
  <c r="R139"/>
  <c r="Q139"/>
  <c r="P139"/>
  <c r="O139"/>
  <c r="N139"/>
  <c r="M139"/>
  <c r="L139"/>
  <c r="K139"/>
  <c r="J139"/>
  <c r="I139"/>
  <c r="H139"/>
  <c r="G139"/>
  <c r="F139"/>
  <c r="E139"/>
  <c r="D139"/>
  <c r="C139"/>
  <c r="B139"/>
  <c r="A139"/>
  <c r="IV138"/>
  <c r="IU138"/>
  <c r="IT138"/>
  <c r="IS138"/>
  <c r="IR138"/>
  <c r="IQ138"/>
  <c r="IP138"/>
  <c r="IO138"/>
  <c r="IN138"/>
  <c r="IM138"/>
  <c r="IL138"/>
  <c r="IK138"/>
  <c r="IJ138"/>
  <c r="II138"/>
  <c r="IH138"/>
  <c r="IG138"/>
  <c r="IF138"/>
  <c r="IE138"/>
  <c r="ID138"/>
  <c r="IC138"/>
  <c r="IB138"/>
  <c r="IA138"/>
  <c r="HZ138"/>
  <c r="HY138"/>
  <c r="HX138"/>
  <c r="HW138"/>
  <c r="HV138"/>
  <c r="HU138"/>
  <c r="HT138"/>
  <c r="HS138"/>
  <c r="HR138"/>
  <c r="HQ138"/>
  <c r="HP138"/>
  <c r="HO138"/>
  <c r="HN138"/>
  <c r="HM138"/>
  <c r="HL138"/>
  <c r="HK138"/>
  <c r="HJ138"/>
  <c r="HI138"/>
  <c r="HH138"/>
  <c r="HG138"/>
  <c r="HF138"/>
  <c r="HE138"/>
  <c r="HD138"/>
  <c r="HC138"/>
  <c r="HB138"/>
  <c r="HA138"/>
  <c r="GZ138"/>
  <c r="GY138"/>
  <c r="GX138"/>
  <c r="GW138"/>
  <c r="GV138"/>
  <c r="GU138"/>
  <c r="GT138"/>
  <c r="GS138"/>
  <c r="GR138"/>
  <c r="GQ138"/>
  <c r="GP138"/>
  <c r="GO138"/>
  <c r="GN138"/>
  <c r="GM138"/>
  <c r="GL138"/>
  <c r="GK138"/>
  <c r="GJ138"/>
  <c r="GI138"/>
  <c r="GH138"/>
  <c r="GG138"/>
  <c r="GF138"/>
  <c r="GE138"/>
  <c r="GD138"/>
  <c r="GC138"/>
  <c r="GB138"/>
  <c r="GA138"/>
  <c r="FZ138"/>
  <c r="FY138"/>
  <c r="FX138"/>
  <c r="FW138"/>
  <c r="FV138"/>
  <c r="FU138"/>
  <c r="FT138"/>
  <c r="FS138"/>
  <c r="FR138"/>
  <c r="FQ138"/>
  <c r="FP138"/>
  <c r="FO138"/>
  <c r="FN138"/>
  <c r="FM138"/>
  <c r="FL138"/>
  <c r="FK138"/>
  <c r="FJ138"/>
  <c r="FI138"/>
  <c r="FH138"/>
  <c r="FG138"/>
  <c r="FF138"/>
  <c r="FE138"/>
  <c r="FD138"/>
  <c r="FC138"/>
  <c r="FB138"/>
  <c r="FA138"/>
  <c r="EZ138"/>
  <c r="EY138"/>
  <c r="EX138"/>
  <c r="EW138"/>
  <c r="EV138"/>
  <c r="EU138"/>
  <c r="ET138"/>
  <c r="ES138"/>
  <c r="ER138"/>
  <c r="EQ138"/>
  <c r="EP138"/>
  <c r="EO138"/>
  <c r="EN138"/>
  <c r="EM138"/>
  <c r="EL138"/>
  <c r="EK138"/>
  <c r="EJ138"/>
  <c r="EI138"/>
  <c r="EH138"/>
  <c r="EG138"/>
  <c r="EF138"/>
  <c r="EE138"/>
  <c r="ED138"/>
  <c r="EC138"/>
  <c r="EB138"/>
  <c r="EA138"/>
  <c r="DZ138"/>
  <c r="DY138"/>
  <c r="DX138"/>
  <c r="DW138"/>
  <c r="DV138"/>
  <c r="DU138"/>
  <c r="DT138"/>
  <c r="DS138"/>
  <c r="DR138"/>
  <c r="DQ138"/>
  <c r="DP138"/>
  <c r="DO138"/>
  <c r="DN138"/>
  <c r="DM138"/>
  <c r="DL138"/>
  <c r="DK138"/>
  <c r="DJ138"/>
  <c r="DI138"/>
  <c r="DH138"/>
  <c r="DG138"/>
  <c r="DF138"/>
  <c r="DE138"/>
  <c r="DD138"/>
  <c r="DC138"/>
  <c r="DB138"/>
  <c r="DA138"/>
  <c r="CZ138"/>
  <c r="CY138"/>
  <c r="CX138"/>
  <c r="CW138"/>
  <c r="CV138"/>
  <c r="CU138"/>
  <c r="CT138"/>
  <c r="CS138"/>
  <c r="CR138"/>
  <c r="CQ138"/>
  <c r="CP138"/>
  <c r="CO138"/>
  <c r="CN138"/>
  <c r="CM138"/>
  <c r="CL138"/>
  <c r="CK138"/>
  <c r="CJ138"/>
  <c r="CI138"/>
  <c r="CH138"/>
  <c r="CG138"/>
  <c r="CF138"/>
  <c r="CE138"/>
  <c r="CD138"/>
  <c r="CC138"/>
  <c r="CB138"/>
  <c r="CA138"/>
  <c r="BZ138"/>
  <c r="BY138"/>
  <c r="BX138"/>
  <c r="BW138"/>
  <c r="BV138"/>
  <c r="BU138"/>
  <c r="BT138"/>
  <c r="BS138"/>
  <c r="BR138"/>
  <c r="BQ138"/>
  <c r="BP138"/>
  <c r="BO138"/>
  <c r="BN138"/>
  <c r="BM138"/>
  <c r="BL138"/>
  <c r="BK138"/>
  <c r="BJ138"/>
  <c r="BI138"/>
  <c r="BH138"/>
  <c r="BG138"/>
  <c r="BF138"/>
  <c r="BE138"/>
  <c r="BD138"/>
  <c r="BC138"/>
  <c r="BB138"/>
  <c r="BA138"/>
  <c r="AZ138"/>
  <c r="AY138"/>
  <c r="AX138"/>
  <c r="AW138"/>
  <c r="AV138"/>
  <c r="AU138"/>
  <c r="AT138"/>
  <c r="AS138"/>
  <c r="AR138"/>
  <c r="AQ138"/>
  <c r="AP138"/>
  <c r="AO138"/>
  <c r="AN138"/>
  <c r="AM138"/>
  <c r="AL138"/>
  <c r="AK138"/>
  <c r="AJ138"/>
  <c r="AI138"/>
  <c r="AH138"/>
  <c r="AG138"/>
  <c r="AF138"/>
  <c r="AE138"/>
  <c r="AD138"/>
  <c r="AC138"/>
  <c r="AB138"/>
  <c r="AA138"/>
  <c r="Z138"/>
  <c r="Y138"/>
  <c r="X138"/>
  <c r="W138"/>
  <c r="V138"/>
  <c r="U138"/>
  <c r="T138"/>
  <c r="S138"/>
  <c r="R138"/>
  <c r="Q138"/>
  <c r="P138"/>
  <c r="O138"/>
  <c r="N138"/>
  <c r="M138"/>
  <c r="L138"/>
  <c r="K138"/>
  <c r="J138"/>
  <c r="I138"/>
  <c r="H138"/>
  <c r="G138"/>
  <c r="F138"/>
  <c r="E138"/>
  <c r="D138"/>
  <c r="C138"/>
  <c r="B138"/>
  <c r="A138"/>
  <c r="IV137"/>
  <c r="IU137"/>
  <c r="IT137"/>
  <c r="IS137"/>
  <c r="IR137"/>
  <c r="IQ137"/>
  <c r="IP137"/>
  <c r="IO137"/>
  <c r="IN137"/>
  <c r="IM137"/>
  <c r="IL137"/>
  <c r="IK137"/>
  <c r="IJ137"/>
  <c r="II137"/>
  <c r="IH137"/>
  <c r="IG137"/>
  <c r="IF137"/>
  <c r="IE137"/>
  <c r="ID137"/>
  <c r="IC137"/>
  <c r="IB137"/>
  <c r="IA137"/>
  <c r="HZ137"/>
  <c r="HY137"/>
  <c r="HX137"/>
  <c r="HW137"/>
  <c r="HV137"/>
  <c r="HU137"/>
  <c r="HT137"/>
  <c r="HS137"/>
  <c r="HR137"/>
  <c r="HQ137"/>
  <c r="HP137"/>
  <c r="HO137"/>
  <c r="HN137"/>
  <c r="HM137"/>
  <c r="HL137"/>
  <c r="HK137"/>
  <c r="HJ137"/>
  <c r="HI137"/>
  <c r="HH137"/>
  <c r="HG137"/>
  <c r="HF137"/>
  <c r="HE137"/>
  <c r="HD137"/>
  <c r="HC137"/>
  <c r="HB137"/>
  <c r="HA137"/>
  <c r="GZ137"/>
  <c r="GY137"/>
  <c r="GX137"/>
  <c r="GW137"/>
  <c r="GV137"/>
  <c r="GU137"/>
  <c r="GT137"/>
  <c r="GS137"/>
  <c r="GR137"/>
  <c r="GQ137"/>
  <c r="GP137"/>
  <c r="GO137"/>
  <c r="GN137"/>
  <c r="GM137"/>
  <c r="GL137"/>
  <c r="GK137"/>
  <c r="GJ137"/>
  <c r="GI137"/>
  <c r="GH137"/>
  <c r="GG137"/>
  <c r="GF137"/>
  <c r="GE137"/>
  <c r="GD137"/>
  <c r="GC137"/>
  <c r="GB137"/>
  <c r="GA137"/>
  <c r="FZ137"/>
  <c r="FY137"/>
  <c r="FX137"/>
  <c r="FW137"/>
  <c r="FV137"/>
  <c r="FU137"/>
  <c r="FT137"/>
  <c r="FS137"/>
  <c r="FR137"/>
  <c r="FQ137"/>
  <c r="FP137"/>
  <c r="FO137"/>
  <c r="FN137"/>
  <c r="FM137"/>
  <c r="FL137"/>
  <c r="FK137"/>
  <c r="FJ137"/>
  <c r="FI137"/>
  <c r="FH137"/>
  <c r="FG137"/>
  <c r="FF137"/>
  <c r="FE137"/>
  <c r="FD137"/>
  <c r="FC137"/>
  <c r="FB137"/>
  <c r="FA137"/>
  <c r="EZ137"/>
  <c r="EY137"/>
  <c r="EX137"/>
  <c r="EW137"/>
  <c r="EV137"/>
  <c r="EU137"/>
  <c r="ET137"/>
  <c r="ES137"/>
  <c r="ER137"/>
  <c r="EQ137"/>
  <c r="EP137"/>
  <c r="EO137"/>
  <c r="EN137"/>
  <c r="EM137"/>
  <c r="EL137"/>
  <c r="EK137"/>
  <c r="EJ137"/>
  <c r="EI137"/>
  <c r="EH137"/>
  <c r="EG137"/>
  <c r="EF137"/>
  <c r="EE137"/>
  <c r="ED137"/>
  <c r="EC137"/>
  <c r="EB137"/>
  <c r="EA137"/>
  <c r="DZ137"/>
  <c r="DY137"/>
  <c r="DX137"/>
  <c r="DW137"/>
  <c r="DV137"/>
  <c r="DU137"/>
  <c r="DT137"/>
  <c r="DS137"/>
  <c r="DR137"/>
  <c r="DQ137"/>
  <c r="DP137"/>
  <c r="DO137"/>
  <c r="DN137"/>
  <c r="DM137"/>
  <c r="DL137"/>
  <c r="DK137"/>
  <c r="DJ137"/>
  <c r="DI137"/>
  <c r="DH137"/>
  <c r="DG137"/>
  <c r="DF137"/>
  <c r="DE137"/>
  <c r="DD137"/>
  <c r="DC137"/>
  <c r="DB137"/>
  <c r="DA137"/>
  <c r="CZ137"/>
  <c r="CY137"/>
  <c r="CX137"/>
  <c r="CW137"/>
  <c r="CV137"/>
  <c r="CU137"/>
  <c r="CT137"/>
  <c r="CS137"/>
  <c r="CR137"/>
  <c r="CQ137"/>
  <c r="CP137"/>
  <c r="CO137"/>
  <c r="CN137"/>
  <c r="CM137"/>
  <c r="CL137"/>
  <c r="CK137"/>
  <c r="CJ137"/>
  <c r="CI137"/>
  <c r="CH137"/>
  <c r="CG137"/>
  <c r="CF137"/>
  <c r="CE137"/>
  <c r="CD137"/>
  <c r="CC137"/>
  <c r="CB137"/>
  <c r="CA137"/>
  <c r="BZ137"/>
  <c r="BY137"/>
  <c r="BX137"/>
  <c r="BW137"/>
  <c r="BV137"/>
  <c r="BU137"/>
  <c r="BT137"/>
  <c r="BS137"/>
  <c r="BR137"/>
  <c r="BQ137"/>
  <c r="BP137"/>
  <c r="BO137"/>
  <c r="BN137"/>
  <c r="BM137"/>
  <c r="BL137"/>
  <c r="BK137"/>
  <c r="BJ137"/>
  <c r="BI137"/>
  <c r="BH137"/>
  <c r="BG137"/>
  <c r="BF137"/>
  <c r="BE137"/>
  <c r="BD137"/>
  <c r="BC137"/>
  <c r="BB137"/>
  <c r="BA137"/>
  <c r="AZ137"/>
  <c r="AY137"/>
  <c r="AX137"/>
  <c r="AW137"/>
  <c r="AV137"/>
  <c r="AU137"/>
  <c r="AT137"/>
  <c r="AS137"/>
  <c r="AR137"/>
  <c r="AQ137"/>
  <c r="AP137"/>
  <c r="AO137"/>
  <c r="AN137"/>
  <c r="AM137"/>
  <c r="AL137"/>
  <c r="AK137"/>
  <c r="AJ137"/>
  <c r="AI137"/>
  <c r="AH137"/>
  <c r="AG137"/>
  <c r="AF137"/>
  <c r="AE137"/>
  <c r="AD137"/>
  <c r="AC137"/>
  <c r="AB137"/>
  <c r="AA137"/>
  <c r="Z137"/>
  <c r="Y137"/>
  <c r="X137"/>
  <c r="W137"/>
  <c r="V137"/>
  <c r="U137"/>
  <c r="T137"/>
  <c r="S137"/>
  <c r="R137"/>
  <c r="Q137"/>
  <c r="P137"/>
  <c r="O137"/>
  <c r="N137"/>
  <c r="M137"/>
  <c r="L137"/>
  <c r="K137"/>
  <c r="J137"/>
  <c r="I137"/>
  <c r="H137"/>
  <c r="G137"/>
  <c r="F137"/>
  <c r="E137"/>
  <c r="D137"/>
  <c r="C137"/>
  <c r="B137"/>
  <c r="A137"/>
  <c r="IV136"/>
  <c r="IU136"/>
  <c r="IT136"/>
  <c r="IS136"/>
  <c r="IR136"/>
  <c r="IQ136"/>
  <c r="IP136"/>
  <c r="IO136"/>
  <c r="IN136"/>
  <c r="IM136"/>
  <c r="IL136"/>
  <c r="IK136"/>
  <c r="IJ136"/>
  <c r="II136"/>
  <c r="IH136"/>
  <c r="IG136"/>
  <c r="IF136"/>
  <c r="IE136"/>
  <c r="ID136"/>
  <c r="IC136"/>
  <c r="IB136"/>
  <c r="IA136"/>
  <c r="HZ136"/>
  <c r="HY136"/>
  <c r="HX136"/>
  <c r="HW136"/>
  <c r="HV136"/>
  <c r="HU136"/>
  <c r="HT136"/>
  <c r="HS136"/>
  <c r="HR136"/>
  <c r="HQ136"/>
  <c r="HP136"/>
  <c r="HO136"/>
  <c r="HN136"/>
  <c r="HM136"/>
  <c r="HL136"/>
  <c r="HK136"/>
  <c r="HJ136"/>
  <c r="HI136"/>
  <c r="HH136"/>
  <c r="HG136"/>
  <c r="HF136"/>
  <c r="HE136"/>
  <c r="HD136"/>
  <c r="HC136"/>
  <c r="HB136"/>
  <c r="HA136"/>
  <c r="GZ136"/>
  <c r="GY136"/>
  <c r="GX136"/>
  <c r="GW136"/>
  <c r="GV136"/>
  <c r="GU136"/>
  <c r="GT136"/>
  <c r="GS136"/>
  <c r="GR136"/>
  <c r="GQ136"/>
  <c r="GP136"/>
  <c r="GO136"/>
  <c r="GN136"/>
  <c r="GM136"/>
  <c r="GL136"/>
  <c r="GK136"/>
  <c r="GJ136"/>
  <c r="GI136"/>
  <c r="GH136"/>
  <c r="GG136"/>
  <c r="GF136"/>
  <c r="GE136"/>
  <c r="GD136"/>
  <c r="GC136"/>
  <c r="GB136"/>
  <c r="GA136"/>
  <c r="FZ136"/>
  <c r="FY136"/>
  <c r="FX136"/>
  <c r="FW136"/>
  <c r="FV136"/>
  <c r="FU136"/>
  <c r="FT136"/>
  <c r="FS136"/>
  <c r="FR136"/>
  <c r="FQ136"/>
  <c r="FP136"/>
  <c r="FO136"/>
  <c r="FN136"/>
  <c r="FM136"/>
  <c r="FL136"/>
  <c r="FK136"/>
  <c r="FJ136"/>
  <c r="FI136"/>
  <c r="FH136"/>
  <c r="FG136"/>
  <c r="FF136"/>
  <c r="FE136"/>
  <c r="FD136"/>
  <c r="FC136"/>
  <c r="FB136"/>
  <c r="FA136"/>
  <c r="EZ136"/>
  <c r="EY136"/>
  <c r="EX136"/>
  <c r="EW136"/>
  <c r="EV136"/>
  <c r="EU136"/>
  <c r="ET136"/>
  <c r="ES136"/>
  <c r="ER136"/>
  <c r="EQ136"/>
  <c r="EP136"/>
  <c r="EO136"/>
  <c r="EN136"/>
  <c r="EM136"/>
  <c r="EL136"/>
  <c r="EK136"/>
  <c r="EJ136"/>
  <c r="EI136"/>
  <c r="EH136"/>
  <c r="EG136"/>
  <c r="EF136"/>
  <c r="EE136"/>
  <c r="ED136"/>
  <c r="EC136"/>
  <c r="EB136"/>
  <c r="EA136"/>
  <c r="DZ136"/>
  <c r="DY136"/>
  <c r="DX136"/>
  <c r="DW136"/>
  <c r="DV136"/>
  <c r="DU136"/>
  <c r="DT136"/>
  <c r="DS136"/>
  <c r="DR136"/>
  <c r="DQ136"/>
  <c r="DP136"/>
  <c r="DO136"/>
  <c r="DN136"/>
  <c r="DM136"/>
  <c r="DL136"/>
  <c r="DK136"/>
  <c r="DJ136"/>
  <c r="DI136"/>
  <c r="DH136"/>
  <c r="DG136"/>
  <c r="DF136"/>
  <c r="DE136"/>
  <c r="DD136"/>
  <c r="DC136"/>
  <c r="DB136"/>
  <c r="DA136"/>
  <c r="CZ136"/>
  <c r="CY136"/>
  <c r="CX136"/>
  <c r="CW136"/>
  <c r="CV136"/>
  <c r="CU136"/>
  <c r="CT136"/>
  <c r="CS136"/>
  <c r="CR136"/>
  <c r="CQ136"/>
  <c r="CP136"/>
  <c r="CO136"/>
  <c r="CN136"/>
  <c r="CM136"/>
  <c r="CL136"/>
  <c r="CK136"/>
  <c r="CJ136"/>
  <c r="CI136"/>
  <c r="CH136"/>
  <c r="CG136"/>
  <c r="CF136"/>
  <c r="CE136"/>
  <c r="CD136"/>
  <c r="CC136"/>
  <c r="CB136"/>
  <c r="CA136"/>
  <c r="BZ136"/>
  <c r="BY136"/>
  <c r="BX136"/>
  <c r="BW136"/>
  <c r="BV136"/>
  <c r="BU136"/>
  <c r="BT136"/>
  <c r="BS136"/>
  <c r="BR136"/>
  <c r="BQ136"/>
  <c r="BP136"/>
  <c r="BO136"/>
  <c r="BN136"/>
  <c r="BM136"/>
  <c r="BL136"/>
  <c r="BK136"/>
  <c r="BJ136"/>
  <c r="BI136"/>
  <c r="BH136"/>
  <c r="BG136"/>
  <c r="BF136"/>
  <c r="BE136"/>
  <c r="BD136"/>
  <c r="BC136"/>
  <c r="BB136"/>
  <c r="BA136"/>
  <c r="AZ136"/>
  <c r="AY136"/>
  <c r="AX136"/>
  <c r="AW136"/>
  <c r="AV136"/>
  <c r="AU136"/>
  <c r="AT136"/>
  <c r="AS136"/>
  <c r="AR136"/>
  <c r="AQ136"/>
  <c r="AP136"/>
  <c r="AO136"/>
  <c r="AN136"/>
  <c r="AM136"/>
  <c r="AL136"/>
  <c r="AK136"/>
  <c r="AJ136"/>
  <c r="AI136"/>
  <c r="AH136"/>
  <c r="AG136"/>
  <c r="AF136"/>
  <c r="AE136"/>
  <c r="AD136"/>
  <c r="AC136"/>
  <c r="AB136"/>
  <c r="AA136"/>
  <c r="Z136"/>
  <c r="Y136"/>
  <c r="X136"/>
  <c r="W136"/>
  <c r="V136"/>
  <c r="U136"/>
  <c r="T136"/>
  <c r="S136"/>
  <c r="R136"/>
  <c r="Q136"/>
  <c r="P136"/>
  <c r="O136"/>
  <c r="N136"/>
  <c r="M136"/>
  <c r="L136"/>
  <c r="K136"/>
  <c r="J136"/>
  <c r="I136"/>
  <c r="H136"/>
  <c r="G136"/>
  <c r="F136"/>
  <c r="E136"/>
  <c r="D136"/>
  <c r="C136"/>
  <c r="B136"/>
  <c r="A136"/>
  <c r="IV135"/>
  <c r="IU135"/>
  <c r="IT135"/>
  <c r="IS135"/>
  <c r="IR135"/>
  <c r="IQ135"/>
  <c r="IP135"/>
  <c r="IO135"/>
  <c r="IN135"/>
  <c r="IM135"/>
  <c r="IL135"/>
  <c r="IK135"/>
  <c r="IJ135"/>
  <c r="II135"/>
  <c r="IH135"/>
  <c r="IG135"/>
  <c r="IF135"/>
  <c r="IE135"/>
  <c r="ID135"/>
  <c r="IC135"/>
  <c r="IB135"/>
  <c r="IA135"/>
  <c r="HZ135"/>
  <c r="HY135"/>
  <c r="HX135"/>
  <c r="HW135"/>
  <c r="HV135"/>
  <c r="HU135"/>
  <c r="HT135"/>
  <c r="HS135"/>
  <c r="HR135"/>
  <c r="HQ135"/>
  <c r="HP135"/>
  <c r="HO135"/>
  <c r="HN135"/>
  <c r="HM135"/>
  <c r="HL135"/>
  <c r="HK135"/>
  <c r="HJ135"/>
  <c r="HI135"/>
  <c r="HH135"/>
  <c r="HG135"/>
  <c r="HF135"/>
  <c r="HE135"/>
  <c r="HD135"/>
  <c r="HC135"/>
  <c r="HB135"/>
  <c r="HA135"/>
  <c r="GZ135"/>
  <c r="GY135"/>
  <c r="GX135"/>
  <c r="GW135"/>
  <c r="GV135"/>
  <c r="GU135"/>
  <c r="GT135"/>
  <c r="GS135"/>
  <c r="GR135"/>
  <c r="GQ135"/>
  <c r="GP135"/>
  <c r="GO135"/>
  <c r="GN135"/>
  <c r="GM135"/>
  <c r="GL135"/>
  <c r="GK135"/>
  <c r="GJ135"/>
  <c r="GI135"/>
  <c r="GH135"/>
  <c r="GG135"/>
  <c r="GF135"/>
  <c r="GE135"/>
  <c r="GD135"/>
  <c r="GC135"/>
  <c r="GB135"/>
  <c r="GA135"/>
  <c r="FZ135"/>
  <c r="FY135"/>
  <c r="FX135"/>
  <c r="FW135"/>
  <c r="FV135"/>
  <c r="FU135"/>
  <c r="FT135"/>
  <c r="FS135"/>
  <c r="FR135"/>
  <c r="FQ135"/>
  <c r="FP135"/>
  <c r="FO135"/>
  <c r="FN135"/>
  <c r="FM135"/>
  <c r="FL135"/>
  <c r="FK135"/>
  <c r="FJ135"/>
  <c r="FI135"/>
  <c r="FH135"/>
  <c r="FG135"/>
  <c r="FF135"/>
  <c r="FE135"/>
  <c r="FD135"/>
  <c r="FC135"/>
  <c r="FB135"/>
  <c r="FA135"/>
  <c r="EZ135"/>
  <c r="EY135"/>
  <c r="EX135"/>
  <c r="EW135"/>
  <c r="EV135"/>
  <c r="EU135"/>
  <c r="ET135"/>
  <c r="ES135"/>
  <c r="ER135"/>
  <c r="EQ135"/>
  <c r="EP135"/>
  <c r="EO135"/>
  <c r="EN135"/>
  <c r="EM135"/>
  <c r="EL135"/>
  <c r="EK135"/>
  <c r="EJ135"/>
  <c r="EI135"/>
  <c r="EH135"/>
  <c r="EG135"/>
  <c r="EF135"/>
  <c r="EE135"/>
  <c r="ED135"/>
  <c r="EC135"/>
  <c r="EB135"/>
  <c r="EA135"/>
  <c r="DZ135"/>
  <c r="DY135"/>
  <c r="DX135"/>
  <c r="DW135"/>
  <c r="DV135"/>
  <c r="DU135"/>
  <c r="DT135"/>
  <c r="DS135"/>
  <c r="DR135"/>
  <c r="DQ135"/>
  <c r="DP135"/>
  <c r="DO135"/>
  <c r="DN135"/>
  <c r="DM135"/>
  <c r="DL135"/>
  <c r="DK135"/>
  <c r="DJ135"/>
  <c r="DI135"/>
  <c r="DH135"/>
  <c r="DG135"/>
  <c r="DF135"/>
  <c r="DE135"/>
  <c r="DD135"/>
  <c r="DC135"/>
  <c r="DB135"/>
  <c r="DA135"/>
  <c r="CZ135"/>
  <c r="CY135"/>
  <c r="CX135"/>
  <c r="CW135"/>
  <c r="CV135"/>
  <c r="CU135"/>
  <c r="CT135"/>
  <c r="CS135"/>
  <c r="CR135"/>
  <c r="CQ135"/>
  <c r="CP135"/>
  <c r="CO135"/>
  <c r="CN135"/>
  <c r="CM135"/>
  <c r="CL135"/>
  <c r="CK135"/>
  <c r="CJ135"/>
  <c r="CI135"/>
  <c r="CH135"/>
  <c r="CG135"/>
  <c r="CF135"/>
  <c r="CE135"/>
  <c r="CD135"/>
  <c r="CC135"/>
  <c r="CB135"/>
  <c r="CA135"/>
  <c r="BZ135"/>
  <c r="BY135"/>
  <c r="BX135"/>
  <c r="BW135"/>
  <c r="BV135"/>
  <c r="BU135"/>
  <c r="BT135"/>
  <c r="BS135"/>
  <c r="BR135"/>
  <c r="BQ135"/>
  <c r="BP135"/>
  <c r="BO135"/>
  <c r="BN135"/>
  <c r="BM135"/>
  <c r="BL135"/>
  <c r="BK135"/>
  <c r="BJ135"/>
  <c r="BI135"/>
  <c r="BH135"/>
  <c r="BG135"/>
  <c r="BF135"/>
  <c r="BE135"/>
  <c r="BD135"/>
  <c r="BC135"/>
  <c r="BB135"/>
  <c r="BA135"/>
  <c r="AZ135"/>
  <c r="AY135"/>
  <c r="AX135"/>
  <c r="AW135"/>
  <c r="AV135"/>
  <c r="AU135"/>
  <c r="AT135"/>
  <c r="AS135"/>
  <c r="AR135"/>
  <c r="AQ135"/>
  <c r="AP135"/>
  <c r="AO135"/>
  <c r="AN135"/>
  <c r="AM135"/>
  <c r="AL135"/>
  <c r="AK135"/>
  <c r="AJ135"/>
  <c r="AI135"/>
  <c r="AH135"/>
  <c r="AG135"/>
  <c r="AF135"/>
  <c r="AE135"/>
  <c r="AD135"/>
  <c r="AC135"/>
  <c r="AB135"/>
  <c r="AA135"/>
  <c r="Z135"/>
  <c r="Y135"/>
  <c r="X135"/>
  <c r="W135"/>
  <c r="V135"/>
  <c r="U135"/>
  <c r="T135"/>
  <c r="S135"/>
  <c r="R135"/>
  <c r="Q135"/>
  <c r="P135"/>
  <c r="O135"/>
  <c r="N135"/>
  <c r="M135"/>
  <c r="L135"/>
  <c r="K135"/>
  <c r="J135"/>
  <c r="I135"/>
  <c r="H135"/>
  <c r="G135"/>
  <c r="F135"/>
  <c r="E135"/>
  <c r="D135"/>
  <c r="C135"/>
  <c r="B135"/>
  <c r="A135"/>
  <c r="IV134"/>
  <c r="IU134"/>
  <c r="IT134"/>
  <c r="IS134"/>
  <c r="IR134"/>
  <c r="IQ134"/>
  <c r="IP134"/>
  <c r="IO134"/>
  <c r="IN134"/>
  <c r="IM134"/>
  <c r="IL134"/>
  <c r="IK134"/>
  <c r="IJ134"/>
  <c r="II134"/>
  <c r="IH134"/>
  <c r="IG134"/>
  <c r="IF134"/>
  <c r="IE134"/>
  <c r="ID134"/>
  <c r="IC134"/>
  <c r="IB134"/>
  <c r="IA134"/>
  <c r="HZ134"/>
  <c r="HY134"/>
  <c r="HX134"/>
  <c r="HW134"/>
  <c r="HV134"/>
  <c r="HU134"/>
  <c r="HT134"/>
  <c r="HS134"/>
  <c r="HR134"/>
  <c r="HQ134"/>
  <c r="HP134"/>
  <c r="HO134"/>
  <c r="HN134"/>
  <c r="HM134"/>
  <c r="HL134"/>
  <c r="HK134"/>
  <c r="HJ134"/>
  <c r="HI134"/>
  <c r="HH134"/>
  <c r="HG134"/>
  <c r="HF134"/>
  <c r="HE134"/>
  <c r="HD134"/>
  <c r="HC134"/>
  <c r="HB134"/>
  <c r="HA134"/>
  <c r="GZ134"/>
  <c r="GY134"/>
  <c r="GX134"/>
  <c r="GW134"/>
  <c r="GV134"/>
  <c r="GU134"/>
  <c r="GT134"/>
  <c r="GS134"/>
  <c r="GR134"/>
  <c r="GQ134"/>
  <c r="GP134"/>
  <c r="GO134"/>
  <c r="GN134"/>
  <c r="GM134"/>
  <c r="GL134"/>
  <c r="GK134"/>
  <c r="GJ134"/>
  <c r="GI134"/>
  <c r="GH134"/>
  <c r="GG134"/>
  <c r="GF134"/>
  <c r="GE134"/>
  <c r="GD134"/>
  <c r="GC134"/>
  <c r="GB134"/>
  <c r="GA134"/>
  <c r="FZ134"/>
  <c r="FY134"/>
  <c r="FX134"/>
  <c r="FW134"/>
  <c r="FV134"/>
  <c r="FU134"/>
  <c r="FT134"/>
  <c r="FS134"/>
  <c r="FR134"/>
  <c r="FQ134"/>
  <c r="FP134"/>
  <c r="FO134"/>
  <c r="FN134"/>
  <c r="FM134"/>
  <c r="FL134"/>
  <c r="FK134"/>
  <c r="FJ134"/>
  <c r="FI134"/>
  <c r="FH134"/>
  <c r="FG134"/>
  <c r="FF134"/>
  <c r="FE134"/>
  <c r="FD134"/>
  <c r="FC134"/>
  <c r="FB134"/>
  <c r="FA134"/>
  <c r="EZ134"/>
  <c r="EY134"/>
  <c r="EX134"/>
  <c r="EW134"/>
  <c r="EV134"/>
  <c r="EU134"/>
  <c r="ET134"/>
  <c r="ES134"/>
  <c r="ER134"/>
  <c r="EQ134"/>
  <c r="EP134"/>
  <c r="EO134"/>
  <c r="EN134"/>
  <c r="EM134"/>
  <c r="EL134"/>
  <c r="EK134"/>
  <c r="EJ134"/>
  <c r="EI134"/>
  <c r="EH134"/>
  <c r="EG134"/>
  <c r="EF134"/>
  <c r="EE134"/>
  <c r="ED134"/>
  <c r="EC134"/>
  <c r="EB134"/>
  <c r="EA134"/>
  <c r="DZ134"/>
  <c r="DY134"/>
  <c r="DX134"/>
  <c r="DW134"/>
  <c r="DV134"/>
  <c r="DU134"/>
  <c r="DT134"/>
  <c r="DS134"/>
  <c r="DR134"/>
  <c r="DQ134"/>
  <c r="DP134"/>
  <c r="DO134"/>
  <c r="DN134"/>
  <c r="DM134"/>
  <c r="DL134"/>
  <c r="DK134"/>
  <c r="DJ134"/>
  <c r="DI134"/>
  <c r="DH134"/>
  <c r="DG134"/>
  <c r="DF134"/>
  <c r="DE134"/>
  <c r="DD134"/>
  <c r="DC134"/>
  <c r="DB134"/>
  <c r="DA134"/>
  <c r="CZ134"/>
  <c r="CY134"/>
  <c r="CX134"/>
  <c r="CW134"/>
  <c r="CV134"/>
  <c r="CU134"/>
  <c r="CT134"/>
  <c r="CS134"/>
  <c r="CR134"/>
  <c r="CQ134"/>
  <c r="CP134"/>
  <c r="CO134"/>
  <c r="CN134"/>
  <c r="CM134"/>
  <c r="CL134"/>
  <c r="CK134"/>
  <c r="CJ134"/>
  <c r="CI134"/>
  <c r="CH134"/>
  <c r="CG134"/>
  <c r="CF134"/>
  <c r="CE134"/>
  <c r="CD134"/>
  <c r="CC134"/>
  <c r="CB134"/>
  <c r="CA134"/>
  <c r="BZ134"/>
  <c r="BY134"/>
  <c r="BX134"/>
  <c r="BW134"/>
  <c r="BV134"/>
  <c r="BU134"/>
  <c r="BT134"/>
  <c r="BS134"/>
  <c r="BR134"/>
  <c r="BQ134"/>
  <c r="BP134"/>
  <c r="BO134"/>
  <c r="BN134"/>
  <c r="BM134"/>
  <c r="BL134"/>
  <c r="BK134"/>
  <c r="BJ134"/>
  <c r="BI134"/>
  <c r="BH134"/>
  <c r="BG134"/>
  <c r="BF134"/>
  <c r="BE134"/>
  <c r="BD134"/>
  <c r="BC134"/>
  <c r="BB134"/>
  <c r="BA134"/>
  <c r="AZ134"/>
  <c r="AY134"/>
  <c r="AX134"/>
  <c r="AW134"/>
  <c r="AV134"/>
  <c r="AU134"/>
  <c r="AT134"/>
  <c r="AS134"/>
  <c r="AR134"/>
  <c r="AQ134"/>
  <c r="AP134"/>
  <c r="AO134"/>
  <c r="AN134"/>
  <c r="AM134"/>
  <c r="AL134"/>
  <c r="AK134"/>
  <c r="AJ134"/>
  <c r="AI134"/>
  <c r="AH134"/>
  <c r="AG134"/>
  <c r="AF134"/>
  <c r="AE134"/>
  <c r="AD134"/>
  <c r="AC134"/>
  <c r="AB134"/>
  <c r="AA134"/>
  <c r="Z134"/>
  <c r="Y134"/>
  <c r="X134"/>
  <c r="W134"/>
  <c r="V134"/>
  <c r="U134"/>
  <c r="T134"/>
  <c r="S134"/>
  <c r="R134"/>
  <c r="Q134"/>
  <c r="P134"/>
  <c r="O134"/>
  <c r="N134"/>
  <c r="M134"/>
  <c r="L134"/>
  <c r="K134"/>
  <c r="J134"/>
  <c r="I134"/>
  <c r="H134"/>
  <c r="G134"/>
  <c r="F134"/>
  <c r="E134"/>
  <c r="D134"/>
  <c r="C134"/>
  <c r="B134"/>
  <c r="A134"/>
  <c r="IV133"/>
  <c r="IU133"/>
  <c r="IT133"/>
  <c r="IS133"/>
  <c r="IR133"/>
  <c r="IQ133"/>
  <c r="IP133"/>
  <c r="IO133"/>
  <c r="IN133"/>
  <c r="IM133"/>
  <c r="IL133"/>
  <c r="IK133"/>
  <c r="IJ133"/>
  <c r="II133"/>
  <c r="IH133"/>
  <c r="IG133"/>
  <c r="IF133"/>
  <c r="IE133"/>
  <c r="ID133"/>
  <c r="IC133"/>
  <c r="IB133"/>
  <c r="IA133"/>
  <c r="HZ133"/>
  <c r="HY133"/>
  <c r="HX133"/>
  <c r="HW133"/>
  <c r="HV133"/>
  <c r="HU133"/>
  <c r="HT133"/>
  <c r="HS133"/>
  <c r="HR133"/>
  <c r="HQ133"/>
  <c r="HP133"/>
  <c r="HO133"/>
  <c r="HN133"/>
  <c r="HM133"/>
  <c r="HL133"/>
  <c r="HK133"/>
  <c r="HJ133"/>
  <c r="HI133"/>
  <c r="HH133"/>
  <c r="HG133"/>
  <c r="HF133"/>
  <c r="HE133"/>
  <c r="HD133"/>
  <c r="HC133"/>
  <c r="HB133"/>
  <c r="HA133"/>
  <c r="GZ133"/>
  <c r="GY133"/>
  <c r="GX133"/>
  <c r="GW133"/>
  <c r="GV133"/>
  <c r="GU133"/>
  <c r="GT133"/>
  <c r="GS133"/>
  <c r="GR133"/>
  <c r="GQ133"/>
  <c r="GP133"/>
  <c r="GO133"/>
  <c r="GN133"/>
  <c r="GM133"/>
  <c r="GL133"/>
  <c r="GK133"/>
  <c r="GJ133"/>
  <c r="GI133"/>
  <c r="GH133"/>
  <c r="GG133"/>
  <c r="GF133"/>
  <c r="GE133"/>
  <c r="GD133"/>
  <c r="GC133"/>
  <c r="GB133"/>
  <c r="GA133"/>
  <c r="FZ133"/>
  <c r="FY133"/>
  <c r="FX133"/>
  <c r="FW133"/>
  <c r="FV133"/>
  <c r="FU133"/>
  <c r="FT133"/>
  <c r="FS133"/>
  <c r="FR133"/>
  <c r="FQ133"/>
  <c r="FP133"/>
  <c r="FO133"/>
  <c r="FN133"/>
  <c r="FM133"/>
  <c r="FL133"/>
  <c r="FK133"/>
  <c r="FJ133"/>
  <c r="FI133"/>
  <c r="FH133"/>
  <c r="FG133"/>
  <c r="FF133"/>
  <c r="FE133"/>
  <c r="FD133"/>
  <c r="FC133"/>
  <c r="FB133"/>
  <c r="FA133"/>
  <c r="EZ133"/>
  <c r="EY133"/>
  <c r="EX133"/>
  <c r="EW133"/>
  <c r="EV133"/>
  <c r="EU133"/>
  <c r="ET133"/>
  <c r="ES133"/>
  <c r="ER133"/>
  <c r="EQ133"/>
  <c r="EP133"/>
  <c r="EO133"/>
  <c r="EN133"/>
  <c r="EM133"/>
  <c r="EL133"/>
  <c r="EK133"/>
  <c r="EJ133"/>
  <c r="EI133"/>
  <c r="EH133"/>
  <c r="EG133"/>
  <c r="EF133"/>
  <c r="EE133"/>
  <c r="ED133"/>
  <c r="EC133"/>
  <c r="EB133"/>
  <c r="EA133"/>
  <c r="DZ133"/>
  <c r="DY133"/>
  <c r="DX133"/>
  <c r="DW133"/>
  <c r="DV133"/>
  <c r="DU133"/>
  <c r="DT133"/>
  <c r="DS133"/>
  <c r="DR133"/>
  <c r="DQ133"/>
  <c r="DP133"/>
  <c r="DO133"/>
  <c r="DN133"/>
  <c r="DM133"/>
  <c r="DL133"/>
  <c r="DK133"/>
  <c r="DJ133"/>
  <c r="DI133"/>
  <c r="DH133"/>
  <c r="DG133"/>
  <c r="DF133"/>
  <c r="DE133"/>
  <c r="DD133"/>
  <c r="DC133"/>
  <c r="DB133"/>
  <c r="DA133"/>
  <c r="CZ133"/>
  <c r="CY133"/>
  <c r="CX133"/>
  <c r="CW133"/>
  <c r="CV133"/>
  <c r="CU133"/>
  <c r="CT133"/>
  <c r="CS133"/>
  <c r="CR133"/>
  <c r="CQ133"/>
  <c r="CP133"/>
  <c r="CO133"/>
  <c r="CN133"/>
  <c r="CM133"/>
  <c r="CL133"/>
  <c r="CK133"/>
  <c r="CJ133"/>
  <c r="CI133"/>
  <c r="CH133"/>
  <c r="CG133"/>
  <c r="CF133"/>
  <c r="CE133"/>
  <c r="CD133"/>
  <c r="CC133"/>
  <c r="CB133"/>
  <c r="CA133"/>
  <c r="BZ133"/>
  <c r="BY133"/>
  <c r="BX133"/>
  <c r="BW133"/>
  <c r="BV133"/>
  <c r="BU133"/>
  <c r="BT133"/>
  <c r="BS133"/>
  <c r="BR133"/>
  <c r="BQ133"/>
  <c r="BP133"/>
  <c r="BO133"/>
  <c r="BN133"/>
  <c r="BM133"/>
  <c r="BL133"/>
  <c r="BK133"/>
  <c r="BJ133"/>
  <c r="BI133"/>
  <c r="BH133"/>
  <c r="BG133"/>
  <c r="BF133"/>
  <c r="BE133"/>
  <c r="BD133"/>
  <c r="BC133"/>
  <c r="BB133"/>
  <c r="BA133"/>
  <c r="AZ133"/>
  <c r="AY133"/>
  <c r="AX133"/>
  <c r="AW133"/>
  <c r="AV133"/>
  <c r="AU133"/>
  <c r="AT133"/>
  <c r="AS133"/>
  <c r="AR133"/>
  <c r="AQ133"/>
  <c r="AP133"/>
  <c r="AO133"/>
  <c r="AN133"/>
  <c r="AM133"/>
  <c r="AL133"/>
  <c r="AK133"/>
  <c r="AJ133"/>
  <c r="AI133"/>
  <c r="AH133"/>
  <c r="AG133"/>
  <c r="AF133"/>
  <c r="AE133"/>
  <c r="AD133"/>
  <c r="AC133"/>
  <c r="AB133"/>
  <c r="AA133"/>
  <c r="Z133"/>
  <c r="Y133"/>
  <c r="X133"/>
  <c r="W133"/>
  <c r="V133"/>
  <c r="U133"/>
  <c r="T133"/>
  <c r="S133"/>
  <c r="R133"/>
  <c r="Q133"/>
  <c r="P133"/>
  <c r="O133"/>
  <c r="N133"/>
  <c r="M133"/>
  <c r="L133"/>
  <c r="K133"/>
  <c r="J133"/>
  <c r="I133"/>
  <c r="H133"/>
  <c r="G133"/>
  <c r="F133"/>
  <c r="E133"/>
  <c r="D133"/>
  <c r="C133"/>
  <c r="B133"/>
  <c r="A133"/>
  <c r="IV132"/>
  <c r="IU132"/>
  <c r="IT132"/>
  <c r="IS132"/>
  <c r="IR132"/>
  <c r="IQ132"/>
  <c r="IP132"/>
  <c r="IO132"/>
  <c r="IN132"/>
  <c r="IM132"/>
  <c r="IL132"/>
  <c r="IK132"/>
  <c r="IJ132"/>
  <c r="II132"/>
  <c r="IH132"/>
  <c r="IG132"/>
  <c r="IF132"/>
  <c r="IE132"/>
  <c r="ID132"/>
  <c r="IC132"/>
  <c r="IB132"/>
  <c r="IA132"/>
  <c r="HZ132"/>
  <c r="HY132"/>
  <c r="HX132"/>
  <c r="HW132"/>
  <c r="HV132"/>
  <c r="HU132"/>
  <c r="HT132"/>
  <c r="HS132"/>
  <c r="HR132"/>
  <c r="HQ132"/>
  <c r="HP132"/>
  <c r="HO132"/>
  <c r="HN132"/>
  <c r="HM132"/>
  <c r="HL132"/>
  <c r="HK132"/>
  <c r="HJ132"/>
  <c r="HI132"/>
  <c r="HH132"/>
  <c r="HG132"/>
  <c r="HF132"/>
  <c r="HE132"/>
  <c r="HD132"/>
  <c r="HC132"/>
  <c r="HB132"/>
  <c r="HA132"/>
  <c r="GZ132"/>
  <c r="GY132"/>
  <c r="GX132"/>
  <c r="GW132"/>
  <c r="GV132"/>
  <c r="GU132"/>
  <c r="GT132"/>
  <c r="GS132"/>
  <c r="GR132"/>
  <c r="GQ132"/>
  <c r="GP132"/>
  <c r="GO132"/>
  <c r="GN132"/>
  <c r="GM132"/>
  <c r="GL132"/>
  <c r="GK132"/>
  <c r="GJ132"/>
  <c r="GI132"/>
  <c r="GH132"/>
  <c r="GG132"/>
  <c r="GF132"/>
  <c r="GE132"/>
  <c r="GD132"/>
  <c r="GC132"/>
  <c r="GB132"/>
  <c r="GA132"/>
  <c r="FZ132"/>
  <c r="FY132"/>
  <c r="FX132"/>
  <c r="FW132"/>
  <c r="FV132"/>
  <c r="FU132"/>
  <c r="FT132"/>
  <c r="FS132"/>
  <c r="FR132"/>
  <c r="FQ132"/>
  <c r="FP132"/>
  <c r="FO132"/>
  <c r="FN132"/>
  <c r="FM132"/>
  <c r="FL132"/>
  <c r="FK132"/>
  <c r="FJ132"/>
  <c r="FI132"/>
  <c r="FH132"/>
  <c r="FG132"/>
  <c r="FF132"/>
  <c r="FE132"/>
  <c r="FD132"/>
  <c r="FC132"/>
  <c r="FB132"/>
  <c r="FA132"/>
  <c r="EZ132"/>
  <c r="EY132"/>
  <c r="EX132"/>
  <c r="EW132"/>
  <c r="EV132"/>
  <c r="EU132"/>
  <c r="ET132"/>
  <c r="ES132"/>
  <c r="ER132"/>
  <c r="EQ132"/>
  <c r="EP132"/>
  <c r="EO132"/>
  <c r="EN132"/>
  <c r="EM132"/>
  <c r="EL132"/>
  <c r="EK132"/>
  <c r="EJ132"/>
  <c r="EI132"/>
  <c r="EH132"/>
  <c r="EG132"/>
  <c r="EF132"/>
  <c r="EE132"/>
  <c r="ED132"/>
  <c r="EC132"/>
  <c r="EB132"/>
  <c r="EA132"/>
  <c r="DZ132"/>
  <c r="DY132"/>
  <c r="DX132"/>
  <c r="DW132"/>
  <c r="DV132"/>
  <c r="DU132"/>
  <c r="DT132"/>
  <c r="DS132"/>
  <c r="DR132"/>
  <c r="DQ132"/>
  <c r="DP132"/>
  <c r="DO132"/>
  <c r="DN132"/>
  <c r="DM132"/>
  <c r="DL132"/>
  <c r="DK132"/>
  <c r="DJ132"/>
  <c r="DI132"/>
  <c r="DH132"/>
  <c r="DG132"/>
  <c r="DF132"/>
  <c r="DE132"/>
  <c r="DD132"/>
  <c r="DC132"/>
  <c r="DB132"/>
  <c r="DA132"/>
  <c r="CZ132"/>
  <c r="CY132"/>
  <c r="CX132"/>
  <c r="CW132"/>
  <c r="CV132"/>
  <c r="CU132"/>
  <c r="CT132"/>
  <c r="CS132"/>
  <c r="CR132"/>
  <c r="CQ132"/>
  <c r="CP132"/>
  <c r="CO132"/>
  <c r="CN132"/>
  <c r="CM132"/>
  <c r="CL132"/>
  <c r="CK132"/>
  <c r="CJ132"/>
  <c r="CI132"/>
  <c r="CH132"/>
  <c r="CG132"/>
  <c r="CF132"/>
  <c r="CE132"/>
  <c r="CD132"/>
  <c r="CC132"/>
  <c r="CB132"/>
  <c r="CA132"/>
  <c r="BZ132"/>
  <c r="BY132"/>
  <c r="BX132"/>
  <c r="BW132"/>
  <c r="BV132"/>
  <c r="BU132"/>
  <c r="BT132"/>
  <c r="BS132"/>
  <c r="BR132"/>
  <c r="BQ132"/>
  <c r="BP132"/>
  <c r="BO132"/>
  <c r="BN132"/>
  <c r="BM132"/>
  <c r="BL132"/>
  <c r="BK132"/>
  <c r="BJ132"/>
  <c r="BI132"/>
  <c r="BH132"/>
  <c r="BG132"/>
  <c r="BF132"/>
  <c r="BE132"/>
  <c r="BD132"/>
  <c r="BC132"/>
  <c r="BB132"/>
  <c r="BA132"/>
  <c r="AZ132"/>
  <c r="AY132"/>
  <c r="AX132"/>
  <c r="AW132"/>
  <c r="AV132"/>
  <c r="AU132"/>
  <c r="AT132"/>
  <c r="AS132"/>
  <c r="AR132"/>
  <c r="AQ132"/>
  <c r="AP132"/>
  <c r="AO132"/>
  <c r="AN132"/>
  <c r="AM132"/>
  <c r="AL132"/>
  <c r="AK132"/>
  <c r="AJ132"/>
  <c r="AI132"/>
  <c r="AH132"/>
  <c r="AG132"/>
  <c r="AF132"/>
  <c r="AE132"/>
  <c r="AD132"/>
  <c r="AC132"/>
  <c r="AB132"/>
  <c r="AA132"/>
  <c r="Z132"/>
  <c r="Y132"/>
  <c r="X132"/>
  <c r="W132"/>
  <c r="V132"/>
  <c r="U132"/>
  <c r="T132"/>
  <c r="S132"/>
  <c r="R132"/>
  <c r="Q132"/>
  <c r="P132"/>
  <c r="O132"/>
  <c r="N132"/>
  <c r="M132"/>
  <c r="L132"/>
  <c r="K132"/>
  <c r="J132"/>
  <c r="I132"/>
  <c r="H132"/>
  <c r="G132"/>
  <c r="F132"/>
  <c r="E132"/>
  <c r="D132"/>
  <c r="C132"/>
  <c r="B132"/>
  <c r="A132"/>
  <c r="IV131"/>
  <c r="IU131"/>
  <c r="IT131"/>
  <c r="IS131"/>
  <c r="IR131"/>
  <c r="IQ131"/>
  <c r="IP131"/>
  <c r="IO131"/>
  <c r="IN131"/>
  <c r="IM131"/>
  <c r="IL131"/>
  <c r="IK131"/>
  <c r="IJ131"/>
  <c r="II131"/>
  <c r="IH131"/>
  <c r="IG131"/>
  <c r="IF131"/>
  <c r="IE131"/>
  <c r="ID131"/>
  <c r="IC131"/>
  <c r="IB131"/>
  <c r="IA131"/>
  <c r="HZ131"/>
  <c r="HY131"/>
  <c r="HX131"/>
  <c r="HW131"/>
  <c r="HV131"/>
  <c r="HU131"/>
  <c r="HT131"/>
  <c r="HS131"/>
  <c r="HR131"/>
  <c r="HQ131"/>
  <c r="HP131"/>
  <c r="HO131"/>
  <c r="HN131"/>
  <c r="HM131"/>
  <c r="HL131"/>
  <c r="HK131"/>
  <c r="HJ131"/>
  <c r="HI131"/>
  <c r="HH131"/>
  <c r="HG131"/>
  <c r="HF131"/>
  <c r="HE131"/>
  <c r="HD131"/>
  <c r="HC131"/>
  <c r="HB131"/>
  <c r="HA131"/>
  <c r="GZ131"/>
  <c r="GY131"/>
  <c r="GX131"/>
  <c r="GW131"/>
  <c r="GV131"/>
  <c r="GU131"/>
  <c r="GT131"/>
  <c r="GS131"/>
  <c r="GR131"/>
  <c r="GQ131"/>
  <c r="GP131"/>
  <c r="GO131"/>
  <c r="GN131"/>
  <c r="GM131"/>
  <c r="GL131"/>
  <c r="GK131"/>
  <c r="GJ131"/>
  <c r="GI131"/>
  <c r="GH131"/>
  <c r="GG131"/>
  <c r="GF131"/>
  <c r="GE131"/>
  <c r="GD131"/>
  <c r="GC131"/>
  <c r="GB131"/>
  <c r="GA131"/>
  <c r="FZ131"/>
  <c r="FY131"/>
  <c r="FX131"/>
  <c r="FW131"/>
  <c r="FV131"/>
  <c r="FU131"/>
  <c r="FT131"/>
  <c r="FS131"/>
  <c r="FR131"/>
  <c r="FQ131"/>
  <c r="FP131"/>
  <c r="FO131"/>
  <c r="FN131"/>
  <c r="FM131"/>
  <c r="FL131"/>
  <c r="FK131"/>
  <c r="FJ131"/>
  <c r="FI131"/>
  <c r="FH131"/>
  <c r="FG131"/>
  <c r="FF131"/>
  <c r="FE131"/>
  <c r="FD131"/>
  <c r="FC131"/>
  <c r="FB131"/>
  <c r="FA131"/>
  <c r="EZ131"/>
  <c r="EY131"/>
  <c r="EX131"/>
  <c r="EW131"/>
  <c r="EV131"/>
  <c r="EU131"/>
  <c r="ET131"/>
  <c r="ES131"/>
  <c r="ER131"/>
  <c r="EQ131"/>
  <c r="EP131"/>
  <c r="EO131"/>
  <c r="EN131"/>
  <c r="EM131"/>
  <c r="EL131"/>
  <c r="EK131"/>
  <c r="EJ131"/>
  <c r="EI131"/>
  <c r="EH131"/>
  <c r="EG131"/>
  <c r="EF131"/>
  <c r="EE131"/>
  <c r="ED131"/>
  <c r="EC131"/>
  <c r="EB131"/>
  <c r="EA131"/>
  <c r="DZ131"/>
  <c r="DY131"/>
  <c r="DX131"/>
  <c r="DW131"/>
  <c r="DV131"/>
  <c r="DU131"/>
  <c r="DT131"/>
  <c r="DS131"/>
  <c r="DR131"/>
  <c r="DQ131"/>
  <c r="DP131"/>
  <c r="DO131"/>
  <c r="DN131"/>
  <c r="DM131"/>
  <c r="DL131"/>
  <c r="DK131"/>
  <c r="DJ131"/>
  <c r="DI131"/>
  <c r="DH131"/>
  <c r="DG131"/>
  <c r="DF131"/>
  <c r="DE131"/>
  <c r="DD131"/>
  <c r="DC131"/>
  <c r="DB131"/>
  <c r="DA131"/>
  <c r="CZ131"/>
  <c r="CY131"/>
  <c r="CX131"/>
  <c r="CW131"/>
  <c r="CV131"/>
  <c r="CU131"/>
  <c r="CT131"/>
  <c r="CS131"/>
  <c r="CR131"/>
  <c r="CQ131"/>
  <c r="CP131"/>
  <c r="CO131"/>
  <c r="CN131"/>
  <c r="CM131"/>
  <c r="CL131"/>
  <c r="CK131"/>
  <c r="CJ131"/>
  <c r="CI131"/>
  <c r="CH131"/>
  <c r="CG131"/>
  <c r="CF131"/>
  <c r="CE131"/>
  <c r="CD131"/>
  <c r="CC131"/>
  <c r="CB131"/>
  <c r="CA131"/>
  <c r="BZ131"/>
  <c r="BY131"/>
  <c r="BX131"/>
  <c r="BW131"/>
  <c r="BV131"/>
  <c r="BU131"/>
  <c r="BT131"/>
  <c r="BS131"/>
  <c r="BR131"/>
  <c r="BQ131"/>
  <c r="BP131"/>
  <c r="BO131"/>
  <c r="BN131"/>
  <c r="BM131"/>
  <c r="BL131"/>
  <c r="BK131"/>
  <c r="BJ131"/>
  <c r="BI131"/>
  <c r="BH131"/>
  <c r="BG131"/>
  <c r="BF131"/>
  <c r="BE131"/>
  <c r="BD131"/>
  <c r="BC131"/>
  <c r="BB131"/>
  <c r="BA131"/>
  <c r="AZ131"/>
  <c r="AY131"/>
  <c r="AX131"/>
  <c r="AW131"/>
  <c r="AV131"/>
  <c r="AU131"/>
  <c r="AT131"/>
  <c r="AS131"/>
  <c r="AR131"/>
  <c r="AQ131"/>
  <c r="AP131"/>
  <c r="AO131"/>
  <c r="AN131"/>
  <c r="AM131"/>
  <c r="AL131"/>
  <c r="AK131"/>
  <c r="AJ131"/>
  <c r="AI131"/>
  <c r="AH131"/>
  <c r="AG131"/>
  <c r="AF131"/>
  <c r="AE131"/>
  <c r="AD131"/>
  <c r="AC131"/>
  <c r="AB131"/>
  <c r="AA131"/>
  <c r="Z131"/>
  <c r="Y131"/>
  <c r="X131"/>
  <c r="W131"/>
  <c r="V131"/>
  <c r="U131"/>
  <c r="T131"/>
  <c r="S131"/>
  <c r="R131"/>
  <c r="Q131"/>
  <c r="P131"/>
  <c r="O131"/>
  <c r="N131"/>
  <c r="M131"/>
  <c r="L131"/>
  <c r="K131"/>
  <c r="J131"/>
  <c r="I131"/>
  <c r="H131"/>
  <c r="G131"/>
  <c r="F131"/>
  <c r="E131"/>
  <c r="D131"/>
  <c r="C131"/>
  <c r="B131"/>
  <c r="A131"/>
  <c r="IV130"/>
  <c r="IU130"/>
  <c r="IT130"/>
  <c r="IS130"/>
  <c r="IR130"/>
  <c r="IQ130"/>
  <c r="IP130"/>
  <c r="IO130"/>
  <c r="IN130"/>
  <c r="IM130"/>
  <c r="IL130"/>
  <c r="IK130"/>
  <c r="IJ130"/>
  <c r="II130"/>
  <c r="IH130"/>
  <c r="IG130"/>
  <c r="IF130"/>
  <c r="IE130"/>
  <c r="ID130"/>
  <c r="IC130"/>
  <c r="IB130"/>
  <c r="IA130"/>
  <c r="HZ130"/>
  <c r="HY130"/>
  <c r="HX130"/>
  <c r="HW130"/>
  <c r="HV130"/>
  <c r="HU130"/>
  <c r="HT130"/>
  <c r="HS130"/>
  <c r="HR130"/>
  <c r="HQ130"/>
  <c r="HP130"/>
  <c r="HO130"/>
  <c r="HN130"/>
  <c r="HM130"/>
  <c r="HL130"/>
  <c r="HK130"/>
  <c r="HJ130"/>
  <c r="HI130"/>
  <c r="HH130"/>
  <c r="HG130"/>
  <c r="HF130"/>
  <c r="HE130"/>
  <c r="HD130"/>
  <c r="HC130"/>
  <c r="HB130"/>
  <c r="HA130"/>
  <c r="GZ130"/>
  <c r="GY130"/>
  <c r="GX130"/>
  <c r="GW130"/>
  <c r="GV130"/>
  <c r="GU130"/>
  <c r="GT130"/>
  <c r="GS130"/>
  <c r="GR130"/>
  <c r="GQ130"/>
  <c r="GP130"/>
  <c r="GO130"/>
  <c r="GN130"/>
  <c r="GM130"/>
  <c r="GL130"/>
  <c r="GK130"/>
  <c r="GJ130"/>
  <c r="GI130"/>
  <c r="GH130"/>
  <c r="GG130"/>
  <c r="GF130"/>
  <c r="GE130"/>
  <c r="GD130"/>
  <c r="GC130"/>
  <c r="GB130"/>
  <c r="GA130"/>
  <c r="FZ130"/>
  <c r="FY130"/>
  <c r="FX130"/>
  <c r="FW130"/>
  <c r="FV130"/>
  <c r="FU130"/>
  <c r="FT130"/>
  <c r="FS130"/>
  <c r="FR130"/>
  <c r="FQ130"/>
  <c r="FP130"/>
  <c r="FO130"/>
  <c r="FN130"/>
  <c r="FM130"/>
  <c r="FL130"/>
  <c r="FK130"/>
  <c r="FJ130"/>
  <c r="FI130"/>
  <c r="FH130"/>
  <c r="FG130"/>
  <c r="FF130"/>
  <c r="FE130"/>
  <c r="FD130"/>
  <c r="FC130"/>
  <c r="FB130"/>
  <c r="FA130"/>
  <c r="EZ130"/>
  <c r="EY130"/>
  <c r="EX130"/>
  <c r="EW130"/>
  <c r="EV130"/>
  <c r="EU130"/>
  <c r="ET130"/>
  <c r="ES130"/>
  <c r="ER130"/>
  <c r="EQ130"/>
  <c r="EP130"/>
  <c r="EO130"/>
  <c r="EN130"/>
  <c r="EM130"/>
  <c r="EL130"/>
  <c r="EK130"/>
  <c r="EJ130"/>
  <c r="EI130"/>
  <c r="EH130"/>
  <c r="EG130"/>
  <c r="EF130"/>
  <c r="EE130"/>
  <c r="ED130"/>
  <c r="EC130"/>
  <c r="EB130"/>
  <c r="EA130"/>
  <c r="DZ130"/>
  <c r="DY130"/>
  <c r="DX130"/>
  <c r="DW130"/>
  <c r="DV130"/>
  <c r="DU130"/>
  <c r="DT130"/>
  <c r="DS130"/>
  <c r="DR130"/>
  <c r="DQ130"/>
  <c r="DP130"/>
  <c r="DO130"/>
  <c r="DN130"/>
  <c r="DM130"/>
  <c r="DL130"/>
  <c r="DK130"/>
  <c r="DJ130"/>
  <c r="DI130"/>
  <c r="DH130"/>
  <c r="DG130"/>
  <c r="DF130"/>
  <c r="DE130"/>
  <c r="DD130"/>
  <c r="DC130"/>
  <c r="DB130"/>
  <c r="DA130"/>
  <c r="CZ130"/>
  <c r="CY130"/>
  <c r="CX130"/>
  <c r="CW130"/>
  <c r="CV130"/>
  <c r="CU130"/>
  <c r="CT130"/>
  <c r="CS130"/>
  <c r="CR130"/>
  <c r="CQ130"/>
  <c r="CP130"/>
  <c r="CO130"/>
  <c r="CN130"/>
  <c r="CM130"/>
  <c r="CL130"/>
  <c r="CK130"/>
  <c r="CJ130"/>
  <c r="CI130"/>
  <c r="CH130"/>
  <c r="CG130"/>
  <c r="CF130"/>
  <c r="CE130"/>
  <c r="CD130"/>
  <c r="CC130"/>
  <c r="CB130"/>
  <c r="CA130"/>
  <c r="BZ130"/>
  <c r="BY130"/>
  <c r="BX130"/>
  <c r="BW130"/>
  <c r="BV130"/>
  <c r="BU130"/>
  <c r="BT130"/>
  <c r="BS130"/>
  <c r="BR130"/>
  <c r="BQ130"/>
  <c r="BP130"/>
  <c r="BO130"/>
  <c r="BN130"/>
  <c r="BM130"/>
  <c r="BL130"/>
  <c r="BK130"/>
  <c r="BJ130"/>
  <c r="BI130"/>
  <c r="BH130"/>
  <c r="BG130"/>
  <c r="BF130"/>
  <c r="BE130"/>
  <c r="BD130"/>
  <c r="BC130"/>
  <c r="BB130"/>
  <c r="BA130"/>
  <c r="AZ130"/>
  <c r="AY130"/>
  <c r="AX130"/>
  <c r="AW130"/>
  <c r="AV130"/>
  <c r="AU130"/>
  <c r="AT130"/>
  <c r="AS130"/>
  <c r="AR130"/>
  <c r="AQ130"/>
  <c r="AP130"/>
  <c r="AO130"/>
  <c r="AN130"/>
  <c r="AM130"/>
  <c r="AL130"/>
  <c r="AK130"/>
  <c r="AJ130"/>
  <c r="AI130"/>
  <c r="AH130"/>
  <c r="AG130"/>
  <c r="AF130"/>
  <c r="AE130"/>
  <c r="AD130"/>
  <c r="AC130"/>
  <c r="AB130"/>
  <c r="AA130"/>
  <c r="Z130"/>
  <c r="Y130"/>
  <c r="X130"/>
  <c r="W130"/>
  <c r="V130"/>
  <c r="U130"/>
  <c r="T130"/>
  <c r="S130"/>
  <c r="R130"/>
  <c r="Q130"/>
  <c r="P130"/>
  <c r="O130"/>
  <c r="N130"/>
  <c r="M130"/>
  <c r="L130"/>
  <c r="K130"/>
  <c r="J130"/>
  <c r="I130"/>
  <c r="H130"/>
  <c r="G130"/>
  <c r="F130"/>
  <c r="E130"/>
  <c r="D130"/>
  <c r="C130"/>
  <c r="B130"/>
  <c r="A130"/>
  <c r="IV129"/>
  <c r="IU129"/>
  <c r="IT129"/>
  <c r="IS129"/>
  <c r="IR129"/>
  <c r="IQ129"/>
  <c r="IP129"/>
  <c r="IO129"/>
  <c r="IN129"/>
  <c r="IM129"/>
  <c r="IL129"/>
  <c r="IK129"/>
  <c r="IJ129"/>
  <c r="II129"/>
  <c r="IH129"/>
  <c r="IG129"/>
  <c r="IF129"/>
  <c r="IE129"/>
  <c r="ID129"/>
  <c r="IC129"/>
  <c r="IB129"/>
  <c r="IA129"/>
  <c r="HZ129"/>
  <c r="HY129"/>
  <c r="HX129"/>
  <c r="HW129"/>
  <c r="HV129"/>
  <c r="HU129"/>
  <c r="HT129"/>
  <c r="HS129"/>
  <c r="HR129"/>
  <c r="HQ129"/>
  <c r="HP129"/>
  <c r="HO129"/>
  <c r="HN129"/>
  <c r="HM129"/>
  <c r="HL129"/>
  <c r="HK129"/>
  <c r="HJ129"/>
  <c r="HI129"/>
  <c r="HH129"/>
  <c r="HG129"/>
  <c r="HF129"/>
  <c r="HE129"/>
  <c r="HD129"/>
  <c r="HC129"/>
  <c r="HB129"/>
  <c r="HA129"/>
  <c r="GZ129"/>
  <c r="GY129"/>
  <c r="GX129"/>
  <c r="GW129"/>
  <c r="GV129"/>
  <c r="GU129"/>
  <c r="GT129"/>
  <c r="GS129"/>
  <c r="GR129"/>
  <c r="GQ129"/>
  <c r="GP129"/>
  <c r="GO129"/>
  <c r="GN129"/>
  <c r="GM129"/>
  <c r="GL129"/>
  <c r="GK129"/>
  <c r="GJ129"/>
  <c r="GI129"/>
  <c r="GH129"/>
  <c r="GG129"/>
  <c r="GF129"/>
  <c r="GE129"/>
  <c r="GD129"/>
  <c r="GC129"/>
  <c r="GB129"/>
  <c r="GA129"/>
  <c r="FZ129"/>
  <c r="FY129"/>
  <c r="FX129"/>
  <c r="FW129"/>
  <c r="FV129"/>
  <c r="FU129"/>
  <c r="FT129"/>
  <c r="FS129"/>
  <c r="FR129"/>
  <c r="FQ129"/>
  <c r="FP129"/>
  <c r="FO129"/>
  <c r="FN129"/>
  <c r="FM129"/>
  <c r="FL129"/>
  <c r="FK129"/>
  <c r="FJ129"/>
  <c r="FI129"/>
  <c r="FH129"/>
  <c r="FG129"/>
  <c r="FF129"/>
  <c r="FE129"/>
  <c r="FD129"/>
  <c r="FC129"/>
  <c r="FB129"/>
  <c r="FA129"/>
  <c r="EZ129"/>
  <c r="EY129"/>
  <c r="EX129"/>
  <c r="EW129"/>
  <c r="EV129"/>
  <c r="EU129"/>
  <c r="ET129"/>
  <c r="ES129"/>
  <c r="ER129"/>
  <c r="EQ129"/>
  <c r="EP129"/>
  <c r="EO129"/>
  <c r="EN129"/>
  <c r="EM129"/>
  <c r="EL129"/>
  <c r="EK129"/>
  <c r="EJ129"/>
  <c r="EI129"/>
  <c r="EH129"/>
  <c r="EG129"/>
  <c r="EF129"/>
  <c r="EE129"/>
  <c r="ED129"/>
  <c r="EC129"/>
  <c r="EB129"/>
  <c r="EA129"/>
  <c r="DZ129"/>
  <c r="DY129"/>
  <c r="DX129"/>
  <c r="DW129"/>
  <c r="DV129"/>
  <c r="DU129"/>
  <c r="DT129"/>
  <c r="DS129"/>
  <c r="DR129"/>
  <c r="DQ129"/>
  <c r="DP129"/>
  <c r="DO129"/>
  <c r="DN129"/>
  <c r="DM129"/>
  <c r="DL129"/>
  <c r="DK129"/>
  <c r="DJ129"/>
  <c r="DI129"/>
  <c r="DH129"/>
  <c r="DG129"/>
  <c r="DF129"/>
  <c r="DE129"/>
  <c r="DD129"/>
  <c r="DC129"/>
  <c r="DB129"/>
  <c r="DA129"/>
  <c r="CZ129"/>
  <c r="CY129"/>
  <c r="CX129"/>
  <c r="CW129"/>
  <c r="CV129"/>
  <c r="CU129"/>
  <c r="CT129"/>
  <c r="CS129"/>
  <c r="CR129"/>
  <c r="CQ129"/>
  <c r="CP129"/>
  <c r="CO129"/>
  <c r="CN129"/>
  <c r="CM129"/>
  <c r="CL129"/>
  <c r="CK129"/>
  <c r="CJ129"/>
  <c r="CI129"/>
  <c r="CH129"/>
  <c r="CG129"/>
  <c r="CF129"/>
  <c r="CE129"/>
  <c r="CD129"/>
  <c r="CC129"/>
  <c r="CB129"/>
  <c r="CA129"/>
  <c r="BZ129"/>
  <c r="BY129"/>
  <c r="BX129"/>
  <c r="BW129"/>
  <c r="BV129"/>
  <c r="BU129"/>
  <c r="BT129"/>
  <c r="BS129"/>
  <c r="BR129"/>
  <c r="BQ129"/>
  <c r="BP129"/>
  <c r="BO129"/>
  <c r="BN129"/>
  <c r="BM129"/>
  <c r="BL129"/>
  <c r="BK129"/>
  <c r="BJ129"/>
  <c r="BI129"/>
  <c r="BH129"/>
  <c r="BG129"/>
  <c r="BF129"/>
  <c r="BE129"/>
  <c r="BD129"/>
  <c r="BC129"/>
  <c r="BB129"/>
  <c r="BA129"/>
  <c r="AZ129"/>
  <c r="AY129"/>
  <c r="AX129"/>
  <c r="AW129"/>
  <c r="AV129"/>
  <c r="AU129"/>
  <c r="AT129"/>
  <c r="AS129"/>
  <c r="AR129"/>
  <c r="AQ129"/>
  <c r="AP129"/>
  <c r="AO129"/>
  <c r="AN129"/>
  <c r="AM129"/>
  <c r="AL129"/>
  <c r="AK129"/>
  <c r="AJ129"/>
  <c r="AI129"/>
  <c r="AH129"/>
  <c r="AG129"/>
  <c r="AF129"/>
  <c r="AE129"/>
  <c r="AD129"/>
  <c r="AC129"/>
  <c r="AB129"/>
  <c r="AA129"/>
  <c r="Z129"/>
  <c r="Y129"/>
  <c r="X129"/>
  <c r="W129"/>
  <c r="V129"/>
  <c r="U129"/>
  <c r="T129"/>
  <c r="S129"/>
  <c r="R129"/>
  <c r="Q129"/>
  <c r="P129"/>
  <c r="O129"/>
  <c r="N129"/>
  <c r="M129"/>
  <c r="L129"/>
  <c r="K129"/>
  <c r="J129"/>
  <c r="I129"/>
  <c r="H129"/>
  <c r="G129"/>
  <c r="F129"/>
  <c r="E129"/>
  <c r="D129"/>
  <c r="C129"/>
  <c r="B129"/>
  <c r="A129"/>
  <c r="IV128"/>
  <c r="IU128"/>
  <c r="IT128"/>
  <c r="IS128"/>
  <c r="IR128"/>
  <c r="IQ128"/>
  <c r="IP128"/>
  <c r="IO128"/>
  <c r="IN128"/>
  <c r="IM128"/>
  <c r="IL128"/>
  <c r="IK128"/>
  <c r="IJ128"/>
  <c r="II128"/>
  <c r="IH128"/>
  <c r="IG128"/>
  <c r="IF128"/>
  <c r="IE128"/>
  <c r="ID128"/>
  <c r="IC128"/>
  <c r="IB128"/>
  <c r="IA128"/>
  <c r="HZ128"/>
  <c r="HY128"/>
  <c r="HX128"/>
  <c r="HW128"/>
  <c r="HV128"/>
  <c r="HU128"/>
  <c r="HT128"/>
  <c r="HS128"/>
  <c r="HR128"/>
  <c r="HQ128"/>
  <c r="HP128"/>
  <c r="HO128"/>
  <c r="HN128"/>
  <c r="HM128"/>
  <c r="HL128"/>
  <c r="HK128"/>
  <c r="HJ128"/>
  <c r="HI128"/>
  <c r="HH128"/>
  <c r="HG128"/>
  <c r="HF128"/>
  <c r="HE128"/>
  <c r="HD128"/>
  <c r="HC128"/>
  <c r="HB128"/>
  <c r="HA128"/>
  <c r="GZ128"/>
  <c r="GY128"/>
  <c r="GX128"/>
  <c r="GW128"/>
  <c r="GV128"/>
  <c r="GU128"/>
  <c r="GT128"/>
  <c r="GS128"/>
  <c r="GR128"/>
  <c r="GQ128"/>
  <c r="GP128"/>
  <c r="GO128"/>
  <c r="GN128"/>
  <c r="GM128"/>
  <c r="GL128"/>
  <c r="GK128"/>
  <c r="GJ128"/>
  <c r="GI128"/>
  <c r="GH128"/>
  <c r="GG128"/>
  <c r="GF128"/>
  <c r="GE128"/>
  <c r="GD128"/>
  <c r="GC128"/>
  <c r="GB128"/>
  <c r="GA128"/>
  <c r="FZ128"/>
  <c r="FY128"/>
  <c r="FX128"/>
  <c r="FW128"/>
  <c r="FV128"/>
  <c r="FU128"/>
  <c r="FT128"/>
  <c r="FS128"/>
  <c r="FR128"/>
  <c r="FQ128"/>
  <c r="FP128"/>
  <c r="FO128"/>
  <c r="FN128"/>
  <c r="FM128"/>
  <c r="FL128"/>
  <c r="FK128"/>
  <c r="FJ128"/>
  <c r="FI128"/>
  <c r="FH128"/>
  <c r="FG128"/>
  <c r="FF128"/>
  <c r="FE128"/>
  <c r="FD128"/>
  <c r="FC128"/>
  <c r="FB128"/>
  <c r="FA128"/>
  <c r="EZ128"/>
  <c r="EY128"/>
  <c r="EX128"/>
  <c r="EW128"/>
  <c r="EV128"/>
  <c r="EU128"/>
  <c r="ET128"/>
  <c r="ES128"/>
  <c r="ER128"/>
  <c r="EQ128"/>
  <c r="EP128"/>
  <c r="EO128"/>
  <c r="EN128"/>
  <c r="EM128"/>
  <c r="EL128"/>
  <c r="EK128"/>
  <c r="EJ128"/>
  <c r="EI128"/>
  <c r="EH128"/>
  <c r="EG128"/>
  <c r="EF128"/>
  <c r="EE128"/>
  <c r="ED128"/>
  <c r="EC128"/>
  <c r="EB128"/>
  <c r="EA128"/>
  <c r="DZ128"/>
  <c r="DY128"/>
  <c r="DX128"/>
  <c r="DW128"/>
  <c r="DV128"/>
  <c r="DU128"/>
  <c r="DT128"/>
  <c r="DS128"/>
  <c r="DR128"/>
  <c r="DQ128"/>
  <c r="DP128"/>
  <c r="DO128"/>
  <c r="DN128"/>
  <c r="DM128"/>
  <c r="DL128"/>
  <c r="DK128"/>
  <c r="DJ128"/>
  <c r="DI128"/>
  <c r="DH128"/>
  <c r="DG128"/>
  <c r="DF128"/>
  <c r="DE128"/>
  <c r="DD128"/>
  <c r="DC128"/>
  <c r="DB128"/>
  <c r="DA128"/>
  <c r="CZ128"/>
  <c r="CY128"/>
  <c r="CX128"/>
  <c r="CW128"/>
  <c r="CV128"/>
  <c r="CU128"/>
  <c r="CT128"/>
  <c r="CS128"/>
  <c r="CR128"/>
  <c r="CQ128"/>
  <c r="CP128"/>
  <c r="CO128"/>
  <c r="CN128"/>
  <c r="CM128"/>
  <c r="CL128"/>
  <c r="CK128"/>
  <c r="CJ128"/>
  <c r="CI128"/>
  <c r="CH128"/>
  <c r="CG128"/>
  <c r="CF128"/>
  <c r="CE128"/>
  <c r="CD128"/>
  <c r="CC128"/>
  <c r="CB128"/>
  <c r="CA128"/>
  <c r="BZ128"/>
  <c r="BY128"/>
  <c r="BX128"/>
  <c r="BW128"/>
  <c r="BV128"/>
  <c r="BU128"/>
  <c r="BT128"/>
  <c r="BS128"/>
  <c r="BR128"/>
  <c r="BQ128"/>
  <c r="BP128"/>
  <c r="BO128"/>
  <c r="BN128"/>
  <c r="BM128"/>
  <c r="BL128"/>
  <c r="BK128"/>
  <c r="BJ128"/>
  <c r="BI128"/>
  <c r="BH128"/>
  <c r="BG128"/>
  <c r="BF128"/>
  <c r="BE128"/>
  <c r="BD128"/>
  <c r="BC128"/>
  <c r="BB128"/>
  <c r="BA128"/>
  <c r="AZ128"/>
  <c r="AY128"/>
  <c r="AX128"/>
  <c r="AW128"/>
  <c r="AV128"/>
  <c r="AU128"/>
  <c r="AT128"/>
  <c r="AS128"/>
  <c r="AR128"/>
  <c r="AQ128"/>
  <c r="AP128"/>
  <c r="AO128"/>
  <c r="AN128"/>
  <c r="AM128"/>
  <c r="AL128"/>
  <c r="AK128"/>
  <c r="AJ128"/>
  <c r="AI128"/>
  <c r="AH128"/>
  <c r="AG128"/>
  <c r="AF128"/>
  <c r="AE128"/>
  <c r="AD128"/>
  <c r="AC128"/>
  <c r="AB128"/>
  <c r="AA128"/>
  <c r="Z128"/>
  <c r="Y128"/>
  <c r="X128"/>
  <c r="W128"/>
  <c r="V128"/>
  <c r="U128"/>
  <c r="T128"/>
  <c r="S128"/>
  <c r="R128"/>
  <c r="Q128"/>
  <c r="P128"/>
  <c r="O128"/>
  <c r="N128"/>
  <c r="M128"/>
  <c r="L128"/>
  <c r="K128"/>
  <c r="J128"/>
  <c r="I128"/>
  <c r="H128"/>
  <c r="G128"/>
  <c r="F128"/>
  <c r="E128"/>
  <c r="D128"/>
  <c r="C128"/>
  <c r="B128"/>
  <c r="A128"/>
  <c r="IV127"/>
  <c r="IU127"/>
  <c r="IT127"/>
  <c r="IS127"/>
  <c r="IR127"/>
  <c r="IQ127"/>
  <c r="IP127"/>
  <c r="IO127"/>
  <c r="IN127"/>
  <c r="IM127"/>
  <c r="IL127"/>
  <c r="IK127"/>
  <c r="IJ127"/>
  <c r="II127"/>
  <c r="IH127"/>
  <c r="IG127"/>
  <c r="IF127"/>
  <c r="IE127"/>
  <c r="ID127"/>
  <c r="IC127"/>
  <c r="IB127"/>
  <c r="IA127"/>
  <c r="HZ127"/>
  <c r="HY127"/>
  <c r="HX127"/>
  <c r="HW127"/>
  <c r="HV127"/>
  <c r="HU127"/>
  <c r="HT127"/>
  <c r="HS127"/>
  <c r="HR127"/>
  <c r="HQ127"/>
  <c r="HP127"/>
  <c r="HO127"/>
  <c r="HN127"/>
  <c r="HM127"/>
  <c r="HL127"/>
  <c r="HK127"/>
  <c r="HJ127"/>
  <c r="HI127"/>
  <c r="HH127"/>
  <c r="HG127"/>
  <c r="HF127"/>
  <c r="HE127"/>
  <c r="HD127"/>
  <c r="HC127"/>
  <c r="HB127"/>
  <c r="HA127"/>
  <c r="GZ127"/>
  <c r="GY127"/>
  <c r="GX127"/>
  <c r="GW127"/>
  <c r="GV127"/>
  <c r="GU127"/>
  <c r="GT127"/>
  <c r="GS127"/>
  <c r="GR127"/>
  <c r="GQ127"/>
  <c r="GP127"/>
  <c r="GO127"/>
  <c r="GN127"/>
  <c r="GM127"/>
  <c r="GL127"/>
  <c r="GK127"/>
  <c r="GJ127"/>
  <c r="GI127"/>
  <c r="GH127"/>
  <c r="GG127"/>
  <c r="GF127"/>
  <c r="GE127"/>
  <c r="GD127"/>
  <c r="GC127"/>
  <c r="GB127"/>
  <c r="GA127"/>
  <c r="FZ127"/>
  <c r="FY127"/>
  <c r="FX127"/>
  <c r="FW127"/>
  <c r="FV127"/>
  <c r="FU127"/>
  <c r="FT127"/>
  <c r="FS127"/>
  <c r="FR127"/>
  <c r="FQ127"/>
  <c r="FP127"/>
  <c r="FO127"/>
  <c r="FN127"/>
  <c r="FM127"/>
  <c r="FL127"/>
  <c r="FK127"/>
  <c r="FJ127"/>
  <c r="FI127"/>
  <c r="FH127"/>
  <c r="FG127"/>
  <c r="FF127"/>
  <c r="FE127"/>
  <c r="FD127"/>
  <c r="FC127"/>
  <c r="FB127"/>
  <c r="FA127"/>
  <c r="EZ127"/>
  <c r="EY127"/>
  <c r="EX127"/>
  <c r="EW127"/>
  <c r="EV127"/>
  <c r="EU127"/>
  <c r="ET127"/>
  <c r="ES127"/>
  <c r="ER127"/>
  <c r="EQ127"/>
  <c r="EP127"/>
  <c r="EO127"/>
  <c r="EN127"/>
  <c r="EM127"/>
  <c r="EL127"/>
  <c r="EK127"/>
  <c r="EJ127"/>
  <c r="EI127"/>
  <c r="EH127"/>
  <c r="EG127"/>
  <c r="EF127"/>
  <c r="EE127"/>
  <c r="ED127"/>
  <c r="EC127"/>
  <c r="EB127"/>
  <c r="EA127"/>
  <c r="DZ127"/>
  <c r="DY127"/>
  <c r="DX127"/>
  <c r="DW127"/>
  <c r="DV127"/>
  <c r="DU127"/>
  <c r="DT127"/>
  <c r="DS127"/>
  <c r="DR127"/>
  <c r="DQ127"/>
  <c r="DP127"/>
  <c r="DO127"/>
  <c r="DN127"/>
  <c r="DM127"/>
  <c r="DL127"/>
  <c r="DK127"/>
  <c r="DJ127"/>
  <c r="DI127"/>
  <c r="DH127"/>
  <c r="DG127"/>
  <c r="DF127"/>
  <c r="DE127"/>
  <c r="DD127"/>
  <c r="DC127"/>
  <c r="DB127"/>
  <c r="DA127"/>
  <c r="CZ127"/>
  <c r="CY127"/>
  <c r="CX127"/>
  <c r="CW127"/>
  <c r="CV127"/>
  <c r="CU127"/>
  <c r="CT127"/>
  <c r="CS127"/>
  <c r="CR127"/>
  <c r="CQ127"/>
  <c r="CP127"/>
  <c r="CO127"/>
  <c r="CN127"/>
  <c r="CM127"/>
  <c r="CL127"/>
  <c r="CK127"/>
  <c r="CJ127"/>
  <c r="CI127"/>
  <c r="CH127"/>
  <c r="CG127"/>
  <c r="CF127"/>
  <c r="CE127"/>
  <c r="CD127"/>
  <c r="CC127"/>
  <c r="CB127"/>
  <c r="CA127"/>
  <c r="BZ127"/>
  <c r="BY127"/>
  <c r="BX127"/>
  <c r="BW127"/>
  <c r="BV127"/>
  <c r="BU127"/>
  <c r="BT127"/>
  <c r="BS127"/>
  <c r="BR127"/>
  <c r="BQ127"/>
  <c r="BP127"/>
  <c r="BO127"/>
  <c r="BN127"/>
  <c r="BM127"/>
  <c r="BL127"/>
  <c r="BK127"/>
  <c r="BJ127"/>
  <c r="BI127"/>
  <c r="BH127"/>
  <c r="BG127"/>
  <c r="BF127"/>
  <c r="BE127"/>
  <c r="BD127"/>
  <c r="BC127"/>
  <c r="BB127"/>
  <c r="BA127"/>
  <c r="AZ127"/>
  <c r="AY127"/>
  <c r="AX127"/>
  <c r="AW127"/>
  <c r="AV127"/>
  <c r="AU127"/>
  <c r="AT127"/>
  <c r="AS127"/>
  <c r="AR127"/>
  <c r="AQ127"/>
  <c r="AP127"/>
  <c r="AO127"/>
  <c r="AN127"/>
  <c r="AM127"/>
  <c r="AL127"/>
  <c r="AK127"/>
  <c r="AJ127"/>
  <c r="AI127"/>
  <c r="AH127"/>
  <c r="AG127"/>
  <c r="AF127"/>
  <c r="AE127"/>
  <c r="AD127"/>
  <c r="AC127"/>
  <c r="AB127"/>
  <c r="AA127"/>
  <c r="Z127"/>
  <c r="Y127"/>
  <c r="X127"/>
  <c r="W127"/>
  <c r="V127"/>
  <c r="U127"/>
  <c r="T127"/>
  <c r="S127"/>
  <c r="R127"/>
  <c r="Q127"/>
  <c r="P127"/>
  <c r="O127"/>
  <c r="N127"/>
  <c r="M127"/>
  <c r="L127"/>
  <c r="K127"/>
  <c r="J127"/>
  <c r="I127"/>
  <c r="H127"/>
  <c r="G127"/>
  <c r="F127"/>
  <c r="E127"/>
  <c r="D127"/>
  <c r="C127"/>
  <c r="B127"/>
  <c r="A127"/>
  <c r="IV126"/>
  <c r="IU126"/>
  <c r="IT126"/>
  <c r="IS126"/>
  <c r="IR126"/>
  <c r="IQ126"/>
  <c r="IP126"/>
  <c r="IO126"/>
  <c r="IN126"/>
  <c r="IM126"/>
  <c r="IL126"/>
  <c r="IK126"/>
  <c r="IJ126"/>
  <c r="II126"/>
  <c r="IH126"/>
  <c r="IG126"/>
  <c r="IF126"/>
  <c r="IE126"/>
  <c r="ID126"/>
  <c r="IC126"/>
  <c r="IB126"/>
  <c r="IA126"/>
  <c r="HZ126"/>
  <c r="HY126"/>
  <c r="HX126"/>
  <c r="HW126"/>
  <c r="HV126"/>
  <c r="HU126"/>
  <c r="HT126"/>
  <c r="HS126"/>
  <c r="HR126"/>
  <c r="HQ126"/>
  <c r="HP126"/>
  <c r="HO126"/>
  <c r="HN126"/>
  <c r="HM126"/>
  <c r="HL126"/>
  <c r="HK126"/>
  <c r="HJ126"/>
  <c r="HI126"/>
  <c r="HH126"/>
  <c r="HG126"/>
  <c r="HF126"/>
  <c r="HE126"/>
  <c r="HD126"/>
  <c r="HC126"/>
  <c r="HB126"/>
  <c r="HA126"/>
  <c r="GZ126"/>
  <c r="GY126"/>
  <c r="GX126"/>
  <c r="GW126"/>
  <c r="GV126"/>
  <c r="GU126"/>
  <c r="GT126"/>
  <c r="GS126"/>
  <c r="GR126"/>
  <c r="GQ126"/>
  <c r="GP126"/>
  <c r="GO126"/>
  <c r="GN126"/>
  <c r="GM126"/>
  <c r="GL126"/>
  <c r="GK126"/>
  <c r="GJ126"/>
  <c r="GI126"/>
  <c r="GH126"/>
  <c r="GG126"/>
  <c r="GF126"/>
  <c r="GE126"/>
  <c r="GD126"/>
  <c r="GC126"/>
  <c r="GB126"/>
  <c r="GA126"/>
  <c r="FZ126"/>
  <c r="FY126"/>
  <c r="FX126"/>
  <c r="FW126"/>
  <c r="FV126"/>
  <c r="FU126"/>
  <c r="FT126"/>
  <c r="FS126"/>
  <c r="FR126"/>
  <c r="FQ126"/>
  <c r="FP126"/>
  <c r="FO126"/>
  <c r="FN126"/>
  <c r="FM126"/>
  <c r="FL126"/>
  <c r="FK126"/>
  <c r="FJ126"/>
  <c r="FI126"/>
  <c r="FH126"/>
  <c r="FG126"/>
  <c r="FF126"/>
  <c r="FE126"/>
  <c r="FD126"/>
  <c r="FC126"/>
  <c r="FB126"/>
  <c r="FA126"/>
  <c r="EZ126"/>
  <c r="EY126"/>
  <c r="EX126"/>
  <c r="EW126"/>
  <c r="EV126"/>
  <c r="EU126"/>
  <c r="ET126"/>
  <c r="ES126"/>
  <c r="ER126"/>
  <c r="EQ126"/>
  <c r="EP126"/>
  <c r="EO126"/>
  <c r="EN126"/>
  <c r="EM126"/>
  <c r="EL126"/>
  <c r="EK126"/>
  <c r="EJ126"/>
  <c r="EI126"/>
  <c r="EH126"/>
  <c r="EG126"/>
  <c r="EF126"/>
  <c r="EE126"/>
  <c r="ED126"/>
  <c r="EC126"/>
  <c r="EB126"/>
  <c r="EA126"/>
  <c r="DZ126"/>
  <c r="DY126"/>
  <c r="DX126"/>
  <c r="DW126"/>
  <c r="DV126"/>
  <c r="DU126"/>
  <c r="DT126"/>
  <c r="DS126"/>
  <c r="DR126"/>
  <c r="DQ126"/>
  <c r="DP126"/>
  <c r="DO126"/>
  <c r="DN126"/>
  <c r="DM126"/>
  <c r="DL126"/>
  <c r="DK126"/>
  <c r="DJ126"/>
  <c r="DI126"/>
  <c r="DH126"/>
  <c r="DG126"/>
  <c r="DF126"/>
  <c r="DE126"/>
  <c r="DD126"/>
  <c r="DC126"/>
  <c r="DB126"/>
  <c r="DA126"/>
  <c r="CZ126"/>
  <c r="CY126"/>
  <c r="CX126"/>
  <c r="CW126"/>
  <c r="CV126"/>
  <c r="CU126"/>
  <c r="CT126"/>
  <c r="CS126"/>
  <c r="CR126"/>
  <c r="CQ126"/>
  <c r="CP126"/>
  <c r="CO126"/>
  <c r="CN126"/>
  <c r="CM126"/>
  <c r="CL126"/>
  <c r="CK126"/>
  <c r="CJ126"/>
  <c r="CI126"/>
  <c r="CH126"/>
  <c r="CG126"/>
  <c r="CF126"/>
  <c r="CE126"/>
  <c r="CD126"/>
  <c r="CC126"/>
  <c r="CB126"/>
  <c r="CA126"/>
  <c r="BZ126"/>
  <c r="BY126"/>
  <c r="BX126"/>
  <c r="BW126"/>
  <c r="BV126"/>
  <c r="BU126"/>
  <c r="BT126"/>
  <c r="BS126"/>
  <c r="BR126"/>
  <c r="BQ126"/>
  <c r="BP126"/>
  <c r="BO126"/>
  <c r="BN126"/>
  <c r="BM126"/>
  <c r="BL126"/>
  <c r="BK126"/>
  <c r="BJ126"/>
  <c r="BI126"/>
  <c r="BH126"/>
  <c r="BG126"/>
  <c r="BF126"/>
  <c r="BE126"/>
  <c r="BD126"/>
  <c r="BC126"/>
  <c r="BB126"/>
  <c r="BA126"/>
  <c r="AZ126"/>
  <c r="AY126"/>
  <c r="AX126"/>
  <c r="AW126"/>
  <c r="AV126"/>
  <c r="AU126"/>
  <c r="AT126"/>
  <c r="AS126"/>
  <c r="AR126"/>
  <c r="AQ126"/>
  <c r="AP126"/>
  <c r="AO126"/>
  <c r="AN126"/>
  <c r="AM126"/>
  <c r="AL126"/>
  <c r="AK126"/>
  <c r="AJ126"/>
  <c r="AI126"/>
  <c r="AH126"/>
  <c r="AG126"/>
  <c r="AF126"/>
  <c r="AE126"/>
  <c r="AD126"/>
  <c r="AC126"/>
  <c r="AB126"/>
  <c r="AA126"/>
  <c r="Z126"/>
  <c r="Y126"/>
  <c r="X126"/>
  <c r="W126"/>
  <c r="V126"/>
  <c r="U126"/>
  <c r="T126"/>
  <c r="S126"/>
  <c r="R126"/>
  <c r="Q126"/>
  <c r="P126"/>
  <c r="O126"/>
  <c r="N126"/>
  <c r="M126"/>
  <c r="L126"/>
  <c r="K126"/>
  <c r="J126"/>
  <c r="I126"/>
  <c r="H126"/>
  <c r="G126"/>
  <c r="F126"/>
  <c r="E126"/>
  <c r="D126"/>
  <c r="C126"/>
  <c r="B126"/>
  <c r="A126"/>
  <c r="IV125"/>
  <c r="IU125"/>
  <c r="IT125"/>
  <c r="IS125"/>
  <c r="IR125"/>
  <c r="IQ125"/>
  <c r="IP125"/>
  <c r="IO125"/>
  <c r="IN125"/>
  <c r="IM125"/>
  <c r="IL125"/>
  <c r="IK125"/>
  <c r="IJ125"/>
  <c r="II125"/>
  <c r="IH125"/>
  <c r="IG125"/>
  <c r="IF125"/>
  <c r="IE125"/>
  <c r="ID125"/>
  <c r="IC125"/>
  <c r="IB125"/>
  <c r="IA125"/>
  <c r="HZ125"/>
  <c r="HY125"/>
  <c r="HX125"/>
  <c r="HW125"/>
  <c r="HV125"/>
  <c r="HU125"/>
  <c r="HT125"/>
  <c r="HS125"/>
  <c r="HR125"/>
  <c r="HQ125"/>
  <c r="HP125"/>
  <c r="HO125"/>
  <c r="HN125"/>
  <c r="HM125"/>
  <c r="HL125"/>
  <c r="HK125"/>
  <c r="HJ125"/>
  <c r="HI125"/>
  <c r="HH125"/>
  <c r="HG125"/>
  <c r="HF125"/>
  <c r="HE125"/>
  <c r="HD125"/>
  <c r="HC125"/>
  <c r="HB125"/>
  <c r="HA125"/>
  <c r="GZ125"/>
  <c r="GY125"/>
  <c r="GX125"/>
  <c r="GW125"/>
  <c r="GV125"/>
  <c r="GU125"/>
  <c r="GT125"/>
  <c r="GS125"/>
  <c r="GR125"/>
  <c r="GQ125"/>
  <c r="GP125"/>
  <c r="GO125"/>
  <c r="GN125"/>
  <c r="GM125"/>
  <c r="GL125"/>
  <c r="GK125"/>
  <c r="GJ125"/>
  <c r="GI125"/>
  <c r="GH125"/>
  <c r="GG125"/>
  <c r="GF125"/>
  <c r="GE125"/>
  <c r="GD125"/>
  <c r="GC125"/>
  <c r="GB125"/>
  <c r="GA125"/>
  <c r="FZ125"/>
  <c r="FY125"/>
  <c r="FX125"/>
  <c r="FW125"/>
  <c r="FV125"/>
  <c r="FU125"/>
  <c r="FT125"/>
  <c r="FS125"/>
  <c r="FR125"/>
  <c r="FQ125"/>
  <c r="FP125"/>
  <c r="FO125"/>
  <c r="FN125"/>
  <c r="FM125"/>
  <c r="FL125"/>
  <c r="FK125"/>
  <c r="FJ125"/>
  <c r="FI125"/>
  <c r="FH125"/>
  <c r="FG125"/>
  <c r="FF125"/>
  <c r="FE125"/>
  <c r="FD125"/>
  <c r="FC125"/>
  <c r="FB125"/>
  <c r="FA125"/>
  <c r="EZ125"/>
  <c r="EY125"/>
  <c r="EX125"/>
  <c r="EW125"/>
  <c r="EV125"/>
  <c r="EU125"/>
  <c r="ET125"/>
  <c r="ES125"/>
  <c r="ER125"/>
  <c r="EQ125"/>
  <c r="EP125"/>
  <c r="EO125"/>
  <c r="EN125"/>
  <c r="EM125"/>
  <c r="EL125"/>
  <c r="EK125"/>
  <c r="EJ125"/>
  <c r="EI125"/>
  <c r="EH125"/>
  <c r="EG125"/>
  <c r="EF125"/>
  <c r="EE125"/>
  <c r="ED125"/>
  <c r="EC125"/>
  <c r="EB125"/>
  <c r="EA125"/>
  <c r="DZ125"/>
  <c r="DY125"/>
  <c r="DX125"/>
  <c r="DW125"/>
  <c r="DV125"/>
  <c r="DU125"/>
  <c r="DT125"/>
  <c r="DS125"/>
  <c r="DR125"/>
  <c r="DQ125"/>
  <c r="DP125"/>
  <c r="DO125"/>
  <c r="DN125"/>
  <c r="DM125"/>
  <c r="DL125"/>
  <c r="DK125"/>
  <c r="DJ125"/>
  <c r="DI125"/>
  <c r="DH125"/>
  <c r="DG125"/>
  <c r="DF125"/>
  <c r="DE125"/>
  <c r="DD125"/>
  <c r="DC125"/>
  <c r="DB125"/>
  <c r="DA125"/>
  <c r="CZ125"/>
  <c r="CY125"/>
  <c r="CX125"/>
  <c r="CW125"/>
  <c r="CV125"/>
  <c r="CU125"/>
  <c r="CT125"/>
  <c r="CS125"/>
  <c r="CR125"/>
  <c r="CQ125"/>
  <c r="CP125"/>
  <c r="CO125"/>
  <c r="CN125"/>
  <c r="CM125"/>
  <c r="CL125"/>
  <c r="CK125"/>
  <c r="CJ125"/>
  <c r="CI125"/>
  <c r="CH125"/>
  <c r="CG125"/>
  <c r="CF125"/>
  <c r="CE125"/>
  <c r="CD125"/>
  <c r="CC125"/>
  <c r="CB125"/>
  <c r="CA125"/>
  <c r="BZ125"/>
  <c r="BY125"/>
  <c r="BX125"/>
  <c r="BW125"/>
  <c r="BV125"/>
  <c r="BU125"/>
  <c r="BT125"/>
  <c r="BS125"/>
  <c r="BR125"/>
  <c r="BQ125"/>
  <c r="BP125"/>
  <c r="BO125"/>
  <c r="BN125"/>
  <c r="BM125"/>
  <c r="BL125"/>
  <c r="BK125"/>
  <c r="BJ125"/>
  <c r="BI125"/>
  <c r="BH125"/>
  <c r="BG125"/>
  <c r="BF125"/>
  <c r="BE125"/>
  <c r="BD125"/>
  <c r="BC125"/>
  <c r="BB125"/>
  <c r="BA125"/>
  <c r="AZ125"/>
  <c r="AY125"/>
  <c r="AX125"/>
  <c r="AW125"/>
  <c r="AV125"/>
  <c r="AU125"/>
  <c r="AT125"/>
  <c r="AS125"/>
  <c r="AR125"/>
  <c r="AQ125"/>
  <c r="AP125"/>
  <c r="AO125"/>
  <c r="AN125"/>
  <c r="AM125"/>
  <c r="AL125"/>
  <c r="AK125"/>
  <c r="AJ125"/>
  <c r="AI125"/>
  <c r="AH125"/>
  <c r="AG125"/>
  <c r="AF125"/>
  <c r="AE125"/>
  <c r="AD125"/>
  <c r="AC125"/>
  <c r="AB125"/>
  <c r="AA125"/>
  <c r="Z125"/>
  <c r="Y125"/>
  <c r="X125"/>
  <c r="W125"/>
  <c r="V125"/>
  <c r="U125"/>
  <c r="T125"/>
  <c r="S125"/>
  <c r="R125"/>
  <c r="Q125"/>
  <c r="P125"/>
  <c r="O125"/>
  <c r="N125"/>
  <c r="M125"/>
  <c r="L125"/>
  <c r="K125"/>
  <c r="J125"/>
  <c r="I125"/>
  <c r="H125"/>
  <c r="G125"/>
  <c r="F125"/>
  <c r="E125"/>
  <c r="D125"/>
  <c r="C125"/>
  <c r="B125"/>
  <c r="A125"/>
  <c r="IV124"/>
  <c r="IU124"/>
  <c r="IT124"/>
  <c r="IS124"/>
  <c r="IR124"/>
  <c r="IQ124"/>
  <c r="IP124"/>
  <c r="IO124"/>
  <c r="IN124"/>
  <c r="IM124"/>
  <c r="IL124"/>
  <c r="IK124"/>
  <c r="IJ124"/>
  <c r="II124"/>
  <c r="IH124"/>
  <c r="IG124"/>
  <c r="IF124"/>
  <c r="IE124"/>
  <c r="ID124"/>
  <c r="IC124"/>
  <c r="IB124"/>
  <c r="IA124"/>
  <c r="HZ124"/>
  <c r="HY124"/>
  <c r="HX124"/>
  <c r="HW124"/>
  <c r="HV124"/>
  <c r="HU124"/>
  <c r="HT124"/>
  <c r="HS124"/>
  <c r="HR124"/>
  <c r="HQ124"/>
  <c r="HP124"/>
  <c r="HO124"/>
  <c r="HN124"/>
  <c r="HM124"/>
  <c r="HL124"/>
  <c r="HK124"/>
  <c r="HJ124"/>
  <c r="HI124"/>
  <c r="HH124"/>
  <c r="HG124"/>
  <c r="HF124"/>
  <c r="HE124"/>
  <c r="HD124"/>
  <c r="HC124"/>
  <c r="HB124"/>
  <c r="HA124"/>
  <c r="GZ124"/>
  <c r="GY124"/>
  <c r="GX124"/>
  <c r="GW124"/>
  <c r="GV124"/>
  <c r="GU124"/>
  <c r="GT124"/>
  <c r="GS124"/>
  <c r="GR124"/>
  <c r="GQ124"/>
  <c r="GP124"/>
  <c r="GO124"/>
  <c r="GN124"/>
  <c r="GM124"/>
  <c r="GL124"/>
  <c r="GK124"/>
  <c r="GJ124"/>
  <c r="GI124"/>
  <c r="GH124"/>
  <c r="GG124"/>
  <c r="GF124"/>
  <c r="GE124"/>
  <c r="GD124"/>
  <c r="GC124"/>
  <c r="GB124"/>
  <c r="GA124"/>
  <c r="FZ124"/>
  <c r="FY124"/>
  <c r="FX124"/>
  <c r="FW124"/>
  <c r="FV124"/>
  <c r="FU124"/>
  <c r="FT124"/>
  <c r="FS124"/>
  <c r="FR124"/>
  <c r="FQ124"/>
  <c r="FP124"/>
  <c r="FO124"/>
  <c r="FN124"/>
  <c r="FM124"/>
  <c r="FL124"/>
  <c r="FK124"/>
  <c r="FJ124"/>
  <c r="FI124"/>
  <c r="FH124"/>
  <c r="FG124"/>
  <c r="FF124"/>
  <c r="FE124"/>
  <c r="FD124"/>
  <c r="FC124"/>
  <c r="FB124"/>
  <c r="FA124"/>
  <c r="EZ124"/>
  <c r="EY124"/>
  <c r="EX124"/>
  <c r="EW124"/>
  <c r="EV124"/>
  <c r="EU124"/>
  <c r="ET124"/>
  <c r="ES124"/>
  <c r="ER124"/>
  <c r="EQ124"/>
  <c r="EP124"/>
  <c r="EO124"/>
  <c r="EN124"/>
  <c r="EM124"/>
  <c r="EL124"/>
  <c r="EK124"/>
  <c r="EJ124"/>
  <c r="EI124"/>
  <c r="EH124"/>
  <c r="EG124"/>
  <c r="EF124"/>
  <c r="EE124"/>
  <c r="ED124"/>
  <c r="EC124"/>
  <c r="EB124"/>
  <c r="EA124"/>
  <c r="DZ124"/>
  <c r="DY124"/>
  <c r="DX124"/>
  <c r="DW124"/>
  <c r="DV124"/>
  <c r="DU124"/>
  <c r="DT124"/>
  <c r="DS124"/>
  <c r="DR124"/>
  <c r="DQ124"/>
  <c r="DP124"/>
  <c r="DO124"/>
  <c r="DN124"/>
  <c r="DM124"/>
  <c r="DL124"/>
  <c r="DK124"/>
  <c r="DJ124"/>
  <c r="DI124"/>
  <c r="DH124"/>
  <c r="DG124"/>
  <c r="DF124"/>
  <c r="DE124"/>
  <c r="DD124"/>
  <c r="DC124"/>
  <c r="DB124"/>
  <c r="DA124"/>
  <c r="CZ124"/>
  <c r="CY124"/>
  <c r="CX124"/>
  <c r="CW124"/>
  <c r="CV124"/>
  <c r="CU124"/>
  <c r="CT124"/>
  <c r="CS124"/>
  <c r="CR124"/>
  <c r="CQ124"/>
  <c r="CP124"/>
  <c r="CO124"/>
  <c r="CN124"/>
  <c r="CM124"/>
  <c r="CL124"/>
  <c r="CK124"/>
  <c r="CJ124"/>
  <c r="CI124"/>
  <c r="CH124"/>
  <c r="CG124"/>
  <c r="CF124"/>
  <c r="CE124"/>
  <c r="CD124"/>
  <c r="CC124"/>
  <c r="CB124"/>
  <c r="CA124"/>
  <c r="BZ124"/>
  <c r="BY124"/>
  <c r="BX124"/>
  <c r="BW124"/>
  <c r="BV124"/>
  <c r="BU124"/>
  <c r="BT124"/>
  <c r="BS124"/>
  <c r="BR124"/>
  <c r="BQ124"/>
  <c r="BP124"/>
  <c r="BO124"/>
  <c r="BN124"/>
  <c r="BM124"/>
  <c r="BL124"/>
  <c r="BK124"/>
  <c r="BJ124"/>
  <c r="BI124"/>
  <c r="BH124"/>
  <c r="BG124"/>
  <c r="BF124"/>
  <c r="BE124"/>
  <c r="BD124"/>
  <c r="BC124"/>
  <c r="BB124"/>
  <c r="BA124"/>
  <c r="AZ124"/>
  <c r="AY124"/>
  <c r="AX124"/>
  <c r="AW124"/>
  <c r="AV124"/>
  <c r="AU124"/>
  <c r="AT124"/>
  <c r="AS124"/>
  <c r="AR124"/>
  <c r="AQ124"/>
  <c r="AP124"/>
  <c r="AO124"/>
  <c r="AN124"/>
  <c r="AM124"/>
  <c r="AL124"/>
  <c r="AK124"/>
  <c r="AJ124"/>
  <c r="AI124"/>
  <c r="AH124"/>
  <c r="AG124"/>
  <c r="AF124"/>
  <c r="AE124"/>
  <c r="AD124"/>
  <c r="AC124"/>
  <c r="AB124"/>
  <c r="AA124"/>
  <c r="Z124"/>
  <c r="Y124"/>
  <c r="X124"/>
  <c r="W124"/>
  <c r="V124"/>
  <c r="U124"/>
  <c r="T124"/>
  <c r="S124"/>
  <c r="R124"/>
  <c r="Q124"/>
  <c r="P124"/>
  <c r="O124"/>
  <c r="N124"/>
  <c r="M124"/>
  <c r="L124"/>
  <c r="K124"/>
  <c r="J124"/>
  <c r="I124"/>
  <c r="H124"/>
  <c r="G124"/>
  <c r="F124"/>
  <c r="E124"/>
  <c r="D124"/>
  <c r="C124"/>
  <c r="B124"/>
  <c r="A124"/>
  <c r="IV123"/>
  <c r="IU123"/>
  <c r="IT123"/>
  <c r="IS123"/>
  <c r="IR123"/>
  <c r="IQ123"/>
  <c r="IP123"/>
  <c r="IO123"/>
  <c r="IN123"/>
  <c r="IM123"/>
  <c r="IL123"/>
  <c r="IK123"/>
  <c r="IJ123"/>
  <c r="II123"/>
  <c r="IH123"/>
  <c r="IG123"/>
  <c r="IF123"/>
  <c r="IE123"/>
  <c r="ID123"/>
  <c r="IC123"/>
  <c r="IB123"/>
  <c r="IA123"/>
  <c r="HZ123"/>
  <c r="HY123"/>
  <c r="HX123"/>
  <c r="HW123"/>
  <c r="HV123"/>
  <c r="HU123"/>
  <c r="HT123"/>
  <c r="HS123"/>
  <c r="HR123"/>
  <c r="HQ123"/>
  <c r="HP123"/>
  <c r="HO123"/>
  <c r="HN123"/>
  <c r="HM123"/>
  <c r="HL123"/>
  <c r="HK123"/>
  <c r="HJ123"/>
  <c r="HI123"/>
  <c r="HH123"/>
  <c r="HG123"/>
  <c r="HF123"/>
  <c r="HE123"/>
  <c r="HD123"/>
  <c r="HC123"/>
  <c r="HB123"/>
  <c r="HA123"/>
  <c r="GZ123"/>
  <c r="GY123"/>
  <c r="GX123"/>
  <c r="GW123"/>
  <c r="GV123"/>
  <c r="GU123"/>
  <c r="GT123"/>
  <c r="GS123"/>
  <c r="GR123"/>
  <c r="GQ123"/>
  <c r="GP123"/>
  <c r="GO123"/>
  <c r="GN123"/>
  <c r="GM123"/>
  <c r="GL123"/>
  <c r="GK123"/>
  <c r="GJ123"/>
  <c r="GI123"/>
  <c r="GH123"/>
  <c r="GG123"/>
  <c r="GF123"/>
  <c r="GE123"/>
  <c r="GD123"/>
  <c r="GC123"/>
  <c r="GB123"/>
  <c r="GA123"/>
  <c r="FZ123"/>
  <c r="FY123"/>
  <c r="FX123"/>
  <c r="FW123"/>
  <c r="FV123"/>
  <c r="FU123"/>
  <c r="FT123"/>
  <c r="FS123"/>
  <c r="FR123"/>
  <c r="FQ123"/>
  <c r="FP123"/>
  <c r="FO123"/>
  <c r="FN123"/>
  <c r="FM123"/>
  <c r="FL123"/>
  <c r="FK123"/>
  <c r="FJ123"/>
  <c r="FI123"/>
  <c r="FH123"/>
  <c r="FG123"/>
  <c r="FF123"/>
  <c r="FE123"/>
  <c r="FD123"/>
  <c r="FC123"/>
  <c r="FB123"/>
  <c r="FA123"/>
  <c r="EZ123"/>
  <c r="EY123"/>
  <c r="EX123"/>
  <c r="EW123"/>
  <c r="EV123"/>
  <c r="EU123"/>
  <c r="ET123"/>
  <c r="ES123"/>
  <c r="ER123"/>
  <c r="EQ123"/>
  <c r="EP123"/>
  <c r="EO123"/>
  <c r="EN123"/>
  <c r="EM123"/>
  <c r="EL123"/>
  <c r="EK123"/>
  <c r="EJ123"/>
  <c r="EI123"/>
  <c r="EH123"/>
  <c r="EG123"/>
  <c r="EF123"/>
  <c r="EE123"/>
  <c r="ED123"/>
  <c r="EC123"/>
  <c r="EB123"/>
  <c r="EA123"/>
  <c r="DZ123"/>
  <c r="DY123"/>
  <c r="DX123"/>
  <c r="DW123"/>
  <c r="DV123"/>
  <c r="DU123"/>
  <c r="DT123"/>
  <c r="DS123"/>
  <c r="DR123"/>
  <c r="DQ123"/>
  <c r="DP123"/>
  <c r="DO123"/>
  <c r="DN123"/>
  <c r="DM123"/>
  <c r="DL123"/>
  <c r="DK123"/>
  <c r="DJ123"/>
  <c r="DI123"/>
  <c r="DH123"/>
  <c r="DG123"/>
  <c r="DF123"/>
  <c r="DE123"/>
  <c r="DD123"/>
  <c r="DC123"/>
  <c r="DB123"/>
  <c r="DA123"/>
  <c r="CZ123"/>
  <c r="CY123"/>
  <c r="CX123"/>
  <c r="CW123"/>
  <c r="CV123"/>
  <c r="CU123"/>
  <c r="CT123"/>
  <c r="CS123"/>
  <c r="CR123"/>
  <c r="CQ123"/>
  <c r="CP123"/>
  <c r="CO123"/>
  <c r="CN123"/>
  <c r="CM123"/>
  <c r="CL123"/>
  <c r="CK123"/>
  <c r="CJ123"/>
  <c r="CI123"/>
  <c r="CH123"/>
  <c r="CG123"/>
  <c r="CF123"/>
  <c r="CE123"/>
  <c r="CD123"/>
  <c r="CC123"/>
  <c r="CB123"/>
  <c r="CA123"/>
  <c r="BZ123"/>
  <c r="BY123"/>
  <c r="BX123"/>
  <c r="BW123"/>
  <c r="BV123"/>
  <c r="BU123"/>
  <c r="BT123"/>
  <c r="BS123"/>
  <c r="BR123"/>
  <c r="BQ123"/>
  <c r="BP123"/>
  <c r="BO123"/>
  <c r="BN123"/>
  <c r="BM123"/>
  <c r="BL123"/>
  <c r="BK123"/>
  <c r="BJ123"/>
  <c r="BI123"/>
  <c r="BH123"/>
  <c r="BG123"/>
  <c r="BF123"/>
  <c r="BE123"/>
  <c r="BD123"/>
  <c r="BC123"/>
  <c r="BB123"/>
  <c r="BA123"/>
  <c r="AZ123"/>
  <c r="AY123"/>
  <c r="AX123"/>
  <c r="AW123"/>
  <c r="AV123"/>
  <c r="AU123"/>
  <c r="AT123"/>
  <c r="AS123"/>
  <c r="AR123"/>
  <c r="AQ123"/>
  <c r="AP123"/>
  <c r="AO123"/>
  <c r="AN123"/>
  <c r="AM123"/>
  <c r="AL123"/>
  <c r="AK123"/>
  <c r="AJ123"/>
  <c r="AI123"/>
  <c r="AH123"/>
  <c r="AG123"/>
  <c r="AF123"/>
  <c r="AE123"/>
  <c r="AD123"/>
  <c r="AC123"/>
  <c r="AB123"/>
  <c r="AA123"/>
  <c r="Z123"/>
  <c r="Y123"/>
  <c r="X123"/>
  <c r="W123"/>
  <c r="V123"/>
  <c r="U123"/>
  <c r="T123"/>
  <c r="S123"/>
  <c r="R123"/>
  <c r="Q123"/>
  <c r="P123"/>
  <c r="O123"/>
  <c r="N123"/>
  <c r="M123"/>
  <c r="L123"/>
  <c r="K123"/>
  <c r="J123"/>
  <c r="I123"/>
  <c r="H123"/>
  <c r="G123"/>
  <c r="F123"/>
  <c r="E123"/>
  <c r="D123"/>
  <c r="C123"/>
  <c r="B123"/>
  <c r="A123"/>
  <c r="IV122"/>
  <c r="IU122"/>
  <c r="IT122"/>
  <c r="IS122"/>
  <c r="IR122"/>
  <c r="IQ122"/>
  <c r="IP122"/>
  <c r="IO122"/>
  <c r="IN122"/>
  <c r="IM122"/>
  <c r="IL122"/>
  <c r="IK122"/>
  <c r="IJ122"/>
  <c r="II122"/>
  <c r="IH122"/>
  <c r="IG122"/>
  <c r="IF122"/>
  <c r="IE122"/>
  <c r="ID122"/>
  <c r="IC122"/>
  <c r="IB122"/>
  <c r="IA122"/>
  <c r="HZ122"/>
  <c r="HY122"/>
  <c r="HX122"/>
  <c r="HW122"/>
  <c r="HV122"/>
  <c r="HU122"/>
  <c r="HT122"/>
  <c r="HS122"/>
  <c r="HR122"/>
  <c r="HQ122"/>
  <c r="HP122"/>
  <c r="HO122"/>
  <c r="HN122"/>
  <c r="HM122"/>
  <c r="HL122"/>
  <c r="HK122"/>
  <c r="HJ122"/>
  <c r="HI122"/>
  <c r="HH122"/>
  <c r="HG122"/>
  <c r="HF122"/>
  <c r="HE122"/>
  <c r="HD122"/>
  <c r="HC122"/>
  <c r="HB122"/>
  <c r="HA122"/>
  <c r="GZ122"/>
  <c r="GY122"/>
  <c r="GX122"/>
  <c r="GW122"/>
  <c r="GV122"/>
  <c r="GU122"/>
  <c r="GT122"/>
  <c r="GS122"/>
  <c r="GR122"/>
  <c r="GQ122"/>
  <c r="GP122"/>
  <c r="GO122"/>
  <c r="GN122"/>
  <c r="GM122"/>
  <c r="GL122"/>
  <c r="GK122"/>
  <c r="GJ122"/>
  <c r="GI122"/>
  <c r="GH122"/>
  <c r="GG122"/>
  <c r="GF122"/>
  <c r="GE122"/>
  <c r="GD122"/>
  <c r="GC122"/>
  <c r="GB122"/>
  <c r="GA122"/>
  <c r="FZ122"/>
  <c r="FY122"/>
  <c r="FX122"/>
  <c r="FW122"/>
  <c r="FV122"/>
  <c r="FU122"/>
  <c r="FT122"/>
  <c r="FS122"/>
  <c r="FR122"/>
  <c r="FQ122"/>
  <c r="FP122"/>
  <c r="FO122"/>
  <c r="FN122"/>
  <c r="FM122"/>
  <c r="FL122"/>
  <c r="FK122"/>
  <c r="FJ122"/>
  <c r="FI122"/>
  <c r="FH122"/>
  <c r="FG122"/>
  <c r="FF122"/>
  <c r="FE122"/>
  <c r="FD122"/>
  <c r="FC122"/>
  <c r="FB122"/>
  <c r="FA122"/>
  <c r="EZ122"/>
  <c r="EY122"/>
  <c r="EX122"/>
  <c r="EW122"/>
  <c r="EV122"/>
  <c r="EU122"/>
  <c r="ET122"/>
  <c r="ES122"/>
  <c r="ER122"/>
  <c r="EQ122"/>
  <c r="EP122"/>
  <c r="EO122"/>
  <c r="EN122"/>
  <c r="EM122"/>
  <c r="EL122"/>
  <c r="EK122"/>
  <c r="EJ122"/>
  <c r="EI122"/>
  <c r="EH122"/>
  <c r="EG122"/>
  <c r="EF122"/>
  <c r="EE122"/>
  <c r="ED122"/>
  <c r="EC122"/>
  <c r="EB122"/>
  <c r="EA122"/>
  <c r="DZ122"/>
  <c r="DY122"/>
  <c r="DX122"/>
  <c r="DW122"/>
  <c r="DV122"/>
  <c r="DU122"/>
  <c r="DT122"/>
  <c r="DS122"/>
  <c r="DR122"/>
  <c r="DQ122"/>
  <c r="DP122"/>
  <c r="DO122"/>
  <c r="DN122"/>
  <c r="DM122"/>
  <c r="DL122"/>
  <c r="DK122"/>
  <c r="DJ122"/>
  <c r="DI122"/>
  <c r="DH122"/>
  <c r="DG122"/>
  <c r="DF122"/>
  <c r="DE122"/>
  <c r="DD122"/>
  <c r="DC122"/>
  <c r="DB122"/>
  <c r="DA122"/>
  <c r="CZ122"/>
  <c r="CY122"/>
  <c r="CX122"/>
  <c r="CW122"/>
  <c r="CV122"/>
  <c r="CU122"/>
  <c r="CT122"/>
  <c r="CS122"/>
  <c r="CR122"/>
  <c r="CQ122"/>
  <c r="CP122"/>
  <c r="CO122"/>
  <c r="CN122"/>
  <c r="CM122"/>
  <c r="CL122"/>
  <c r="CK122"/>
  <c r="CJ122"/>
  <c r="CI122"/>
  <c r="CH122"/>
  <c r="CG122"/>
  <c r="CF122"/>
  <c r="CE122"/>
  <c r="CD122"/>
  <c r="CC122"/>
  <c r="CB122"/>
  <c r="CA122"/>
  <c r="BZ122"/>
  <c r="BY122"/>
  <c r="BX122"/>
  <c r="BW122"/>
  <c r="BV122"/>
  <c r="BU122"/>
  <c r="BT122"/>
  <c r="BS122"/>
  <c r="BR122"/>
  <c r="BQ122"/>
  <c r="BP122"/>
  <c r="BO122"/>
  <c r="BN122"/>
  <c r="BM122"/>
  <c r="BL122"/>
  <c r="BK122"/>
  <c r="BJ122"/>
  <c r="BI122"/>
  <c r="BH122"/>
  <c r="BG122"/>
  <c r="BF122"/>
  <c r="BE122"/>
  <c r="BD122"/>
  <c r="BC122"/>
  <c r="BB122"/>
  <c r="BA122"/>
  <c r="AZ122"/>
  <c r="AY122"/>
  <c r="AX122"/>
  <c r="AW122"/>
  <c r="AV122"/>
  <c r="AU122"/>
  <c r="AT122"/>
  <c r="AS122"/>
  <c r="AR122"/>
  <c r="AQ122"/>
  <c r="AP122"/>
  <c r="AO122"/>
  <c r="AN122"/>
  <c r="AM122"/>
  <c r="AL122"/>
  <c r="AK122"/>
  <c r="AJ122"/>
  <c r="AI122"/>
  <c r="AH122"/>
  <c r="AG122"/>
  <c r="AF122"/>
  <c r="AE122"/>
  <c r="AD122"/>
  <c r="AC122"/>
  <c r="AB122"/>
  <c r="AA122"/>
  <c r="Z122"/>
  <c r="Y122"/>
  <c r="X122"/>
  <c r="W122"/>
  <c r="V122"/>
  <c r="U122"/>
  <c r="T122"/>
  <c r="S122"/>
  <c r="R122"/>
  <c r="Q122"/>
  <c r="P122"/>
  <c r="O122"/>
  <c r="N122"/>
  <c r="M122"/>
  <c r="L122"/>
  <c r="K122"/>
  <c r="J122"/>
  <c r="I122"/>
  <c r="H122"/>
  <c r="G122"/>
  <c r="F122"/>
  <c r="E122"/>
  <c r="D122"/>
  <c r="C122"/>
  <c r="B122"/>
  <c r="A122"/>
  <c r="IV121"/>
  <c r="IU121"/>
  <c r="IT121"/>
  <c r="IS121"/>
  <c r="IR121"/>
  <c r="IQ121"/>
  <c r="IP121"/>
  <c r="IO121"/>
  <c r="IN121"/>
  <c r="IM121"/>
  <c r="IL121"/>
  <c r="IK121"/>
  <c r="IJ121"/>
  <c r="II121"/>
  <c r="IH121"/>
  <c r="IG121"/>
  <c r="IF121"/>
  <c r="IE121"/>
  <c r="ID121"/>
  <c r="IC121"/>
  <c r="IB121"/>
  <c r="IA121"/>
  <c r="HZ121"/>
  <c r="HY121"/>
  <c r="HX121"/>
  <c r="HW121"/>
  <c r="HV121"/>
  <c r="HU121"/>
  <c r="HT121"/>
  <c r="HS121"/>
  <c r="HR121"/>
  <c r="HQ121"/>
  <c r="HP121"/>
  <c r="HO121"/>
  <c r="HN121"/>
  <c r="HM121"/>
  <c r="HL121"/>
  <c r="HK121"/>
  <c r="HJ121"/>
  <c r="HI121"/>
  <c r="HH121"/>
  <c r="HG121"/>
  <c r="HF121"/>
  <c r="HE121"/>
  <c r="HD121"/>
  <c r="HC121"/>
  <c r="HB121"/>
  <c r="HA121"/>
  <c r="GZ121"/>
  <c r="GY121"/>
  <c r="GX121"/>
  <c r="GW121"/>
  <c r="GV121"/>
  <c r="GU121"/>
  <c r="GT121"/>
  <c r="GS121"/>
  <c r="GR121"/>
  <c r="GQ121"/>
  <c r="GP121"/>
  <c r="GO121"/>
  <c r="GN121"/>
  <c r="GM121"/>
  <c r="GL121"/>
  <c r="GK121"/>
  <c r="GJ121"/>
  <c r="GI121"/>
  <c r="GH121"/>
  <c r="GG121"/>
  <c r="GF121"/>
  <c r="GE121"/>
  <c r="GD121"/>
  <c r="GC121"/>
  <c r="GB121"/>
  <c r="GA121"/>
  <c r="FZ121"/>
  <c r="FY121"/>
  <c r="FX121"/>
  <c r="FW121"/>
  <c r="FV121"/>
  <c r="FU121"/>
  <c r="FT121"/>
  <c r="FS121"/>
  <c r="FR121"/>
  <c r="FQ121"/>
  <c r="FP121"/>
  <c r="FO121"/>
  <c r="FN121"/>
  <c r="FM121"/>
  <c r="FL121"/>
  <c r="FK121"/>
  <c r="FJ121"/>
  <c r="FI121"/>
  <c r="FH121"/>
  <c r="FG121"/>
  <c r="FF121"/>
  <c r="FE121"/>
  <c r="FD121"/>
  <c r="FC121"/>
  <c r="FB121"/>
  <c r="FA121"/>
  <c r="EZ121"/>
  <c r="EY121"/>
  <c r="EX121"/>
  <c r="EW121"/>
  <c r="EV121"/>
  <c r="EU121"/>
  <c r="ET121"/>
  <c r="ES121"/>
  <c r="ER121"/>
  <c r="EQ121"/>
  <c r="EP121"/>
  <c r="EO121"/>
  <c r="EN121"/>
  <c r="EM121"/>
  <c r="EL121"/>
  <c r="EK121"/>
  <c r="EJ121"/>
  <c r="EI121"/>
  <c r="EH121"/>
  <c r="EG121"/>
  <c r="EF121"/>
  <c r="EE121"/>
  <c r="ED121"/>
  <c r="EC121"/>
  <c r="EB121"/>
  <c r="EA121"/>
  <c r="DZ121"/>
  <c r="DY121"/>
  <c r="DX121"/>
  <c r="DW121"/>
  <c r="DV121"/>
  <c r="DU121"/>
  <c r="DT121"/>
  <c r="DS121"/>
  <c r="DR121"/>
  <c r="DQ121"/>
  <c r="DP121"/>
  <c r="DO121"/>
  <c r="DN121"/>
  <c r="DM121"/>
  <c r="DL121"/>
  <c r="DK121"/>
  <c r="DJ121"/>
  <c r="DI121"/>
  <c r="DH121"/>
  <c r="DG121"/>
  <c r="DF121"/>
  <c r="DE121"/>
  <c r="DD121"/>
  <c r="DC121"/>
  <c r="DB121"/>
  <c r="DA121"/>
  <c r="CZ121"/>
  <c r="CY121"/>
  <c r="CX121"/>
  <c r="CW121"/>
  <c r="CV121"/>
  <c r="CU121"/>
  <c r="CT121"/>
  <c r="CS121"/>
  <c r="CR121"/>
  <c r="CQ121"/>
  <c r="CP121"/>
  <c r="CO121"/>
  <c r="CN121"/>
  <c r="CM121"/>
  <c r="CL121"/>
  <c r="CK121"/>
  <c r="CJ121"/>
  <c r="CI121"/>
  <c r="CH121"/>
  <c r="CG121"/>
  <c r="CF121"/>
  <c r="CE121"/>
  <c r="CD121"/>
  <c r="CC121"/>
  <c r="CB121"/>
  <c r="CA121"/>
  <c r="BZ121"/>
  <c r="BY121"/>
  <c r="BX121"/>
  <c r="BW121"/>
  <c r="BV121"/>
  <c r="BU121"/>
  <c r="BT121"/>
  <c r="BS121"/>
  <c r="BR121"/>
  <c r="BQ121"/>
  <c r="BP121"/>
  <c r="BO121"/>
  <c r="BN121"/>
  <c r="BM121"/>
  <c r="BL121"/>
  <c r="BK121"/>
  <c r="BJ121"/>
  <c r="BI121"/>
  <c r="BH121"/>
  <c r="BG121"/>
  <c r="BF121"/>
  <c r="BE121"/>
  <c r="BD121"/>
  <c r="BC121"/>
  <c r="BB121"/>
  <c r="BA121"/>
  <c r="AZ121"/>
  <c r="AY121"/>
  <c r="AX121"/>
  <c r="AW121"/>
  <c r="AV121"/>
  <c r="AU121"/>
  <c r="AT121"/>
  <c r="AS121"/>
  <c r="AR121"/>
  <c r="AQ121"/>
  <c r="AP121"/>
  <c r="AO121"/>
  <c r="AN121"/>
  <c r="AM121"/>
  <c r="AL121"/>
  <c r="AK121"/>
  <c r="AJ121"/>
  <c r="AI121"/>
  <c r="AH121"/>
  <c r="AG121"/>
  <c r="AF121"/>
  <c r="AE121"/>
  <c r="AD121"/>
  <c r="AC121"/>
  <c r="AB121"/>
  <c r="AA121"/>
  <c r="Z121"/>
  <c r="Y121"/>
  <c r="X121"/>
  <c r="W121"/>
  <c r="V121"/>
  <c r="U121"/>
  <c r="T121"/>
  <c r="S121"/>
  <c r="R121"/>
  <c r="Q121"/>
  <c r="P121"/>
  <c r="O121"/>
  <c r="N121"/>
  <c r="M121"/>
  <c r="L121"/>
  <c r="K121"/>
  <c r="J121"/>
  <c r="I121"/>
  <c r="H121"/>
  <c r="G121"/>
  <c r="F121"/>
  <c r="E121"/>
  <c r="D121"/>
  <c r="C121"/>
  <c r="B121"/>
  <c r="A121"/>
  <c r="IV120"/>
  <c r="IU120"/>
  <c r="IT120"/>
  <c r="IS120"/>
  <c r="IR120"/>
  <c r="IQ120"/>
  <c r="IP120"/>
  <c r="IO120"/>
  <c r="IN120"/>
  <c r="IM120"/>
  <c r="IL120"/>
  <c r="IK120"/>
  <c r="IJ120"/>
  <c r="II120"/>
  <c r="IH120"/>
  <c r="IG120"/>
  <c r="IF120"/>
  <c r="IE120"/>
  <c r="ID120"/>
  <c r="IC120"/>
  <c r="IB120"/>
  <c r="IA120"/>
  <c r="HZ120"/>
  <c r="HY120"/>
  <c r="HX120"/>
  <c r="HW120"/>
  <c r="HV120"/>
  <c r="HU120"/>
  <c r="HT120"/>
  <c r="HS120"/>
  <c r="HR120"/>
  <c r="HQ120"/>
  <c r="HP120"/>
  <c r="HO120"/>
  <c r="HN120"/>
  <c r="HM120"/>
  <c r="HL120"/>
  <c r="HK120"/>
  <c r="HJ120"/>
  <c r="HI120"/>
  <c r="HH120"/>
  <c r="HG120"/>
  <c r="HF120"/>
  <c r="HE120"/>
  <c r="HD120"/>
  <c r="HC120"/>
  <c r="HB120"/>
  <c r="HA120"/>
  <c r="GZ120"/>
  <c r="GY120"/>
  <c r="GX120"/>
  <c r="GW120"/>
  <c r="GV120"/>
  <c r="GU120"/>
  <c r="GT120"/>
  <c r="GS120"/>
  <c r="GR120"/>
  <c r="GQ120"/>
  <c r="GP120"/>
  <c r="GO120"/>
  <c r="GN120"/>
  <c r="GM120"/>
  <c r="GL120"/>
  <c r="GK120"/>
  <c r="GJ120"/>
  <c r="GI120"/>
  <c r="GH120"/>
  <c r="GG120"/>
  <c r="GF120"/>
  <c r="GE120"/>
  <c r="GD120"/>
  <c r="GC120"/>
  <c r="GB120"/>
  <c r="GA120"/>
  <c r="FZ120"/>
  <c r="FY120"/>
  <c r="FX120"/>
  <c r="FW120"/>
  <c r="FV120"/>
  <c r="FU120"/>
  <c r="FT120"/>
  <c r="FS120"/>
  <c r="FR120"/>
  <c r="FQ120"/>
  <c r="FP120"/>
  <c r="FO120"/>
  <c r="FN120"/>
  <c r="FM120"/>
  <c r="FL120"/>
  <c r="FK120"/>
  <c r="FJ120"/>
  <c r="FI120"/>
  <c r="FH120"/>
  <c r="FG120"/>
  <c r="FF120"/>
  <c r="FE120"/>
  <c r="FD120"/>
  <c r="FC120"/>
  <c r="FB120"/>
  <c r="FA120"/>
  <c r="EZ120"/>
  <c r="EY120"/>
  <c r="EX120"/>
  <c r="EW120"/>
  <c r="EV120"/>
  <c r="EU120"/>
  <c r="ET120"/>
  <c r="ES120"/>
  <c r="ER120"/>
  <c r="EQ120"/>
  <c r="EP120"/>
  <c r="EO120"/>
  <c r="EN120"/>
  <c r="EM120"/>
  <c r="EL120"/>
  <c r="EK120"/>
  <c r="EJ120"/>
  <c r="EI120"/>
  <c r="EH120"/>
  <c r="EG120"/>
  <c r="EF120"/>
  <c r="EE120"/>
  <c r="ED120"/>
  <c r="EC120"/>
  <c r="EB120"/>
  <c r="EA120"/>
  <c r="DZ120"/>
  <c r="DY120"/>
  <c r="DX120"/>
  <c r="DW120"/>
  <c r="DV120"/>
  <c r="DU120"/>
  <c r="DT120"/>
  <c r="DS120"/>
  <c r="DR120"/>
  <c r="DQ120"/>
  <c r="DP120"/>
  <c r="DO120"/>
  <c r="DN120"/>
  <c r="DM120"/>
  <c r="DL120"/>
  <c r="DK120"/>
  <c r="DJ120"/>
  <c r="DI120"/>
  <c r="DH120"/>
  <c r="DG120"/>
  <c r="DF120"/>
  <c r="DE120"/>
  <c r="DD120"/>
  <c r="DC120"/>
  <c r="DB120"/>
  <c r="DA120"/>
  <c r="CZ120"/>
  <c r="CY120"/>
  <c r="CX120"/>
  <c r="CW120"/>
  <c r="CV120"/>
  <c r="CU120"/>
  <c r="CT120"/>
  <c r="CS120"/>
  <c r="CR120"/>
  <c r="CQ120"/>
  <c r="CP120"/>
  <c r="CO120"/>
  <c r="CN120"/>
  <c r="CM120"/>
  <c r="CL120"/>
  <c r="CK120"/>
  <c r="CJ120"/>
  <c r="CI120"/>
  <c r="CH120"/>
  <c r="CG120"/>
  <c r="CF120"/>
  <c r="CE120"/>
  <c r="CD120"/>
  <c r="CC120"/>
  <c r="CB120"/>
  <c r="CA120"/>
  <c r="BZ120"/>
  <c r="BY120"/>
  <c r="BX120"/>
  <c r="BW120"/>
  <c r="BV120"/>
  <c r="BU120"/>
  <c r="BT120"/>
  <c r="BS120"/>
  <c r="BR120"/>
  <c r="BQ120"/>
  <c r="BP120"/>
  <c r="BO120"/>
  <c r="BN120"/>
  <c r="BM120"/>
  <c r="BL120"/>
  <c r="BK120"/>
  <c r="BJ120"/>
  <c r="BI120"/>
  <c r="BH120"/>
  <c r="BG120"/>
  <c r="BF120"/>
  <c r="BE120"/>
  <c r="BD120"/>
  <c r="BC120"/>
  <c r="BB120"/>
  <c r="BA120"/>
  <c r="AZ120"/>
  <c r="AY120"/>
  <c r="AX120"/>
  <c r="AW120"/>
  <c r="AV120"/>
  <c r="AU120"/>
  <c r="AT120"/>
  <c r="AS120"/>
  <c r="AR120"/>
  <c r="AQ120"/>
  <c r="AP120"/>
  <c r="AO120"/>
  <c r="AN120"/>
  <c r="AM120"/>
  <c r="AL120"/>
  <c r="AK120"/>
  <c r="AJ120"/>
  <c r="AI120"/>
  <c r="AH120"/>
  <c r="AG120"/>
  <c r="AF120"/>
  <c r="AE120"/>
  <c r="AD120"/>
  <c r="AC120"/>
  <c r="AB120"/>
  <c r="AA120"/>
  <c r="Z120"/>
  <c r="Y120"/>
  <c r="X120"/>
  <c r="W120"/>
  <c r="V120"/>
  <c r="U120"/>
  <c r="T120"/>
  <c r="S120"/>
  <c r="R120"/>
  <c r="Q120"/>
  <c r="P120"/>
  <c r="O120"/>
  <c r="N120"/>
  <c r="M120"/>
  <c r="L120"/>
  <c r="K120"/>
  <c r="J120"/>
  <c r="I120"/>
  <c r="H120"/>
  <c r="G120"/>
  <c r="F120"/>
  <c r="E120"/>
  <c r="D120"/>
  <c r="C120"/>
  <c r="B120"/>
  <c r="A120"/>
  <c r="IV119"/>
  <c r="IU119"/>
  <c r="IT119"/>
  <c r="IS119"/>
  <c r="IR119"/>
  <c r="IQ119"/>
  <c r="IP119"/>
  <c r="IO119"/>
  <c r="IN119"/>
  <c r="IM119"/>
  <c r="IL119"/>
  <c r="IK119"/>
  <c r="IJ119"/>
  <c r="II119"/>
  <c r="IH119"/>
  <c r="IG119"/>
  <c r="IF119"/>
  <c r="IE119"/>
  <c r="ID119"/>
  <c r="IC119"/>
  <c r="IB119"/>
  <c r="IA119"/>
  <c r="HZ119"/>
  <c r="HY119"/>
  <c r="HX119"/>
  <c r="HW119"/>
  <c r="HV119"/>
  <c r="HU119"/>
  <c r="HT119"/>
  <c r="HS119"/>
  <c r="HR119"/>
  <c r="HQ119"/>
  <c r="HP119"/>
  <c r="HO119"/>
  <c r="HN119"/>
  <c r="HM119"/>
  <c r="HL119"/>
  <c r="HK119"/>
  <c r="HJ119"/>
  <c r="HI119"/>
  <c r="HH119"/>
  <c r="HG119"/>
  <c r="HF119"/>
  <c r="HE119"/>
  <c r="HD119"/>
  <c r="HC119"/>
  <c r="HB119"/>
  <c r="HA119"/>
  <c r="GZ119"/>
  <c r="GY119"/>
  <c r="GX119"/>
  <c r="GW119"/>
  <c r="GV119"/>
  <c r="GU119"/>
  <c r="GT119"/>
  <c r="GS119"/>
  <c r="GR119"/>
  <c r="GQ119"/>
  <c r="GP119"/>
  <c r="GO119"/>
  <c r="GN119"/>
  <c r="GM119"/>
  <c r="GL119"/>
  <c r="GK119"/>
  <c r="GJ119"/>
  <c r="GI119"/>
  <c r="GH119"/>
  <c r="GG119"/>
  <c r="GF119"/>
  <c r="GE119"/>
  <c r="GD119"/>
  <c r="GC119"/>
  <c r="GB119"/>
  <c r="GA119"/>
  <c r="FZ119"/>
  <c r="FY119"/>
  <c r="FX119"/>
  <c r="FW119"/>
  <c r="FV119"/>
  <c r="FU119"/>
  <c r="FT119"/>
  <c r="FS119"/>
  <c r="FR119"/>
  <c r="FQ119"/>
  <c r="FP119"/>
  <c r="FO119"/>
  <c r="FN119"/>
  <c r="FM119"/>
  <c r="FL119"/>
  <c r="FK119"/>
  <c r="FJ119"/>
  <c r="FI119"/>
  <c r="FH119"/>
  <c r="FG119"/>
  <c r="FF119"/>
  <c r="FE119"/>
  <c r="FD119"/>
  <c r="FC119"/>
  <c r="FB119"/>
  <c r="FA119"/>
  <c r="EZ119"/>
  <c r="EY119"/>
  <c r="EX119"/>
  <c r="EW119"/>
  <c r="EV119"/>
  <c r="EU119"/>
  <c r="ET119"/>
  <c r="ES119"/>
  <c r="ER119"/>
  <c r="EQ119"/>
  <c r="EP119"/>
  <c r="EO119"/>
  <c r="EN119"/>
  <c r="EM119"/>
  <c r="EL119"/>
  <c r="EK119"/>
  <c r="EJ119"/>
  <c r="EI119"/>
  <c r="EH119"/>
  <c r="EG119"/>
  <c r="EF119"/>
  <c r="EE119"/>
  <c r="ED119"/>
  <c r="EC119"/>
  <c r="EB119"/>
  <c r="EA119"/>
  <c r="DZ119"/>
  <c r="DY119"/>
  <c r="DX119"/>
  <c r="DW119"/>
  <c r="DV119"/>
  <c r="DU119"/>
  <c r="DT119"/>
  <c r="DS119"/>
  <c r="DR119"/>
  <c r="DQ119"/>
  <c r="DP119"/>
  <c r="DO119"/>
  <c r="DN119"/>
  <c r="DM119"/>
  <c r="DL119"/>
  <c r="DK119"/>
  <c r="DJ119"/>
  <c r="DI119"/>
  <c r="DH119"/>
  <c r="DG119"/>
  <c r="DF119"/>
  <c r="DE119"/>
  <c r="DD119"/>
  <c r="DC119"/>
  <c r="DB119"/>
  <c r="DA119"/>
  <c r="CZ119"/>
  <c r="CY119"/>
  <c r="CX119"/>
  <c r="CW119"/>
  <c r="CV119"/>
  <c r="CU119"/>
  <c r="CT119"/>
  <c r="CS119"/>
  <c r="CR119"/>
  <c r="CQ119"/>
  <c r="CP119"/>
  <c r="CO119"/>
  <c r="CN119"/>
  <c r="CM119"/>
  <c r="CL119"/>
  <c r="CK119"/>
  <c r="CJ119"/>
  <c r="CI119"/>
  <c r="CH119"/>
  <c r="CG119"/>
  <c r="CF119"/>
  <c r="CE119"/>
  <c r="CD119"/>
  <c r="CC119"/>
  <c r="CB119"/>
  <c r="CA119"/>
  <c r="BZ119"/>
  <c r="BY119"/>
  <c r="BX119"/>
  <c r="BW119"/>
  <c r="BV119"/>
  <c r="BU119"/>
  <c r="BT119"/>
  <c r="BS119"/>
  <c r="BR119"/>
  <c r="BQ119"/>
  <c r="BP119"/>
  <c r="BO119"/>
  <c r="BN119"/>
  <c r="BM119"/>
  <c r="BL119"/>
  <c r="BK119"/>
  <c r="BJ119"/>
  <c r="BI119"/>
  <c r="BH119"/>
  <c r="BG119"/>
  <c r="BF119"/>
  <c r="BE119"/>
  <c r="BD119"/>
  <c r="BC119"/>
  <c r="BB119"/>
  <c r="BA119"/>
  <c r="AZ119"/>
  <c r="AY119"/>
  <c r="AX119"/>
  <c r="AW119"/>
  <c r="AV119"/>
  <c r="AU119"/>
  <c r="AT119"/>
  <c r="AS119"/>
  <c r="AR119"/>
  <c r="AQ119"/>
  <c r="AP119"/>
  <c r="AO119"/>
  <c r="AN119"/>
  <c r="AM119"/>
  <c r="AL119"/>
  <c r="AK119"/>
  <c r="AJ119"/>
  <c r="AI119"/>
  <c r="AH119"/>
  <c r="AG119"/>
  <c r="AF119"/>
  <c r="AE119"/>
  <c r="AD119"/>
  <c r="AC119"/>
  <c r="AB119"/>
  <c r="AA119"/>
  <c r="Z119"/>
  <c r="Y119"/>
  <c r="X119"/>
  <c r="W119"/>
  <c r="V119"/>
  <c r="U119"/>
  <c r="T119"/>
  <c r="S119"/>
  <c r="R119"/>
  <c r="Q119"/>
  <c r="P119"/>
  <c r="O119"/>
  <c r="N119"/>
  <c r="M119"/>
  <c r="L119"/>
  <c r="K119"/>
  <c r="J119"/>
  <c r="I119"/>
  <c r="H119"/>
  <c r="G119"/>
  <c r="F119"/>
  <c r="E119"/>
  <c r="D119"/>
  <c r="C119"/>
  <c r="B119"/>
  <c r="A119"/>
  <c r="IV118"/>
  <c r="IU118"/>
  <c r="IT118"/>
  <c r="IS118"/>
  <c r="IR118"/>
  <c r="IQ118"/>
  <c r="IP118"/>
  <c r="IO118"/>
  <c r="IN118"/>
  <c r="IM118"/>
  <c r="IL118"/>
  <c r="IK118"/>
  <c r="IJ118"/>
  <c r="II118"/>
  <c r="IH118"/>
  <c r="IG118"/>
  <c r="IF118"/>
  <c r="IE118"/>
  <c r="ID118"/>
  <c r="IC118"/>
  <c r="IB118"/>
  <c r="IA118"/>
  <c r="HZ118"/>
  <c r="HY118"/>
  <c r="HX118"/>
  <c r="HW118"/>
  <c r="HV118"/>
  <c r="HU118"/>
  <c r="HT118"/>
  <c r="HS118"/>
  <c r="HR118"/>
  <c r="HQ118"/>
  <c r="HP118"/>
  <c r="HO118"/>
  <c r="HN118"/>
  <c r="HM118"/>
  <c r="HL118"/>
  <c r="HK118"/>
  <c r="HJ118"/>
  <c r="HI118"/>
  <c r="HH118"/>
  <c r="HG118"/>
  <c r="HF118"/>
  <c r="HE118"/>
  <c r="HD118"/>
  <c r="HC118"/>
  <c r="HB118"/>
  <c r="HA118"/>
  <c r="GZ118"/>
  <c r="GY118"/>
  <c r="GX118"/>
  <c r="GW118"/>
  <c r="GV118"/>
  <c r="GU118"/>
  <c r="GT118"/>
  <c r="GS118"/>
  <c r="GR118"/>
  <c r="GQ118"/>
  <c r="GP118"/>
  <c r="GO118"/>
  <c r="GN118"/>
  <c r="GM118"/>
  <c r="GL118"/>
  <c r="GK118"/>
  <c r="GJ118"/>
  <c r="GI118"/>
  <c r="GH118"/>
  <c r="GG118"/>
  <c r="GF118"/>
  <c r="GE118"/>
  <c r="GD118"/>
  <c r="GC118"/>
  <c r="GB118"/>
  <c r="GA118"/>
  <c r="FZ118"/>
  <c r="FY118"/>
  <c r="FX118"/>
  <c r="FW118"/>
  <c r="FV118"/>
  <c r="FU118"/>
  <c r="FT118"/>
  <c r="FS118"/>
  <c r="FR118"/>
  <c r="FQ118"/>
  <c r="FP118"/>
  <c r="FO118"/>
  <c r="FN118"/>
  <c r="FM118"/>
  <c r="FL118"/>
  <c r="FK118"/>
  <c r="FJ118"/>
  <c r="FI118"/>
  <c r="FH118"/>
  <c r="FG118"/>
  <c r="FF118"/>
  <c r="FE118"/>
  <c r="FD118"/>
  <c r="FC118"/>
  <c r="FB118"/>
  <c r="FA118"/>
  <c r="EZ118"/>
  <c r="EY118"/>
  <c r="EX118"/>
  <c r="EW118"/>
  <c r="EV118"/>
  <c r="EU118"/>
  <c r="ET118"/>
  <c r="ES118"/>
  <c r="ER118"/>
  <c r="EQ118"/>
  <c r="EP118"/>
  <c r="EO118"/>
  <c r="EN118"/>
  <c r="EM118"/>
  <c r="EL118"/>
  <c r="EK118"/>
  <c r="EJ118"/>
  <c r="EI118"/>
  <c r="EH118"/>
  <c r="EG118"/>
  <c r="EF118"/>
  <c r="EE118"/>
  <c r="ED118"/>
  <c r="EC118"/>
  <c r="EB118"/>
  <c r="EA118"/>
  <c r="DZ118"/>
  <c r="DY118"/>
  <c r="DX118"/>
  <c r="DW118"/>
  <c r="DV118"/>
  <c r="DU118"/>
  <c r="DT118"/>
  <c r="DS118"/>
  <c r="DR118"/>
  <c r="DQ118"/>
  <c r="DP118"/>
  <c r="DO118"/>
  <c r="DN118"/>
  <c r="DM118"/>
  <c r="DL118"/>
  <c r="DK118"/>
  <c r="DJ118"/>
  <c r="DI118"/>
  <c r="DH118"/>
  <c r="DG118"/>
  <c r="DF118"/>
  <c r="DE118"/>
  <c r="DD118"/>
  <c r="DC118"/>
  <c r="DB118"/>
  <c r="DA118"/>
  <c r="CZ118"/>
  <c r="CY118"/>
  <c r="CX118"/>
  <c r="CW118"/>
  <c r="CV118"/>
  <c r="CU118"/>
  <c r="CT118"/>
  <c r="CS118"/>
  <c r="CR118"/>
  <c r="CQ118"/>
  <c r="CP118"/>
  <c r="CO118"/>
  <c r="CN118"/>
  <c r="CM118"/>
  <c r="CL118"/>
  <c r="CK118"/>
  <c r="CJ118"/>
  <c r="CI118"/>
  <c r="CH118"/>
  <c r="CG118"/>
  <c r="CF118"/>
  <c r="CE118"/>
  <c r="CD118"/>
  <c r="CC118"/>
  <c r="CB118"/>
  <c r="CA118"/>
  <c r="BZ118"/>
  <c r="BY118"/>
  <c r="BX118"/>
  <c r="BW118"/>
  <c r="BV118"/>
  <c r="BU118"/>
  <c r="BT118"/>
  <c r="BS118"/>
  <c r="BR118"/>
  <c r="BQ118"/>
  <c r="BP118"/>
  <c r="BO118"/>
  <c r="BN118"/>
  <c r="BM118"/>
  <c r="BL118"/>
  <c r="BK118"/>
  <c r="BJ118"/>
  <c r="BI118"/>
  <c r="BH118"/>
  <c r="BG118"/>
  <c r="BF118"/>
  <c r="BE118"/>
  <c r="BD118"/>
  <c r="BC118"/>
  <c r="BB118"/>
  <c r="BA118"/>
  <c r="AZ118"/>
  <c r="AY118"/>
  <c r="AX118"/>
  <c r="AW118"/>
  <c r="AV118"/>
  <c r="AU118"/>
  <c r="AT118"/>
  <c r="AS118"/>
  <c r="AR118"/>
  <c r="AQ118"/>
  <c r="AP118"/>
  <c r="AO118"/>
  <c r="AN118"/>
  <c r="AM118"/>
  <c r="AL118"/>
  <c r="AK118"/>
  <c r="AJ118"/>
  <c r="AI118"/>
  <c r="AH118"/>
  <c r="AG118"/>
  <c r="AF118"/>
  <c r="AE118"/>
  <c r="AD118"/>
  <c r="AC118"/>
  <c r="AB118"/>
  <c r="AA118"/>
  <c r="Z118"/>
  <c r="Y118"/>
  <c r="X118"/>
  <c r="W118"/>
  <c r="V118"/>
  <c r="U118"/>
  <c r="T118"/>
  <c r="S118"/>
  <c r="R118"/>
  <c r="Q118"/>
  <c r="P118"/>
  <c r="O118"/>
  <c r="N118"/>
  <c r="M118"/>
  <c r="L118"/>
  <c r="K118"/>
  <c r="J118"/>
  <c r="I118"/>
  <c r="H118"/>
  <c r="G118"/>
  <c r="F118"/>
  <c r="E118"/>
  <c r="D118"/>
  <c r="C118"/>
  <c r="B118"/>
  <c r="A118"/>
  <c r="IV117"/>
  <c r="IU117"/>
  <c r="IT117"/>
  <c r="IS117"/>
  <c r="IR117"/>
  <c r="IQ117"/>
  <c r="IP117"/>
  <c r="IO117"/>
  <c r="IN117"/>
  <c r="IM117"/>
  <c r="IL117"/>
  <c r="IK117"/>
  <c r="IJ117"/>
  <c r="II117"/>
  <c r="IH117"/>
  <c r="IG117"/>
  <c r="IF117"/>
  <c r="IE117"/>
  <c r="ID117"/>
  <c r="IC117"/>
  <c r="IB117"/>
  <c r="IA117"/>
  <c r="HZ117"/>
  <c r="HY117"/>
  <c r="HX117"/>
  <c r="HW117"/>
  <c r="HV117"/>
  <c r="HU117"/>
  <c r="HT117"/>
  <c r="HS117"/>
  <c r="HR117"/>
  <c r="HQ117"/>
  <c r="HP117"/>
  <c r="HO117"/>
  <c r="HN117"/>
  <c r="HM117"/>
  <c r="HL117"/>
  <c r="HK117"/>
  <c r="HJ117"/>
  <c r="HI117"/>
  <c r="HH117"/>
  <c r="HG117"/>
  <c r="HF117"/>
  <c r="HE117"/>
  <c r="HD117"/>
  <c r="HC117"/>
  <c r="HB117"/>
  <c r="HA117"/>
  <c r="GZ117"/>
  <c r="GY117"/>
  <c r="GX117"/>
  <c r="GW117"/>
  <c r="GV117"/>
  <c r="GU117"/>
  <c r="GT117"/>
  <c r="GS117"/>
  <c r="GR117"/>
  <c r="GQ117"/>
  <c r="GP117"/>
  <c r="GO117"/>
  <c r="GN117"/>
  <c r="GM117"/>
  <c r="GL117"/>
  <c r="GK117"/>
  <c r="GJ117"/>
  <c r="GI117"/>
  <c r="GH117"/>
  <c r="GG117"/>
  <c r="GF117"/>
  <c r="GE117"/>
  <c r="GD117"/>
  <c r="GC117"/>
  <c r="GB117"/>
  <c r="GA117"/>
  <c r="FZ117"/>
  <c r="FY117"/>
  <c r="FX117"/>
  <c r="FW117"/>
  <c r="FV117"/>
  <c r="FU117"/>
  <c r="FT117"/>
  <c r="FS117"/>
  <c r="FR117"/>
  <c r="FQ117"/>
  <c r="FP117"/>
  <c r="FO117"/>
  <c r="FN117"/>
  <c r="FM117"/>
  <c r="FL117"/>
  <c r="FK117"/>
  <c r="FJ117"/>
  <c r="FI117"/>
  <c r="FH117"/>
  <c r="FG117"/>
  <c r="FF117"/>
  <c r="FE117"/>
  <c r="FD117"/>
  <c r="FC117"/>
  <c r="FB117"/>
  <c r="FA117"/>
  <c r="EZ117"/>
  <c r="EY117"/>
  <c r="EX117"/>
  <c r="EW117"/>
  <c r="EV117"/>
  <c r="EU117"/>
  <c r="ET117"/>
  <c r="ES117"/>
  <c r="ER117"/>
  <c r="EQ117"/>
  <c r="EP117"/>
  <c r="EO117"/>
  <c r="EN117"/>
  <c r="EM117"/>
  <c r="EL117"/>
  <c r="EK117"/>
  <c r="EJ117"/>
  <c r="EI117"/>
  <c r="EH117"/>
  <c r="EG117"/>
  <c r="EF117"/>
  <c r="EE117"/>
  <c r="ED117"/>
  <c r="EC117"/>
  <c r="EB117"/>
  <c r="EA117"/>
  <c r="DZ117"/>
  <c r="DY117"/>
  <c r="DX117"/>
  <c r="DW117"/>
  <c r="DV117"/>
  <c r="DU117"/>
  <c r="DT117"/>
  <c r="DS117"/>
  <c r="DR117"/>
  <c r="DQ117"/>
  <c r="DP117"/>
  <c r="DO117"/>
  <c r="DN117"/>
  <c r="DM117"/>
  <c r="DL117"/>
  <c r="DK117"/>
  <c r="DJ117"/>
  <c r="DI117"/>
  <c r="DH117"/>
  <c r="DG117"/>
  <c r="DF117"/>
  <c r="DE117"/>
  <c r="DD117"/>
  <c r="DC117"/>
  <c r="DB117"/>
  <c r="DA117"/>
  <c r="CZ117"/>
  <c r="CY117"/>
  <c r="CX117"/>
  <c r="CW117"/>
  <c r="CV117"/>
  <c r="CU117"/>
  <c r="CT117"/>
  <c r="CS117"/>
  <c r="CR117"/>
  <c r="CQ117"/>
  <c r="CP117"/>
  <c r="CO117"/>
  <c r="CN117"/>
  <c r="CM117"/>
  <c r="CL117"/>
  <c r="CK117"/>
  <c r="CJ117"/>
  <c r="CI117"/>
  <c r="CH117"/>
  <c r="CG117"/>
  <c r="CF117"/>
  <c r="CE117"/>
  <c r="CD117"/>
  <c r="CC117"/>
  <c r="CB117"/>
  <c r="CA117"/>
  <c r="BZ117"/>
  <c r="BY117"/>
  <c r="BX117"/>
  <c r="BW117"/>
  <c r="BV117"/>
  <c r="BU117"/>
  <c r="BT117"/>
  <c r="BS117"/>
  <c r="BR117"/>
  <c r="BQ117"/>
  <c r="BP117"/>
  <c r="BO117"/>
  <c r="BN117"/>
  <c r="BM117"/>
  <c r="BL117"/>
  <c r="BK117"/>
  <c r="BJ117"/>
  <c r="BI117"/>
  <c r="BH117"/>
  <c r="BG117"/>
  <c r="BF117"/>
  <c r="BE117"/>
  <c r="BD117"/>
  <c r="BC117"/>
  <c r="BB117"/>
  <c r="BA117"/>
  <c r="AZ117"/>
  <c r="AY117"/>
  <c r="AX117"/>
  <c r="AW117"/>
  <c r="AV117"/>
  <c r="AU117"/>
  <c r="AT117"/>
  <c r="AS117"/>
  <c r="AR117"/>
  <c r="AQ117"/>
  <c r="AP117"/>
  <c r="AO117"/>
  <c r="AN117"/>
  <c r="AM117"/>
  <c r="AL117"/>
  <c r="AK117"/>
  <c r="AJ117"/>
  <c r="AI117"/>
  <c r="AH117"/>
  <c r="AG117"/>
  <c r="AF117"/>
  <c r="AE117"/>
  <c r="AD117"/>
  <c r="AC117"/>
  <c r="AB117"/>
  <c r="AA117"/>
  <c r="Z117"/>
  <c r="Y117"/>
  <c r="X117"/>
  <c r="W117"/>
  <c r="V117"/>
  <c r="U117"/>
  <c r="T117"/>
  <c r="S117"/>
  <c r="R117"/>
  <c r="Q117"/>
  <c r="P117"/>
  <c r="O117"/>
  <c r="N117"/>
  <c r="M117"/>
  <c r="L117"/>
  <c r="K117"/>
  <c r="J117"/>
  <c r="I117"/>
  <c r="H117"/>
  <c r="G117"/>
  <c r="F117"/>
  <c r="E117"/>
  <c r="D117"/>
  <c r="C117"/>
  <c r="B117"/>
  <c r="A117"/>
  <c r="IV116"/>
  <c r="IU116"/>
  <c r="IT116"/>
  <c r="IS116"/>
  <c r="IR116"/>
  <c r="IQ116"/>
  <c r="IP116"/>
  <c r="IO116"/>
  <c r="IN116"/>
  <c r="IM116"/>
  <c r="IL116"/>
  <c r="IK116"/>
  <c r="IJ116"/>
  <c r="II116"/>
  <c r="IH116"/>
  <c r="IG116"/>
  <c r="IF116"/>
  <c r="IE116"/>
  <c r="ID116"/>
  <c r="IC116"/>
  <c r="IB116"/>
  <c r="IA116"/>
  <c r="HZ116"/>
  <c r="HY116"/>
  <c r="HX116"/>
  <c r="HW116"/>
  <c r="HV116"/>
  <c r="HU116"/>
  <c r="HT116"/>
  <c r="HS116"/>
  <c r="HR116"/>
  <c r="HQ116"/>
  <c r="HP116"/>
  <c r="HO116"/>
  <c r="HN116"/>
  <c r="HM116"/>
  <c r="HL116"/>
  <c r="HK116"/>
  <c r="HJ116"/>
  <c r="HI116"/>
  <c r="HH116"/>
  <c r="HG116"/>
  <c r="HF116"/>
  <c r="HE116"/>
  <c r="HD116"/>
  <c r="HC116"/>
  <c r="HB116"/>
  <c r="HA116"/>
  <c r="GZ116"/>
  <c r="GY116"/>
  <c r="GX116"/>
  <c r="GW116"/>
  <c r="GV116"/>
  <c r="GU116"/>
  <c r="GT116"/>
  <c r="GS116"/>
  <c r="GR116"/>
  <c r="GQ116"/>
  <c r="GP116"/>
  <c r="GO116"/>
  <c r="GN116"/>
  <c r="GM116"/>
  <c r="GL116"/>
  <c r="GK116"/>
  <c r="GJ116"/>
  <c r="GI116"/>
  <c r="GH116"/>
  <c r="GG116"/>
  <c r="GF116"/>
  <c r="GE116"/>
  <c r="GD116"/>
  <c r="GC116"/>
  <c r="GB116"/>
  <c r="GA116"/>
  <c r="FZ116"/>
  <c r="FY116"/>
  <c r="FX116"/>
  <c r="FW116"/>
  <c r="FV116"/>
  <c r="FU116"/>
  <c r="FT116"/>
  <c r="FS116"/>
  <c r="FR116"/>
  <c r="FQ116"/>
  <c r="FP116"/>
  <c r="FO116"/>
  <c r="FN116"/>
  <c r="FM116"/>
  <c r="FL116"/>
  <c r="FK116"/>
  <c r="FJ116"/>
  <c r="FI116"/>
  <c r="FH116"/>
  <c r="FG116"/>
  <c r="FF116"/>
  <c r="FE116"/>
  <c r="FD116"/>
  <c r="FC116"/>
  <c r="FB116"/>
  <c r="FA116"/>
  <c r="EZ116"/>
  <c r="EY116"/>
  <c r="EX116"/>
  <c r="EW116"/>
  <c r="EV116"/>
  <c r="EU116"/>
  <c r="ET116"/>
  <c r="ES116"/>
  <c r="ER116"/>
  <c r="EQ116"/>
  <c r="EP116"/>
  <c r="EO116"/>
  <c r="EN116"/>
  <c r="EM116"/>
  <c r="EL116"/>
  <c r="EK116"/>
  <c r="EJ116"/>
  <c r="EI116"/>
  <c r="EH116"/>
  <c r="EG116"/>
  <c r="EF116"/>
  <c r="EE116"/>
  <c r="ED116"/>
  <c r="EC116"/>
  <c r="EB116"/>
  <c r="EA116"/>
  <c r="DZ116"/>
  <c r="DY116"/>
  <c r="DX116"/>
  <c r="DW116"/>
  <c r="DV116"/>
  <c r="DU116"/>
  <c r="DT116"/>
  <c r="DS116"/>
  <c r="DR116"/>
  <c r="DQ116"/>
  <c r="DP116"/>
  <c r="DO116"/>
  <c r="DN116"/>
  <c r="DM116"/>
  <c r="DL116"/>
  <c r="DK116"/>
  <c r="DJ116"/>
  <c r="DI116"/>
  <c r="DH116"/>
  <c r="DG116"/>
  <c r="DF116"/>
  <c r="DE116"/>
  <c r="DD116"/>
  <c r="DC116"/>
  <c r="DB116"/>
  <c r="DA116"/>
  <c r="CZ116"/>
  <c r="CY116"/>
  <c r="CX116"/>
  <c r="CW116"/>
  <c r="CV116"/>
  <c r="CU116"/>
  <c r="CT116"/>
  <c r="CS116"/>
  <c r="CR116"/>
  <c r="CQ116"/>
  <c r="CP116"/>
  <c r="CO116"/>
  <c r="CN116"/>
  <c r="CM116"/>
  <c r="CL116"/>
  <c r="CK116"/>
  <c r="CJ116"/>
  <c r="CI116"/>
  <c r="CH116"/>
  <c r="CG116"/>
  <c r="CF116"/>
  <c r="CE116"/>
  <c r="CD116"/>
  <c r="CC116"/>
  <c r="CB116"/>
  <c r="CA116"/>
  <c r="BZ116"/>
  <c r="BY116"/>
  <c r="BX116"/>
  <c r="BW116"/>
  <c r="BV116"/>
  <c r="BU116"/>
  <c r="BT116"/>
  <c r="BS116"/>
  <c r="BR116"/>
  <c r="BQ116"/>
  <c r="BP116"/>
  <c r="BO116"/>
  <c r="BN116"/>
  <c r="BM116"/>
  <c r="BL116"/>
  <c r="BK116"/>
  <c r="BJ116"/>
  <c r="BI116"/>
  <c r="BH116"/>
  <c r="BG116"/>
  <c r="BF116"/>
  <c r="BE116"/>
  <c r="BD116"/>
  <c r="BC116"/>
  <c r="BB116"/>
  <c r="BA116"/>
  <c r="AZ116"/>
  <c r="AY116"/>
  <c r="AX116"/>
  <c r="AW116"/>
  <c r="AV116"/>
  <c r="AU116"/>
  <c r="AT116"/>
  <c r="AS116"/>
  <c r="AR116"/>
  <c r="AQ116"/>
  <c r="AP116"/>
  <c r="AO116"/>
  <c r="AN116"/>
  <c r="AM116"/>
  <c r="AL116"/>
  <c r="AK116"/>
  <c r="AJ116"/>
  <c r="AI116"/>
  <c r="AH116"/>
  <c r="AG116"/>
  <c r="AF116"/>
  <c r="AE116"/>
  <c r="AD116"/>
  <c r="AC116"/>
  <c r="AB116"/>
  <c r="AA116"/>
  <c r="Z116"/>
  <c r="Y116"/>
  <c r="X116"/>
  <c r="W116"/>
  <c r="V116"/>
  <c r="U116"/>
  <c r="T116"/>
  <c r="S116"/>
  <c r="R116"/>
  <c r="Q116"/>
  <c r="P116"/>
  <c r="O116"/>
  <c r="N116"/>
  <c r="M116"/>
  <c r="L116"/>
  <c r="K116"/>
  <c r="J116"/>
  <c r="I116"/>
  <c r="H116"/>
  <c r="G116"/>
  <c r="F116"/>
  <c r="E116"/>
  <c r="D116"/>
  <c r="C116"/>
  <c r="B116"/>
  <c r="A116"/>
  <c r="IV115"/>
  <c r="IU115"/>
  <c r="IT115"/>
  <c r="IS115"/>
  <c r="IR115"/>
  <c r="IQ115"/>
  <c r="IP115"/>
  <c r="IO115"/>
  <c r="IN115"/>
  <c r="IM115"/>
  <c r="IL115"/>
  <c r="IK115"/>
  <c r="IJ115"/>
  <c r="II115"/>
  <c r="IH115"/>
  <c r="IG115"/>
  <c r="IF115"/>
  <c r="IE115"/>
  <c r="ID115"/>
  <c r="IC115"/>
  <c r="IB115"/>
  <c r="IA115"/>
  <c r="HZ115"/>
  <c r="HY115"/>
  <c r="HX115"/>
  <c r="HW115"/>
  <c r="HV115"/>
  <c r="HU115"/>
  <c r="HT115"/>
  <c r="HS115"/>
  <c r="HR115"/>
  <c r="HQ115"/>
  <c r="HP115"/>
  <c r="HO115"/>
  <c r="HN115"/>
  <c r="HM115"/>
  <c r="HL115"/>
  <c r="HK115"/>
  <c r="HJ115"/>
  <c r="HI115"/>
  <c r="HH115"/>
  <c r="HG115"/>
  <c r="HF115"/>
  <c r="HE115"/>
  <c r="HD115"/>
  <c r="HC115"/>
  <c r="HB115"/>
  <c r="HA115"/>
  <c r="GZ115"/>
  <c r="GY115"/>
  <c r="GX115"/>
  <c r="GW115"/>
  <c r="GV115"/>
  <c r="GU115"/>
  <c r="GT115"/>
  <c r="GS115"/>
  <c r="GR115"/>
  <c r="GQ115"/>
  <c r="GP115"/>
  <c r="GO115"/>
  <c r="GN115"/>
  <c r="GM115"/>
  <c r="GL115"/>
  <c r="GK115"/>
  <c r="GJ115"/>
  <c r="GI115"/>
  <c r="GH115"/>
  <c r="GG115"/>
  <c r="GF115"/>
  <c r="GE115"/>
  <c r="GD115"/>
  <c r="GC115"/>
  <c r="GB115"/>
  <c r="GA115"/>
  <c r="FZ115"/>
  <c r="FY115"/>
  <c r="FX115"/>
  <c r="FW115"/>
  <c r="FV115"/>
  <c r="FU115"/>
  <c r="FT115"/>
  <c r="FS115"/>
  <c r="FR115"/>
  <c r="FQ115"/>
  <c r="FP115"/>
  <c r="FO115"/>
  <c r="FN115"/>
  <c r="FM115"/>
  <c r="FL115"/>
  <c r="FK115"/>
  <c r="FJ115"/>
  <c r="FI115"/>
  <c r="FH115"/>
  <c r="FG115"/>
  <c r="FF115"/>
  <c r="FE115"/>
  <c r="FD115"/>
  <c r="FC115"/>
  <c r="FB115"/>
  <c r="FA115"/>
  <c r="EZ115"/>
  <c r="EY115"/>
  <c r="EX115"/>
  <c r="EW115"/>
  <c r="EV115"/>
  <c r="EU115"/>
  <c r="ET115"/>
  <c r="ES115"/>
  <c r="ER115"/>
  <c r="EQ115"/>
  <c r="EP115"/>
  <c r="EO115"/>
  <c r="EN115"/>
  <c r="EM115"/>
  <c r="EL115"/>
  <c r="EK115"/>
  <c r="EJ115"/>
  <c r="EI115"/>
  <c r="EH115"/>
  <c r="EG115"/>
  <c r="EF115"/>
  <c r="EE115"/>
  <c r="ED115"/>
  <c r="EC115"/>
  <c r="EB115"/>
  <c r="EA115"/>
  <c r="DZ115"/>
  <c r="DY115"/>
  <c r="DX115"/>
  <c r="DW115"/>
  <c r="DV115"/>
  <c r="DU115"/>
  <c r="DT115"/>
  <c r="DS115"/>
  <c r="DR115"/>
  <c r="DQ115"/>
  <c r="DP115"/>
  <c r="DO115"/>
  <c r="DN115"/>
  <c r="DM115"/>
  <c r="DL115"/>
  <c r="DK115"/>
  <c r="DJ115"/>
  <c r="DI115"/>
  <c r="DH115"/>
  <c r="DG115"/>
  <c r="DF115"/>
  <c r="DE115"/>
  <c r="DD115"/>
  <c r="DC115"/>
  <c r="DB115"/>
  <c r="DA115"/>
  <c r="CZ115"/>
  <c r="CY115"/>
  <c r="CX115"/>
  <c r="CW115"/>
  <c r="CV115"/>
  <c r="CU115"/>
  <c r="CT115"/>
  <c r="CS115"/>
  <c r="CR115"/>
  <c r="CQ115"/>
  <c r="CP115"/>
  <c r="CO115"/>
  <c r="CN115"/>
  <c r="CM115"/>
  <c r="CL115"/>
  <c r="CK115"/>
  <c r="CJ115"/>
  <c r="CI115"/>
  <c r="CH115"/>
  <c r="CG115"/>
  <c r="CF115"/>
  <c r="CE115"/>
  <c r="CD115"/>
  <c r="CC115"/>
  <c r="CB115"/>
  <c r="CA115"/>
  <c r="BZ115"/>
  <c r="BY115"/>
  <c r="BX115"/>
  <c r="BW115"/>
  <c r="BV115"/>
  <c r="BU115"/>
  <c r="BT115"/>
  <c r="BS115"/>
  <c r="BR115"/>
  <c r="BQ115"/>
  <c r="BP115"/>
  <c r="BO115"/>
  <c r="BN115"/>
  <c r="BM115"/>
  <c r="BL115"/>
  <c r="BK115"/>
  <c r="BJ115"/>
  <c r="BI115"/>
  <c r="BH115"/>
  <c r="BG115"/>
  <c r="BF115"/>
  <c r="BE115"/>
  <c r="BD115"/>
  <c r="BC115"/>
  <c r="BB115"/>
  <c r="BA115"/>
  <c r="AZ115"/>
  <c r="AY115"/>
  <c r="AX115"/>
  <c r="AW115"/>
  <c r="AV115"/>
  <c r="AU115"/>
  <c r="AT115"/>
  <c r="AS115"/>
  <c r="AR115"/>
  <c r="AQ115"/>
  <c r="AP115"/>
  <c r="AO115"/>
  <c r="AN115"/>
  <c r="AM115"/>
  <c r="AL115"/>
  <c r="AK115"/>
  <c r="AJ115"/>
  <c r="AI115"/>
  <c r="AH115"/>
  <c r="AG115"/>
  <c r="AF115"/>
  <c r="AE115"/>
  <c r="AD115"/>
  <c r="AC115"/>
  <c r="AB115"/>
  <c r="AA115"/>
  <c r="Z115"/>
  <c r="Y115"/>
  <c r="X115"/>
  <c r="W115"/>
  <c r="V115"/>
  <c r="U115"/>
  <c r="T115"/>
  <c r="S115"/>
  <c r="R115"/>
  <c r="Q115"/>
  <c r="P115"/>
  <c r="O115"/>
  <c r="N115"/>
  <c r="M115"/>
  <c r="L115"/>
  <c r="K115"/>
  <c r="J115"/>
  <c r="I115"/>
  <c r="H115"/>
  <c r="G115"/>
  <c r="F115"/>
  <c r="E115"/>
  <c r="D115"/>
  <c r="C115"/>
  <c r="B115"/>
  <c r="A115"/>
  <c r="IV114"/>
  <c r="IU114"/>
  <c r="IT114"/>
  <c r="IS114"/>
  <c r="IR114"/>
  <c r="IQ114"/>
  <c r="IP114"/>
  <c r="IO114"/>
  <c r="IN114"/>
  <c r="IM114"/>
  <c r="IL114"/>
  <c r="IK114"/>
  <c r="IJ114"/>
  <c r="II114"/>
  <c r="IH114"/>
  <c r="IG114"/>
  <c r="IF114"/>
  <c r="IE114"/>
  <c r="ID114"/>
  <c r="IC114"/>
  <c r="IB114"/>
  <c r="IA114"/>
  <c r="HZ114"/>
  <c r="HY114"/>
  <c r="HX114"/>
  <c r="HW114"/>
  <c r="HV114"/>
  <c r="HU114"/>
  <c r="HT114"/>
  <c r="HS114"/>
  <c r="HR114"/>
  <c r="HQ114"/>
  <c r="HP114"/>
  <c r="HO114"/>
  <c r="HN114"/>
  <c r="HM114"/>
  <c r="HL114"/>
  <c r="HK114"/>
  <c r="HJ114"/>
  <c r="HI114"/>
  <c r="HH114"/>
  <c r="HG114"/>
  <c r="HF114"/>
  <c r="HE114"/>
  <c r="HD114"/>
  <c r="HC114"/>
  <c r="HB114"/>
  <c r="HA114"/>
  <c r="GZ114"/>
  <c r="GY114"/>
  <c r="GX114"/>
  <c r="GW114"/>
  <c r="GV114"/>
  <c r="GU114"/>
  <c r="GT114"/>
  <c r="GS114"/>
  <c r="GR114"/>
  <c r="GQ114"/>
  <c r="GP114"/>
  <c r="GO114"/>
  <c r="GN114"/>
  <c r="GM114"/>
  <c r="GL114"/>
  <c r="GK114"/>
  <c r="GJ114"/>
  <c r="GI114"/>
  <c r="GH114"/>
  <c r="GG114"/>
  <c r="GF114"/>
  <c r="GE114"/>
  <c r="GD114"/>
  <c r="GC114"/>
  <c r="GB114"/>
  <c r="GA114"/>
  <c r="FZ114"/>
  <c r="FY114"/>
  <c r="FX114"/>
  <c r="FW114"/>
  <c r="FV114"/>
  <c r="FU114"/>
  <c r="FT114"/>
  <c r="FS114"/>
  <c r="FR114"/>
  <c r="FQ114"/>
  <c r="FP114"/>
  <c r="FO114"/>
  <c r="FN114"/>
  <c r="FM114"/>
  <c r="FL114"/>
  <c r="FK114"/>
  <c r="FJ114"/>
  <c r="FI114"/>
  <c r="FH114"/>
  <c r="FG114"/>
  <c r="FF114"/>
  <c r="FE114"/>
  <c r="FD114"/>
  <c r="FC114"/>
  <c r="FB114"/>
  <c r="FA114"/>
  <c r="EZ114"/>
  <c r="EY114"/>
  <c r="EX114"/>
  <c r="EW114"/>
  <c r="EV114"/>
  <c r="EU114"/>
  <c r="ET114"/>
  <c r="ES114"/>
  <c r="ER114"/>
  <c r="EQ114"/>
  <c r="EP114"/>
  <c r="EO114"/>
  <c r="EN114"/>
  <c r="EM114"/>
  <c r="EL114"/>
  <c r="EK114"/>
  <c r="EJ114"/>
  <c r="EI114"/>
  <c r="EH114"/>
  <c r="EG114"/>
  <c r="EF114"/>
  <c r="EE114"/>
  <c r="ED114"/>
  <c r="EC114"/>
  <c r="EB114"/>
  <c r="EA114"/>
  <c r="DZ114"/>
  <c r="DY114"/>
  <c r="DX114"/>
  <c r="DW114"/>
  <c r="DV114"/>
  <c r="DU114"/>
  <c r="DT114"/>
  <c r="DS114"/>
  <c r="DR114"/>
  <c r="DQ114"/>
  <c r="DP114"/>
  <c r="DO114"/>
  <c r="DN114"/>
  <c r="DM114"/>
  <c r="DL114"/>
  <c r="DK114"/>
  <c r="DJ114"/>
  <c r="DI114"/>
  <c r="DH114"/>
  <c r="DG114"/>
  <c r="DF114"/>
  <c r="DE114"/>
  <c r="DD114"/>
  <c r="DC114"/>
  <c r="DB114"/>
  <c r="DA114"/>
  <c r="CZ114"/>
  <c r="CY114"/>
  <c r="CX114"/>
  <c r="CW114"/>
  <c r="CV114"/>
  <c r="CU114"/>
  <c r="CT114"/>
  <c r="CS114"/>
  <c r="CR114"/>
  <c r="CQ114"/>
  <c r="CP114"/>
  <c r="CO114"/>
  <c r="CN114"/>
  <c r="CM114"/>
  <c r="CL114"/>
  <c r="CK114"/>
  <c r="CJ114"/>
  <c r="CI114"/>
  <c r="CH114"/>
  <c r="CG114"/>
  <c r="CF114"/>
  <c r="CE114"/>
  <c r="CD114"/>
  <c r="CC114"/>
  <c r="CB114"/>
  <c r="CA114"/>
  <c r="BZ114"/>
  <c r="BY114"/>
  <c r="BX114"/>
  <c r="BW114"/>
  <c r="BV114"/>
  <c r="BU114"/>
  <c r="BT114"/>
  <c r="BS114"/>
  <c r="BR114"/>
  <c r="BQ114"/>
  <c r="BP114"/>
  <c r="BO114"/>
  <c r="BN114"/>
  <c r="BM114"/>
  <c r="BL114"/>
  <c r="BK114"/>
  <c r="BJ114"/>
  <c r="BI114"/>
  <c r="BH114"/>
  <c r="BG114"/>
  <c r="BF114"/>
  <c r="BE114"/>
  <c r="BD114"/>
  <c r="BC114"/>
  <c r="BB114"/>
  <c r="BA114"/>
  <c r="AZ114"/>
  <c r="AY114"/>
  <c r="AX114"/>
  <c r="AW114"/>
  <c r="AV114"/>
  <c r="AU114"/>
  <c r="AT114"/>
  <c r="AS114"/>
  <c r="AR114"/>
  <c r="AQ114"/>
  <c r="AP114"/>
  <c r="AO114"/>
  <c r="AN114"/>
  <c r="AM114"/>
  <c r="AL114"/>
  <c r="AK114"/>
  <c r="AJ114"/>
  <c r="AI114"/>
  <c r="AH114"/>
  <c r="AG114"/>
  <c r="AF114"/>
  <c r="AE114"/>
  <c r="AD114"/>
  <c r="AC114"/>
  <c r="AB114"/>
  <c r="AA114"/>
  <c r="Z114"/>
  <c r="Y114"/>
  <c r="X114"/>
  <c r="W114"/>
  <c r="V114"/>
  <c r="U114"/>
  <c r="T114"/>
  <c r="S114"/>
  <c r="R114"/>
  <c r="Q114"/>
  <c r="P114"/>
  <c r="O114"/>
  <c r="N114"/>
  <c r="M114"/>
  <c r="L114"/>
  <c r="K114"/>
  <c r="J114"/>
  <c r="I114"/>
  <c r="H114"/>
  <c r="G114"/>
  <c r="F114"/>
  <c r="E114"/>
  <c r="D114"/>
  <c r="C114"/>
  <c r="B114"/>
  <c r="A114"/>
  <c r="IV113"/>
  <c r="IU113"/>
  <c r="IT113"/>
  <c r="IS113"/>
  <c r="IR113"/>
  <c r="IQ113"/>
  <c r="IP113"/>
  <c r="IO113"/>
  <c r="IN113"/>
  <c r="IM113"/>
  <c r="IL113"/>
  <c r="IK113"/>
  <c r="IJ113"/>
  <c r="II113"/>
  <c r="IH113"/>
  <c r="IG113"/>
  <c r="IF113"/>
  <c r="IE113"/>
  <c r="ID113"/>
  <c r="IC113"/>
  <c r="IB113"/>
  <c r="IA113"/>
  <c r="HZ113"/>
  <c r="HY113"/>
  <c r="HX113"/>
  <c r="HW113"/>
  <c r="HV113"/>
  <c r="HU113"/>
  <c r="HT113"/>
  <c r="HS113"/>
  <c r="HR113"/>
  <c r="HQ113"/>
  <c r="HP113"/>
  <c r="HO113"/>
  <c r="HN113"/>
  <c r="HM113"/>
  <c r="HL113"/>
  <c r="HK113"/>
  <c r="HJ113"/>
  <c r="HI113"/>
  <c r="HH113"/>
  <c r="HG113"/>
  <c r="HF113"/>
  <c r="HE113"/>
  <c r="HD113"/>
  <c r="HC113"/>
  <c r="HB113"/>
  <c r="HA113"/>
  <c r="GZ113"/>
  <c r="GY113"/>
  <c r="GX113"/>
  <c r="GW113"/>
  <c r="GV113"/>
  <c r="GU113"/>
  <c r="GT113"/>
  <c r="GS113"/>
  <c r="GR113"/>
  <c r="GQ113"/>
  <c r="GP113"/>
  <c r="GO113"/>
  <c r="GN113"/>
  <c r="GM113"/>
  <c r="GL113"/>
  <c r="GK113"/>
  <c r="GJ113"/>
  <c r="GI113"/>
  <c r="GH113"/>
  <c r="GG113"/>
  <c r="GF113"/>
  <c r="GE113"/>
  <c r="GD113"/>
  <c r="GC113"/>
  <c r="GB113"/>
  <c r="GA113"/>
  <c r="FZ113"/>
  <c r="FY113"/>
  <c r="FX113"/>
  <c r="FW113"/>
  <c r="FV113"/>
  <c r="FU113"/>
  <c r="FT113"/>
  <c r="FS113"/>
  <c r="FR113"/>
  <c r="FQ113"/>
  <c r="FP113"/>
  <c r="FO113"/>
  <c r="FN113"/>
  <c r="FM113"/>
  <c r="FL113"/>
  <c r="FK113"/>
  <c r="FJ113"/>
  <c r="FI113"/>
  <c r="FH113"/>
  <c r="FG113"/>
  <c r="FF113"/>
  <c r="FE113"/>
  <c r="FD113"/>
  <c r="FC113"/>
  <c r="FB113"/>
  <c r="FA113"/>
  <c r="EZ113"/>
  <c r="EY113"/>
  <c r="EX113"/>
  <c r="EW113"/>
  <c r="EV113"/>
  <c r="EU113"/>
  <c r="ET113"/>
  <c r="ES113"/>
  <c r="ER113"/>
  <c r="EQ113"/>
  <c r="EP113"/>
  <c r="EO113"/>
  <c r="EN113"/>
  <c r="EM113"/>
  <c r="EL113"/>
  <c r="EK113"/>
  <c r="EJ113"/>
  <c r="EI113"/>
  <c r="EH113"/>
  <c r="EG113"/>
  <c r="EF113"/>
  <c r="EE113"/>
  <c r="ED113"/>
  <c r="EC113"/>
  <c r="EB113"/>
  <c r="EA113"/>
  <c r="DZ113"/>
  <c r="DY113"/>
  <c r="DX113"/>
  <c r="DW113"/>
  <c r="DV113"/>
  <c r="DU113"/>
  <c r="DT113"/>
  <c r="DS113"/>
  <c r="DR113"/>
  <c r="DQ113"/>
  <c r="DP113"/>
  <c r="DO113"/>
  <c r="DN113"/>
  <c r="DM113"/>
  <c r="DL113"/>
  <c r="DK113"/>
  <c r="DJ113"/>
  <c r="DI113"/>
  <c r="DH113"/>
  <c r="DG113"/>
  <c r="DF113"/>
  <c r="DE113"/>
  <c r="DD113"/>
  <c r="DC113"/>
  <c r="DB113"/>
  <c r="DA113"/>
  <c r="CZ113"/>
  <c r="CY113"/>
  <c r="CX113"/>
  <c r="CW113"/>
  <c r="CV113"/>
  <c r="CU113"/>
  <c r="CT113"/>
  <c r="CS113"/>
  <c r="CR113"/>
  <c r="CQ113"/>
  <c r="CP113"/>
  <c r="CO113"/>
  <c r="CN113"/>
  <c r="CM113"/>
  <c r="CL113"/>
  <c r="CK113"/>
  <c r="CJ113"/>
  <c r="CI113"/>
  <c r="CH113"/>
  <c r="CG113"/>
  <c r="CF113"/>
  <c r="CE113"/>
  <c r="CD113"/>
  <c r="CC113"/>
  <c r="CB113"/>
  <c r="CA113"/>
  <c r="BZ113"/>
  <c r="BY113"/>
  <c r="BX113"/>
  <c r="BW113"/>
  <c r="BV113"/>
  <c r="BU113"/>
  <c r="BT113"/>
  <c r="BS113"/>
  <c r="BR113"/>
  <c r="BQ113"/>
  <c r="BP113"/>
  <c r="BO113"/>
  <c r="BN113"/>
  <c r="BM113"/>
  <c r="BL113"/>
  <c r="BK113"/>
  <c r="BJ113"/>
  <c r="BI113"/>
  <c r="BH113"/>
  <c r="BG113"/>
  <c r="BF113"/>
  <c r="BE113"/>
  <c r="BD113"/>
  <c r="BC113"/>
  <c r="BB113"/>
  <c r="BA113"/>
  <c r="AZ113"/>
  <c r="AY113"/>
  <c r="AX113"/>
  <c r="AW113"/>
  <c r="AV113"/>
  <c r="AU113"/>
  <c r="AT113"/>
  <c r="AS113"/>
  <c r="AR113"/>
  <c r="AQ113"/>
  <c r="AP113"/>
  <c r="AO113"/>
  <c r="AN113"/>
  <c r="AM113"/>
  <c r="AL113"/>
  <c r="AK113"/>
  <c r="AJ113"/>
  <c r="AI113"/>
  <c r="AH113"/>
  <c r="AG113"/>
  <c r="AF113"/>
  <c r="AE113"/>
  <c r="AD113"/>
  <c r="AC113"/>
  <c r="AB113"/>
  <c r="AA113"/>
  <c r="Z113"/>
  <c r="Y113"/>
  <c r="X113"/>
  <c r="W113"/>
  <c r="V113"/>
  <c r="U113"/>
  <c r="T113"/>
  <c r="S113"/>
  <c r="R113"/>
  <c r="Q113"/>
  <c r="P113"/>
  <c r="O113"/>
  <c r="N113"/>
  <c r="M113"/>
  <c r="L113"/>
  <c r="K113"/>
  <c r="J113"/>
  <c r="I113"/>
  <c r="H113"/>
  <c r="G113"/>
  <c r="F113"/>
  <c r="E113"/>
  <c r="D113"/>
  <c r="C113"/>
  <c r="B113"/>
  <c r="A113"/>
  <c r="IV112"/>
  <c r="IU112"/>
  <c r="IT112"/>
  <c r="IS112"/>
  <c r="IR112"/>
  <c r="IQ112"/>
  <c r="IP112"/>
  <c r="IO112"/>
  <c r="IN112"/>
  <c r="IM112"/>
  <c r="IL112"/>
  <c r="IK112"/>
  <c r="IJ112"/>
  <c r="II112"/>
  <c r="IH112"/>
  <c r="IG112"/>
  <c r="IF112"/>
  <c r="IE112"/>
  <c r="ID112"/>
  <c r="IC112"/>
  <c r="IB112"/>
  <c r="IA112"/>
  <c r="HZ112"/>
  <c r="HY112"/>
  <c r="HX112"/>
  <c r="HW112"/>
  <c r="HV112"/>
  <c r="HU112"/>
  <c r="HT112"/>
  <c r="HS112"/>
  <c r="HR112"/>
  <c r="HQ112"/>
  <c r="HP112"/>
  <c r="HO112"/>
  <c r="HN112"/>
  <c r="HM112"/>
  <c r="HL112"/>
  <c r="HK112"/>
  <c r="HJ112"/>
  <c r="HI112"/>
  <c r="HH112"/>
  <c r="HG112"/>
  <c r="HF112"/>
  <c r="HE112"/>
  <c r="HD112"/>
  <c r="HC112"/>
  <c r="HB112"/>
  <c r="HA112"/>
  <c r="GZ112"/>
  <c r="GY112"/>
  <c r="GX112"/>
  <c r="GW112"/>
  <c r="GV112"/>
  <c r="GU112"/>
  <c r="GT112"/>
  <c r="GS112"/>
  <c r="GR112"/>
  <c r="GQ112"/>
  <c r="GP112"/>
  <c r="GO112"/>
  <c r="GN112"/>
  <c r="GM112"/>
  <c r="GL112"/>
  <c r="GK112"/>
  <c r="GJ112"/>
  <c r="GI112"/>
  <c r="GH112"/>
  <c r="GG112"/>
  <c r="GF112"/>
  <c r="GE112"/>
  <c r="GD112"/>
  <c r="GC112"/>
  <c r="GB112"/>
  <c r="GA112"/>
  <c r="FZ112"/>
  <c r="FY112"/>
  <c r="FX112"/>
  <c r="FW112"/>
  <c r="FV112"/>
  <c r="FU112"/>
  <c r="FT112"/>
  <c r="FS112"/>
  <c r="FR112"/>
  <c r="FQ112"/>
  <c r="FP112"/>
  <c r="FO112"/>
  <c r="FN112"/>
  <c r="FM112"/>
  <c r="FL112"/>
  <c r="FK112"/>
  <c r="FJ112"/>
  <c r="FI112"/>
  <c r="FH112"/>
  <c r="FG112"/>
  <c r="FF112"/>
  <c r="FE112"/>
  <c r="FD112"/>
  <c r="FC112"/>
  <c r="FB112"/>
  <c r="FA112"/>
  <c r="EZ112"/>
  <c r="EY112"/>
  <c r="EX112"/>
  <c r="EW112"/>
  <c r="EV112"/>
  <c r="EU112"/>
  <c r="ET112"/>
  <c r="ES112"/>
  <c r="ER112"/>
  <c r="EQ112"/>
  <c r="EP112"/>
  <c r="EO112"/>
  <c r="EN112"/>
  <c r="EM112"/>
  <c r="EL112"/>
  <c r="EK112"/>
  <c r="EJ112"/>
  <c r="EI112"/>
  <c r="EH112"/>
  <c r="EG112"/>
  <c r="EF112"/>
  <c r="EE112"/>
  <c r="ED112"/>
  <c r="EC112"/>
  <c r="EB112"/>
  <c r="EA112"/>
  <c r="DZ112"/>
  <c r="DY112"/>
  <c r="DX112"/>
  <c r="DW112"/>
  <c r="DV112"/>
  <c r="DU112"/>
  <c r="DT112"/>
  <c r="DS112"/>
  <c r="DR112"/>
  <c r="DQ112"/>
  <c r="DP112"/>
  <c r="DO112"/>
  <c r="DN112"/>
  <c r="DM112"/>
  <c r="DL112"/>
  <c r="DK112"/>
  <c r="DJ112"/>
  <c r="DI112"/>
  <c r="DH112"/>
  <c r="DG112"/>
  <c r="DF112"/>
  <c r="DE112"/>
  <c r="DD112"/>
  <c r="DC112"/>
  <c r="DB112"/>
  <c r="DA112"/>
  <c r="CZ112"/>
  <c r="CY112"/>
  <c r="CX112"/>
  <c r="CW112"/>
  <c r="CV112"/>
  <c r="CU112"/>
  <c r="CT112"/>
  <c r="CS112"/>
  <c r="CR112"/>
  <c r="CQ112"/>
  <c r="CP112"/>
  <c r="CO112"/>
  <c r="CN112"/>
  <c r="CM112"/>
  <c r="CL112"/>
  <c r="CK112"/>
  <c r="CJ112"/>
  <c r="CI112"/>
  <c r="CH112"/>
  <c r="CG112"/>
  <c r="CF112"/>
  <c r="CE112"/>
  <c r="CD112"/>
  <c r="CC112"/>
  <c r="CB112"/>
  <c r="CA112"/>
  <c r="BZ112"/>
  <c r="BY112"/>
  <c r="BX112"/>
  <c r="BW112"/>
  <c r="BV112"/>
  <c r="BU112"/>
  <c r="BT112"/>
  <c r="BS112"/>
  <c r="BR112"/>
  <c r="BQ112"/>
  <c r="BP112"/>
  <c r="BO112"/>
  <c r="BN112"/>
  <c r="BM112"/>
  <c r="BL112"/>
  <c r="BK112"/>
  <c r="BJ112"/>
  <c r="BI112"/>
  <c r="BH112"/>
  <c r="BG112"/>
  <c r="BF112"/>
  <c r="BE112"/>
  <c r="BD112"/>
  <c r="BC112"/>
  <c r="BB112"/>
  <c r="BA112"/>
  <c r="AZ112"/>
  <c r="AY112"/>
  <c r="AX112"/>
  <c r="AW112"/>
  <c r="AV112"/>
  <c r="AU112"/>
  <c r="AT112"/>
  <c r="AS112"/>
  <c r="AR112"/>
  <c r="AQ112"/>
  <c r="AP112"/>
  <c r="AO112"/>
  <c r="AN112"/>
  <c r="AM112"/>
  <c r="AL112"/>
  <c r="AK112"/>
  <c r="AJ112"/>
  <c r="AI112"/>
  <c r="AH112"/>
  <c r="AG112"/>
  <c r="AF112"/>
  <c r="AE112"/>
  <c r="AD112"/>
  <c r="AC112"/>
  <c r="AB112"/>
  <c r="AA112"/>
  <c r="Z112"/>
  <c r="Y112"/>
  <c r="X112"/>
  <c r="W112"/>
  <c r="V112"/>
  <c r="U112"/>
  <c r="T112"/>
  <c r="S112"/>
  <c r="R112"/>
  <c r="Q112"/>
  <c r="P112"/>
  <c r="O112"/>
  <c r="N112"/>
  <c r="M112"/>
  <c r="L112"/>
  <c r="K112"/>
  <c r="J112"/>
  <c r="I112"/>
  <c r="H112"/>
  <c r="G112"/>
  <c r="F112"/>
  <c r="E112"/>
  <c r="D112"/>
  <c r="C112"/>
  <c r="B112"/>
  <c r="A112"/>
  <c r="IV111"/>
  <c r="IU111"/>
  <c r="IT111"/>
  <c r="IS111"/>
  <c r="IR111"/>
  <c r="IQ111"/>
  <c r="IP111"/>
  <c r="IO111"/>
  <c r="IN111"/>
  <c r="IM111"/>
  <c r="IL111"/>
  <c r="IK111"/>
  <c r="IJ111"/>
  <c r="II111"/>
  <c r="IH111"/>
  <c r="IG111"/>
  <c r="IF111"/>
  <c r="IE111"/>
  <c r="ID111"/>
  <c r="IC111"/>
  <c r="IB111"/>
  <c r="IA111"/>
  <c r="HZ111"/>
  <c r="HY111"/>
  <c r="HX111"/>
  <c r="HW111"/>
  <c r="HV111"/>
  <c r="HU111"/>
  <c r="HT111"/>
  <c r="HS111"/>
  <c r="HR111"/>
  <c r="HQ111"/>
  <c r="HP111"/>
  <c r="HO111"/>
  <c r="HN111"/>
  <c r="HM111"/>
  <c r="HL111"/>
  <c r="HK111"/>
  <c r="HJ111"/>
  <c r="HI111"/>
  <c r="HH111"/>
  <c r="HG111"/>
  <c r="HF111"/>
  <c r="HE111"/>
  <c r="HD111"/>
  <c r="HC111"/>
  <c r="HB111"/>
  <c r="HA111"/>
  <c r="GZ111"/>
  <c r="GY111"/>
  <c r="GX111"/>
  <c r="GW111"/>
  <c r="GV111"/>
  <c r="GU111"/>
  <c r="GT111"/>
  <c r="GS111"/>
  <c r="GR111"/>
  <c r="GQ111"/>
  <c r="GP111"/>
  <c r="GO111"/>
  <c r="GN111"/>
  <c r="GM111"/>
  <c r="GL111"/>
  <c r="GK111"/>
  <c r="GJ111"/>
  <c r="GI111"/>
  <c r="GH111"/>
  <c r="GG111"/>
  <c r="GF111"/>
  <c r="GE111"/>
  <c r="GD111"/>
  <c r="GC111"/>
  <c r="GB111"/>
  <c r="GA111"/>
  <c r="FZ111"/>
  <c r="FY111"/>
  <c r="FX111"/>
  <c r="FW111"/>
  <c r="FV111"/>
  <c r="FU111"/>
  <c r="FT111"/>
  <c r="FS111"/>
  <c r="FR111"/>
  <c r="FQ111"/>
  <c r="FP111"/>
  <c r="FO111"/>
  <c r="FN111"/>
  <c r="FM111"/>
  <c r="FL111"/>
  <c r="FK111"/>
  <c r="FJ111"/>
  <c r="FI111"/>
  <c r="FH111"/>
  <c r="FG111"/>
  <c r="FF111"/>
  <c r="FE111"/>
  <c r="FD111"/>
  <c r="FC111"/>
  <c r="FB111"/>
  <c r="FA111"/>
  <c r="EZ111"/>
  <c r="EY111"/>
  <c r="EX111"/>
  <c r="EW111"/>
  <c r="EV111"/>
  <c r="EU111"/>
  <c r="ET111"/>
  <c r="ES111"/>
  <c r="ER111"/>
  <c r="EQ111"/>
  <c r="EP111"/>
  <c r="EO111"/>
  <c r="EN111"/>
  <c r="EM111"/>
  <c r="EL111"/>
  <c r="EK111"/>
  <c r="EJ111"/>
  <c r="EI111"/>
  <c r="EH111"/>
  <c r="EG111"/>
  <c r="EF111"/>
  <c r="EE111"/>
  <c r="ED111"/>
  <c r="EC111"/>
  <c r="EB111"/>
  <c r="EA111"/>
  <c r="DZ111"/>
  <c r="DY111"/>
  <c r="DX111"/>
  <c r="DW111"/>
  <c r="DV111"/>
  <c r="DU111"/>
  <c r="DT111"/>
  <c r="DS111"/>
  <c r="DR111"/>
  <c r="DQ111"/>
  <c r="DP111"/>
  <c r="DO111"/>
  <c r="DN111"/>
  <c r="DM111"/>
  <c r="DL111"/>
  <c r="DK111"/>
  <c r="DJ111"/>
  <c r="DI111"/>
  <c r="DH111"/>
  <c r="DG111"/>
  <c r="DF111"/>
  <c r="DE111"/>
  <c r="DD111"/>
  <c r="DC111"/>
  <c r="DB111"/>
  <c r="DA111"/>
  <c r="CZ111"/>
  <c r="CY111"/>
  <c r="CX111"/>
  <c r="CW111"/>
  <c r="CV111"/>
  <c r="CU111"/>
  <c r="CT111"/>
  <c r="CS111"/>
  <c r="CR111"/>
  <c r="CQ111"/>
  <c r="CP111"/>
  <c r="CO111"/>
  <c r="CN111"/>
  <c r="CM111"/>
  <c r="CL111"/>
  <c r="CK111"/>
  <c r="CJ111"/>
  <c r="CI111"/>
  <c r="CH111"/>
  <c r="CG111"/>
  <c r="CF111"/>
  <c r="CE111"/>
  <c r="CD111"/>
  <c r="CC111"/>
  <c r="CB111"/>
  <c r="CA111"/>
  <c r="BZ111"/>
  <c r="BY111"/>
  <c r="BX111"/>
  <c r="BW111"/>
  <c r="BV111"/>
  <c r="BU111"/>
  <c r="BT111"/>
  <c r="BS111"/>
  <c r="BR111"/>
  <c r="BQ111"/>
  <c r="BP111"/>
  <c r="BO111"/>
  <c r="BN111"/>
  <c r="BM111"/>
  <c r="BL111"/>
  <c r="BK111"/>
  <c r="BJ111"/>
  <c r="BI111"/>
  <c r="BH111"/>
  <c r="BG111"/>
  <c r="BF111"/>
  <c r="BE111"/>
  <c r="BD111"/>
  <c r="BC111"/>
  <c r="BB111"/>
  <c r="BA111"/>
  <c r="AZ111"/>
  <c r="AY111"/>
  <c r="AX111"/>
  <c r="AW111"/>
  <c r="AV111"/>
  <c r="AU111"/>
  <c r="AT111"/>
  <c r="AS111"/>
  <c r="AR111"/>
  <c r="AQ111"/>
  <c r="AP111"/>
  <c r="AO111"/>
  <c r="AN111"/>
  <c r="AM111"/>
  <c r="AL111"/>
  <c r="AK111"/>
  <c r="AJ111"/>
  <c r="AI111"/>
  <c r="AH111"/>
  <c r="AG111"/>
  <c r="AF111"/>
  <c r="AE111"/>
  <c r="AD111"/>
  <c r="AC111"/>
  <c r="AB111"/>
  <c r="AA111"/>
  <c r="Z111"/>
  <c r="Y111"/>
  <c r="X111"/>
  <c r="W111"/>
  <c r="V111"/>
  <c r="U111"/>
  <c r="T111"/>
  <c r="S111"/>
  <c r="R111"/>
  <c r="Q111"/>
  <c r="P111"/>
  <c r="O111"/>
  <c r="N111"/>
  <c r="M111"/>
  <c r="L111"/>
  <c r="K111"/>
  <c r="J111"/>
  <c r="I111"/>
  <c r="H111"/>
  <c r="G111"/>
  <c r="F111"/>
  <c r="E111"/>
  <c r="D111"/>
  <c r="C111"/>
  <c r="B111"/>
  <c r="A111"/>
  <c r="IV110"/>
  <c r="IU110"/>
  <c r="IT110"/>
  <c r="IS110"/>
  <c r="IR110"/>
  <c r="IQ110"/>
  <c r="IP110"/>
  <c r="IO110"/>
  <c r="IN110"/>
  <c r="IM110"/>
  <c r="IL110"/>
  <c r="IK110"/>
  <c r="IJ110"/>
  <c r="II110"/>
  <c r="IH110"/>
  <c r="IG110"/>
  <c r="IF110"/>
  <c r="IE110"/>
  <c r="ID110"/>
  <c r="IC110"/>
  <c r="IB110"/>
  <c r="IA110"/>
  <c r="HZ110"/>
  <c r="HY110"/>
  <c r="HX110"/>
  <c r="HW110"/>
  <c r="HV110"/>
  <c r="HU110"/>
  <c r="HT110"/>
  <c r="HS110"/>
  <c r="HR110"/>
  <c r="HQ110"/>
  <c r="HP110"/>
  <c r="HO110"/>
  <c r="HN110"/>
  <c r="HM110"/>
  <c r="HL110"/>
  <c r="HK110"/>
  <c r="HJ110"/>
  <c r="HI110"/>
  <c r="HH110"/>
  <c r="HG110"/>
  <c r="HF110"/>
  <c r="HE110"/>
  <c r="HD110"/>
  <c r="HC110"/>
  <c r="HB110"/>
  <c r="HA110"/>
  <c r="GZ110"/>
  <c r="GY110"/>
  <c r="GX110"/>
  <c r="GW110"/>
  <c r="GV110"/>
  <c r="GU110"/>
  <c r="GT110"/>
  <c r="GS110"/>
  <c r="GR110"/>
  <c r="GQ110"/>
  <c r="GP110"/>
  <c r="GO110"/>
  <c r="GN110"/>
  <c r="GM110"/>
  <c r="GL110"/>
  <c r="GK110"/>
  <c r="GJ110"/>
  <c r="GI110"/>
  <c r="GH110"/>
  <c r="GG110"/>
  <c r="GF110"/>
  <c r="GE110"/>
  <c r="GD110"/>
  <c r="GC110"/>
  <c r="GB110"/>
  <c r="GA110"/>
  <c r="FZ110"/>
  <c r="FY110"/>
  <c r="FX110"/>
  <c r="FW110"/>
  <c r="FV110"/>
  <c r="FU110"/>
  <c r="FT110"/>
  <c r="FS110"/>
  <c r="FR110"/>
  <c r="FQ110"/>
  <c r="FP110"/>
  <c r="FO110"/>
  <c r="FN110"/>
  <c r="FM110"/>
  <c r="FL110"/>
  <c r="FK110"/>
  <c r="FJ110"/>
  <c r="FI110"/>
  <c r="FH110"/>
  <c r="FG110"/>
  <c r="FF110"/>
  <c r="FE110"/>
  <c r="FD110"/>
  <c r="FC110"/>
  <c r="FB110"/>
  <c r="FA110"/>
  <c r="EZ110"/>
  <c r="EY110"/>
  <c r="EX110"/>
  <c r="EW110"/>
  <c r="EV110"/>
  <c r="EU110"/>
  <c r="ET110"/>
  <c r="ES110"/>
  <c r="ER110"/>
  <c r="EQ110"/>
  <c r="EP110"/>
  <c r="EO110"/>
  <c r="EN110"/>
  <c r="EM110"/>
  <c r="EL110"/>
  <c r="EK110"/>
  <c r="EJ110"/>
  <c r="EI110"/>
  <c r="EH110"/>
  <c r="EG110"/>
  <c r="EF110"/>
  <c r="EE110"/>
  <c r="ED110"/>
  <c r="EC110"/>
  <c r="EB110"/>
  <c r="EA110"/>
  <c r="DZ110"/>
  <c r="DY110"/>
  <c r="DX110"/>
  <c r="DW110"/>
  <c r="DV110"/>
  <c r="DU110"/>
  <c r="DT110"/>
  <c r="DS110"/>
  <c r="DR110"/>
  <c r="DQ110"/>
  <c r="DP110"/>
  <c r="DO110"/>
  <c r="DN110"/>
  <c r="DM110"/>
  <c r="DL110"/>
  <c r="DK110"/>
  <c r="DJ110"/>
  <c r="DI110"/>
  <c r="DH110"/>
  <c r="DG110"/>
  <c r="DF110"/>
  <c r="DE110"/>
  <c r="DD110"/>
  <c r="DC110"/>
  <c r="DB110"/>
  <c r="DA110"/>
  <c r="CZ110"/>
  <c r="CY110"/>
  <c r="CX110"/>
  <c r="CW110"/>
  <c r="CV110"/>
  <c r="CU110"/>
  <c r="CT110"/>
  <c r="CS110"/>
  <c r="CR110"/>
  <c r="CQ110"/>
  <c r="CP110"/>
  <c r="CO110"/>
  <c r="CN110"/>
  <c r="CM110"/>
  <c r="CL110"/>
  <c r="CK110"/>
  <c r="CJ110"/>
  <c r="CI110"/>
  <c r="CH110"/>
  <c r="CG110"/>
  <c r="CF110"/>
  <c r="CE110"/>
  <c r="CD110"/>
  <c r="CC110"/>
  <c r="CB110"/>
  <c r="CA110"/>
  <c r="BZ110"/>
  <c r="BY110"/>
  <c r="BX110"/>
  <c r="BW110"/>
  <c r="BV110"/>
  <c r="BU110"/>
  <c r="BT110"/>
  <c r="BS110"/>
  <c r="BR110"/>
  <c r="BQ110"/>
  <c r="BP110"/>
  <c r="BO110"/>
  <c r="BN110"/>
  <c r="BM110"/>
  <c r="BL110"/>
  <c r="BK110"/>
  <c r="BJ110"/>
  <c r="BI110"/>
  <c r="BH110"/>
  <c r="BG110"/>
  <c r="BF110"/>
  <c r="BE110"/>
  <c r="BD110"/>
  <c r="BC110"/>
  <c r="BB110"/>
  <c r="BA110"/>
  <c r="AZ110"/>
  <c r="AY110"/>
  <c r="AX110"/>
  <c r="AW110"/>
  <c r="AV110"/>
  <c r="AU110"/>
  <c r="AT110"/>
  <c r="AS110"/>
  <c r="AR110"/>
  <c r="AQ110"/>
  <c r="AP110"/>
  <c r="AO110"/>
  <c r="AN110"/>
  <c r="AM110"/>
  <c r="AL110"/>
  <c r="AK110"/>
  <c r="AJ110"/>
  <c r="AI110"/>
  <c r="AH110"/>
  <c r="AG110"/>
  <c r="AF110"/>
  <c r="AE110"/>
  <c r="AD110"/>
  <c r="AC110"/>
  <c r="AB110"/>
  <c r="AA110"/>
  <c r="Z110"/>
  <c r="Y110"/>
  <c r="X110"/>
  <c r="W110"/>
  <c r="V110"/>
  <c r="U110"/>
  <c r="T110"/>
  <c r="S110"/>
  <c r="R110"/>
  <c r="Q110"/>
  <c r="P110"/>
  <c r="O110"/>
  <c r="N110"/>
  <c r="M110"/>
  <c r="L110"/>
  <c r="K110"/>
  <c r="J110"/>
  <c r="I110"/>
  <c r="H110"/>
  <c r="G110"/>
  <c r="F110"/>
  <c r="E110"/>
  <c r="D110"/>
  <c r="C110"/>
  <c r="B110"/>
  <c r="A110"/>
  <c r="IV109"/>
  <c r="IU109"/>
  <c r="IT109"/>
  <c r="IS109"/>
  <c r="IR109"/>
  <c r="IQ109"/>
  <c r="IP109"/>
  <c r="IO109"/>
  <c r="IN109"/>
  <c r="IM109"/>
  <c r="IL109"/>
  <c r="IK109"/>
  <c r="IJ109"/>
  <c r="II109"/>
  <c r="IH109"/>
  <c r="IG109"/>
  <c r="IF109"/>
  <c r="IE109"/>
  <c r="ID109"/>
  <c r="IC109"/>
  <c r="IB109"/>
  <c r="IA109"/>
  <c r="HZ109"/>
  <c r="HY109"/>
  <c r="HX109"/>
  <c r="HW109"/>
  <c r="HV109"/>
  <c r="HU109"/>
  <c r="HT109"/>
  <c r="HS109"/>
  <c r="HR109"/>
  <c r="HQ109"/>
  <c r="HP109"/>
  <c r="HO109"/>
  <c r="HN109"/>
  <c r="HM109"/>
  <c r="HL109"/>
  <c r="HK109"/>
  <c r="HJ109"/>
  <c r="HI109"/>
  <c r="HH109"/>
  <c r="HG109"/>
  <c r="HF109"/>
  <c r="HE109"/>
  <c r="HD109"/>
  <c r="HC109"/>
  <c r="HB109"/>
  <c r="HA109"/>
  <c r="GZ109"/>
  <c r="GY109"/>
  <c r="GX109"/>
  <c r="GW109"/>
  <c r="GV109"/>
  <c r="GU109"/>
  <c r="GT109"/>
  <c r="GS109"/>
  <c r="GR109"/>
  <c r="GQ109"/>
  <c r="GP109"/>
  <c r="GO109"/>
  <c r="GN109"/>
  <c r="GM109"/>
  <c r="GL109"/>
  <c r="GK109"/>
  <c r="GJ109"/>
  <c r="GI109"/>
  <c r="GH109"/>
  <c r="GG109"/>
  <c r="GF109"/>
  <c r="GE109"/>
  <c r="GD109"/>
  <c r="GC109"/>
  <c r="GB109"/>
  <c r="GA109"/>
  <c r="FZ109"/>
  <c r="FY109"/>
  <c r="FX109"/>
  <c r="FW109"/>
  <c r="FV109"/>
  <c r="FU109"/>
  <c r="FT109"/>
  <c r="FS109"/>
  <c r="FR109"/>
  <c r="FQ109"/>
  <c r="FP109"/>
  <c r="FO109"/>
  <c r="FN109"/>
  <c r="FM109"/>
  <c r="FL109"/>
  <c r="FK109"/>
  <c r="FJ109"/>
  <c r="FI109"/>
  <c r="FH109"/>
  <c r="FG109"/>
  <c r="FF109"/>
  <c r="FE109"/>
  <c r="FD109"/>
  <c r="FC109"/>
  <c r="FB109"/>
  <c r="FA109"/>
  <c r="EZ109"/>
  <c r="EY109"/>
  <c r="EX109"/>
  <c r="EW109"/>
  <c r="EV109"/>
  <c r="EU109"/>
  <c r="ET109"/>
  <c r="ES109"/>
  <c r="ER109"/>
  <c r="EQ109"/>
  <c r="EP109"/>
  <c r="EO109"/>
  <c r="EN109"/>
  <c r="EM109"/>
  <c r="EL109"/>
  <c r="EK109"/>
  <c r="EJ109"/>
  <c r="EI109"/>
  <c r="EH109"/>
  <c r="EG109"/>
  <c r="EF109"/>
  <c r="EE109"/>
  <c r="ED109"/>
  <c r="EC109"/>
  <c r="EB109"/>
  <c r="EA109"/>
  <c r="DZ109"/>
  <c r="DY109"/>
  <c r="DX109"/>
  <c r="DW109"/>
  <c r="DV109"/>
  <c r="DU109"/>
  <c r="DT109"/>
  <c r="DS109"/>
  <c r="DR109"/>
  <c r="DQ109"/>
  <c r="DP109"/>
  <c r="DO109"/>
  <c r="DN109"/>
  <c r="DM109"/>
  <c r="DL109"/>
  <c r="DK109"/>
  <c r="DJ109"/>
  <c r="DI109"/>
  <c r="DH109"/>
  <c r="DG109"/>
  <c r="DF109"/>
  <c r="DE109"/>
  <c r="DD109"/>
  <c r="DC109"/>
  <c r="DB109"/>
  <c r="DA109"/>
  <c r="CZ109"/>
  <c r="CY109"/>
  <c r="CX109"/>
  <c r="CW109"/>
  <c r="CV109"/>
  <c r="CU109"/>
  <c r="CT109"/>
  <c r="CS109"/>
  <c r="CR109"/>
  <c r="CQ109"/>
  <c r="CP109"/>
  <c r="CO109"/>
  <c r="CN109"/>
  <c r="CM109"/>
  <c r="CL109"/>
  <c r="CK109"/>
  <c r="CJ109"/>
  <c r="CI109"/>
  <c r="CH109"/>
  <c r="CG109"/>
  <c r="CF109"/>
  <c r="CE109"/>
  <c r="CD109"/>
  <c r="CC109"/>
  <c r="CB109"/>
  <c r="CA109"/>
  <c r="BZ109"/>
  <c r="BY109"/>
  <c r="BX109"/>
  <c r="BW109"/>
  <c r="BV109"/>
  <c r="BU109"/>
  <c r="BT109"/>
  <c r="BS109"/>
  <c r="BR109"/>
  <c r="BQ109"/>
  <c r="BP109"/>
  <c r="BO109"/>
  <c r="BN109"/>
  <c r="BM109"/>
  <c r="BL109"/>
  <c r="BK109"/>
  <c r="BJ109"/>
  <c r="BI109"/>
  <c r="BH109"/>
  <c r="BG109"/>
  <c r="BF109"/>
  <c r="BE109"/>
  <c r="BD109"/>
  <c r="BC109"/>
  <c r="BB109"/>
  <c r="BA109"/>
  <c r="AZ109"/>
  <c r="AY109"/>
  <c r="AX109"/>
  <c r="AW109"/>
  <c r="AV109"/>
  <c r="AU109"/>
  <c r="AT109"/>
  <c r="AS109"/>
  <c r="AR109"/>
  <c r="AQ109"/>
  <c r="AP109"/>
  <c r="AO109"/>
  <c r="AN109"/>
  <c r="AM109"/>
  <c r="AL109"/>
  <c r="AK109"/>
  <c r="AJ109"/>
  <c r="AI109"/>
  <c r="AH109"/>
  <c r="AG109"/>
  <c r="AF109"/>
  <c r="AE109"/>
  <c r="AD109"/>
  <c r="AC109"/>
  <c r="AB109"/>
  <c r="AA109"/>
  <c r="Z109"/>
  <c r="Y109"/>
  <c r="X109"/>
  <c r="W109"/>
  <c r="V109"/>
  <c r="U109"/>
  <c r="T109"/>
  <c r="S109"/>
  <c r="R109"/>
  <c r="Q109"/>
  <c r="P109"/>
  <c r="O109"/>
  <c r="N109"/>
  <c r="M109"/>
  <c r="L109"/>
  <c r="K109"/>
  <c r="J109"/>
  <c r="I109"/>
  <c r="H109"/>
  <c r="G109"/>
  <c r="F109"/>
  <c r="E109"/>
  <c r="D109"/>
  <c r="C109"/>
  <c r="B109"/>
  <c r="A109"/>
  <c r="IV108"/>
  <c r="IU108"/>
  <c r="IT108"/>
  <c r="IS108"/>
  <c r="IR108"/>
  <c r="IQ108"/>
  <c r="IP108"/>
  <c r="IO108"/>
  <c r="IN108"/>
  <c r="IM108"/>
  <c r="IL108"/>
  <c r="IK108"/>
  <c r="IJ108"/>
  <c r="II108"/>
  <c r="IH108"/>
  <c r="IG108"/>
  <c r="IF108"/>
  <c r="IE108"/>
  <c r="ID108"/>
  <c r="IC108"/>
  <c r="IB108"/>
  <c r="IA108"/>
  <c r="HZ108"/>
  <c r="HY108"/>
  <c r="HX108"/>
  <c r="HW108"/>
  <c r="HV108"/>
  <c r="HU108"/>
  <c r="HT108"/>
  <c r="HS108"/>
  <c r="HR108"/>
  <c r="HQ108"/>
  <c r="HP108"/>
  <c r="HO108"/>
  <c r="HN108"/>
  <c r="HM108"/>
  <c r="HL108"/>
  <c r="HK108"/>
  <c r="HJ108"/>
  <c r="HI108"/>
  <c r="HH108"/>
  <c r="HG108"/>
  <c r="HF108"/>
  <c r="HE108"/>
  <c r="HD108"/>
  <c r="HC108"/>
  <c r="HB108"/>
  <c r="HA108"/>
  <c r="GZ108"/>
  <c r="GY108"/>
  <c r="GX108"/>
  <c r="GW108"/>
  <c r="GV108"/>
  <c r="GU108"/>
  <c r="GT108"/>
  <c r="GS108"/>
  <c r="GR108"/>
  <c r="GQ108"/>
  <c r="GP108"/>
  <c r="GO108"/>
  <c r="GN108"/>
  <c r="GM108"/>
  <c r="GL108"/>
  <c r="GK108"/>
  <c r="GJ108"/>
  <c r="GI108"/>
  <c r="GH108"/>
  <c r="GG108"/>
  <c r="GF108"/>
  <c r="GE108"/>
  <c r="GD108"/>
  <c r="GC108"/>
  <c r="GB108"/>
  <c r="GA108"/>
  <c r="FZ108"/>
  <c r="FY108"/>
  <c r="FX108"/>
  <c r="FW108"/>
  <c r="FV108"/>
  <c r="FU108"/>
  <c r="FT108"/>
  <c r="FS108"/>
  <c r="FR108"/>
  <c r="FQ108"/>
  <c r="FP108"/>
  <c r="FO108"/>
  <c r="FN108"/>
  <c r="FM108"/>
  <c r="FL108"/>
  <c r="FK108"/>
  <c r="FJ108"/>
  <c r="FI108"/>
  <c r="FH108"/>
  <c r="FG108"/>
  <c r="FF108"/>
  <c r="FE108"/>
  <c r="FD108"/>
  <c r="FC108"/>
  <c r="FB108"/>
  <c r="FA108"/>
  <c r="EZ108"/>
  <c r="EY108"/>
  <c r="EX108"/>
  <c r="EW108"/>
  <c r="EV108"/>
  <c r="EU108"/>
  <c r="ET108"/>
  <c r="ES108"/>
  <c r="ER108"/>
  <c r="EQ108"/>
  <c r="EP108"/>
  <c r="EO108"/>
  <c r="EN108"/>
  <c r="EM108"/>
  <c r="EL108"/>
  <c r="EK108"/>
  <c r="EJ108"/>
  <c r="EI108"/>
  <c r="EH108"/>
  <c r="EG108"/>
  <c r="EF108"/>
  <c r="EE108"/>
  <c r="ED108"/>
  <c r="EC108"/>
  <c r="EB108"/>
  <c r="EA108"/>
  <c r="DZ108"/>
  <c r="DY108"/>
  <c r="DX108"/>
  <c r="DW108"/>
  <c r="DV108"/>
  <c r="DU108"/>
  <c r="DT108"/>
  <c r="DS108"/>
  <c r="DR108"/>
  <c r="DQ108"/>
  <c r="DP108"/>
  <c r="DO108"/>
  <c r="DN108"/>
  <c r="DM108"/>
  <c r="DL108"/>
  <c r="DK108"/>
  <c r="DJ108"/>
  <c r="DI108"/>
  <c r="DH108"/>
  <c r="DG108"/>
  <c r="DF108"/>
  <c r="DE108"/>
  <c r="DD108"/>
  <c r="DC108"/>
  <c r="DB108"/>
  <c r="DA108"/>
  <c r="CZ108"/>
  <c r="CY108"/>
  <c r="CX108"/>
  <c r="CW108"/>
  <c r="CV108"/>
  <c r="CU108"/>
  <c r="CT108"/>
  <c r="CS108"/>
  <c r="CR108"/>
  <c r="CQ108"/>
  <c r="CP108"/>
  <c r="CO108"/>
  <c r="CN108"/>
  <c r="CM108"/>
  <c r="CL108"/>
  <c r="CK108"/>
  <c r="CJ108"/>
  <c r="CI108"/>
  <c r="CH108"/>
  <c r="CG108"/>
  <c r="CF108"/>
  <c r="CE108"/>
  <c r="CD108"/>
  <c r="CC108"/>
  <c r="CB108"/>
  <c r="CA108"/>
  <c r="BZ108"/>
  <c r="BY108"/>
  <c r="BX108"/>
  <c r="BW108"/>
  <c r="BV108"/>
  <c r="BU108"/>
  <c r="BT108"/>
  <c r="BS108"/>
  <c r="BR108"/>
  <c r="BQ108"/>
  <c r="BP108"/>
  <c r="BO108"/>
  <c r="BN108"/>
  <c r="BM108"/>
  <c r="BL108"/>
  <c r="BK108"/>
  <c r="BJ108"/>
  <c r="BI108"/>
  <c r="BH108"/>
  <c r="BG108"/>
  <c r="BF108"/>
  <c r="BE108"/>
  <c r="BD108"/>
  <c r="BC108"/>
  <c r="BB108"/>
  <c r="BA108"/>
  <c r="AZ108"/>
  <c r="AY108"/>
  <c r="AX108"/>
  <c r="AW108"/>
  <c r="AV108"/>
  <c r="AU108"/>
  <c r="AT108"/>
  <c r="AS108"/>
  <c r="AR108"/>
  <c r="AQ108"/>
  <c r="AP108"/>
  <c r="AO108"/>
  <c r="AN108"/>
  <c r="AM108"/>
  <c r="AL108"/>
  <c r="AK108"/>
  <c r="AJ108"/>
  <c r="AI108"/>
  <c r="AH108"/>
  <c r="AG108"/>
  <c r="AF108"/>
  <c r="AE108"/>
  <c r="AD108"/>
  <c r="AC108"/>
  <c r="AB108"/>
  <c r="AA108"/>
  <c r="Z108"/>
  <c r="Y108"/>
  <c r="X108"/>
  <c r="W108"/>
  <c r="V108"/>
  <c r="U108"/>
  <c r="T108"/>
  <c r="S108"/>
  <c r="R108"/>
  <c r="Q108"/>
  <c r="P108"/>
  <c r="O108"/>
  <c r="N108"/>
  <c r="M108"/>
  <c r="L108"/>
  <c r="K108"/>
  <c r="J108"/>
  <c r="I108"/>
  <c r="H108"/>
  <c r="G108"/>
  <c r="F108"/>
  <c r="E108"/>
  <c r="D108"/>
  <c r="C108"/>
  <c r="B108"/>
  <c r="A108"/>
  <c r="IV107"/>
  <c r="IU107"/>
  <c r="IT107"/>
  <c r="IS107"/>
  <c r="IR107"/>
  <c r="IQ107"/>
  <c r="IP107"/>
  <c r="IO107"/>
  <c r="IN107"/>
  <c r="IM107"/>
  <c r="IL107"/>
  <c r="IK107"/>
  <c r="IJ107"/>
  <c r="II107"/>
  <c r="IH107"/>
  <c r="IG107"/>
  <c r="IF107"/>
  <c r="IE107"/>
  <c r="ID107"/>
  <c r="IC107"/>
  <c r="IB107"/>
  <c r="IA107"/>
  <c r="HZ107"/>
  <c r="HY107"/>
  <c r="HX107"/>
  <c r="HW107"/>
  <c r="HV107"/>
  <c r="HU107"/>
  <c r="HT107"/>
  <c r="HS107"/>
  <c r="HR107"/>
  <c r="HQ107"/>
  <c r="HP107"/>
  <c r="HO107"/>
  <c r="HN107"/>
  <c r="HM107"/>
  <c r="HL107"/>
  <c r="HK107"/>
  <c r="HJ107"/>
  <c r="HI107"/>
  <c r="HH107"/>
  <c r="HG107"/>
  <c r="HF107"/>
  <c r="HE107"/>
  <c r="HD107"/>
  <c r="HC107"/>
  <c r="HB107"/>
  <c r="HA107"/>
  <c r="GZ107"/>
  <c r="GY107"/>
  <c r="GX107"/>
  <c r="GW107"/>
  <c r="GV107"/>
  <c r="GU107"/>
  <c r="GT107"/>
  <c r="GS107"/>
  <c r="GR107"/>
  <c r="GQ107"/>
  <c r="GP107"/>
  <c r="GO107"/>
  <c r="GN107"/>
  <c r="GM107"/>
  <c r="GL107"/>
  <c r="GK107"/>
  <c r="GJ107"/>
  <c r="GI107"/>
  <c r="GH107"/>
  <c r="GG107"/>
  <c r="GF107"/>
  <c r="GE107"/>
  <c r="GD107"/>
  <c r="GC107"/>
  <c r="GB107"/>
  <c r="GA107"/>
  <c r="FZ107"/>
  <c r="FY107"/>
  <c r="FX107"/>
  <c r="FW107"/>
  <c r="FV107"/>
  <c r="FU107"/>
  <c r="FT107"/>
  <c r="FS107"/>
  <c r="FR107"/>
  <c r="FQ107"/>
  <c r="FP107"/>
  <c r="FO107"/>
  <c r="FN107"/>
  <c r="FM107"/>
  <c r="FL107"/>
  <c r="FK107"/>
  <c r="FJ107"/>
  <c r="FI107"/>
  <c r="FH107"/>
  <c r="FG107"/>
  <c r="FF107"/>
  <c r="FE107"/>
  <c r="FD107"/>
  <c r="FC107"/>
  <c r="FB107"/>
  <c r="FA107"/>
  <c r="EZ107"/>
  <c r="EY107"/>
  <c r="EX107"/>
  <c r="EW107"/>
  <c r="EV107"/>
  <c r="EU107"/>
  <c r="ET107"/>
  <c r="ES107"/>
  <c r="ER107"/>
  <c r="EQ107"/>
  <c r="EP107"/>
  <c r="EO107"/>
  <c r="EN107"/>
  <c r="EM107"/>
  <c r="EL107"/>
  <c r="EK107"/>
  <c r="EJ107"/>
  <c r="EI107"/>
  <c r="EH107"/>
  <c r="EG107"/>
  <c r="EF107"/>
  <c r="EE107"/>
  <c r="ED107"/>
  <c r="EC107"/>
  <c r="EB107"/>
  <c r="EA107"/>
  <c r="DZ107"/>
  <c r="DY107"/>
  <c r="DX107"/>
  <c r="DW107"/>
  <c r="DV107"/>
  <c r="DU107"/>
  <c r="DT107"/>
  <c r="DS107"/>
  <c r="DR107"/>
  <c r="DQ107"/>
  <c r="DP107"/>
  <c r="DO107"/>
  <c r="DN107"/>
  <c r="DM107"/>
  <c r="DL107"/>
  <c r="DK107"/>
  <c r="DJ107"/>
  <c r="DI107"/>
  <c r="DH107"/>
  <c r="DG107"/>
  <c r="DF107"/>
  <c r="DE107"/>
  <c r="DD107"/>
  <c r="DC107"/>
  <c r="DB107"/>
  <c r="DA107"/>
  <c r="CZ107"/>
  <c r="CY107"/>
  <c r="CX107"/>
  <c r="CW107"/>
  <c r="CV107"/>
  <c r="CU107"/>
  <c r="CT107"/>
  <c r="CS107"/>
  <c r="CR107"/>
  <c r="CQ107"/>
  <c r="CP107"/>
  <c r="CO107"/>
  <c r="CN107"/>
  <c r="CM107"/>
  <c r="CL107"/>
  <c r="CK107"/>
  <c r="CJ107"/>
  <c r="CI107"/>
  <c r="CH107"/>
  <c r="CG107"/>
  <c r="CF107"/>
  <c r="CE107"/>
  <c r="CD107"/>
  <c r="CC107"/>
  <c r="CB107"/>
  <c r="CA107"/>
  <c r="BZ107"/>
  <c r="BY107"/>
  <c r="BX107"/>
  <c r="BW107"/>
  <c r="BV107"/>
  <c r="BU107"/>
  <c r="BT107"/>
  <c r="BS107"/>
  <c r="BR107"/>
  <c r="BQ107"/>
  <c r="BP107"/>
  <c r="BO107"/>
  <c r="BN107"/>
  <c r="BM107"/>
  <c r="BL107"/>
  <c r="BK107"/>
  <c r="BJ107"/>
  <c r="BI107"/>
  <c r="BH107"/>
  <c r="BG107"/>
  <c r="BF107"/>
  <c r="BE107"/>
  <c r="BD107"/>
  <c r="BC107"/>
  <c r="BB107"/>
  <c r="BA107"/>
  <c r="AZ107"/>
  <c r="AY107"/>
  <c r="AX107"/>
  <c r="AW107"/>
  <c r="AV107"/>
  <c r="AU107"/>
  <c r="AT107"/>
  <c r="AS107"/>
  <c r="AR107"/>
  <c r="AQ107"/>
  <c r="AP107"/>
  <c r="AO107"/>
  <c r="AN107"/>
  <c r="AM107"/>
  <c r="AL107"/>
  <c r="AK107"/>
  <c r="AJ107"/>
  <c r="AI107"/>
  <c r="AH107"/>
  <c r="AG107"/>
  <c r="AF107"/>
  <c r="AE107"/>
  <c r="AD107"/>
  <c r="AC107"/>
  <c r="AB107"/>
  <c r="AA107"/>
  <c r="Z107"/>
  <c r="Y107"/>
  <c r="X107"/>
  <c r="W107"/>
  <c r="V107"/>
  <c r="U107"/>
  <c r="T107"/>
  <c r="S107"/>
  <c r="R107"/>
  <c r="Q107"/>
  <c r="P107"/>
  <c r="O107"/>
  <c r="N107"/>
  <c r="M107"/>
  <c r="L107"/>
  <c r="K107"/>
  <c r="J107"/>
  <c r="I107"/>
  <c r="H107"/>
  <c r="G107"/>
  <c r="F107"/>
  <c r="E107"/>
  <c r="D107"/>
  <c r="C107"/>
  <c r="B107"/>
  <c r="A107"/>
  <c r="IV106"/>
  <c r="IU106"/>
  <c r="IT106"/>
  <c r="IS106"/>
  <c r="IR106"/>
  <c r="IQ106"/>
  <c r="IP106"/>
  <c r="IO106"/>
  <c r="IN106"/>
  <c r="IM106"/>
  <c r="IL106"/>
  <c r="IK106"/>
  <c r="IJ106"/>
  <c r="II106"/>
  <c r="IH106"/>
  <c r="IG106"/>
  <c r="IF106"/>
  <c r="IE106"/>
  <c r="ID106"/>
  <c r="IC106"/>
  <c r="IB106"/>
  <c r="IA106"/>
  <c r="HZ106"/>
  <c r="HY106"/>
  <c r="HX106"/>
  <c r="HW106"/>
  <c r="HV106"/>
  <c r="HU106"/>
  <c r="HT106"/>
  <c r="HS106"/>
  <c r="HR106"/>
  <c r="HQ106"/>
  <c r="HP106"/>
  <c r="HO106"/>
  <c r="HN106"/>
  <c r="HM106"/>
  <c r="HL106"/>
  <c r="HK106"/>
  <c r="HJ106"/>
  <c r="HI106"/>
  <c r="HH106"/>
  <c r="HG106"/>
  <c r="HF106"/>
  <c r="HE106"/>
  <c r="HD106"/>
  <c r="HC106"/>
  <c r="HB106"/>
  <c r="HA106"/>
  <c r="GZ106"/>
  <c r="GY106"/>
  <c r="GX106"/>
  <c r="GW106"/>
  <c r="GV106"/>
  <c r="GU106"/>
  <c r="GT106"/>
  <c r="GS106"/>
  <c r="GR106"/>
  <c r="GQ106"/>
  <c r="GP106"/>
  <c r="GO106"/>
  <c r="GN106"/>
  <c r="GM106"/>
  <c r="GL106"/>
  <c r="GK106"/>
  <c r="GJ106"/>
  <c r="GI106"/>
  <c r="GH106"/>
  <c r="GG106"/>
  <c r="GF106"/>
  <c r="GE106"/>
  <c r="GD106"/>
  <c r="GC106"/>
  <c r="GB106"/>
  <c r="GA106"/>
  <c r="FZ106"/>
  <c r="FY106"/>
  <c r="FX106"/>
  <c r="FW106"/>
  <c r="FV106"/>
  <c r="FU106"/>
  <c r="FT106"/>
  <c r="FS106"/>
  <c r="FR106"/>
  <c r="FQ106"/>
  <c r="FP106"/>
  <c r="FO106"/>
  <c r="FN106"/>
  <c r="FM106"/>
  <c r="FL106"/>
  <c r="FK106"/>
  <c r="FJ106"/>
  <c r="FI106"/>
  <c r="FH106"/>
  <c r="FG106"/>
  <c r="FF106"/>
  <c r="FE106"/>
  <c r="FD106"/>
  <c r="FC106"/>
  <c r="FB106"/>
  <c r="FA106"/>
  <c r="EZ106"/>
  <c r="EY106"/>
  <c r="EX106"/>
  <c r="EW106"/>
  <c r="EV106"/>
  <c r="EU106"/>
  <c r="ET106"/>
  <c r="ES106"/>
  <c r="ER106"/>
  <c r="EQ106"/>
  <c r="EP106"/>
  <c r="EO106"/>
  <c r="EN106"/>
  <c r="EM106"/>
  <c r="EL106"/>
  <c r="EK106"/>
  <c r="EJ106"/>
  <c r="EI106"/>
  <c r="EH106"/>
  <c r="EG106"/>
  <c r="EF106"/>
  <c r="EE106"/>
  <c r="ED106"/>
  <c r="EC106"/>
  <c r="EB106"/>
  <c r="EA106"/>
  <c r="DZ106"/>
  <c r="DY106"/>
  <c r="DX106"/>
  <c r="DW106"/>
  <c r="DV106"/>
  <c r="DU106"/>
  <c r="DT106"/>
  <c r="DS106"/>
  <c r="DR106"/>
  <c r="DQ106"/>
  <c r="DP106"/>
  <c r="DO106"/>
  <c r="DN106"/>
  <c r="DM106"/>
  <c r="DL106"/>
  <c r="DK106"/>
  <c r="DJ106"/>
  <c r="DI106"/>
  <c r="DH106"/>
  <c r="DG106"/>
  <c r="DF106"/>
  <c r="DE106"/>
  <c r="DD106"/>
  <c r="DC106"/>
  <c r="DB106"/>
  <c r="DA106"/>
  <c r="CZ106"/>
  <c r="CY106"/>
  <c r="CX106"/>
  <c r="CW106"/>
  <c r="CV106"/>
  <c r="CU106"/>
  <c r="CT106"/>
  <c r="CS106"/>
  <c r="CR106"/>
  <c r="CQ106"/>
  <c r="CP106"/>
  <c r="CO106"/>
  <c r="CN106"/>
  <c r="CM106"/>
  <c r="CL106"/>
  <c r="CK106"/>
  <c r="CJ106"/>
  <c r="CI106"/>
  <c r="CH106"/>
  <c r="CG106"/>
  <c r="CF106"/>
  <c r="CE106"/>
  <c r="CD106"/>
  <c r="CC106"/>
  <c r="CB106"/>
  <c r="CA106"/>
  <c r="BZ106"/>
  <c r="BY106"/>
  <c r="BX106"/>
  <c r="BW106"/>
  <c r="BV106"/>
  <c r="BU106"/>
  <c r="BT106"/>
  <c r="BS106"/>
  <c r="BR106"/>
  <c r="BQ106"/>
  <c r="BP106"/>
  <c r="BO106"/>
  <c r="BN106"/>
  <c r="BM106"/>
  <c r="BL106"/>
  <c r="BK106"/>
  <c r="BJ106"/>
  <c r="BI106"/>
  <c r="BH106"/>
  <c r="BG106"/>
  <c r="BF106"/>
  <c r="BE106"/>
  <c r="BD106"/>
  <c r="BC106"/>
  <c r="BB106"/>
  <c r="BA106"/>
  <c r="AZ106"/>
  <c r="AY106"/>
  <c r="AX106"/>
  <c r="AW106"/>
  <c r="AV106"/>
  <c r="AU106"/>
  <c r="AT106"/>
  <c r="AS106"/>
  <c r="AR106"/>
  <c r="AQ106"/>
  <c r="AP106"/>
  <c r="AO106"/>
  <c r="AN106"/>
  <c r="AM106"/>
  <c r="AL106"/>
  <c r="AK106"/>
  <c r="AJ106"/>
  <c r="AI106"/>
  <c r="AH106"/>
  <c r="AG106"/>
  <c r="AF106"/>
  <c r="AE106"/>
  <c r="AD106"/>
  <c r="AC106"/>
  <c r="AB106"/>
  <c r="AA106"/>
  <c r="Z106"/>
  <c r="Y106"/>
  <c r="X106"/>
  <c r="W106"/>
  <c r="V106"/>
  <c r="U106"/>
  <c r="T106"/>
  <c r="S106"/>
  <c r="R106"/>
  <c r="Q106"/>
  <c r="P106"/>
  <c r="O106"/>
  <c r="N106"/>
  <c r="M106"/>
  <c r="L106"/>
  <c r="K106"/>
  <c r="J106"/>
  <c r="I106"/>
  <c r="H106"/>
  <c r="G106"/>
  <c r="F106"/>
  <c r="E106"/>
  <c r="D106"/>
  <c r="C106"/>
  <c r="B106"/>
  <c r="A106"/>
  <c r="IV105"/>
  <c r="IU105"/>
  <c r="IT105"/>
  <c r="IS105"/>
  <c r="IR105"/>
  <c r="IQ105"/>
  <c r="IP105"/>
  <c r="IO105"/>
  <c r="IN105"/>
  <c r="IM105"/>
  <c r="IL105"/>
  <c r="IK105"/>
  <c r="IJ105"/>
  <c r="II105"/>
  <c r="IH105"/>
  <c r="IG105"/>
  <c r="IF105"/>
  <c r="IE105"/>
  <c r="ID105"/>
  <c r="IC105"/>
  <c r="IB105"/>
  <c r="IA105"/>
  <c r="HZ105"/>
  <c r="HY105"/>
  <c r="HX105"/>
  <c r="HW105"/>
  <c r="HV105"/>
  <c r="HU105"/>
  <c r="HT105"/>
  <c r="HS105"/>
  <c r="HR105"/>
  <c r="HQ105"/>
  <c r="HP105"/>
  <c r="HO105"/>
  <c r="HN105"/>
  <c r="HM105"/>
  <c r="HL105"/>
  <c r="HK105"/>
  <c r="HJ105"/>
  <c r="HI105"/>
  <c r="HH105"/>
  <c r="HG105"/>
  <c r="HF105"/>
  <c r="HE105"/>
  <c r="HD105"/>
  <c r="HC105"/>
  <c r="HB105"/>
  <c r="HA105"/>
  <c r="GZ105"/>
  <c r="GY105"/>
  <c r="GX105"/>
  <c r="GW105"/>
  <c r="GV105"/>
  <c r="GU105"/>
  <c r="GT105"/>
  <c r="GS105"/>
  <c r="GR105"/>
  <c r="GQ105"/>
  <c r="GP105"/>
  <c r="GO105"/>
  <c r="GN105"/>
  <c r="GM105"/>
  <c r="GL105"/>
  <c r="GK105"/>
  <c r="GJ105"/>
  <c r="GI105"/>
  <c r="GH105"/>
  <c r="GG105"/>
  <c r="GF105"/>
  <c r="GE105"/>
  <c r="GD105"/>
  <c r="GC105"/>
  <c r="GB105"/>
  <c r="GA105"/>
  <c r="FZ105"/>
  <c r="FY105"/>
  <c r="FX105"/>
  <c r="FW105"/>
  <c r="FV105"/>
  <c r="FU105"/>
  <c r="FT105"/>
  <c r="FS105"/>
  <c r="FR105"/>
  <c r="FQ105"/>
  <c r="FP105"/>
  <c r="FO105"/>
  <c r="FN105"/>
  <c r="FM105"/>
  <c r="FL105"/>
  <c r="FK105"/>
  <c r="FJ105"/>
  <c r="FI105"/>
  <c r="FH105"/>
  <c r="FG105"/>
  <c r="FF105"/>
  <c r="FE105"/>
  <c r="FD105"/>
  <c r="FC105"/>
  <c r="FB105"/>
  <c r="FA105"/>
  <c r="EZ105"/>
  <c r="EY105"/>
  <c r="EX105"/>
  <c r="EW105"/>
  <c r="EV105"/>
  <c r="EU105"/>
  <c r="ET105"/>
  <c r="ES105"/>
  <c r="ER105"/>
  <c r="EQ105"/>
  <c r="EP105"/>
  <c r="EO105"/>
  <c r="EN105"/>
  <c r="EM105"/>
  <c r="EL105"/>
  <c r="EK105"/>
  <c r="EJ105"/>
  <c r="EI105"/>
  <c r="EH105"/>
  <c r="EG105"/>
  <c r="EF105"/>
  <c r="EE105"/>
  <c r="ED105"/>
  <c r="EC105"/>
  <c r="EB105"/>
  <c r="EA105"/>
  <c r="DZ105"/>
  <c r="DY105"/>
  <c r="DX105"/>
  <c r="DW105"/>
  <c r="DV105"/>
  <c r="DU105"/>
  <c r="DT105"/>
  <c r="DS105"/>
  <c r="DR105"/>
  <c r="DQ105"/>
  <c r="DP105"/>
  <c r="DO105"/>
  <c r="DN105"/>
  <c r="DM105"/>
  <c r="DL105"/>
  <c r="DK105"/>
  <c r="DJ105"/>
  <c r="DI105"/>
  <c r="DH105"/>
  <c r="DG105"/>
  <c r="DF105"/>
  <c r="DE105"/>
  <c r="DD105"/>
  <c r="DC105"/>
  <c r="DB105"/>
  <c r="DA105"/>
  <c r="CZ105"/>
  <c r="CY105"/>
  <c r="CX105"/>
  <c r="CW105"/>
  <c r="CV105"/>
  <c r="CU105"/>
  <c r="CT105"/>
  <c r="CS105"/>
  <c r="CR105"/>
  <c r="CQ105"/>
  <c r="CP105"/>
  <c r="CO105"/>
  <c r="CN105"/>
  <c r="CM105"/>
  <c r="CL105"/>
  <c r="CK105"/>
  <c r="CJ105"/>
  <c r="CI105"/>
  <c r="CH105"/>
  <c r="CG105"/>
  <c r="CF105"/>
  <c r="CE105"/>
  <c r="CD105"/>
  <c r="CC105"/>
  <c r="CB105"/>
  <c r="CA105"/>
  <c r="BZ105"/>
  <c r="BY105"/>
  <c r="BX105"/>
  <c r="BW105"/>
  <c r="BV105"/>
  <c r="BU105"/>
  <c r="BT105"/>
  <c r="BS105"/>
  <c r="BR105"/>
  <c r="BQ105"/>
  <c r="BP105"/>
  <c r="BO105"/>
  <c r="BN105"/>
  <c r="BM105"/>
  <c r="BL105"/>
  <c r="BK105"/>
  <c r="BJ105"/>
  <c r="BI105"/>
  <c r="BH105"/>
  <c r="BG105"/>
  <c r="BF105"/>
  <c r="BE105"/>
  <c r="BD105"/>
  <c r="BC105"/>
  <c r="BB105"/>
  <c r="BA105"/>
  <c r="AZ105"/>
  <c r="AY105"/>
  <c r="AX105"/>
  <c r="AW105"/>
  <c r="AV105"/>
  <c r="AU105"/>
  <c r="AT105"/>
  <c r="AS105"/>
  <c r="AR105"/>
  <c r="AQ105"/>
  <c r="AP105"/>
  <c r="AO105"/>
  <c r="AN105"/>
  <c r="AM105"/>
  <c r="AL105"/>
  <c r="AK105"/>
  <c r="AJ105"/>
  <c r="AI105"/>
  <c r="AH105"/>
  <c r="AG105"/>
  <c r="AF105"/>
  <c r="AE105"/>
  <c r="AD105"/>
  <c r="AC105"/>
  <c r="AB105"/>
  <c r="AA105"/>
  <c r="Z105"/>
  <c r="Y105"/>
  <c r="X105"/>
  <c r="W105"/>
  <c r="V105"/>
  <c r="U105"/>
  <c r="T105"/>
  <c r="S105"/>
  <c r="R105"/>
  <c r="Q105"/>
  <c r="P105"/>
  <c r="O105"/>
  <c r="N105"/>
  <c r="M105"/>
  <c r="L105"/>
  <c r="K105"/>
  <c r="J105"/>
  <c r="I105"/>
  <c r="H105"/>
  <c r="G105"/>
  <c r="F105"/>
  <c r="E105"/>
  <c r="D105"/>
  <c r="C105"/>
  <c r="B105"/>
  <c r="A105"/>
  <c r="IV104"/>
  <c r="IU104"/>
  <c r="IT104"/>
  <c r="IS104"/>
  <c r="IR104"/>
  <c r="IQ104"/>
  <c r="IP104"/>
  <c r="IO104"/>
  <c r="IN104"/>
  <c r="IM104"/>
  <c r="IL104"/>
  <c r="IK104"/>
  <c r="IJ104"/>
  <c r="II104"/>
  <c r="IH104"/>
  <c r="IG104"/>
  <c r="IF104"/>
  <c r="IE104"/>
  <c r="ID104"/>
  <c r="IC104"/>
  <c r="IB104"/>
  <c r="IA104"/>
  <c r="HZ104"/>
  <c r="HY104"/>
  <c r="HX104"/>
  <c r="HW104"/>
  <c r="HV104"/>
  <c r="HU104"/>
  <c r="HT104"/>
  <c r="HS104"/>
  <c r="HR104"/>
  <c r="HQ104"/>
  <c r="HP104"/>
  <c r="HO104"/>
  <c r="HN104"/>
  <c r="HM104"/>
  <c r="HL104"/>
  <c r="HK104"/>
  <c r="HJ104"/>
  <c r="HI104"/>
  <c r="HH104"/>
  <c r="HG104"/>
  <c r="HF104"/>
  <c r="HE104"/>
  <c r="HD104"/>
  <c r="HC104"/>
  <c r="HB104"/>
  <c r="HA104"/>
  <c r="GZ104"/>
  <c r="GY104"/>
  <c r="GX104"/>
  <c r="GW104"/>
  <c r="GV104"/>
  <c r="GU104"/>
  <c r="GT104"/>
  <c r="GS104"/>
  <c r="GR104"/>
  <c r="GQ104"/>
  <c r="GP104"/>
  <c r="GO104"/>
  <c r="GN104"/>
  <c r="GM104"/>
  <c r="GL104"/>
  <c r="GK104"/>
  <c r="GJ104"/>
  <c r="GI104"/>
  <c r="GH104"/>
  <c r="GG104"/>
  <c r="GF104"/>
  <c r="GE104"/>
  <c r="GD104"/>
  <c r="GC104"/>
  <c r="GB104"/>
  <c r="GA104"/>
  <c r="FZ104"/>
  <c r="FY104"/>
  <c r="FX104"/>
  <c r="FW104"/>
  <c r="FV104"/>
  <c r="FU104"/>
  <c r="FT104"/>
  <c r="FS104"/>
  <c r="FR104"/>
  <c r="FQ104"/>
  <c r="FP104"/>
  <c r="FO104"/>
  <c r="FN104"/>
  <c r="FM104"/>
  <c r="FL104"/>
  <c r="FK104"/>
  <c r="FJ104"/>
  <c r="FI104"/>
  <c r="FH104"/>
  <c r="FG104"/>
  <c r="FF104"/>
  <c r="FE104"/>
  <c r="FD104"/>
  <c r="FC104"/>
  <c r="FB104"/>
  <c r="FA104"/>
  <c r="EZ104"/>
  <c r="EY104"/>
  <c r="EX104"/>
  <c r="EW104"/>
  <c r="EV104"/>
  <c r="EU104"/>
  <c r="ET104"/>
  <c r="ES104"/>
  <c r="ER104"/>
  <c r="EQ104"/>
  <c r="EP104"/>
  <c r="EO104"/>
  <c r="EN104"/>
  <c r="EM104"/>
  <c r="EL104"/>
  <c r="EK104"/>
  <c r="EJ104"/>
  <c r="EI104"/>
  <c r="EH104"/>
  <c r="EG104"/>
  <c r="EF104"/>
  <c r="EE104"/>
  <c r="ED104"/>
  <c r="EC104"/>
  <c r="EB104"/>
  <c r="EA104"/>
  <c r="DZ104"/>
  <c r="DY104"/>
  <c r="DX104"/>
  <c r="DW104"/>
  <c r="DV104"/>
  <c r="DU104"/>
  <c r="DT104"/>
  <c r="DS104"/>
  <c r="DR104"/>
  <c r="DQ104"/>
  <c r="DP104"/>
  <c r="DO104"/>
  <c r="DN104"/>
  <c r="DM104"/>
  <c r="DL104"/>
  <c r="DK104"/>
  <c r="DJ104"/>
  <c r="DI104"/>
  <c r="DH104"/>
  <c r="DG104"/>
  <c r="DF104"/>
  <c r="DE104"/>
  <c r="DD104"/>
  <c r="DC104"/>
  <c r="DB104"/>
  <c r="DA104"/>
  <c r="CZ104"/>
  <c r="CY104"/>
  <c r="CX104"/>
  <c r="CW104"/>
  <c r="CV104"/>
  <c r="CU104"/>
  <c r="CT104"/>
  <c r="CS104"/>
  <c r="CR104"/>
  <c r="CQ104"/>
  <c r="CP104"/>
  <c r="CO104"/>
  <c r="CN104"/>
  <c r="CM104"/>
  <c r="CL104"/>
  <c r="CK104"/>
  <c r="CJ104"/>
  <c r="CI104"/>
  <c r="CH104"/>
  <c r="CG104"/>
  <c r="CF104"/>
  <c r="CE104"/>
  <c r="CD104"/>
  <c r="CC104"/>
  <c r="CB104"/>
  <c r="CA104"/>
  <c r="BZ104"/>
  <c r="BY104"/>
  <c r="BX104"/>
  <c r="BW104"/>
  <c r="BV104"/>
  <c r="BU104"/>
  <c r="BT104"/>
  <c r="BS104"/>
  <c r="BR104"/>
  <c r="BQ104"/>
  <c r="BP104"/>
  <c r="BO104"/>
  <c r="BN104"/>
  <c r="BM104"/>
  <c r="BL104"/>
  <c r="BK104"/>
  <c r="BJ104"/>
  <c r="BI104"/>
  <c r="BH104"/>
  <c r="BG104"/>
  <c r="BF104"/>
  <c r="BE104"/>
  <c r="BD104"/>
  <c r="BC104"/>
  <c r="BB104"/>
  <c r="BA104"/>
  <c r="AZ104"/>
  <c r="AY104"/>
  <c r="AX104"/>
  <c r="AW104"/>
  <c r="AV104"/>
  <c r="AU104"/>
  <c r="AT104"/>
  <c r="AS104"/>
  <c r="AR104"/>
  <c r="AQ104"/>
  <c r="AP104"/>
  <c r="AO104"/>
  <c r="AN104"/>
  <c r="AM104"/>
  <c r="AL104"/>
  <c r="AK104"/>
  <c r="AJ104"/>
  <c r="AI104"/>
  <c r="AH104"/>
  <c r="AG104"/>
  <c r="AF104"/>
  <c r="AE104"/>
  <c r="AD104"/>
  <c r="AC104"/>
  <c r="AB104"/>
  <c r="AA104"/>
  <c r="Z104"/>
  <c r="Y104"/>
  <c r="X104"/>
  <c r="W104"/>
  <c r="V104"/>
  <c r="U104"/>
  <c r="T104"/>
  <c r="S104"/>
  <c r="R104"/>
  <c r="Q104"/>
  <c r="P104"/>
  <c r="O104"/>
  <c r="N104"/>
  <c r="M104"/>
  <c r="L104"/>
  <c r="K104"/>
  <c r="J104"/>
  <c r="I104"/>
  <c r="H104"/>
  <c r="G104"/>
  <c r="F104"/>
  <c r="E104"/>
  <c r="D104"/>
  <c r="C104"/>
  <c r="B104"/>
  <c r="A104"/>
  <c r="IV103"/>
  <c r="IU103"/>
  <c r="IT103"/>
  <c r="IS103"/>
  <c r="IR103"/>
  <c r="IQ103"/>
  <c r="IP103"/>
  <c r="IO103"/>
  <c r="IN103"/>
  <c r="IM103"/>
  <c r="IL103"/>
  <c r="IK103"/>
  <c r="IJ103"/>
  <c r="II103"/>
  <c r="IH103"/>
  <c r="IG103"/>
  <c r="IF103"/>
  <c r="IE103"/>
  <c r="ID103"/>
  <c r="IC103"/>
  <c r="IB103"/>
  <c r="IA103"/>
  <c r="HZ103"/>
  <c r="HY103"/>
  <c r="HX103"/>
  <c r="HW103"/>
  <c r="HV103"/>
  <c r="HU103"/>
  <c r="HT103"/>
  <c r="HS103"/>
  <c r="HR103"/>
  <c r="HQ103"/>
  <c r="HP103"/>
  <c r="HO103"/>
  <c r="HN103"/>
  <c r="HM103"/>
  <c r="HL103"/>
  <c r="HK103"/>
  <c r="HJ103"/>
  <c r="HI103"/>
  <c r="HH103"/>
  <c r="HG103"/>
  <c r="HF103"/>
  <c r="HE103"/>
  <c r="HD103"/>
  <c r="HC103"/>
  <c r="HB103"/>
  <c r="HA103"/>
  <c r="GZ103"/>
  <c r="GY103"/>
  <c r="GX103"/>
  <c r="GW103"/>
  <c r="GV103"/>
  <c r="GU103"/>
  <c r="GT103"/>
  <c r="GS103"/>
  <c r="GR103"/>
  <c r="GQ103"/>
  <c r="GP103"/>
  <c r="GO103"/>
  <c r="GN103"/>
  <c r="GM103"/>
  <c r="GL103"/>
  <c r="GK103"/>
  <c r="GJ103"/>
  <c r="GI103"/>
  <c r="GH103"/>
  <c r="GG103"/>
  <c r="GF103"/>
  <c r="GE103"/>
  <c r="GD103"/>
  <c r="GC103"/>
  <c r="GB103"/>
  <c r="GA103"/>
  <c r="FZ103"/>
  <c r="FY103"/>
  <c r="FX103"/>
  <c r="FW103"/>
  <c r="FV103"/>
  <c r="FU103"/>
  <c r="FT103"/>
  <c r="FS103"/>
  <c r="FR103"/>
  <c r="FQ103"/>
  <c r="FP103"/>
  <c r="FO103"/>
  <c r="FN103"/>
  <c r="FM103"/>
  <c r="FL103"/>
  <c r="FK103"/>
  <c r="FJ103"/>
  <c r="FI103"/>
  <c r="FH103"/>
  <c r="FG103"/>
  <c r="FF103"/>
  <c r="FE103"/>
  <c r="FD103"/>
  <c r="FC103"/>
  <c r="FB103"/>
  <c r="FA103"/>
  <c r="EZ103"/>
  <c r="EY103"/>
  <c r="EX103"/>
  <c r="EW103"/>
  <c r="EV103"/>
  <c r="EU103"/>
  <c r="ET103"/>
  <c r="ES103"/>
  <c r="ER103"/>
  <c r="EQ103"/>
  <c r="EP103"/>
  <c r="EO103"/>
  <c r="EN103"/>
  <c r="EM103"/>
  <c r="EL103"/>
  <c r="EK103"/>
  <c r="EJ103"/>
  <c r="EI103"/>
  <c r="EH103"/>
  <c r="EG103"/>
  <c r="EF103"/>
  <c r="EE103"/>
  <c r="ED103"/>
  <c r="EC103"/>
  <c r="EB103"/>
  <c r="EA103"/>
  <c r="DZ103"/>
  <c r="DY103"/>
  <c r="DX103"/>
  <c r="DW103"/>
  <c r="DV103"/>
  <c r="DU103"/>
  <c r="DT103"/>
  <c r="DS103"/>
  <c r="DR103"/>
  <c r="DQ103"/>
  <c r="DP103"/>
  <c r="DO103"/>
  <c r="DN103"/>
  <c r="DM103"/>
  <c r="DL103"/>
  <c r="DK103"/>
  <c r="DJ103"/>
  <c r="DI103"/>
  <c r="DH103"/>
  <c r="DG103"/>
  <c r="DF103"/>
  <c r="DE103"/>
  <c r="DD103"/>
  <c r="DC103"/>
  <c r="DB103"/>
  <c r="DA103"/>
  <c r="CZ103"/>
  <c r="CY103"/>
  <c r="CX103"/>
  <c r="CW103"/>
  <c r="CV103"/>
  <c r="CU103"/>
  <c r="CT103"/>
  <c r="CS103"/>
  <c r="CR103"/>
  <c r="CQ103"/>
  <c r="CP103"/>
  <c r="CO103"/>
  <c r="CN103"/>
  <c r="CM103"/>
  <c r="CL103"/>
  <c r="CK103"/>
  <c r="CJ103"/>
  <c r="CI103"/>
  <c r="CH103"/>
  <c r="CG103"/>
  <c r="CF103"/>
  <c r="CE103"/>
  <c r="CD103"/>
  <c r="CC103"/>
  <c r="CB103"/>
  <c r="CA103"/>
  <c r="BZ103"/>
  <c r="BY103"/>
  <c r="BX103"/>
  <c r="BW103"/>
  <c r="BV103"/>
  <c r="BU103"/>
  <c r="BT103"/>
  <c r="BS103"/>
  <c r="BR103"/>
  <c r="BQ103"/>
  <c r="BP103"/>
  <c r="BO103"/>
  <c r="BN103"/>
  <c r="BM103"/>
  <c r="BL103"/>
  <c r="BK103"/>
  <c r="BJ103"/>
  <c r="BI103"/>
  <c r="BH103"/>
  <c r="BG103"/>
  <c r="BF103"/>
  <c r="BE103"/>
  <c r="BD103"/>
  <c r="BC103"/>
  <c r="BB103"/>
  <c r="BA103"/>
  <c r="AZ103"/>
  <c r="AY103"/>
  <c r="AX103"/>
  <c r="AW103"/>
  <c r="AV103"/>
  <c r="AU103"/>
  <c r="AT103"/>
  <c r="AS103"/>
  <c r="AR103"/>
  <c r="AQ103"/>
  <c r="AP103"/>
  <c r="AO103"/>
  <c r="AN103"/>
  <c r="AM103"/>
  <c r="AL103"/>
  <c r="AK103"/>
  <c r="AJ103"/>
  <c r="AI103"/>
  <c r="AH103"/>
  <c r="AG103"/>
  <c r="AF103"/>
  <c r="AE103"/>
  <c r="AD103"/>
  <c r="AC103"/>
  <c r="AB103"/>
  <c r="AA103"/>
  <c r="Z103"/>
  <c r="Y103"/>
  <c r="X103"/>
  <c r="W103"/>
  <c r="V103"/>
  <c r="U103"/>
  <c r="T103"/>
  <c r="S103"/>
  <c r="R103"/>
  <c r="Q103"/>
  <c r="P103"/>
  <c r="O103"/>
  <c r="N103"/>
  <c r="M103"/>
  <c r="L103"/>
  <c r="K103"/>
  <c r="J103"/>
  <c r="I103"/>
  <c r="H103"/>
  <c r="G103"/>
  <c r="F103"/>
  <c r="E103"/>
  <c r="D103"/>
  <c r="C103"/>
  <c r="B103"/>
  <c r="A103"/>
  <c r="IV102"/>
  <c r="IU102"/>
  <c r="IT102"/>
  <c r="IS102"/>
  <c r="IR102"/>
  <c r="IQ102"/>
  <c r="IP102"/>
  <c r="IO102"/>
  <c r="IN102"/>
  <c r="IM102"/>
  <c r="IL102"/>
  <c r="IK102"/>
  <c r="IJ102"/>
  <c r="II102"/>
  <c r="IH102"/>
  <c r="IG102"/>
  <c r="IF102"/>
  <c r="IE102"/>
  <c r="ID102"/>
  <c r="IC102"/>
  <c r="IB102"/>
  <c r="IA102"/>
  <c r="HZ102"/>
  <c r="HY102"/>
  <c r="HX102"/>
  <c r="HW102"/>
  <c r="HV102"/>
  <c r="HU102"/>
  <c r="HT102"/>
  <c r="HS102"/>
  <c r="HR102"/>
  <c r="HQ102"/>
  <c r="HP102"/>
  <c r="HO102"/>
  <c r="HN102"/>
  <c r="HM102"/>
  <c r="HL102"/>
  <c r="HK102"/>
  <c r="HJ102"/>
  <c r="HI102"/>
  <c r="HH102"/>
  <c r="HG102"/>
  <c r="HF102"/>
  <c r="HE102"/>
  <c r="HD102"/>
  <c r="HC102"/>
  <c r="HB102"/>
  <c r="HA102"/>
  <c r="GZ102"/>
  <c r="GY102"/>
  <c r="GX102"/>
  <c r="GW102"/>
  <c r="GV102"/>
  <c r="GU102"/>
  <c r="GT102"/>
  <c r="GS102"/>
  <c r="GR102"/>
  <c r="GQ102"/>
  <c r="GP102"/>
  <c r="GO102"/>
  <c r="GN102"/>
  <c r="GM102"/>
  <c r="GL102"/>
  <c r="GK102"/>
  <c r="GJ102"/>
  <c r="GI102"/>
  <c r="GH102"/>
  <c r="GG102"/>
  <c r="GF102"/>
  <c r="GE102"/>
  <c r="GD102"/>
  <c r="GC102"/>
  <c r="GB102"/>
  <c r="GA102"/>
  <c r="FZ102"/>
  <c r="FY102"/>
  <c r="FX102"/>
  <c r="FW102"/>
  <c r="FV102"/>
  <c r="FU102"/>
  <c r="FT102"/>
  <c r="FS102"/>
  <c r="FR102"/>
  <c r="FQ102"/>
  <c r="FP102"/>
  <c r="FO102"/>
  <c r="FN102"/>
  <c r="FM102"/>
  <c r="FL102"/>
  <c r="FK102"/>
  <c r="FJ102"/>
  <c r="FI102"/>
  <c r="FH102"/>
  <c r="FG102"/>
  <c r="FF102"/>
  <c r="FE102"/>
  <c r="FD102"/>
  <c r="FC102"/>
  <c r="FB102"/>
  <c r="FA102"/>
  <c r="EZ102"/>
  <c r="EY102"/>
  <c r="EX102"/>
  <c r="EW102"/>
  <c r="EV102"/>
  <c r="EU102"/>
  <c r="ET102"/>
  <c r="ES102"/>
  <c r="ER102"/>
  <c r="EQ102"/>
  <c r="EP102"/>
  <c r="EO102"/>
  <c r="EN102"/>
  <c r="EM102"/>
  <c r="EL102"/>
  <c r="EK102"/>
  <c r="EJ102"/>
  <c r="EI102"/>
  <c r="EH102"/>
  <c r="EG102"/>
  <c r="EF102"/>
  <c r="EE102"/>
  <c r="ED102"/>
  <c r="EC102"/>
  <c r="EB102"/>
  <c r="EA102"/>
  <c r="DZ102"/>
  <c r="DY102"/>
  <c r="DX102"/>
  <c r="DW102"/>
  <c r="DV102"/>
  <c r="DU102"/>
  <c r="DT102"/>
  <c r="DS102"/>
  <c r="DR102"/>
  <c r="DQ102"/>
  <c r="DP102"/>
  <c r="DO102"/>
  <c r="DN102"/>
  <c r="DM102"/>
  <c r="DL102"/>
  <c r="DK102"/>
  <c r="DJ102"/>
  <c r="DI102"/>
  <c r="DH102"/>
  <c r="DG102"/>
  <c r="DF102"/>
  <c r="DE102"/>
  <c r="DD102"/>
  <c r="DC102"/>
  <c r="DB102"/>
  <c r="DA102"/>
  <c r="CZ102"/>
  <c r="CY102"/>
  <c r="CX102"/>
  <c r="CW102"/>
  <c r="CV102"/>
  <c r="CU102"/>
  <c r="CT102"/>
  <c r="CS102"/>
  <c r="CR102"/>
  <c r="CQ102"/>
  <c r="CP102"/>
  <c r="CO102"/>
  <c r="CN102"/>
  <c r="CM102"/>
  <c r="CL102"/>
  <c r="CK102"/>
  <c r="CJ102"/>
  <c r="CI102"/>
  <c r="CH102"/>
  <c r="CG102"/>
  <c r="CF102"/>
  <c r="CE102"/>
  <c r="CD102"/>
  <c r="CC102"/>
  <c r="CB102"/>
  <c r="CA102"/>
  <c r="BZ102"/>
  <c r="BY102"/>
  <c r="BX102"/>
  <c r="BW102"/>
  <c r="BV102"/>
  <c r="BU102"/>
  <c r="BT102"/>
  <c r="BS102"/>
  <c r="BR102"/>
  <c r="BQ102"/>
  <c r="BP102"/>
  <c r="BO102"/>
  <c r="BN102"/>
  <c r="BM102"/>
  <c r="BL102"/>
  <c r="BK102"/>
  <c r="BJ102"/>
  <c r="BI102"/>
  <c r="BH102"/>
  <c r="BG102"/>
  <c r="BF102"/>
  <c r="BE102"/>
  <c r="BD102"/>
  <c r="BC102"/>
  <c r="BB102"/>
  <c r="BA102"/>
  <c r="AZ102"/>
  <c r="AY102"/>
  <c r="AX102"/>
  <c r="AW102"/>
  <c r="AV102"/>
  <c r="AU102"/>
  <c r="AT102"/>
  <c r="AS102"/>
  <c r="AR102"/>
  <c r="AQ102"/>
  <c r="AP102"/>
  <c r="AO102"/>
  <c r="AN102"/>
  <c r="AM102"/>
  <c r="AL102"/>
  <c r="AK102"/>
  <c r="AJ102"/>
  <c r="AI102"/>
  <c r="AH102"/>
  <c r="AG102"/>
  <c r="AF102"/>
  <c r="AE102"/>
  <c r="AD102"/>
  <c r="AC102"/>
  <c r="AB102"/>
  <c r="AA102"/>
  <c r="Z102"/>
  <c r="Y102"/>
  <c r="X102"/>
  <c r="W102"/>
  <c r="V102"/>
  <c r="U102"/>
  <c r="T102"/>
  <c r="S102"/>
  <c r="R102"/>
  <c r="Q102"/>
  <c r="P102"/>
  <c r="O102"/>
  <c r="N102"/>
  <c r="M102"/>
  <c r="L102"/>
  <c r="K102"/>
  <c r="J102"/>
  <c r="I102"/>
  <c r="H102"/>
  <c r="G102"/>
  <c r="F102"/>
  <c r="E102"/>
  <c r="D102"/>
  <c r="C102"/>
  <c r="B102"/>
  <c r="A102"/>
  <c r="IV101"/>
  <c r="IU101"/>
  <c r="IT101"/>
  <c r="IS101"/>
  <c r="IR101"/>
  <c r="IQ101"/>
  <c r="IP101"/>
  <c r="IO101"/>
  <c r="IN101"/>
  <c r="IM101"/>
  <c r="IL101"/>
  <c r="IK101"/>
  <c r="IJ101"/>
  <c r="II101"/>
  <c r="IH101"/>
  <c r="IG101"/>
  <c r="IF101"/>
  <c r="IE101"/>
  <c r="ID101"/>
  <c r="IC101"/>
  <c r="IB101"/>
  <c r="IA101"/>
  <c r="HZ101"/>
  <c r="HY101"/>
  <c r="HX101"/>
  <c r="HW101"/>
  <c r="HV101"/>
  <c r="HU101"/>
  <c r="HT101"/>
  <c r="HS101"/>
  <c r="HR101"/>
  <c r="HQ101"/>
  <c r="HP101"/>
  <c r="HO101"/>
  <c r="HN101"/>
  <c r="HM101"/>
  <c r="HL101"/>
  <c r="HK101"/>
  <c r="HJ101"/>
  <c r="HI101"/>
  <c r="HH101"/>
  <c r="HG101"/>
  <c r="HF101"/>
  <c r="HE101"/>
  <c r="HD101"/>
  <c r="HC101"/>
  <c r="HB101"/>
  <c r="HA101"/>
  <c r="GZ101"/>
  <c r="GY101"/>
  <c r="GX101"/>
  <c r="GW101"/>
  <c r="GV101"/>
  <c r="GU101"/>
  <c r="GT101"/>
  <c r="GS101"/>
  <c r="GR101"/>
  <c r="GQ101"/>
  <c r="GP101"/>
  <c r="GO101"/>
  <c r="GN101"/>
  <c r="GM101"/>
  <c r="GL101"/>
  <c r="GK101"/>
  <c r="GJ101"/>
  <c r="GI101"/>
  <c r="GH101"/>
  <c r="GG101"/>
  <c r="GF101"/>
  <c r="GE101"/>
  <c r="GD101"/>
  <c r="GC101"/>
  <c r="GB101"/>
  <c r="GA101"/>
  <c r="FZ101"/>
  <c r="FY101"/>
  <c r="FX101"/>
  <c r="FW101"/>
  <c r="FV101"/>
  <c r="FU101"/>
  <c r="FT101"/>
  <c r="FS101"/>
  <c r="FR101"/>
  <c r="FQ101"/>
  <c r="FP101"/>
  <c r="FO101"/>
  <c r="FN101"/>
  <c r="FM101"/>
  <c r="FL101"/>
  <c r="FK101"/>
  <c r="FJ101"/>
  <c r="FI101"/>
  <c r="FH101"/>
  <c r="FG101"/>
  <c r="FF101"/>
  <c r="FE101"/>
  <c r="FD101"/>
  <c r="FC101"/>
  <c r="FB101"/>
  <c r="FA101"/>
  <c r="EZ101"/>
  <c r="EY101"/>
  <c r="EX101"/>
  <c r="EW101"/>
  <c r="EV101"/>
  <c r="EU101"/>
  <c r="ET101"/>
  <c r="ES101"/>
  <c r="ER101"/>
  <c r="EQ101"/>
  <c r="EP101"/>
  <c r="EO101"/>
  <c r="EN101"/>
  <c r="EM101"/>
  <c r="EL101"/>
  <c r="EK101"/>
  <c r="EJ101"/>
  <c r="EI101"/>
  <c r="EH101"/>
  <c r="EG101"/>
  <c r="EF101"/>
  <c r="EE101"/>
  <c r="ED101"/>
  <c r="EC101"/>
  <c r="EB101"/>
  <c r="EA101"/>
  <c r="DZ101"/>
  <c r="DY101"/>
  <c r="DX101"/>
  <c r="DW101"/>
  <c r="DV101"/>
  <c r="DU101"/>
  <c r="DT101"/>
  <c r="DS101"/>
  <c r="DR101"/>
  <c r="DQ101"/>
  <c r="DP101"/>
  <c r="DO101"/>
  <c r="DN101"/>
  <c r="DM101"/>
  <c r="DL101"/>
  <c r="DK101"/>
  <c r="DJ101"/>
  <c r="DI101"/>
  <c r="DH101"/>
  <c r="DG101"/>
  <c r="DF101"/>
  <c r="DE101"/>
  <c r="DD101"/>
  <c r="DC101"/>
  <c r="DB101"/>
  <c r="DA101"/>
  <c r="CZ101"/>
  <c r="CY101"/>
  <c r="CX101"/>
  <c r="CW101"/>
  <c r="CV101"/>
  <c r="CU101"/>
  <c r="CT101"/>
  <c r="CS101"/>
  <c r="CR101"/>
  <c r="CQ101"/>
  <c r="CP101"/>
  <c r="CO101"/>
  <c r="CN101"/>
  <c r="CM101"/>
  <c r="CL101"/>
  <c r="CK101"/>
  <c r="CJ101"/>
  <c r="CI101"/>
  <c r="CH101"/>
  <c r="CG101"/>
  <c r="CF101"/>
  <c r="CE101"/>
  <c r="CD101"/>
  <c r="CC101"/>
  <c r="CB101"/>
  <c r="CA101"/>
  <c r="BZ101"/>
  <c r="BY101"/>
  <c r="BX101"/>
  <c r="BW101"/>
  <c r="BV101"/>
  <c r="BU101"/>
  <c r="BT101"/>
  <c r="BS101"/>
  <c r="BR101"/>
  <c r="BQ101"/>
  <c r="BP101"/>
  <c r="BO101"/>
  <c r="BN101"/>
  <c r="BM101"/>
  <c r="BL101"/>
  <c r="BK101"/>
  <c r="BJ101"/>
  <c r="BI101"/>
  <c r="BH101"/>
  <c r="BG101"/>
  <c r="BF101"/>
  <c r="BE101"/>
  <c r="BD101"/>
  <c r="BC101"/>
  <c r="BB101"/>
  <c r="BA101"/>
  <c r="AZ101"/>
  <c r="AY101"/>
  <c r="AX101"/>
  <c r="AW101"/>
  <c r="AV101"/>
  <c r="AU101"/>
  <c r="AT101"/>
  <c r="AS101"/>
  <c r="AR101"/>
  <c r="AQ101"/>
  <c r="AP101"/>
  <c r="AO101"/>
  <c r="AN101"/>
  <c r="AM101"/>
  <c r="AL101"/>
  <c r="AK101"/>
  <c r="AJ101"/>
  <c r="AI101"/>
  <c r="AH101"/>
  <c r="AG101"/>
  <c r="AF101"/>
  <c r="AE101"/>
  <c r="AD101"/>
  <c r="AC101"/>
  <c r="AB101"/>
  <c r="AA101"/>
  <c r="Z101"/>
  <c r="Y101"/>
  <c r="X101"/>
  <c r="W101"/>
  <c r="V101"/>
  <c r="U101"/>
  <c r="T101"/>
  <c r="S101"/>
  <c r="R101"/>
  <c r="Q101"/>
  <c r="P101"/>
  <c r="O101"/>
  <c r="N101"/>
  <c r="M101"/>
  <c r="L101"/>
  <c r="K101"/>
  <c r="J101"/>
  <c r="I101"/>
  <c r="H101"/>
  <c r="G101"/>
  <c r="F101"/>
  <c r="E101"/>
  <c r="D101"/>
  <c r="C101"/>
  <c r="B101"/>
  <c r="A101"/>
  <c r="IV100"/>
  <c r="IU100"/>
  <c r="IT100"/>
  <c r="IS100"/>
  <c r="IR100"/>
  <c r="IQ100"/>
  <c r="IP100"/>
  <c r="IO100"/>
  <c r="IN100"/>
  <c r="IM100"/>
  <c r="IL100"/>
  <c r="IK100"/>
  <c r="IJ100"/>
  <c r="II100"/>
  <c r="IH100"/>
  <c r="IG100"/>
  <c r="IF100"/>
  <c r="IE100"/>
  <c r="ID100"/>
  <c r="IC100"/>
  <c r="IB100"/>
  <c r="IA100"/>
  <c r="HZ100"/>
  <c r="HY100"/>
  <c r="HX100"/>
  <c r="HW100"/>
  <c r="HV100"/>
  <c r="HU100"/>
  <c r="HT100"/>
  <c r="HS100"/>
  <c r="HR100"/>
  <c r="HQ100"/>
  <c r="HP100"/>
  <c r="HO100"/>
  <c r="HN100"/>
  <c r="HM100"/>
  <c r="HL100"/>
  <c r="HK100"/>
  <c r="HJ100"/>
  <c r="HI100"/>
  <c r="HH100"/>
  <c r="HG100"/>
  <c r="HF100"/>
  <c r="HE100"/>
  <c r="HD100"/>
  <c r="HC100"/>
  <c r="HB100"/>
  <c r="HA100"/>
  <c r="GZ100"/>
  <c r="GY100"/>
  <c r="GX100"/>
  <c r="GW100"/>
  <c r="GV100"/>
  <c r="GU100"/>
  <c r="GT100"/>
  <c r="GS100"/>
  <c r="GR100"/>
  <c r="GQ100"/>
  <c r="GP100"/>
  <c r="GO100"/>
  <c r="GN100"/>
  <c r="GM100"/>
  <c r="GL100"/>
  <c r="GK100"/>
  <c r="GJ100"/>
  <c r="GI100"/>
  <c r="GH100"/>
  <c r="GG100"/>
  <c r="GF100"/>
  <c r="GE100"/>
  <c r="GD100"/>
  <c r="GC100"/>
  <c r="GB100"/>
  <c r="GA100"/>
  <c r="FZ100"/>
  <c r="FY100"/>
  <c r="FX100"/>
  <c r="FW100"/>
  <c r="FV100"/>
  <c r="FU100"/>
  <c r="FT100"/>
  <c r="FS100"/>
  <c r="FR100"/>
  <c r="FQ100"/>
  <c r="FP100"/>
  <c r="FO100"/>
  <c r="FN100"/>
  <c r="FM100"/>
  <c r="FL100"/>
  <c r="FK100"/>
  <c r="FJ100"/>
  <c r="FI100"/>
  <c r="FH100"/>
  <c r="FG100"/>
  <c r="FF100"/>
  <c r="FE100"/>
  <c r="FD100"/>
  <c r="FC100"/>
  <c r="FB100"/>
  <c r="FA100"/>
  <c r="EZ100"/>
  <c r="EY100"/>
  <c r="EX100"/>
  <c r="EW100"/>
  <c r="EV100"/>
  <c r="EU100"/>
  <c r="ET100"/>
  <c r="ES100"/>
  <c r="ER100"/>
  <c r="EQ100"/>
  <c r="EP100"/>
  <c r="EO100"/>
  <c r="EN100"/>
  <c r="EM100"/>
  <c r="EL100"/>
  <c r="EK100"/>
  <c r="EJ100"/>
  <c r="EI100"/>
  <c r="EH100"/>
  <c r="EG100"/>
  <c r="EF100"/>
  <c r="EE100"/>
  <c r="ED100"/>
  <c r="EC100"/>
  <c r="EB100"/>
  <c r="EA100"/>
  <c r="DZ100"/>
  <c r="DY100"/>
  <c r="DX100"/>
  <c r="DW100"/>
  <c r="DV100"/>
  <c r="DU100"/>
  <c r="DT100"/>
  <c r="DS100"/>
  <c r="DR100"/>
  <c r="DQ100"/>
  <c r="DP100"/>
  <c r="DO100"/>
  <c r="DN100"/>
  <c r="DM100"/>
  <c r="DL100"/>
  <c r="DK100"/>
  <c r="DJ100"/>
  <c r="DI100"/>
  <c r="DH100"/>
  <c r="DG100"/>
  <c r="DF100"/>
  <c r="DE100"/>
  <c r="DD100"/>
  <c r="DC100"/>
  <c r="DB100"/>
  <c r="DA100"/>
  <c r="CZ100"/>
  <c r="CY100"/>
  <c r="CX100"/>
  <c r="CW100"/>
  <c r="CV100"/>
  <c r="CU100"/>
  <c r="CT100"/>
  <c r="CS100"/>
  <c r="CR100"/>
  <c r="CQ100"/>
  <c r="CP100"/>
  <c r="CO100"/>
  <c r="CN100"/>
  <c r="CM100"/>
  <c r="CL100"/>
  <c r="CK100"/>
  <c r="CJ100"/>
  <c r="CI100"/>
  <c r="CH100"/>
  <c r="CG100"/>
  <c r="CF100"/>
  <c r="CE100"/>
  <c r="CD100"/>
  <c r="CC100"/>
  <c r="CB100"/>
  <c r="CA100"/>
  <c r="BZ100"/>
  <c r="BY100"/>
  <c r="BX100"/>
  <c r="BW100"/>
  <c r="BV100"/>
  <c r="BU100"/>
  <c r="BT100"/>
  <c r="BS100"/>
  <c r="BR100"/>
  <c r="BQ100"/>
  <c r="BP100"/>
  <c r="BO100"/>
  <c r="BN100"/>
  <c r="BM100"/>
  <c r="BL100"/>
  <c r="BK100"/>
  <c r="BJ100"/>
  <c r="BI100"/>
  <c r="BH100"/>
  <c r="BG100"/>
  <c r="BF100"/>
  <c r="BE100"/>
  <c r="BD100"/>
  <c r="BC100"/>
  <c r="BB100"/>
  <c r="BA100"/>
  <c r="AZ100"/>
  <c r="AY100"/>
  <c r="AX100"/>
  <c r="AW100"/>
  <c r="AV100"/>
  <c r="AU100"/>
  <c r="AT100"/>
  <c r="AS100"/>
  <c r="AR100"/>
  <c r="AQ100"/>
  <c r="AP100"/>
  <c r="AO100"/>
  <c r="AN100"/>
  <c r="AM100"/>
  <c r="AL100"/>
  <c r="AK100"/>
  <c r="AJ100"/>
  <c r="AI100"/>
  <c r="AH100"/>
  <c r="AG100"/>
  <c r="AF100"/>
  <c r="AE100"/>
  <c r="AD100"/>
  <c r="AC100"/>
  <c r="AB100"/>
  <c r="AA100"/>
  <c r="Z100"/>
  <c r="Y100"/>
  <c r="X100"/>
  <c r="W100"/>
  <c r="V100"/>
  <c r="U100"/>
  <c r="T100"/>
  <c r="S100"/>
  <c r="R100"/>
  <c r="Q100"/>
  <c r="P100"/>
  <c r="O100"/>
  <c r="N100"/>
  <c r="M100"/>
  <c r="L100"/>
  <c r="K100"/>
  <c r="J100"/>
  <c r="I100"/>
  <c r="H100"/>
  <c r="G100"/>
  <c r="F100"/>
  <c r="E100"/>
  <c r="D100"/>
  <c r="C100"/>
  <c r="B100"/>
  <c r="A100"/>
  <c r="IV99"/>
  <c r="IU99"/>
  <c r="IT99"/>
  <c r="IS99"/>
  <c r="IR99"/>
  <c r="IQ99"/>
  <c r="IP99"/>
  <c r="IO99"/>
  <c r="IN99"/>
  <c r="IM99"/>
  <c r="IL99"/>
  <c r="IK99"/>
  <c r="IJ99"/>
  <c r="II99"/>
  <c r="IH99"/>
  <c r="IG99"/>
  <c r="IF99"/>
  <c r="IE99"/>
  <c r="ID99"/>
  <c r="IC99"/>
  <c r="IB99"/>
  <c r="IA99"/>
  <c r="HZ99"/>
  <c r="HY99"/>
  <c r="HX99"/>
  <c r="HW99"/>
  <c r="HV99"/>
  <c r="HU99"/>
  <c r="HT99"/>
  <c r="HS99"/>
  <c r="HR99"/>
  <c r="HQ99"/>
  <c r="HP99"/>
  <c r="HO99"/>
  <c r="HN99"/>
  <c r="HM99"/>
  <c r="HL99"/>
  <c r="HK99"/>
  <c r="HJ99"/>
  <c r="HI99"/>
  <c r="HH99"/>
  <c r="HG99"/>
  <c r="HF99"/>
  <c r="HE99"/>
  <c r="HD99"/>
  <c r="HC99"/>
  <c r="HB99"/>
  <c r="HA99"/>
  <c r="GZ99"/>
  <c r="GY99"/>
  <c r="GX99"/>
  <c r="GW99"/>
  <c r="GV99"/>
  <c r="GU99"/>
  <c r="GT99"/>
  <c r="GS99"/>
  <c r="GR99"/>
  <c r="GQ99"/>
  <c r="GP99"/>
  <c r="GO99"/>
  <c r="GN99"/>
  <c r="GM99"/>
  <c r="GL99"/>
  <c r="GK99"/>
  <c r="GJ99"/>
  <c r="GI99"/>
  <c r="GH99"/>
  <c r="GG99"/>
  <c r="GF99"/>
  <c r="GE99"/>
  <c r="GD99"/>
  <c r="GC99"/>
  <c r="GB99"/>
  <c r="GA99"/>
  <c r="FZ99"/>
  <c r="FY99"/>
  <c r="FX99"/>
  <c r="FW99"/>
  <c r="FV99"/>
  <c r="FU99"/>
  <c r="FT99"/>
  <c r="FS99"/>
  <c r="FR99"/>
  <c r="FQ99"/>
  <c r="FP99"/>
  <c r="FO99"/>
  <c r="FN99"/>
  <c r="FM99"/>
  <c r="FL99"/>
  <c r="FK99"/>
  <c r="FJ99"/>
  <c r="FI99"/>
  <c r="FH99"/>
  <c r="FG99"/>
  <c r="FF99"/>
  <c r="FE99"/>
  <c r="FD99"/>
  <c r="FC99"/>
  <c r="FB99"/>
  <c r="FA99"/>
  <c r="EZ99"/>
  <c r="EY99"/>
  <c r="EX99"/>
  <c r="EW99"/>
  <c r="EV99"/>
  <c r="EU99"/>
  <c r="ET99"/>
  <c r="ES99"/>
  <c r="ER99"/>
  <c r="EQ99"/>
  <c r="EP99"/>
  <c r="EO99"/>
  <c r="EN99"/>
  <c r="EM99"/>
  <c r="EL99"/>
  <c r="EK99"/>
  <c r="EJ99"/>
  <c r="EI99"/>
  <c r="EH99"/>
  <c r="EG99"/>
  <c r="EF99"/>
  <c r="EE99"/>
  <c r="ED99"/>
  <c r="EC99"/>
  <c r="EB99"/>
  <c r="EA99"/>
  <c r="DZ99"/>
  <c r="DY99"/>
  <c r="DX99"/>
  <c r="DW99"/>
  <c r="DV99"/>
  <c r="DU99"/>
  <c r="DT99"/>
  <c r="DS99"/>
  <c r="DR99"/>
  <c r="DQ99"/>
  <c r="DP99"/>
  <c r="DO99"/>
  <c r="DN99"/>
  <c r="DM99"/>
  <c r="DL99"/>
  <c r="DK99"/>
  <c r="DJ99"/>
  <c r="DI99"/>
  <c r="DH99"/>
  <c r="DG99"/>
  <c r="DF99"/>
  <c r="DE99"/>
  <c r="DD99"/>
  <c r="DC99"/>
  <c r="DB99"/>
  <c r="DA99"/>
  <c r="CZ99"/>
  <c r="CY99"/>
  <c r="CX99"/>
  <c r="CW99"/>
  <c r="CV99"/>
  <c r="CU99"/>
  <c r="CT99"/>
  <c r="CS99"/>
  <c r="CR99"/>
  <c r="CQ99"/>
  <c r="CP99"/>
  <c r="CO99"/>
  <c r="CN99"/>
  <c r="CM99"/>
  <c r="CL99"/>
  <c r="CK99"/>
  <c r="CJ99"/>
  <c r="CI99"/>
  <c r="CH99"/>
  <c r="CG99"/>
  <c r="CF99"/>
  <c r="CE99"/>
  <c r="CD99"/>
  <c r="CC99"/>
  <c r="CB99"/>
  <c r="CA99"/>
  <c r="BZ99"/>
  <c r="BY99"/>
  <c r="BX99"/>
  <c r="BW99"/>
  <c r="BV99"/>
  <c r="BU99"/>
  <c r="BT99"/>
  <c r="BS99"/>
  <c r="BR99"/>
  <c r="BQ99"/>
  <c r="BP99"/>
  <c r="BO99"/>
  <c r="BN99"/>
  <c r="BM99"/>
  <c r="BL99"/>
  <c r="BK99"/>
  <c r="BJ99"/>
  <c r="BI99"/>
  <c r="BH99"/>
  <c r="BG99"/>
  <c r="BF99"/>
  <c r="BE99"/>
  <c r="BD99"/>
  <c r="BC99"/>
  <c r="BB99"/>
  <c r="BA99"/>
  <c r="AZ99"/>
  <c r="AY99"/>
  <c r="AX99"/>
  <c r="AW99"/>
  <c r="AV99"/>
  <c r="AU99"/>
  <c r="AT99"/>
  <c r="AS99"/>
  <c r="AR99"/>
  <c r="AQ99"/>
  <c r="AP99"/>
  <c r="AO99"/>
  <c r="AN99"/>
  <c r="AM99"/>
  <c r="AL99"/>
  <c r="AK99"/>
  <c r="AJ99"/>
  <c r="AI99"/>
  <c r="AH99"/>
  <c r="AG99"/>
  <c r="AF99"/>
  <c r="AE99"/>
  <c r="AD99"/>
  <c r="AC99"/>
  <c r="AB99"/>
  <c r="AA99"/>
  <c r="Z99"/>
  <c r="Y99"/>
  <c r="X99"/>
  <c r="W99"/>
  <c r="V99"/>
  <c r="U99"/>
  <c r="T99"/>
  <c r="S99"/>
  <c r="R99"/>
  <c r="Q99"/>
  <c r="P99"/>
  <c r="O99"/>
  <c r="N99"/>
  <c r="M99"/>
  <c r="L99"/>
  <c r="K99"/>
  <c r="J99"/>
  <c r="I99"/>
  <c r="H99"/>
  <c r="G99"/>
  <c r="F99"/>
  <c r="E99"/>
  <c r="D99"/>
  <c r="C99"/>
  <c r="B99"/>
  <c r="A99"/>
  <c r="IV98"/>
  <c r="IU98"/>
  <c r="IT98"/>
  <c r="IS98"/>
  <c r="IR98"/>
  <c r="IQ98"/>
  <c r="IP98"/>
  <c r="IO98"/>
  <c r="IN98"/>
  <c r="IM98"/>
  <c r="IL98"/>
  <c r="IK98"/>
  <c r="IJ98"/>
  <c r="II98"/>
  <c r="IH98"/>
  <c r="IG98"/>
  <c r="IF98"/>
  <c r="IE98"/>
  <c r="ID98"/>
  <c r="IC98"/>
  <c r="IB98"/>
  <c r="IA98"/>
  <c r="HZ98"/>
  <c r="HY98"/>
  <c r="HX98"/>
  <c r="HW98"/>
  <c r="HV98"/>
  <c r="HU98"/>
  <c r="HT98"/>
  <c r="HS98"/>
  <c r="HR98"/>
  <c r="HQ98"/>
  <c r="HP98"/>
  <c r="HO98"/>
  <c r="HN98"/>
  <c r="HM98"/>
  <c r="HL98"/>
  <c r="HK98"/>
  <c r="HJ98"/>
  <c r="HI98"/>
  <c r="HH98"/>
  <c r="HG98"/>
  <c r="HF98"/>
  <c r="HE98"/>
  <c r="HD98"/>
  <c r="HC98"/>
  <c r="HB98"/>
  <c r="HA98"/>
  <c r="GZ98"/>
  <c r="GY98"/>
  <c r="GX98"/>
  <c r="GW98"/>
  <c r="GV98"/>
  <c r="GU98"/>
  <c r="GT98"/>
  <c r="GS98"/>
  <c r="GR98"/>
  <c r="GQ98"/>
  <c r="GP98"/>
  <c r="GO98"/>
  <c r="GN98"/>
  <c r="GM98"/>
  <c r="GL98"/>
  <c r="GK98"/>
  <c r="GJ98"/>
  <c r="GI98"/>
  <c r="GH98"/>
  <c r="GG98"/>
  <c r="GF98"/>
  <c r="GE98"/>
  <c r="GD98"/>
  <c r="GC98"/>
  <c r="GB98"/>
  <c r="GA98"/>
  <c r="FZ98"/>
  <c r="FY98"/>
  <c r="FX98"/>
  <c r="FW98"/>
  <c r="FV98"/>
  <c r="FU98"/>
  <c r="FT98"/>
  <c r="FS98"/>
  <c r="FR98"/>
  <c r="FQ98"/>
  <c r="FP98"/>
  <c r="FO98"/>
  <c r="FN98"/>
  <c r="FM98"/>
  <c r="FL98"/>
  <c r="FK98"/>
  <c r="FJ98"/>
  <c r="FI98"/>
  <c r="FH98"/>
  <c r="FG98"/>
  <c r="FF98"/>
  <c r="FE98"/>
  <c r="FD98"/>
  <c r="FC98"/>
  <c r="FB98"/>
  <c r="FA98"/>
  <c r="EZ98"/>
  <c r="EY98"/>
  <c r="EX98"/>
  <c r="EW98"/>
  <c r="EV98"/>
  <c r="EU98"/>
  <c r="ET98"/>
  <c r="ES98"/>
  <c r="ER98"/>
  <c r="EQ98"/>
  <c r="EP98"/>
  <c r="EO98"/>
  <c r="EN98"/>
  <c r="EM98"/>
  <c r="EL98"/>
  <c r="EK98"/>
  <c r="EJ98"/>
  <c r="EI98"/>
  <c r="EH98"/>
  <c r="EG98"/>
  <c r="EF98"/>
  <c r="EE98"/>
  <c r="ED98"/>
  <c r="EC98"/>
  <c r="EB98"/>
  <c r="EA98"/>
  <c r="DZ98"/>
  <c r="DY98"/>
  <c r="DX98"/>
  <c r="DW98"/>
  <c r="DV98"/>
  <c r="DU98"/>
  <c r="DT98"/>
  <c r="DS98"/>
  <c r="DR98"/>
  <c r="DQ98"/>
  <c r="DP98"/>
  <c r="DO98"/>
  <c r="DN98"/>
  <c r="DM98"/>
  <c r="DL98"/>
  <c r="DK98"/>
  <c r="DJ98"/>
  <c r="DI98"/>
  <c r="DH98"/>
  <c r="DG98"/>
  <c r="DF98"/>
  <c r="DE98"/>
  <c r="DD98"/>
  <c r="DC98"/>
  <c r="DB98"/>
  <c r="DA98"/>
  <c r="CZ98"/>
  <c r="CY98"/>
  <c r="CX98"/>
  <c r="CW98"/>
  <c r="CV98"/>
  <c r="CU98"/>
  <c r="CT98"/>
  <c r="CS98"/>
  <c r="CR98"/>
  <c r="CQ98"/>
  <c r="CP98"/>
  <c r="CO98"/>
  <c r="CN98"/>
  <c r="CM98"/>
  <c r="CL98"/>
  <c r="CK98"/>
  <c r="CJ98"/>
  <c r="CI98"/>
  <c r="CH98"/>
  <c r="CG98"/>
  <c r="CF98"/>
  <c r="CE98"/>
  <c r="CD98"/>
  <c r="CC98"/>
  <c r="CB98"/>
  <c r="CA98"/>
  <c r="BZ98"/>
  <c r="BY98"/>
  <c r="BX98"/>
  <c r="BW98"/>
  <c r="BV98"/>
  <c r="BU98"/>
  <c r="BT98"/>
  <c r="BS98"/>
  <c r="BR98"/>
  <c r="BQ98"/>
  <c r="BP98"/>
  <c r="BO98"/>
  <c r="BN98"/>
  <c r="BM98"/>
  <c r="BL98"/>
  <c r="BK98"/>
  <c r="BJ98"/>
  <c r="BI98"/>
  <c r="BH98"/>
  <c r="BG98"/>
  <c r="BF98"/>
  <c r="BE98"/>
  <c r="BD98"/>
  <c r="BC98"/>
  <c r="BB98"/>
  <c r="BA98"/>
  <c r="AZ98"/>
  <c r="AY98"/>
  <c r="AX98"/>
  <c r="AW98"/>
  <c r="AV98"/>
  <c r="AU98"/>
  <c r="AT98"/>
  <c r="AS98"/>
  <c r="AR98"/>
  <c r="AQ98"/>
  <c r="AP98"/>
  <c r="AO98"/>
  <c r="AN98"/>
  <c r="AM98"/>
  <c r="AL98"/>
  <c r="AK98"/>
  <c r="AJ98"/>
  <c r="AI98"/>
  <c r="AH98"/>
  <c r="AG98"/>
  <c r="AF98"/>
  <c r="AE98"/>
  <c r="AD98"/>
  <c r="AC98"/>
  <c r="AB98"/>
  <c r="AA98"/>
  <c r="Z98"/>
  <c r="Y98"/>
  <c r="X98"/>
  <c r="W98"/>
  <c r="V98"/>
  <c r="U98"/>
  <c r="T98"/>
  <c r="S98"/>
  <c r="R98"/>
  <c r="Q98"/>
  <c r="P98"/>
  <c r="O98"/>
  <c r="N98"/>
  <c r="M98"/>
  <c r="L98"/>
  <c r="K98"/>
  <c r="J98"/>
  <c r="I98"/>
  <c r="H98"/>
  <c r="G98"/>
  <c r="F98"/>
  <c r="E98"/>
  <c r="D98"/>
  <c r="C98"/>
  <c r="B98"/>
  <c r="A98"/>
  <c r="IV97"/>
  <c r="IU97"/>
  <c r="IT97"/>
  <c r="IS97"/>
  <c r="IR97"/>
  <c r="IQ97"/>
  <c r="IP97"/>
  <c r="IO97"/>
  <c r="IN97"/>
  <c r="IM97"/>
  <c r="IL97"/>
  <c r="IK97"/>
  <c r="IJ97"/>
  <c r="II97"/>
  <c r="IH97"/>
  <c r="IG97"/>
  <c r="IF97"/>
  <c r="IE97"/>
  <c r="ID97"/>
  <c r="IC97"/>
  <c r="IB97"/>
  <c r="IA97"/>
  <c r="HZ97"/>
  <c r="HY97"/>
  <c r="HX97"/>
  <c r="HW97"/>
  <c r="HV97"/>
  <c r="HU97"/>
  <c r="HT97"/>
  <c r="HS97"/>
  <c r="HR97"/>
  <c r="HQ97"/>
  <c r="HP97"/>
  <c r="HO97"/>
  <c r="HN97"/>
  <c r="HM97"/>
  <c r="HL97"/>
  <c r="HK97"/>
  <c r="HJ97"/>
  <c r="HI97"/>
  <c r="HH97"/>
  <c r="HG97"/>
  <c r="HF97"/>
  <c r="HE97"/>
  <c r="HD97"/>
  <c r="HC97"/>
  <c r="HB97"/>
  <c r="HA97"/>
  <c r="GZ97"/>
  <c r="GY97"/>
  <c r="GX97"/>
  <c r="GW97"/>
  <c r="GV97"/>
  <c r="GU97"/>
  <c r="GT97"/>
  <c r="GS97"/>
  <c r="GR97"/>
  <c r="GQ97"/>
  <c r="GP97"/>
  <c r="GO97"/>
  <c r="GN97"/>
  <c r="GM97"/>
  <c r="GL97"/>
  <c r="GK97"/>
  <c r="GJ97"/>
  <c r="GI97"/>
  <c r="GH97"/>
  <c r="GG97"/>
  <c r="GF97"/>
  <c r="GE97"/>
  <c r="GD97"/>
  <c r="GC97"/>
  <c r="GB97"/>
  <c r="GA97"/>
  <c r="FZ97"/>
  <c r="FY97"/>
  <c r="FX97"/>
  <c r="FW97"/>
  <c r="FV97"/>
  <c r="FU97"/>
  <c r="FT97"/>
  <c r="FS97"/>
  <c r="FR97"/>
  <c r="FQ97"/>
  <c r="FP97"/>
  <c r="FO97"/>
  <c r="FN97"/>
  <c r="FM97"/>
  <c r="FL97"/>
  <c r="FK97"/>
  <c r="FJ97"/>
  <c r="FI97"/>
  <c r="FH97"/>
  <c r="FG97"/>
  <c r="FF97"/>
  <c r="FE97"/>
  <c r="FD97"/>
  <c r="FC97"/>
  <c r="FB97"/>
  <c r="FA97"/>
  <c r="EZ97"/>
  <c r="EY97"/>
  <c r="EX97"/>
  <c r="EW97"/>
  <c r="EV97"/>
  <c r="EU97"/>
  <c r="ET97"/>
  <c r="ES97"/>
  <c r="ER97"/>
  <c r="EQ97"/>
  <c r="EP97"/>
  <c r="EO97"/>
  <c r="EN97"/>
  <c r="EM97"/>
  <c r="EL97"/>
  <c r="EK97"/>
  <c r="EJ97"/>
  <c r="EI97"/>
  <c r="EH97"/>
  <c r="EG97"/>
  <c r="EF97"/>
  <c r="EE97"/>
  <c r="ED97"/>
  <c r="EC97"/>
  <c r="EB97"/>
  <c r="EA97"/>
  <c r="DZ97"/>
  <c r="DY97"/>
  <c r="DX97"/>
  <c r="DW97"/>
  <c r="DV97"/>
  <c r="DU97"/>
  <c r="DT97"/>
  <c r="DS97"/>
  <c r="DR97"/>
  <c r="DQ97"/>
  <c r="DP97"/>
  <c r="DO97"/>
  <c r="DN97"/>
  <c r="DM97"/>
  <c r="DL97"/>
  <c r="DK97"/>
  <c r="DJ97"/>
  <c r="DI97"/>
  <c r="DH97"/>
  <c r="DG97"/>
  <c r="DF97"/>
  <c r="DE97"/>
  <c r="DD97"/>
  <c r="DC97"/>
  <c r="DB97"/>
  <c r="DA97"/>
  <c r="CZ97"/>
  <c r="CY97"/>
  <c r="CX97"/>
  <c r="CW97"/>
  <c r="CV97"/>
  <c r="CU97"/>
  <c r="CT97"/>
  <c r="CS97"/>
  <c r="CR97"/>
  <c r="CQ97"/>
  <c r="CP97"/>
  <c r="CO97"/>
  <c r="CN97"/>
  <c r="CM97"/>
  <c r="CL97"/>
  <c r="CK97"/>
  <c r="CJ97"/>
  <c r="CI97"/>
  <c r="CH97"/>
  <c r="CG97"/>
  <c r="CF97"/>
  <c r="CE97"/>
  <c r="CD97"/>
  <c r="CC97"/>
  <c r="CB97"/>
  <c r="CA97"/>
  <c r="BZ97"/>
  <c r="BY97"/>
  <c r="BX97"/>
  <c r="BW97"/>
  <c r="BV97"/>
  <c r="BU97"/>
  <c r="BT97"/>
  <c r="BS97"/>
  <c r="BR97"/>
  <c r="BQ97"/>
  <c r="BP97"/>
  <c r="BO97"/>
  <c r="BN97"/>
  <c r="BM97"/>
  <c r="BL97"/>
  <c r="BK97"/>
  <c r="BJ97"/>
  <c r="BI97"/>
  <c r="BH97"/>
  <c r="BG97"/>
  <c r="BF97"/>
  <c r="BE97"/>
  <c r="BD97"/>
  <c r="BC97"/>
  <c r="BB97"/>
  <c r="BA97"/>
  <c r="AZ97"/>
  <c r="AY97"/>
  <c r="AX97"/>
  <c r="AW97"/>
  <c r="AV97"/>
  <c r="AU97"/>
  <c r="AT97"/>
  <c r="AS97"/>
  <c r="AR97"/>
  <c r="AQ97"/>
  <c r="AP97"/>
  <c r="AO97"/>
  <c r="AN97"/>
  <c r="AM97"/>
  <c r="AL97"/>
  <c r="AK97"/>
  <c r="AJ97"/>
  <c r="AI97"/>
  <c r="AH97"/>
  <c r="AG97"/>
  <c r="AF97"/>
  <c r="AE97"/>
  <c r="AD97"/>
  <c r="AC97"/>
  <c r="AB97"/>
  <c r="AA97"/>
  <c r="Z97"/>
  <c r="Y97"/>
  <c r="X97"/>
  <c r="W97"/>
  <c r="V97"/>
  <c r="U97"/>
  <c r="T97"/>
  <c r="S97"/>
  <c r="R97"/>
  <c r="Q97"/>
  <c r="P97"/>
  <c r="O97"/>
  <c r="N97"/>
  <c r="M97"/>
  <c r="L97"/>
  <c r="K97"/>
  <c r="J97"/>
  <c r="I97"/>
  <c r="H97"/>
  <c r="G97"/>
  <c r="F97"/>
  <c r="E97"/>
  <c r="D97"/>
  <c r="C97"/>
  <c r="B97"/>
  <c r="A97"/>
  <c r="IV96"/>
  <c r="IU96"/>
  <c r="IT96"/>
  <c r="IS96"/>
  <c r="IR96"/>
  <c r="IQ96"/>
  <c r="IP96"/>
  <c r="IO96"/>
  <c r="IN96"/>
  <c r="IM96"/>
  <c r="IL96"/>
  <c r="IK96"/>
  <c r="IJ96"/>
  <c r="II96"/>
  <c r="IH96"/>
  <c r="IG96"/>
  <c r="IF96"/>
  <c r="IE96"/>
  <c r="ID96"/>
  <c r="IC96"/>
  <c r="IB96"/>
  <c r="IA96"/>
  <c r="HZ96"/>
  <c r="HY96"/>
  <c r="HX96"/>
  <c r="HW96"/>
  <c r="HV96"/>
  <c r="HU96"/>
  <c r="HT96"/>
  <c r="HS96"/>
  <c r="HR96"/>
  <c r="HQ96"/>
  <c r="HP96"/>
  <c r="HO96"/>
  <c r="HN96"/>
  <c r="HM96"/>
  <c r="HL96"/>
  <c r="HK96"/>
  <c r="HJ96"/>
  <c r="HI96"/>
  <c r="HH96"/>
  <c r="HG96"/>
  <c r="HF96"/>
  <c r="HE96"/>
  <c r="HD96"/>
  <c r="HC96"/>
  <c r="HB96"/>
  <c r="HA96"/>
  <c r="GZ96"/>
  <c r="GY96"/>
  <c r="GX96"/>
  <c r="GW96"/>
  <c r="GV96"/>
  <c r="GU96"/>
  <c r="GT96"/>
  <c r="GS96"/>
  <c r="GR96"/>
  <c r="GQ96"/>
  <c r="GP96"/>
  <c r="GO96"/>
  <c r="GN96"/>
  <c r="GM96"/>
  <c r="GL96"/>
  <c r="GK96"/>
  <c r="GJ96"/>
  <c r="GI96"/>
  <c r="GH96"/>
  <c r="GG96"/>
  <c r="GF96"/>
  <c r="GE96"/>
  <c r="GD96"/>
  <c r="GC96"/>
  <c r="GB96"/>
  <c r="GA96"/>
  <c r="FZ96"/>
  <c r="FY96"/>
  <c r="FX96"/>
  <c r="FW96"/>
  <c r="FV96"/>
  <c r="FU96"/>
  <c r="FT96"/>
  <c r="FS96"/>
  <c r="FR96"/>
  <c r="FQ96"/>
  <c r="FP96"/>
  <c r="FO96"/>
  <c r="FN96"/>
  <c r="FM96"/>
  <c r="FL96"/>
  <c r="FK96"/>
  <c r="FJ96"/>
  <c r="FI96"/>
  <c r="FH96"/>
  <c r="FG96"/>
  <c r="FF96"/>
  <c r="FE96"/>
  <c r="FD96"/>
  <c r="FC96"/>
  <c r="FB96"/>
  <c r="FA96"/>
  <c r="EZ96"/>
  <c r="EY96"/>
  <c r="EX96"/>
  <c r="EW96"/>
  <c r="EV96"/>
  <c r="EU96"/>
  <c r="ET96"/>
  <c r="ES96"/>
  <c r="ER96"/>
  <c r="EQ96"/>
  <c r="EP96"/>
  <c r="EO96"/>
  <c r="EN96"/>
  <c r="EM96"/>
  <c r="EL96"/>
  <c r="EK96"/>
  <c r="EJ96"/>
  <c r="EI96"/>
  <c r="EH96"/>
  <c r="EG96"/>
  <c r="EF96"/>
  <c r="EE96"/>
  <c r="ED96"/>
  <c r="EC96"/>
  <c r="EB96"/>
  <c r="EA96"/>
  <c r="DZ96"/>
  <c r="DY96"/>
  <c r="DX96"/>
  <c r="DW96"/>
  <c r="DV96"/>
  <c r="DU96"/>
  <c r="DT96"/>
  <c r="DS96"/>
  <c r="DR96"/>
  <c r="DQ96"/>
  <c r="DP96"/>
  <c r="DO96"/>
  <c r="DN96"/>
  <c r="DM96"/>
  <c r="DL96"/>
  <c r="DK96"/>
  <c r="DJ96"/>
  <c r="DI96"/>
  <c r="DH96"/>
  <c r="DG96"/>
  <c r="DF96"/>
  <c r="DE96"/>
  <c r="DD96"/>
  <c r="DC96"/>
  <c r="DB96"/>
  <c r="DA96"/>
  <c r="CZ96"/>
  <c r="CY96"/>
  <c r="CX96"/>
  <c r="CW96"/>
  <c r="CV96"/>
  <c r="CU96"/>
  <c r="CT96"/>
  <c r="CS96"/>
  <c r="CR96"/>
  <c r="CQ96"/>
  <c r="CP96"/>
  <c r="CO96"/>
  <c r="CN96"/>
  <c r="CM96"/>
  <c r="CL96"/>
  <c r="CK96"/>
  <c r="CJ96"/>
  <c r="CI96"/>
  <c r="CH96"/>
  <c r="CG96"/>
  <c r="CF96"/>
  <c r="CE96"/>
  <c r="CD96"/>
  <c r="CC96"/>
  <c r="CB96"/>
  <c r="CA96"/>
  <c r="BZ96"/>
  <c r="BY96"/>
  <c r="BX96"/>
  <c r="BW96"/>
  <c r="BV96"/>
  <c r="BU96"/>
  <c r="BT96"/>
  <c r="BS96"/>
  <c r="BR96"/>
  <c r="BQ96"/>
  <c r="BP96"/>
  <c r="BO96"/>
  <c r="BN96"/>
  <c r="BM96"/>
  <c r="BL96"/>
  <c r="BK96"/>
  <c r="BJ96"/>
  <c r="BI96"/>
  <c r="BH96"/>
  <c r="BG96"/>
  <c r="BF96"/>
  <c r="BE96"/>
  <c r="BD96"/>
  <c r="BC96"/>
  <c r="BB96"/>
  <c r="BA96"/>
  <c r="AZ96"/>
  <c r="AY96"/>
  <c r="AX96"/>
  <c r="AW96"/>
  <c r="AV96"/>
  <c r="AU96"/>
  <c r="AT96"/>
  <c r="AS96"/>
  <c r="AR96"/>
  <c r="AQ96"/>
  <c r="AP96"/>
  <c r="AO96"/>
  <c r="AN96"/>
  <c r="AM96"/>
  <c r="AL96"/>
  <c r="AK96"/>
  <c r="AJ96"/>
  <c r="AI96"/>
  <c r="AH96"/>
  <c r="AG96"/>
  <c r="AF96"/>
  <c r="AE96"/>
  <c r="AD96"/>
  <c r="AC96"/>
  <c r="AB96"/>
  <c r="AA96"/>
  <c r="Z96"/>
  <c r="Y96"/>
  <c r="X96"/>
  <c r="W96"/>
  <c r="V96"/>
  <c r="U96"/>
  <c r="T96"/>
  <c r="S96"/>
  <c r="R96"/>
  <c r="Q96"/>
  <c r="P96"/>
  <c r="O96"/>
  <c r="N96"/>
  <c r="M96"/>
  <c r="L96"/>
  <c r="K96"/>
  <c r="J96"/>
  <c r="I96"/>
  <c r="H96"/>
  <c r="G96"/>
  <c r="F96"/>
  <c r="E96"/>
  <c r="D96"/>
  <c r="C96"/>
  <c r="B96"/>
  <c r="A96"/>
  <c r="IV95"/>
  <c r="IU95"/>
  <c r="IT95"/>
  <c r="IS95"/>
  <c r="IR95"/>
  <c r="IQ95"/>
  <c r="IP95"/>
  <c r="IO95"/>
  <c r="IN95"/>
  <c r="IM95"/>
  <c r="IL95"/>
  <c r="IK95"/>
  <c r="IJ95"/>
  <c r="II95"/>
  <c r="IH95"/>
  <c r="IG95"/>
  <c r="IF95"/>
  <c r="IE95"/>
  <c r="ID95"/>
  <c r="IC95"/>
  <c r="IB95"/>
  <c r="IA95"/>
  <c r="HZ95"/>
  <c r="HY95"/>
  <c r="HX95"/>
  <c r="HW95"/>
  <c r="HV95"/>
  <c r="HU95"/>
  <c r="HT95"/>
  <c r="HS95"/>
  <c r="HR95"/>
  <c r="HQ95"/>
  <c r="HP95"/>
  <c r="HO95"/>
  <c r="HN95"/>
  <c r="HM95"/>
  <c r="HL95"/>
  <c r="HK95"/>
  <c r="HJ95"/>
  <c r="HI95"/>
  <c r="HH95"/>
  <c r="HG95"/>
  <c r="HF95"/>
  <c r="HE95"/>
  <c r="HD95"/>
  <c r="HC95"/>
  <c r="HB95"/>
  <c r="HA95"/>
  <c r="GZ95"/>
  <c r="GY95"/>
  <c r="GX95"/>
  <c r="GW95"/>
  <c r="GV95"/>
  <c r="GU95"/>
  <c r="GT95"/>
  <c r="GS95"/>
  <c r="GR95"/>
  <c r="GQ95"/>
  <c r="GP95"/>
  <c r="GO95"/>
  <c r="GN95"/>
  <c r="GM95"/>
  <c r="GL95"/>
  <c r="GK95"/>
  <c r="GJ95"/>
  <c r="GI95"/>
  <c r="GH95"/>
  <c r="GG95"/>
  <c r="GF95"/>
  <c r="GE95"/>
  <c r="GD95"/>
  <c r="GC95"/>
  <c r="GB95"/>
  <c r="GA95"/>
  <c r="FZ95"/>
  <c r="FY95"/>
  <c r="FX95"/>
  <c r="FW95"/>
  <c r="FV95"/>
  <c r="FU95"/>
  <c r="FT95"/>
  <c r="FS95"/>
  <c r="FR95"/>
  <c r="FQ95"/>
  <c r="FP95"/>
  <c r="FO95"/>
  <c r="FN95"/>
  <c r="FM95"/>
  <c r="FL95"/>
  <c r="FK95"/>
  <c r="FJ95"/>
  <c r="FI95"/>
  <c r="FH95"/>
  <c r="FG95"/>
  <c r="FF95"/>
  <c r="FE95"/>
  <c r="FD95"/>
  <c r="FC95"/>
  <c r="FB95"/>
  <c r="FA95"/>
  <c r="EZ95"/>
  <c r="EY95"/>
  <c r="EX95"/>
  <c r="EW95"/>
  <c r="EV95"/>
  <c r="EU95"/>
  <c r="ET95"/>
  <c r="ES95"/>
  <c r="ER95"/>
  <c r="EQ95"/>
  <c r="EP95"/>
  <c r="EO95"/>
  <c r="EN95"/>
  <c r="EM95"/>
  <c r="EL95"/>
  <c r="EK95"/>
  <c r="EJ95"/>
  <c r="EI95"/>
  <c r="EH95"/>
  <c r="EG95"/>
  <c r="EF95"/>
  <c r="EE95"/>
  <c r="ED95"/>
  <c r="EC95"/>
  <c r="EB95"/>
  <c r="EA95"/>
  <c r="DZ95"/>
  <c r="DY95"/>
  <c r="DX95"/>
  <c r="DW95"/>
  <c r="DV95"/>
  <c r="DU95"/>
  <c r="DT95"/>
  <c r="DS95"/>
  <c r="DR95"/>
  <c r="DQ95"/>
  <c r="DP95"/>
  <c r="DO95"/>
  <c r="DN95"/>
  <c r="DM95"/>
  <c r="DL95"/>
  <c r="DK95"/>
  <c r="DJ95"/>
  <c r="DI95"/>
  <c r="DH95"/>
  <c r="DG95"/>
  <c r="DF95"/>
  <c r="DE95"/>
  <c r="DD95"/>
  <c r="DC95"/>
  <c r="DB95"/>
  <c r="DA95"/>
  <c r="CZ95"/>
  <c r="CY95"/>
  <c r="CX95"/>
  <c r="CW95"/>
  <c r="CV95"/>
  <c r="CU95"/>
  <c r="CT95"/>
  <c r="CS95"/>
  <c r="CR95"/>
  <c r="CQ95"/>
  <c r="CP95"/>
  <c r="CO95"/>
  <c r="CN95"/>
  <c r="CM95"/>
  <c r="CL95"/>
  <c r="CK95"/>
  <c r="CJ95"/>
  <c r="CI95"/>
  <c r="CH95"/>
  <c r="CG95"/>
  <c r="CF95"/>
  <c r="CE95"/>
  <c r="CD95"/>
  <c r="CC95"/>
  <c r="CB95"/>
  <c r="CA95"/>
  <c r="BZ95"/>
  <c r="BY95"/>
  <c r="BX95"/>
  <c r="BW95"/>
  <c r="BV95"/>
  <c r="BU95"/>
  <c r="BT95"/>
  <c r="BS95"/>
  <c r="BR95"/>
  <c r="BQ95"/>
  <c r="BP95"/>
  <c r="BO95"/>
  <c r="BN95"/>
  <c r="BM95"/>
  <c r="BL95"/>
  <c r="BK95"/>
  <c r="BJ95"/>
  <c r="BI95"/>
  <c r="BH95"/>
  <c r="BG95"/>
  <c r="BF95"/>
  <c r="BE95"/>
  <c r="BD95"/>
  <c r="BC95"/>
  <c r="BB95"/>
  <c r="BA95"/>
  <c r="AZ95"/>
  <c r="AY95"/>
  <c r="AX95"/>
  <c r="AW95"/>
  <c r="AV95"/>
  <c r="AU95"/>
  <c r="AT95"/>
  <c r="AS95"/>
  <c r="AR95"/>
  <c r="AQ95"/>
  <c r="AP95"/>
  <c r="AO95"/>
  <c r="AN95"/>
  <c r="AM95"/>
  <c r="AL95"/>
  <c r="AK95"/>
  <c r="AJ95"/>
  <c r="AI95"/>
  <c r="AH95"/>
  <c r="AG95"/>
  <c r="AF95"/>
  <c r="AE95"/>
  <c r="AD95"/>
  <c r="AC95"/>
  <c r="AB95"/>
  <c r="AA95"/>
  <c r="Z95"/>
  <c r="Y95"/>
  <c r="X95"/>
  <c r="W95"/>
  <c r="V95"/>
  <c r="U95"/>
  <c r="T95"/>
  <c r="S95"/>
  <c r="R95"/>
  <c r="Q95"/>
  <c r="P95"/>
  <c r="O95"/>
  <c r="N95"/>
  <c r="M95"/>
  <c r="L95"/>
  <c r="K95"/>
  <c r="J95"/>
  <c r="I95"/>
  <c r="H95"/>
  <c r="G95"/>
  <c r="F95"/>
  <c r="E95"/>
  <c r="D95"/>
  <c r="C95"/>
  <c r="B95"/>
  <c r="A95"/>
  <c r="IV94"/>
  <c r="IU94"/>
  <c r="IT94"/>
  <c r="IS94"/>
  <c r="IR94"/>
  <c r="IQ94"/>
  <c r="IP94"/>
  <c r="IO94"/>
  <c r="IN94"/>
  <c r="IM94"/>
  <c r="IL94"/>
  <c r="IK94"/>
  <c r="IJ94"/>
  <c r="II94"/>
  <c r="IH94"/>
  <c r="IG94"/>
  <c r="IF94"/>
  <c r="IE94"/>
  <c r="ID94"/>
  <c r="IC94"/>
  <c r="IB94"/>
  <c r="IA94"/>
  <c r="HZ94"/>
  <c r="HY94"/>
  <c r="HX94"/>
  <c r="HW94"/>
  <c r="HV94"/>
  <c r="HU94"/>
  <c r="HT94"/>
  <c r="HS94"/>
  <c r="HR94"/>
  <c r="HQ94"/>
  <c r="HP94"/>
  <c r="HO94"/>
  <c r="HN94"/>
  <c r="HM94"/>
  <c r="HL94"/>
  <c r="HK94"/>
  <c r="HJ94"/>
  <c r="HI94"/>
  <c r="HH94"/>
  <c r="HG94"/>
  <c r="HF94"/>
  <c r="HE94"/>
  <c r="HD94"/>
  <c r="HC94"/>
  <c r="HB94"/>
  <c r="HA94"/>
  <c r="GZ94"/>
  <c r="GY94"/>
  <c r="GX94"/>
  <c r="GW94"/>
  <c r="GV94"/>
  <c r="GU94"/>
  <c r="GT94"/>
  <c r="GS94"/>
  <c r="GR94"/>
  <c r="GQ94"/>
  <c r="GP94"/>
  <c r="GO94"/>
  <c r="GN94"/>
  <c r="GM94"/>
  <c r="GL94"/>
  <c r="GK94"/>
  <c r="GJ94"/>
  <c r="GI94"/>
  <c r="GH94"/>
  <c r="GG94"/>
  <c r="GF94"/>
  <c r="GE94"/>
  <c r="GD94"/>
  <c r="GC94"/>
  <c r="GB94"/>
  <c r="GA94"/>
  <c r="FZ94"/>
  <c r="FY94"/>
  <c r="FX94"/>
  <c r="FW94"/>
  <c r="FV94"/>
  <c r="FU94"/>
  <c r="FT94"/>
  <c r="FS94"/>
  <c r="FR94"/>
  <c r="FQ94"/>
  <c r="FP94"/>
  <c r="FO94"/>
  <c r="FN94"/>
  <c r="FM94"/>
  <c r="FL94"/>
  <c r="FK94"/>
  <c r="FJ94"/>
  <c r="FI94"/>
  <c r="FH94"/>
  <c r="FG94"/>
  <c r="FF94"/>
  <c r="FE94"/>
  <c r="FD94"/>
  <c r="FC94"/>
  <c r="FB94"/>
  <c r="FA94"/>
  <c r="EZ94"/>
  <c r="EY94"/>
  <c r="EX94"/>
  <c r="EW94"/>
  <c r="EV94"/>
  <c r="EU94"/>
  <c r="ET94"/>
  <c r="ES94"/>
  <c r="ER94"/>
  <c r="EQ94"/>
  <c r="EP94"/>
  <c r="EO94"/>
  <c r="EN94"/>
  <c r="EM94"/>
  <c r="EL94"/>
  <c r="EK94"/>
  <c r="EJ94"/>
  <c r="EI94"/>
  <c r="EH94"/>
  <c r="EG94"/>
  <c r="EF94"/>
  <c r="EE94"/>
  <c r="ED94"/>
  <c r="EC94"/>
  <c r="EB94"/>
  <c r="EA94"/>
  <c r="DZ94"/>
  <c r="DY94"/>
  <c r="DX94"/>
  <c r="DW94"/>
  <c r="DV94"/>
  <c r="DU94"/>
  <c r="DT94"/>
  <c r="DS94"/>
  <c r="DR94"/>
  <c r="DQ94"/>
  <c r="DP94"/>
  <c r="DO94"/>
  <c r="DN94"/>
  <c r="DM94"/>
  <c r="DL94"/>
  <c r="DK94"/>
  <c r="DJ94"/>
  <c r="DI94"/>
  <c r="DH94"/>
  <c r="DG94"/>
  <c r="DF94"/>
  <c r="DE94"/>
  <c r="DD94"/>
  <c r="DC94"/>
  <c r="DB94"/>
  <c r="DA94"/>
  <c r="CZ94"/>
  <c r="CY94"/>
  <c r="CX94"/>
  <c r="CW94"/>
  <c r="CV94"/>
  <c r="CU94"/>
  <c r="CT94"/>
  <c r="CS94"/>
  <c r="CR94"/>
  <c r="CQ94"/>
  <c r="CP94"/>
  <c r="CO94"/>
  <c r="CN94"/>
  <c r="CM94"/>
  <c r="CL94"/>
  <c r="CK94"/>
  <c r="CJ94"/>
  <c r="CI94"/>
  <c r="CH94"/>
  <c r="CG94"/>
  <c r="CF94"/>
  <c r="CE94"/>
  <c r="CD94"/>
  <c r="CC94"/>
  <c r="CB94"/>
  <c r="CA94"/>
  <c r="BZ94"/>
  <c r="BY94"/>
  <c r="BX94"/>
  <c r="BW94"/>
  <c r="BV94"/>
  <c r="BU94"/>
  <c r="BT94"/>
  <c r="BS94"/>
  <c r="BR94"/>
  <c r="BQ94"/>
  <c r="BP94"/>
  <c r="BO94"/>
  <c r="BN94"/>
  <c r="BM94"/>
  <c r="BL94"/>
  <c r="BK94"/>
  <c r="BJ94"/>
  <c r="BI94"/>
  <c r="BH94"/>
  <c r="BG94"/>
  <c r="BF94"/>
  <c r="BE94"/>
  <c r="BD94"/>
  <c r="BC94"/>
  <c r="BB94"/>
  <c r="BA94"/>
  <c r="AZ94"/>
  <c r="AY94"/>
  <c r="AX94"/>
  <c r="AW94"/>
  <c r="AV94"/>
  <c r="AU94"/>
  <c r="AT94"/>
  <c r="AS94"/>
  <c r="AR94"/>
  <c r="AQ94"/>
  <c r="AP94"/>
  <c r="AO94"/>
  <c r="AN94"/>
  <c r="AM94"/>
  <c r="AL94"/>
  <c r="AK94"/>
  <c r="AJ94"/>
  <c r="AI94"/>
  <c r="AH94"/>
  <c r="AG94"/>
  <c r="AF94"/>
  <c r="AE94"/>
  <c r="AD94"/>
  <c r="AC94"/>
  <c r="AB94"/>
  <c r="AA94"/>
  <c r="Z94"/>
  <c r="Y94"/>
  <c r="X94"/>
  <c r="W94"/>
  <c r="V94"/>
  <c r="U94"/>
  <c r="T94"/>
  <c r="S94"/>
  <c r="R94"/>
  <c r="Q94"/>
  <c r="P94"/>
  <c r="O94"/>
  <c r="N94"/>
  <c r="M94"/>
  <c r="L94"/>
  <c r="K94"/>
  <c r="J94"/>
  <c r="I94"/>
  <c r="H94"/>
  <c r="G94"/>
  <c r="F94"/>
  <c r="E94"/>
  <c r="D94"/>
  <c r="C94"/>
  <c r="B94"/>
  <c r="A94"/>
  <c r="IV93"/>
  <c r="IU93"/>
  <c r="IT93"/>
  <c r="IS93"/>
  <c r="IR93"/>
  <c r="IQ93"/>
  <c r="IP93"/>
  <c r="IO93"/>
  <c r="IN93"/>
  <c r="IM93"/>
  <c r="IL93"/>
  <c r="IK93"/>
  <c r="IJ93"/>
  <c r="II93"/>
  <c r="IH93"/>
  <c r="IG93"/>
  <c r="IF93"/>
  <c r="IE93"/>
  <c r="ID93"/>
  <c r="IC93"/>
  <c r="IB93"/>
  <c r="IA93"/>
  <c r="HZ93"/>
  <c r="HY93"/>
  <c r="HX93"/>
  <c r="HW93"/>
  <c r="HV93"/>
  <c r="HU93"/>
  <c r="HT93"/>
  <c r="HS93"/>
  <c r="HR93"/>
  <c r="HQ93"/>
  <c r="HP93"/>
  <c r="HO93"/>
  <c r="HN93"/>
  <c r="HM93"/>
  <c r="HL93"/>
  <c r="HK93"/>
  <c r="HJ93"/>
  <c r="HI93"/>
  <c r="HH93"/>
  <c r="HG93"/>
  <c r="HF93"/>
  <c r="HE93"/>
  <c r="HD93"/>
  <c r="HC93"/>
  <c r="HB93"/>
  <c r="HA93"/>
  <c r="GZ93"/>
  <c r="GY93"/>
  <c r="GX93"/>
  <c r="GW93"/>
  <c r="GV93"/>
  <c r="GU93"/>
  <c r="GT93"/>
  <c r="GS93"/>
  <c r="GR93"/>
  <c r="GQ93"/>
  <c r="GP93"/>
  <c r="GO93"/>
  <c r="GN93"/>
  <c r="GM93"/>
  <c r="GL93"/>
  <c r="GK93"/>
  <c r="GJ93"/>
  <c r="GI93"/>
  <c r="GH93"/>
  <c r="GG93"/>
  <c r="GF93"/>
  <c r="GE93"/>
  <c r="GD93"/>
  <c r="GC93"/>
  <c r="GB93"/>
  <c r="GA93"/>
  <c r="FZ93"/>
  <c r="FY93"/>
  <c r="FX93"/>
  <c r="FW93"/>
  <c r="FV93"/>
  <c r="FU93"/>
  <c r="FT93"/>
  <c r="FS93"/>
  <c r="FR93"/>
  <c r="FQ93"/>
  <c r="FP93"/>
  <c r="FO93"/>
  <c r="FN93"/>
  <c r="FM93"/>
  <c r="FL93"/>
  <c r="FK93"/>
  <c r="FJ93"/>
  <c r="FI93"/>
  <c r="FH93"/>
  <c r="FG93"/>
  <c r="FF93"/>
  <c r="FE93"/>
  <c r="FD93"/>
  <c r="FC93"/>
  <c r="FB93"/>
  <c r="FA93"/>
  <c r="EZ93"/>
  <c r="EY93"/>
  <c r="EX93"/>
  <c r="EW93"/>
  <c r="EV93"/>
  <c r="EU93"/>
  <c r="ET93"/>
  <c r="ES93"/>
  <c r="ER93"/>
  <c r="EQ93"/>
  <c r="EP93"/>
  <c r="EO93"/>
  <c r="EN93"/>
  <c r="EM93"/>
  <c r="EL93"/>
  <c r="EK93"/>
  <c r="EJ93"/>
  <c r="EI93"/>
  <c r="EH93"/>
  <c r="EG93"/>
  <c r="EF93"/>
  <c r="EE93"/>
  <c r="ED93"/>
  <c r="EC93"/>
  <c r="EB93"/>
  <c r="EA93"/>
  <c r="DZ93"/>
  <c r="DY93"/>
  <c r="DX93"/>
  <c r="DW93"/>
  <c r="DV93"/>
  <c r="DU93"/>
  <c r="DT93"/>
  <c r="DS93"/>
  <c r="DR93"/>
  <c r="DQ93"/>
  <c r="DP93"/>
  <c r="DO93"/>
  <c r="DN93"/>
  <c r="DM93"/>
  <c r="DL93"/>
  <c r="DK93"/>
  <c r="DJ93"/>
  <c r="DI93"/>
  <c r="DH93"/>
  <c r="DG93"/>
  <c r="DF93"/>
  <c r="DE93"/>
  <c r="DD93"/>
  <c r="DC93"/>
  <c r="DB93"/>
  <c r="DA93"/>
  <c r="CZ93"/>
  <c r="CY93"/>
  <c r="CX93"/>
  <c r="CW93"/>
  <c r="CV93"/>
  <c r="CU93"/>
  <c r="CT93"/>
  <c r="CS93"/>
  <c r="CR93"/>
  <c r="CQ93"/>
  <c r="CP93"/>
  <c r="CO93"/>
  <c r="CN93"/>
  <c r="CM93"/>
  <c r="CL93"/>
  <c r="CK93"/>
  <c r="CJ93"/>
  <c r="CI93"/>
  <c r="CH93"/>
  <c r="CG93"/>
  <c r="CF93"/>
  <c r="CE93"/>
  <c r="CD93"/>
  <c r="CC93"/>
  <c r="CB93"/>
  <c r="CA93"/>
  <c r="BZ93"/>
  <c r="BY93"/>
  <c r="BX93"/>
  <c r="BW93"/>
  <c r="BV93"/>
  <c r="BU93"/>
  <c r="BT93"/>
  <c r="BS93"/>
  <c r="BR93"/>
  <c r="BQ93"/>
  <c r="BP93"/>
  <c r="BO93"/>
  <c r="BN93"/>
  <c r="BM93"/>
  <c r="BL93"/>
  <c r="BK93"/>
  <c r="BJ93"/>
  <c r="BI93"/>
  <c r="BH93"/>
  <c r="BG93"/>
  <c r="BF93"/>
  <c r="BE93"/>
  <c r="BD93"/>
  <c r="BC93"/>
  <c r="BB93"/>
  <c r="BA93"/>
  <c r="AZ93"/>
  <c r="AY93"/>
  <c r="AX93"/>
  <c r="AW93"/>
  <c r="AV93"/>
  <c r="AU93"/>
  <c r="AT93"/>
  <c r="AS93"/>
  <c r="AR93"/>
  <c r="AQ93"/>
  <c r="AP93"/>
  <c r="AO93"/>
  <c r="AN93"/>
  <c r="AM93"/>
  <c r="AL93"/>
  <c r="AK93"/>
  <c r="AJ93"/>
  <c r="AI93"/>
  <c r="AH93"/>
  <c r="AG93"/>
  <c r="AF93"/>
  <c r="AE93"/>
  <c r="AD93"/>
  <c r="AC93"/>
  <c r="AB93"/>
  <c r="AA93"/>
  <c r="Z93"/>
  <c r="Y93"/>
  <c r="X93"/>
  <c r="W93"/>
  <c r="V93"/>
  <c r="U93"/>
  <c r="T93"/>
  <c r="S93"/>
  <c r="R93"/>
  <c r="Q93"/>
  <c r="P93"/>
  <c r="O93"/>
  <c r="N93"/>
  <c r="M93"/>
  <c r="L93"/>
  <c r="K93"/>
  <c r="J93"/>
  <c r="I93"/>
  <c r="H93"/>
  <c r="G93"/>
  <c r="F93"/>
  <c r="E93"/>
  <c r="D93"/>
  <c r="C93"/>
  <c r="B93"/>
  <c r="A93"/>
  <c r="IV92"/>
  <c r="IU92"/>
  <c r="IT92"/>
  <c r="IS92"/>
  <c r="IR92"/>
  <c r="IQ92"/>
  <c r="IP92"/>
  <c r="IO92"/>
  <c r="IN92"/>
  <c r="IM92"/>
  <c r="IL92"/>
  <c r="IK92"/>
  <c r="IJ92"/>
  <c r="II92"/>
  <c r="IH92"/>
  <c r="IG92"/>
  <c r="IF92"/>
  <c r="IE92"/>
  <c r="ID92"/>
  <c r="IC92"/>
  <c r="IB92"/>
  <c r="IA92"/>
  <c r="HZ92"/>
  <c r="HY92"/>
  <c r="HX92"/>
  <c r="HW92"/>
  <c r="HV92"/>
  <c r="HU92"/>
  <c r="HT92"/>
  <c r="HS92"/>
  <c r="HR92"/>
  <c r="HQ92"/>
  <c r="HP92"/>
  <c r="HO92"/>
  <c r="HN92"/>
  <c r="HM92"/>
  <c r="HL92"/>
  <c r="HK92"/>
  <c r="HJ92"/>
  <c r="HI92"/>
  <c r="HH92"/>
  <c r="HG92"/>
  <c r="HF92"/>
  <c r="HE92"/>
  <c r="HD92"/>
  <c r="HC92"/>
  <c r="HB92"/>
  <c r="HA92"/>
  <c r="GZ92"/>
  <c r="GY92"/>
  <c r="GX92"/>
  <c r="GW92"/>
  <c r="GV92"/>
  <c r="GU92"/>
  <c r="GT92"/>
  <c r="GS92"/>
  <c r="GR92"/>
  <c r="GQ92"/>
  <c r="GP92"/>
  <c r="GO92"/>
  <c r="GN92"/>
  <c r="GM92"/>
  <c r="GL92"/>
  <c r="GK92"/>
  <c r="GJ92"/>
  <c r="GI92"/>
  <c r="GH92"/>
  <c r="GG92"/>
  <c r="GF92"/>
  <c r="GE92"/>
  <c r="GD92"/>
  <c r="GC92"/>
  <c r="GB92"/>
  <c r="GA92"/>
  <c r="FZ92"/>
  <c r="FY92"/>
  <c r="FX92"/>
  <c r="FW92"/>
  <c r="FV92"/>
  <c r="FU92"/>
  <c r="FT92"/>
  <c r="FS92"/>
  <c r="FR92"/>
  <c r="FQ92"/>
  <c r="FP92"/>
  <c r="FO92"/>
  <c r="FN92"/>
  <c r="FM92"/>
  <c r="FL92"/>
  <c r="FK92"/>
  <c r="FJ92"/>
  <c r="FI92"/>
  <c r="FH92"/>
  <c r="FG92"/>
  <c r="FF92"/>
  <c r="FE92"/>
  <c r="FD92"/>
  <c r="FC92"/>
  <c r="FB92"/>
  <c r="FA92"/>
  <c r="EZ92"/>
  <c r="EY92"/>
  <c r="EX92"/>
  <c r="EW92"/>
  <c r="EV92"/>
  <c r="EU92"/>
  <c r="ET92"/>
  <c r="ES92"/>
  <c r="ER92"/>
  <c r="EQ92"/>
  <c r="EP92"/>
  <c r="EO92"/>
  <c r="EN92"/>
  <c r="EM92"/>
  <c r="EL92"/>
  <c r="EK92"/>
  <c r="EJ92"/>
  <c r="EI92"/>
  <c r="EH92"/>
  <c r="EG92"/>
  <c r="EF92"/>
  <c r="EE92"/>
  <c r="ED92"/>
  <c r="EC92"/>
  <c r="EB92"/>
  <c r="EA92"/>
  <c r="DZ92"/>
  <c r="DY92"/>
  <c r="DX92"/>
  <c r="DW92"/>
  <c r="DV92"/>
  <c r="DU92"/>
  <c r="DT92"/>
  <c r="DS92"/>
  <c r="DR92"/>
  <c r="DQ92"/>
  <c r="DP92"/>
  <c r="DO92"/>
  <c r="DN92"/>
  <c r="DM92"/>
  <c r="DL92"/>
  <c r="DK92"/>
  <c r="DJ92"/>
  <c r="DI92"/>
  <c r="DH92"/>
  <c r="DG92"/>
  <c r="DF92"/>
  <c r="DE92"/>
  <c r="DD92"/>
  <c r="DC92"/>
  <c r="DB92"/>
  <c r="DA92"/>
  <c r="CZ92"/>
  <c r="CY92"/>
  <c r="CX92"/>
  <c r="CW92"/>
  <c r="CV92"/>
  <c r="CU92"/>
  <c r="CT92"/>
  <c r="CS92"/>
  <c r="CR92"/>
  <c r="CQ92"/>
  <c r="CP92"/>
  <c r="CO92"/>
  <c r="CN92"/>
  <c r="CM92"/>
  <c r="CL92"/>
  <c r="CK92"/>
  <c r="CJ92"/>
  <c r="CI92"/>
  <c r="CH92"/>
  <c r="CG92"/>
  <c r="CF92"/>
  <c r="CE92"/>
  <c r="CD92"/>
  <c r="CC92"/>
  <c r="CB92"/>
  <c r="CA92"/>
  <c r="BZ92"/>
  <c r="BY92"/>
  <c r="BX92"/>
  <c r="BW92"/>
  <c r="BV92"/>
  <c r="BU92"/>
  <c r="BT92"/>
  <c r="BS92"/>
  <c r="BR92"/>
  <c r="BQ92"/>
  <c r="BP92"/>
  <c r="BO92"/>
  <c r="BN92"/>
  <c r="BM92"/>
  <c r="BL92"/>
  <c r="BK92"/>
  <c r="BJ92"/>
  <c r="BI92"/>
  <c r="BH92"/>
  <c r="BG92"/>
  <c r="BF92"/>
  <c r="BE92"/>
  <c r="BD92"/>
  <c r="BC92"/>
  <c r="BB92"/>
  <c r="BA92"/>
  <c r="AZ92"/>
  <c r="AY92"/>
  <c r="AX92"/>
  <c r="AW92"/>
  <c r="AV92"/>
  <c r="AU92"/>
  <c r="AT92"/>
  <c r="AS92"/>
  <c r="AR92"/>
  <c r="AQ92"/>
  <c r="AP92"/>
  <c r="AO92"/>
  <c r="AN92"/>
  <c r="AM92"/>
  <c r="AL92"/>
  <c r="AK92"/>
  <c r="AJ92"/>
  <c r="AI92"/>
  <c r="AH92"/>
  <c r="AG92"/>
  <c r="AF92"/>
  <c r="AE92"/>
  <c r="AD92"/>
  <c r="AC92"/>
  <c r="AB92"/>
  <c r="AA92"/>
  <c r="Z92"/>
  <c r="Y92"/>
  <c r="X92"/>
  <c r="W92"/>
  <c r="V92"/>
  <c r="U92"/>
  <c r="T92"/>
  <c r="S92"/>
  <c r="R92"/>
  <c r="Q92"/>
  <c r="P92"/>
  <c r="O92"/>
  <c r="N92"/>
  <c r="M92"/>
  <c r="L92"/>
  <c r="K92"/>
  <c r="J92"/>
  <c r="I92"/>
  <c r="H92"/>
  <c r="G92"/>
  <c r="F92"/>
  <c r="E92"/>
  <c r="D92"/>
  <c r="C92"/>
  <c r="B92"/>
  <c r="A92"/>
  <c r="IV91"/>
  <c r="IU91"/>
  <c r="IT91"/>
  <c r="IS91"/>
  <c r="IR91"/>
  <c r="IQ91"/>
  <c r="IP91"/>
  <c r="IO91"/>
  <c r="IN91"/>
  <c r="IM91"/>
  <c r="IL91"/>
  <c r="IK91"/>
  <c r="IJ91"/>
  <c r="II91"/>
  <c r="IH91"/>
  <c r="IG91"/>
  <c r="IF91"/>
  <c r="IE91"/>
  <c r="ID91"/>
  <c r="IC91"/>
  <c r="IB91"/>
  <c r="IA91"/>
  <c r="HZ91"/>
  <c r="HY91"/>
  <c r="HX91"/>
  <c r="HW91"/>
  <c r="HV91"/>
  <c r="HU91"/>
  <c r="HT91"/>
  <c r="HS91"/>
  <c r="HR91"/>
  <c r="HQ91"/>
  <c r="HP91"/>
  <c r="HO91"/>
  <c r="HN91"/>
  <c r="HM91"/>
  <c r="HL91"/>
  <c r="HK91"/>
  <c r="HJ91"/>
  <c r="HI91"/>
  <c r="HH91"/>
  <c r="HG91"/>
  <c r="HF91"/>
  <c r="HE91"/>
  <c r="HD91"/>
  <c r="HC91"/>
  <c r="HB91"/>
  <c r="HA91"/>
  <c r="GZ91"/>
  <c r="GY91"/>
  <c r="GX91"/>
  <c r="GW91"/>
  <c r="GV91"/>
  <c r="GU91"/>
  <c r="GT91"/>
  <c r="GS91"/>
  <c r="GR91"/>
  <c r="GQ91"/>
  <c r="GP91"/>
  <c r="GO91"/>
  <c r="GN91"/>
  <c r="GM91"/>
  <c r="GL91"/>
  <c r="GK91"/>
  <c r="GJ91"/>
  <c r="GI91"/>
  <c r="GH91"/>
  <c r="GG91"/>
  <c r="GF91"/>
  <c r="GE91"/>
  <c r="GD91"/>
  <c r="GC91"/>
  <c r="GB91"/>
  <c r="GA91"/>
  <c r="FZ91"/>
  <c r="FY91"/>
  <c r="FX91"/>
  <c r="FW91"/>
  <c r="FV91"/>
  <c r="FU91"/>
  <c r="FT91"/>
  <c r="FS91"/>
  <c r="FR91"/>
  <c r="FQ91"/>
  <c r="FP91"/>
  <c r="FO91"/>
  <c r="FN91"/>
  <c r="FM91"/>
  <c r="FL91"/>
  <c r="FK91"/>
  <c r="FJ91"/>
  <c r="FI91"/>
  <c r="FH91"/>
  <c r="FG91"/>
  <c r="FF91"/>
  <c r="FE91"/>
  <c r="FD91"/>
  <c r="FC91"/>
  <c r="FB91"/>
  <c r="FA91"/>
  <c r="EZ91"/>
  <c r="EY91"/>
  <c r="EX91"/>
  <c r="EW91"/>
  <c r="EV91"/>
  <c r="EU91"/>
  <c r="ET91"/>
  <c r="ES91"/>
  <c r="ER91"/>
  <c r="EQ91"/>
  <c r="EP91"/>
  <c r="EO91"/>
  <c r="EN91"/>
  <c r="EM91"/>
  <c r="EL91"/>
  <c r="EK91"/>
  <c r="EJ91"/>
  <c r="EI91"/>
  <c r="EH91"/>
  <c r="EG91"/>
  <c r="EF91"/>
  <c r="EE91"/>
  <c r="ED91"/>
  <c r="EC91"/>
  <c r="EB91"/>
  <c r="EA91"/>
  <c r="DZ91"/>
  <c r="DY91"/>
  <c r="DX91"/>
  <c r="DW91"/>
  <c r="DV91"/>
  <c r="DU91"/>
  <c r="DT91"/>
  <c r="DS91"/>
  <c r="DR91"/>
  <c r="DQ91"/>
  <c r="DP91"/>
  <c r="DO91"/>
  <c r="DN91"/>
  <c r="DM91"/>
  <c r="DL91"/>
  <c r="DK91"/>
  <c r="DJ91"/>
  <c r="DI91"/>
  <c r="DH91"/>
  <c r="DG91"/>
  <c r="DF91"/>
  <c r="DE91"/>
  <c r="DD91"/>
  <c r="DC91"/>
  <c r="DB91"/>
  <c r="DA91"/>
  <c r="CZ91"/>
  <c r="CY91"/>
  <c r="CX91"/>
  <c r="CW91"/>
  <c r="CV91"/>
  <c r="CU91"/>
  <c r="CT91"/>
  <c r="CS91"/>
  <c r="CR91"/>
  <c r="CQ91"/>
  <c r="CP91"/>
  <c r="CO91"/>
  <c r="CN91"/>
  <c r="CM91"/>
  <c r="CL91"/>
  <c r="CK91"/>
  <c r="CJ91"/>
  <c r="CI91"/>
  <c r="CH91"/>
  <c r="CG91"/>
  <c r="CF91"/>
  <c r="CE91"/>
  <c r="CD91"/>
  <c r="CC91"/>
  <c r="CB91"/>
  <c r="CA91"/>
  <c r="BZ91"/>
  <c r="BY91"/>
  <c r="BX91"/>
  <c r="BW91"/>
  <c r="BV91"/>
  <c r="BU91"/>
  <c r="BT91"/>
  <c r="BS91"/>
  <c r="BR91"/>
  <c r="BQ91"/>
  <c r="BP91"/>
  <c r="BO91"/>
  <c r="BN91"/>
  <c r="BM91"/>
  <c r="BL91"/>
  <c r="BK91"/>
  <c r="BJ91"/>
  <c r="BI91"/>
  <c r="BH91"/>
  <c r="BG91"/>
  <c r="BF91"/>
  <c r="BE91"/>
  <c r="BD91"/>
  <c r="BC91"/>
  <c r="BB91"/>
  <c r="BA91"/>
  <c r="AZ91"/>
  <c r="AY91"/>
  <c r="AX91"/>
  <c r="AW91"/>
  <c r="AV91"/>
  <c r="AU91"/>
  <c r="AT91"/>
  <c r="AS91"/>
  <c r="AR91"/>
  <c r="AQ91"/>
  <c r="AP91"/>
  <c r="AO91"/>
  <c r="AN91"/>
  <c r="AM91"/>
  <c r="AL91"/>
  <c r="AK91"/>
  <c r="AJ91"/>
  <c r="AI91"/>
  <c r="AH91"/>
  <c r="AG91"/>
  <c r="AF91"/>
  <c r="AE91"/>
  <c r="AD91"/>
  <c r="AC91"/>
  <c r="AB91"/>
  <c r="AA91"/>
  <c r="Z91"/>
  <c r="Y91"/>
  <c r="X91"/>
  <c r="W91"/>
  <c r="V91"/>
  <c r="U91"/>
  <c r="T91"/>
  <c r="S91"/>
  <c r="R91"/>
  <c r="Q91"/>
  <c r="P91"/>
  <c r="O91"/>
  <c r="N91"/>
  <c r="M91"/>
  <c r="L91"/>
  <c r="K91"/>
  <c r="J91"/>
  <c r="I91"/>
  <c r="H91"/>
  <c r="G91"/>
  <c r="F91"/>
  <c r="E91"/>
  <c r="D91"/>
  <c r="C91"/>
  <c r="B91"/>
  <c r="A91"/>
  <c r="IV90"/>
  <c r="IU90"/>
  <c r="IT90"/>
  <c r="IS90"/>
  <c r="IR90"/>
  <c r="IQ90"/>
  <c r="IP90"/>
  <c r="IO90"/>
  <c r="IN90"/>
  <c r="IM90"/>
  <c r="IL90"/>
  <c r="IK90"/>
  <c r="IJ90"/>
  <c r="II90"/>
  <c r="IH90"/>
  <c r="IG90"/>
  <c r="IF90"/>
  <c r="IE90"/>
  <c r="ID90"/>
  <c r="IC90"/>
  <c r="IB90"/>
  <c r="IA90"/>
  <c r="HZ90"/>
  <c r="HY90"/>
  <c r="HX90"/>
  <c r="HW90"/>
  <c r="HV90"/>
  <c r="HU90"/>
  <c r="HT90"/>
  <c r="HS90"/>
  <c r="HR90"/>
  <c r="HQ90"/>
  <c r="HP90"/>
  <c r="HO90"/>
  <c r="HN90"/>
  <c r="HM90"/>
  <c r="HL90"/>
  <c r="HK90"/>
  <c r="HJ90"/>
  <c r="HI90"/>
  <c r="HH90"/>
  <c r="HG90"/>
  <c r="HF90"/>
  <c r="HE90"/>
  <c r="HD90"/>
  <c r="HC90"/>
  <c r="HB90"/>
  <c r="HA90"/>
  <c r="GZ90"/>
  <c r="GY90"/>
  <c r="GX90"/>
  <c r="GW90"/>
  <c r="GV90"/>
  <c r="GU90"/>
  <c r="GT90"/>
  <c r="GS90"/>
  <c r="GR90"/>
  <c r="GQ90"/>
  <c r="GP90"/>
  <c r="GO90"/>
  <c r="GN90"/>
  <c r="GM90"/>
  <c r="GL90"/>
  <c r="GK90"/>
  <c r="GJ90"/>
  <c r="GI90"/>
  <c r="GH90"/>
  <c r="GG90"/>
  <c r="GF90"/>
  <c r="GE90"/>
  <c r="GD90"/>
  <c r="GC90"/>
  <c r="GB90"/>
  <c r="GA90"/>
  <c r="FZ90"/>
  <c r="FY90"/>
  <c r="FX90"/>
  <c r="FW90"/>
  <c r="FV90"/>
  <c r="FU90"/>
  <c r="FT90"/>
  <c r="FS90"/>
  <c r="FR90"/>
  <c r="FQ90"/>
  <c r="FP90"/>
  <c r="FO90"/>
  <c r="FN90"/>
  <c r="FM90"/>
  <c r="FL90"/>
  <c r="FK90"/>
  <c r="FJ90"/>
  <c r="FI90"/>
  <c r="FH90"/>
  <c r="FG90"/>
  <c r="FF90"/>
  <c r="FE90"/>
  <c r="FD90"/>
  <c r="FC90"/>
  <c r="FB90"/>
  <c r="FA90"/>
  <c r="EZ90"/>
  <c r="EY90"/>
  <c r="EX90"/>
  <c r="EW90"/>
  <c r="EV90"/>
  <c r="EU90"/>
  <c r="ET90"/>
  <c r="ES90"/>
  <c r="ER90"/>
  <c r="EQ90"/>
  <c r="EP90"/>
  <c r="EO90"/>
  <c r="EN90"/>
  <c r="EM90"/>
  <c r="EL90"/>
  <c r="EK90"/>
  <c r="EJ90"/>
  <c r="EI90"/>
  <c r="EH90"/>
  <c r="EG90"/>
  <c r="EF90"/>
  <c r="EE90"/>
  <c r="ED90"/>
  <c r="EC90"/>
  <c r="EB90"/>
  <c r="EA90"/>
  <c r="DZ90"/>
  <c r="DY90"/>
  <c r="DX90"/>
  <c r="DW90"/>
  <c r="DV90"/>
  <c r="DU90"/>
  <c r="DT90"/>
  <c r="DS90"/>
  <c r="DR90"/>
  <c r="DQ90"/>
  <c r="DP90"/>
  <c r="DO90"/>
  <c r="DN90"/>
  <c r="DM90"/>
  <c r="DL90"/>
  <c r="DK90"/>
  <c r="DJ90"/>
  <c r="DI90"/>
  <c r="DH90"/>
  <c r="DG90"/>
  <c r="DF90"/>
  <c r="DE90"/>
  <c r="DD90"/>
  <c r="DC90"/>
  <c r="DB90"/>
  <c r="DA90"/>
  <c r="CZ90"/>
  <c r="CY90"/>
  <c r="CX90"/>
  <c r="CW90"/>
  <c r="CV90"/>
  <c r="CU90"/>
  <c r="CT90"/>
  <c r="CS90"/>
  <c r="CR90"/>
  <c r="CQ90"/>
  <c r="CP90"/>
  <c r="CO90"/>
  <c r="CN90"/>
  <c r="CM90"/>
  <c r="CL90"/>
  <c r="CK90"/>
  <c r="CJ90"/>
  <c r="CI90"/>
  <c r="CH90"/>
  <c r="CG90"/>
  <c r="CF90"/>
  <c r="CE90"/>
  <c r="CD90"/>
  <c r="CC90"/>
  <c r="CB90"/>
  <c r="CA90"/>
  <c r="BZ90"/>
  <c r="BY90"/>
  <c r="BX90"/>
  <c r="BW90"/>
  <c r="BV90"/>
  <c r="BU90"/>
  <c r="BT90"/>
  <c r="BS90"/>
  <c r="BR90"/>
  <c r="BQ90"/>
  <c r="BP90"/>
  <c r="BO90"/>
  <c r="BN90"/>
  <c r="BM90"/>
  <c r="BL90"/>
  <c r="BK90"/>
  <c r="BJ90"/>
  <c r="BI90"/>
  <c r="BH90"/>
  <c r="BG90"/>
  <c r="BF90"/>
  <c r="BE90"/>
  <c r="BD90"/>
  <c r="BC90"/>
  <c r="BB90"/>
  <c r="BA90"/>
  <c r="AZ90"/>
  <c r="AY90"/>
  <c r="AX90"/>
  <c r="AW90"/>
  <c r="AV90"/>
  <c r="AU90"/>
  <c r="AT90"/>
  <c r="AS90"/>
  <c r="AR90"/>
  <c r="AQ90"/>
  <c r="AP90"/>
  <c r="AO90"/>
  <c r="AN90"/>
  <c r="AM90"/>
  <c r="AL90"/>
  <c r="AK90"/>
  <c r="AJ90"/>
  <c r="AI90"/>
  <c r="AH90"/>
  <c r="AG90"/>
  <c r="AF90"/>
  <c r="AE90"/>
  <c r="AD90"/>
  <c r="AC90"/>
  <c r="AB90"/>
  <c r="AA90"/>
  <c r="Z90"/>
  <c r="Y90"/>
  <c r="X90"/>
  <c r="W90"/>
  <c r="V90"/>
  <c r="U90"/>
  <c r="T90"/>
  <c r="S90"/>
  <c r="R90"/>
  <c r="Q90"/>
  <c r="P90"/>
  <c r="O90"/>
  <c r="N90"/>
  <c r="M90"/>
  <c r="L90"/>
  <c r="K90"/>
  <c r="J90"/>
  <c r="I90"/>
  <c r="H90"/>
  <c r="G90"/>
  <c r="F90"/>
  <c r="E90"/>
  <c r="D90"/>
  <c r="C90"/>
  <c r="B90"/>
  <c r="A90"/>
  <c r="IV89"/>
  <c r="IU89"/>
  <c r="IT89"/>
  <c r="IS89"/>
  <c r="IR89"/>
  <c r="IQ89"/>
  <c r="IP89"/>
  <c r="IO89"/>
  <c r="IN89"/>
  <c r="IM89"/>
  <c r="IL89"/>
  <c r="IK89"/>
  <c r="IJ89"/>
  <c r="II89"/>
  <c r="IH89"/>
  <c r="IG89"/>
  <c r="IF89"/>
  <c r="IE89"/>
  <c r="ID89"/>
  <c r="IC89"/>
  <c r="IB89"/>
  <c r="IA89"/>
  <c r="HZ89"/>
  <c r="HY89"/>
  <c r="HX89"/>
  <c r="HW89"/>
  <c r="HV89"/>
  <c r="HU89"/>
  <c r="HT89"/>
  <c r="HS89"/>
  <c r="HR89"/>
  <c r="HQ89"/>
  <c r="HP89"/>
  <c r="HO89"/>
  <c r="HN89"/>
  <c r="HM89"/>
  <c r="HL89"/>
  <c r="HK89"/>
  <c r="HJ89"/>
  <c r="HI89"/>
  <c r="HH89"/>
  <c r="HG89"/>
  <c r="HF89"/>
  <c r="HE89"/>
  <c r="HD89"/>
  <c r="HC89"/>
  <c r="HB89"/>
  <c r="HA89"/>
  <c r="GZ89"/>
  <c r="GY89"/>
  <c r="GX89"/>
  <c r="GW89"/>
  <c r="GV89"/>
  <c r="GU89"/>
  <c r="GT89"/>
  <c r="GS89"/>
  <c r="GR89"/>
  <c r="GQ89"/>
  <c r="GP89"/>
  <c r="GO89"/>
  <c r="GN89"/>
  <c r="GM89"/>
  <c r="GL89"/>
  <c r="GK89"/>
  <c r="GJ89"/>
  <c r="GI89"/>
  <c r="GH89"/>
  <c r="GG89"/>
  <c r="GF89"/>
  <c r="GE89"/>
  <c r="GD89"/>
  <c r="GC89"/>
  <c r="GB89"/>
  <c r="GA89"/>
  <c r="FZ89"/>
  <c r="FY89"/>
  <c r="FX89"/>
  <c r="FW89"/>
  <c r="FV89"/>
  <c r="FU89"/>
  <c r="FT89"/>
  <c r="FS89"/>
  <c r="FR89"/>
  <c r="FQ89"/>
  <c r="FP89"/>
  <c r="FO89"/>
  <c r="FN89"/>
  <c r="FM89"/>
  <c r="FL89"/>
  <c r="FK89"/>
  <c r="FJ89"/>
  <c r="FI89"/>
  <c r="FH89"/>
  <c r="FG89"/>
  <c r="FF89"/>
  <c r="FE89"/>
  <c r="FD89"/>
  <c r="FC89"/>
  <c r="FB89"/>
  <c r="FA89"/>
  <c r="EZ89"/>
  <c r="EY89"/>
  <c r="EX89"/>
  <c r="EW89"/>
  <c r="EV89"/>
  <c r="EU89"/>
  <c r="ET89"/>
  <c r="ES89"/>
  <c r="ER89"/>
  <c r="EQ89"/>
  <c r="EP89"/>
  <c r="EO89"/>
  <c r="EN89"/>
  <c r="EM89"/>
  <c r="EL89"/>
  <c r="EK89"/>
  <c r="EJ89"/>
  <c r="EI89"/>
  <c r="EH89"/>
  <c r="EG89"/>
  <c r="EF89"/>
  <c r="EE89"/>
  <c r="ED89"/>
  <c r="EC89"/>
  <c r="EB89"/>
  <c r="EA89"/>
  <c r="DZ89"/>
  <c r="DY89"/>
  <c r="DX89"/>
  <c r="DW89"/>
  <c r="DV89"/>
  <c r="DU89"/>
  <c r="DT89"/>
  <c r="DS89"/>
  <c r="DR89"/>
  <c r="DQ89"/>
  <c r="DP89"/>
  <c r="DO89"/>
  <c r="DN89"/>
  <c r="DM89"/>
  <c r="DL89"/>
  <c r="DK89"/>
  <c r="DJ89"/>
  <c r="DI89"/>
  <c r="DH89"/>
  <c r="DG89"/>
  <c r="DF89"/>
  <c r="DE89"/>
  <c r="DD89"/>
  <c r="DC89"/>
  <c r="DB89"/>
  <c r="DA89"/>
  <c r="CZ89"/>
  <c r="CY89"/>
  <c r="CX89"/>
  <c r="CW89"/>
  <c r="CV89"/>
  <c r="CU89"/>
  <c r="CT89"/>
  <c r="CS89"/>
  <c r="CR89"/>
  <c r="CQ89"/>
  <c r="CP89"/>
  <c r="CO89"/>
  <c r="CN89"/>
  <c r="CM89"/>
  <c r="CL89"/>
  <c r="CK89"/>
  <c r="CJ89"/>
  <c r="CI89"/>
  <c r="CH89"/>
  <c r="CG89"/>
  <c r="CF89"/>
  <c r="CE89"/>
  <c r="CD89"/>
  <c r="CC89"/>
  <c r="CB89"/>
  <c r="CA89"/>
  <c r="BZ89"/>
  <c r="BY89"/>
  <c r="BX89"/>
  <c r="BW89"/>
  <c r="BV89"/>
  <c r="BU89"/>
  <c r="BT89"/>
  <c r="BS89"/>
  <c r="BR89"/>
  <c r="BQ89"/>
  <c r="BP89"/>
  <c r="BO89"/>
  <c r="BN89"/>
  <c r="BM89"/>
  <c r="BL89"/>
  <c r="BK89"/>
  <c r="BJ89"/>
  <c r="BI89"/>
  <c r="BH89"/>
  <c r="BG89"/>
  <c r="BF89"/>
  <c r="BE89"/>
  <c r="BD89"/>
  <c r="BC89"/>
  <c r="BB89"/>
  <c r="BA89"/>
  <c r="AZ89"/>
  <c r="AY89"/>
  <c r="AX89"/>
  <c r="AW89"/>
  <c r="AV89"/>
  <c r="AU89"/>
  <c r="AT89"/>
  <c r="AS89"/>
  <c r="AR89"/>
  <c r="AQ89"/>
  <c r="AP89"/>
  <c r="AO89"/>
  <c r="AN89"/>
  <c r="AM89"/>
  <c r="AL89"/>
  <c r="AK89"/>
  <c r="AJ89"/>
  <c r="AI89"/>
  <c r="AH89"/>
  <c r="AG89"/>
  <c r="AF89"/>
  <c r="AE89"/>
  <c r="AD89"/>
  <c r="AC89"/>
  <c r="AB89"/>
  <c r="AA89"/>
  <c r="Z89"/>
  <c r="Y89"/>
  <c r="X89"/>
  <c r="W89"/>
  <c r="V89"/>
  <c r="U89"/>
  <c r="T89"/>
  <c r="S89"/>
  <c r="R89"/>
  <c r="Q89"/>
  <c r="P89"/>
  <c r="O89"/>
  <c r="N89"/>
  <c r="M89"/>
  <c r="L89"/>
  <c r="K89"/>
  <c r="J89"/>
  <c r="I89"/>
  <c r="H89"/>
  <c r="G89"/>
  <c r="F89"/>
  <c r="E89"/>
  <c r="D89"/>
  <c r="C89"/>
  <c r="B89"/>
  <c r="A89"/>
  <c r="IV88"/>
  <c r="IU88"/>
  <c r="IT88"/>
  <c r="IS88"/>
  <c r="IR88"/>
  <c r="IQ88"/>
  <c r="IP88"/>
  <c r="IO88"/>
  <c r="IN88"/>
  <c r="IM88"/>
  <c r="IL88"/>
  <c r="IK88"/>
  <c r="IJ88"/>
  <c r="II88"/>
  <c r="IH88"/>
  <c r="IG88"/>
  <c r="IF88"/>
  <c r="IE88"/>
  <c r="ID88"/>
  <c r="IC88"/>
  <c r="IB88"/>
  <c r="IA88"/>
  <c r="HZ88"/>
  <c r="HY88"/>
  <c r="HX88"/>
  <c r="HW88"/>
  <c r="HV88"/>
  <c r="HU88"/>
  <c r="HT88"/>
  <c r="HS88"/>
  <c r="HR88"/>
  <c r="HQ88"/>
  <c r="HP88"/>
  <c r="HO88"/>
  <c r="HN88"/>
  <c r="HM88"/>
  <c r="HL88"/>
  <c r="HK88"/>
  <c r="HJ88"/>
  <c r="HI88"/>
  <c r="HH88"/>
  <c r="HG88"/>
  <c r="HF88"/>
  <c r="HE88"/>
  <c r="HD88"/>
  <c r="HC88"/>
  <c r="HB88"/>
  <c r="HA88"/>
  <c r="GZ88"/>
  <c r="GY88"/>
  <c r="GX88"/>
  <c r="GW88"/>
  <c r="GV88"/>
  <c r="GU88"/>
  <c r="GT88"/>
  <c r="GS88"/>
  <c r="GR88"/>
  <c r="GQ88"/>
  <c r="GP88"/>
  <c r="GO88"/>
  <c r="GN88"/>
  <c r="GM88"/>
  <c r="GL88"/>
  <c r="GK88"/>
  <c r="GJ88"/>
  <c r="GI88"/>
  <c r="GH88"/>
  <c r="GG88"/>
  <c r="GF88"/>
  <c r="GE88"/>
  <c r="GD88"/>
  <c r="GC88"/>
  <c r="GB88"/>
  <c r="GA88"/>
  <c r="FZ88"/>
  <c r="FY88"/>
  <c r="FX88"/>
  <c r="FW88"/>
  <c r="FV88"/>
  <c r="FU88"/>
  <c r="FT88"/>
  <c r="FS88"/>
  <c r="FR88"/>
  <c r="FQ88"/>
  <c r="FP88"/>
  <c r="FO88"/>
  <c r="FN88"/>
  <c r="FM88"/>
  <c r="FL88"/>
  <c r="FK88"/>
  <c r="FJ88"/>
  <c r="FI88"/>
  <c r="FH88"/>
  <c r="FG88"/>
  <c r="FF88"/>
  <c r="FE88"/>
  <c r="FD88"/>
  <c r="FC88"/>
  <c r="FB88"/>
  <c r="FA88"/>
  <c r="EZ88"/>
  <c r="EY88"/>
  <c r="EX88"/>
  <c r="EW88"/>
  <c r="EV88"/>
  <c r="EU88"/>
  <c r="ET88"/>
  <c r="ES88"/>
  <c r="ER88"/>
  <c r="EQ88"/>
  <c r="EP88"/>
  <c r="EO88"/>
  <c r="EN88"/>
  <c r="EM88"/>
  <c r="EL88"/>
  <c r="EK88"/>
  <c r="EJ88"/>
  <c r="EI88"/>
  <c r="EH88"/>
  <c r="EG88"/>
  <c r="EF88"/>
  <c r="EE88"/>
  <c r="ED88"/>
  <c r="EC88"/>
  <c r="EB88"/>
  <c r="EA88"/>
  <c r="DZ88"/>
  <c r="DY88"/>
  <c r="DX88"/>
  <c r="DW88"/>
  <c r="DV88"/>
  <c r="DU88"/>
  <c r="DT88"/>
  <c r="DS88"/>
  <c r="DR88"/>
  <c r="DQ88"/>
  <c r="DP88"/>
  <c r="DO88"/>
  <c r="DN88"/>
  <c r="DM88"/>
  <c r="DL88"/>
  <c r="DK88"/>
  <c r="DJ88"/>
  <c r="DI88"/>
  <c r="DH88"/>
  <c r="DG88"/>
  <c r="DF88"/>
  <c r="DE88"/>
  <c r="DD88"/>
  <c r="DC88"/>
  <c r="DB88"/>
  <c r="DA88"/>
  <c r="CZ88"/>
  <c r="CY88"/>
  <c r="CX88"/>
  <c r="CW88"/>
  <c r="CV88"/>
  <c r="CU88"/>
  <c r="CT88"/>
  <c r="CS88"/>
  <c r="CR88"/>
  <c r="CQ88"/>
  <c r="CP88"/>
  <c r="CO88"/>
  <c r="CN88"/>
  <c r="CM88"/>
  <c r="CL88"/>
  <c r="CK88"/>
  <c r="CJ88"/>
  <c r="CI88"/>
  <c r="CH88"/>
  <c r="CG88"/>
  <c r="CF88"/>
  <c r="CE88"/>
  <c r="CD88"/>
  <c r="CC88"/>
  <c r="CB88"/>
  <c r="CA88"/>
  <c r="BZ88"/>
  <c r="BY88"/>
  <c r="BX88"/>
  <c r="BW88"/>
  <c r="BV88"/>
  <c r="BU88"/>
  <c r="BT88"/>
  <c r="BS88"/>
  <c r="BR88"/>
  <c r="BQ88"/>
  <c r="BP88"/>
  <c r="BO88"/>
  <c r="BN88"/>
  <c r="BM88"/>
  <c r="BL88"/>
  <c r="BK88"/>
  <c r="BJ88"/>
  <c r="BI88"/>
  <c r="BH88"/>
  <c r="BG88"/>
  <c r="BF88"/>
  <c r="BE88"/>
  <c r="BD88"/>
  <c r="BC88"/>
  <c r="BB88"/>
  <c r="BA88"/>
  <c r="AZ88"/>
  <c r="AY88"/>
  <c r="AX88"/>
  <c r="AW88"/>
  <c r="AV88"/>
  <c r="AU88"/>
  <c r="AT88"/>
  <c r="AS88"/>
  <c r="AR88"/>
  <c r="AQ88"/>
  <c r="AP88"/>
  <c r="AO88"/>
  <c r="AN88"/>
  <c r="AM88"/>
  <c r="AL88"/>
  <c r="AK88"/>
  <c r="AJ88"/>
  <c r="AI88"/>
  <c r="AH88"/>
  <c r="AG88"/>
  <c r="AF88"/>
  <c r="AE88"/>
  <c r="AD88"/>
  <c r="AC88"/>
  <c r="AB88"/>
  <c r="AA88"/>
  <c r="Z88"/>
  <c r="Y88"/>
  <c r="X88"/>
  <c r="W88"/>
  <c r="V88"/>
  <c r="U88"/>
  <c r="T88"/>
  <c r="S88"/>
  <c r="R88"/>
  <c r="Q88"/>
  <c r="P88"/>
  <c r="O88"/>
  <c r="N88"/>
  <c r="M88"/>
  <c r="L88"/>
  <c r="K88"/>
  <c r="J88"/>
  <c r="I88"/>
  <c r="H88"/>
  <c r="G88"/>
  <c r="F88"/>
  <c r="E88"/>
  <c r="D88"/>
  <c r="C88"/>
  <c r="B88"/>
  <c r="A88"/>
  <c r="IV87"/>
  <c r="IU87"/>
  <c r="IT87"/>
  <c r="IS87"/>
  <c r="IR87"/>
  <c r="IQ87"/>
  <c r="IP87"/>
  <c r="IO87"/>
  <c r="IN87"/>
  <c r="IM87"/>
  <c r="IL87"/>
  <c r="IK87"/>
  <c r="IJ87"/>
  <c r="II87"/>
  <c r="IH87"/>
  <c r="IG87"/>
  <c r="IF87"/>
  <c r="IE87"/>
  <c r="ID87"/>
  <c r="IC87"/>
  <c r="IB87"/>
  <c r="IA87"/>
  <c r="HZ87"/>
  <c r="HY87"/>
  <c r="HX87"/>
  <c r="HW87"/>
  <c r="HV87"/>
  <c r="HU87"/>
  <c r="HT87"/>
  <c r="HS87"/>
  <c r="HR87"/>
  <c r="HQ87"/>
  <c r="HP87"/>
  <c r="HO87"/>
  <c r="HN87"/>
  <c r="HM87"/>
  <c r="HL87"/>
  <c r="HK87"/>
  <c r="HJ87"/>
  <c r="HI87"/>
  <c r="HH87"/>
  <c r="HG87"/>
  <c r="HF87"/>
  <c r="HE87"/>
  <c r="HD87"/>
  <c r="HC87"/>
  <c r="HB87"/>
  <c r="HA87"/>
  <c r="GZ87"/>
  <c r="GY87"/>
  <c r="GX87"/>
  <c r="GW87"/>
  <c r="GV87"/>
  <c r="GU87"/>
  <c r="GT87"/>
  <c r="GS87"/>
  <c r="GR87"/>
  <c r="GQ87"/>
  <c r="GP87"/>
  <c r="GO87"/>
  <c r="GN87"/>
  <c r="GM87"/>
  <c r="GL87"/>
  <c r="GK87"/>
  <c r="GJ87"/>
  <c r="GI87"/>
  <c r="GH87"/>
  <c r="GG87"/>
  <c r="GF87"/>
  <c r="GE87"/>
  <c r="GD87"/>
  <c r="GC87"/>
  <c r="GB87"/>
  <c r="GA87"/>
  <c r="FZ87"/>
  <c r="FY87"/>
  <c r="FX87"/>
  <c r="FW87"/>
  <c r="FV87"/>
  <c r="FU87"/>
  <c r="FT87"/>
  <c r="FS87"/>
  <c r="FR87"/>
  <c r="FQ87"/>
  <c r="FP87"/>
  <c r="FO87"/>
  <c r="FN87"/>
  <c r="FM87"/>
  <c r="FL87"/>
  <c r="FK87"/>
  <c r="FJ87"/>
  <c r="FI87"/>
  <c r="FH87"/>
  <c r="FG87"/>
  <c r="FF87"/>
  <c r="FE87"/>
  <c r="FD87"/>
  <c r="FC87"/>
  <c r="FB87"/>
  <c r="FA87"/>
  <c r="EZ87"/>
  <c r="EY87"/>
  <c r="EX87"/>
  <c r="EW87"/>
  <c r="EV87"/>
  <c r="EU87"/>
  <c r="ET87"/>
  <c r="ES87"/>
  <c r="ER87"/>
  <c r="EQ87"/>
  <c r="EP87"/>
  <c r="EO87"/>
  <c r="EN87"/>
  <c r="EM87"/>
  <c r="EL87"/>
  <c r="EK87"/>
  <c r="EJ87"/>
  <c r="EI87"/>
  <c r="EH87"/>
  <c r="EG87"/>
  <c r="EF87"/>
  <c r="EE87"/>
  <c r="ED87"/>
  <c r="EC87"/>
  <c r="EB87"/>
  <c r="EA87"/>
  <c r="DZ87"/>
  <c r="DY87"/>
  <c r="DX87"/>
  <c r="DW87"/>
  <c r="DV87"/>
  <c r="DU87"/>
  <c r="DT87"/>
  <c r="DS87"/>
  <c r="DR87"/>
  <c r="DQ87"/>
  <c r="DP87"/>
  <c r="DO87"/>
  <c r="DN87"/>
  <c r="DM87"/>
  <c r="DL87"/>
  <c r="DK87"/>
  <c r="DJ87"/>
  <c r="DI87"/>
  <c r="DH87"/>
  <c r="DG87"/>
  <c r="DF87"/>
  <c r="DE87"/>
  <c r="DD87"/>
  <c r="DC87"/>
  <c r="DB87"/>
  <c r="DA87"/>
  <c r="CZ87"/>
  <c r="CY87"/>
  <c r="CX87"/>
  <c r="CW87"/>
  <c r="CV87"/>
  <c r="CU87"/>
  <c r="CT87"/>
  <c r="CS87"/>
  <c r="CR87"/>
  <c r="CQ87"/>
  <c r="CP87"/>
  <c r="CO87"/>
  <c r="CN87"/>
  <c r="CM87"/>
  <c r="CL87"/>
  <c r="CK87"/>
  <c r="CJ87"/>
  <c r="CI87"/>
  <c r="CH87"/>
  <c r="CG87"/>
  <c r="CF87"/>
  <c r="CE87"/>
  <c r="CD87"/>
  <c r="CC87"/>
  <c r="CB87"/>
  <c r="CA87"/>
  <c r="BZ87"/>
  <c r="BY87"/>
  <c r="BX87"/>
  <c r="BW87"/>
  <c r="BV87"/>
  <c r="BU87"/>
  <c r="BT87"/>
  <c r="BS87"/>
  <c r="BR87"/>
  <c r="BQ87"/>
  <c r="BP87"/>
  <c r="BO87"/>
  <c r="BN87"/>
  <c r="BM87"/>
  <c r="BL87"/>
  <c r="BK87"/>
  <c r="BJ87"/>
  <c r="BI87"/>
  <c r="BH87"/>
  <c r="BG87"/>
  <c r="BF87"/>
  <c r="BE87"/>
  <c r="BD87"/>
  <c r="BC87"/>
  <c r="BB87"/>
  <c r="BA87"/>
  <c r="AZ87"/>
  <c r="AY87"/>
  <c r="AX87"/>
  <c r="AW87"/>
  <c r="AV87"/>
  <c r="AU87"/>
  <c r="AT87"/>
  <c r="AS87"/>
  <c r="AR87"/>
  <c r="AQ87"/>
  <c r="AP87"/>
  <c r="AO87"/>
  <c r="AN87"/>
  <c r="AM87"/>
  <c r="AL87"/>
  <c r="AK87"/>
  <c r="AJ87"/>
  <c r="AI87"/>
  <c r="AH87"/>
  <c r="AG87"/>
  <c r="AF87"/>
  <c r="AE87"/>
  <c r="AD87"/>
  <c r="AC87"/>
  <c r="AB87"/>
  <c r="AA87"/>
  <c r="Z87"/>
  <c r="Y87"/>
  <c r="X87"/>
  <c r="W87"/>
  <c r="V87"/>
  <c r="U87"/>
  <c r="T87"/>
  <c r="S87"/>
  <c r="R87"/>
  <c r="Q87"/>
  <c r="P87"/>
  <c r="O87"/>
  <c r="N87"/>
  <c r="M87"/>
  <c r="L87"/>
  <c r="K87"/>
  <c r="J87"/>
  <c r="I87"/>
  <c r="H87"/>
  <c r="G87"/>
  <c r="F87"/>
  <c r="E87"/>
  <c r="D87"/>
  <c r="C87"/>
  <c r="B87"/>
  <c r="A87"/>
  <c r="IV86"/>
  <c r="IU86"/>
  <c r="IT86"/>
  <c r="IS86"/>
  <c r="IR86"/>
  <c r="IQ86"/>
  <c r="IP86"/>
  <c r="IO86"/>
  <c r="IN86"/>
  <c r="IM86"/>
  <c r="IL86"/>
  <c r="IK86"/>
  <c r="IJ86"/>
  <c r="II86"/>
  <c r="IH86"/>
  <c r="IG86"/>
  <c r="IF86"/>
  <c r="IE86"/>
  <c r="ID86"/>
  <c r="IC86"/>
  <c r="IB86"/>
  <c r="IA86"/>
  <c r="HZ86"/>
  <c r="HY86"/>
  <c r="HX86"/>
  <c r="HW86"/>
  <c r="HV86"/>
  <c r="HU86"/>
  <c r="HT86"/>
  <c r="HS86"/>
  <c r="HR86"/>
  <c r="HQ86"/>
  <c r="HP86"/>
  <c r="HO86"/>
  <c r="HN86"/>
  <c r="HM86"/>
  <c r="HL86"/>
  <c r="HK86"/>
  <c r="HJ86"/>
  <c r="HI86"/>
  <c r="HH86"/>
  <c r="HG86"/>
  <c r="HF86"/>
  <c r="HE86"/>
  <c r="HD86"/>
  <c r="HC86"/>
  <c r="HB86"/>
  <c r="HA86"/>
  <c r="GZ86"/>
  <c r="GY86"/>
  <c r="GX86"/>
  <c r="GW86"/>
  <c r="GV86"/>
  <c r="GU86"/>
  <c r="GT86"/>
  <c r="GS86"/>
  <c r="GR86"/>
  <c r="GQ86"/>
  <c r="GP86"/>
  <c r="GO86"/>
  <c r="GN86"/>
  <c r="GM86"/>
  <c r="GL86"/>
  <c r="GK86"/>
  <c r="GJ86"/>
  <c r="GI86"/>
  <c r="GH86"/>
  <c r="GG86"/>
  <c r="GF86"/>
  <c r="GE86"/>
  <c r="GD86"/>
  <c r="GC86"/>
  <c r="GB86"/>
  <c r="GA86"/>
  <c r="FZ86"/>
  <c r="FY86"/>
  <c r="FX86"/>
  <c r="FW86"/>
  <c r="FV86"/>
  <c r="FU86"/>
  <c r="FT86"/>
  <c r="FS86"/>
  <c r="FR86"/>
  <c r="FQ86"/>
  <c r="FP86"/>
  <c r="FO86"/>
  <c r="FN86"/>
  <c r="FM86"/>
  <c r="FL86"/>
  <c r="FK86"/>
  <c r="FJ86"/>
  <c r="FI86"/>
  <c r="FH86"/>
  <c r="FG86"/>
  <c r="FF86"/>
  <c r="FE86"/>
  <c r="FD86"/>
  <c r="FC86"/>
  <c r="FB86"/>
  <c r="FA86"/>
  <c r="EZ86"/>
  <c r="EY86"/>
  <c r="EX86"/>
  <c r="EW86"/>
  <c r="EV86"/>
  <c r="EU86"/>
  <c r="ET86"/>
  <c r="ES86"/>
  <c r="ER86"/>
  <c r="EQ86"/>
  <c r="EP86"/>
  <c r="EO86"/>
  <c r="EN86"/>
  <c r="EM86"/>
  <c r="EL86"/>
  <c r="EK86"/>
  <c r="EJ86"/>
  <c r="EI86"/>
  <c r="EH86"/>
  <c r="EG86"/>
  <c r="EF86"/>
  <c r="EE86"/>
  <c r="ED86"/>
  <c r="EC86"/>
  <c r="EB86"/>
  <c r="EA86"/>
  <c r="DZ86"/>
  <c r="DY86"/>
  <c r="DX86"/>
  <c r="DW86"/>
  <c r="DV86"/>
  <c r="DU86"/>
  <c r="DT86"/>
  <c r="DS86"/>
  <c r="DR86"/>
  <c r="DQ86"/>
  <c r="DP86"/>
  <c r="DO86"/>
  <c r="DN86"/>
  <c r="DM86"/>
  <c r="DL86"/>
  <c r="DK86"/>
  <c r="DJ86"/>
  <c r="DI86"/>
  <c r="DH86"/>
  <c r="DG86"/>
  <c r="DF86"/>
  <c r="DE86"/>
  <c r="DD86"/>
  <c r="DC86"/>
  <c r="DB86"/>
  <c r="DA86"/>
  <c r="CZ86"/>
  <c r="CY86"/>
  <c r="CX86"/>
  <c r="CW86"/>
  <c r="CV86"/>
  <c r="CU86"/>
  <c r="CT86"/>
  <c r="CS86"/>
  <c r="CR86"/>
  <c r="CQ86"/>
  <c r="CP86"/>
  <c r="CO86"/>
  <c r="CN86"/>
  <c r="CM86"/>
  <c r="CL86"/>
  <c r="CK86"/>
  <c r="CJ86"/>
  <c r="CI86"/>
  <c r="CH86"/>
  <c r="CG86"/>
  <c r="CF86"/>
  <c r="CE86"/>
  <c r="CD86"/>
  <c r="CC86"/>
  <c r="CB86"/>
  <c r="CA86"/>
  <c r="BZ86"/>
  <c r="BY86"/>
  <c r="BX86"/>
  <c r="BW86"/>
  <c r="BV86"/>
  <c r="BU86"/>
  <c r="BT86"/>
  <c r="BS86"/>
  <c r="BR86"/>
  <c r="BQ86"/>
  <c r="BP86"/>
  <c r="BO86"/>
  <c r="BN86"/>
  <c r="BM86"/>
  <c r="BL86"/>
  <c r="BK86"/>
  <c r="BJ86"/>
  <c r="BI86"/>
  <c r="BH86"/>
  <c r="BG86"/>
  <c r="BF86"/>
  <c r="BE86"/>
  <c r="BD86"/>
  <c r="BC86"/>
  <c r="BB86"/>
  <c r="BA86"/>
  <c r="AZ86"/>
  <c r="AY86"/>
  <c r="AX86"/>
  <c r="AW86"/>
  <c r="AV86"/>
  <c r="AU86"/>
  <c r="AT86"/>
  <c r="AS86"/>
  <c r="AR86"/>
  <c r="AQ86"/>
  <c r="AP86"/>
  <c r="AO86"/>
  <c r="AN86"/>
  <c r="AM86"/>
  <c r="AL86"/>
  <c r="AK86"/>
  <c r="AJ86"/>
  <c r="AI86"/>
  <c r="AH86"/>
  <c r="AG86"/>
  <c r="AF86"/>
  <c r="AE86"/>
  <c r="AD86"/>
  <c r="AC86"/>
  <c r="AB86"/>
  <c r="AA86"/>
  <c r="Z86"/>
  <c r="Y86"/>
  <c r="X86"/>
  <c r="W86"/>
  <c r="V86"/>
  <c r="U86"/>
  <c r="T86"/>
  <c r="S86"/>
  <c r="R86"/>
  <c r="Q86"/>
  <c r="P86"/>
  <c r="O86"/>
  <c r="N86"/>
  <c r="M86"/>
  <c r="L86"/>
  <c r="K86"/>
  <c r="J86"/>
  <c r="I86"/>
  <c r="H86"/>
  <c r="G86"/>
  <c r="F86"/>
  <c r="E86"/>
  <c r="D86"/>
  <c r="C86"/>
  <c r="B86"/>
  <c r="A86"/>
  <c r="IV85"/>
  <c r="IU85"/>
  <c r="IT85"/>
  <c r="IS85"/>
  <c r="IR85"/>
  <c r="IQ85"/>
  <c r="IP85"/>
  <c r="IO85"/>
  <c r="IN85"/>
  <c r="IM85"/>
  <c r="IL85"/>
  <c r="IK85"/>
  <c r="IJ85"/>
  <c r="II85"/>
  <c r="IH85"/>
  <c r="IG85"/>
  <c r="IF85"/>
  <c r="IE85"/>
  <c r="ID85"/>
  <c r="IC85"/>
  <c r="IB85"/>
  <c r="IA85"/>
  <c r="HZ85"/>
  <c r="HY85"/>
  <c r="HX85"/>
  <c r="HW85"/>
  <c r="HV85"/>
  <c r="HU85"/>
  <c r="HT85"/>
  <c r="HS85"/>
  <c r="HR85"/>
  <c r="HQ85"/>
  <c r="HP85"/>
  <c r="HO85"/>
  <c r="HN85"/>
  <c r="HM85"/>
  <c r="HL85"/>
  <c r="HK85"/>
  <c r="HJ85"/>
  <c r="HI85"/>
  <c r="HH85"/>
  <c r="HG85"/>
  <c r="HF85"/>
  <c r="HE85"/>
  <c r="HD85"/>
  <c r="HC85"/>
  <c r="HB85"/>
  <c r="HA85"/>
  <c r="GZ85"/>
  <c r="GY85"/>
  <c r="GX85"/>
  <c r="GW85"/>
  <c r="GV85"/>
  <c r="GU85"/>
  <c r="GT85"/>
  <c r="GS85"/>
  <c r="GR85"/>
  <c r="GQ85"/>
  <c r="GP85"/>
  <c r="GO85"/>
  <c r="GN85"/>
  <c r="GM85"/>
  <c r="GL85"/>
  <c r="GK85"/>
  <c r="GJ85"/>
  <c r="GI85"/>
  <c r="GH85"/>
  <c r="GG85"/>
  <c r="GF85"/>
  <c r="GE85"/>
  <c r="GD85"/>
  <c r="GC85"/>
  <c r="GB85"/>
  <c r="GA85"/>
  <c r="FZ85"/>
  <c r="FY85"/>
  <c r="FX85"/>
  <c r="FW85"/>
  <c r="FV85"/>
  <c r="FU85"/>
  <c r="FT85"/>
  <c r="FS85"/>
  <c r="FR85"/>
  <c r="FQ85"/>
  <c r="FP85"/>
  <c r="FO85"/>
  <c r="FN85"/>
  <c r="FM85"/>
  <c r="FL85"/>
  <c r="FK85"/>
  <c r="FJ85"/>
  <c r="FI85"/>
  <c r="FH85"/>
  <c r="FG85"/>
  <c r="FF85"/>
  <c r="FE85"/>
  <c r="FD85"/>
  <c r="FC85"/>
  <c r="FB85"/>
  <c r="FA85"/>
  <c r="EZ85"/>
  <c r="EY85"/>
  <c r="EX85"/>
  <c r="EW85"/>
  <c r="EV85"/>
  <c r="EU85"/>
  <c r="ET85"/>
  <c r="ES85"/>
  <c r="ER85"/>
  <c r="EQ85"/>
  <c r="EP85"/>
  <c r="EO85"/>
  <c r="EN85"/>
  <c r="EM85"/>
  <c r="EL85"/>
  <c r="EK85"/>
  <c r="EJ85"/>
  <c r="EI85"/>
  <c r="EH85"/>
  <c r="EG85"/>
  <c r="EF85"/>
  <c r="EE85"/>
  <c r="ED85"/>
  <c r="EC85"/>
  <c r="EB85"/>
  <c r="EA85"/>
  <c r="DZ85"/>
  <c r="DY85"/>
  <c r="DX85"/>
  <c r="DW85"/>
  <c r="DV85"/>
  <c r="DU85"/>
  <c r="DT85"/>
  <c r="DS85"/>
  <c r="DR85"/>
  <c r="DQ85"/>
  <c r="DP85"/>
  <c r="DO85"/>
  <c r="DN85"/>
  <c r="DM85"/>
  <c r="DL85"/>
  <c r="DK85"/>
  <c r="DJ85"/>
  <c r="DI85"/>
  <c r="DH85"/>
  <c r="DG85"/>
  <c r="DF85"/>
  <c r="DE85"/>
  <c r="DD85"/>
  <c r="DC85"/>
  <c r="DB85"/>
  <c r="DA85"/>
  <c r="CZ85"/>
  <c r="CY85"/>
  <c r="CX85"/>
  <c r="CW85"/>
  <c r="CV85"/>
  <c r="CU85"/>
  <c r="CT85"/>
  <c r="CS85"/>
  <c r="CR85"/>
  <c r="CQ85"/>
  <c r="CP85"/>
  <c r="CO85"/>
  <c r="CN85"/>
  <c r="CM85"/>
  <c r="CL85"/>
  <c r="CK85"/>
  <c r="CJ85"/>
  <c r="CI85"/>
  <c r="CH85"/>
  <c r="CG85"/>
  <c r="CF85"/>
  <c r="CE85"/>
  <c r="CD85"/>
  <c r="CC85"/>
  <c r="CB85"/>
  <c r="CA85"/>
  <c r="BZ85"/>
  <c r="BY85"/>
  <c r="BX85"/>
  <c r="BW85"/>
  <c r="BV85"/>
  <c r="BU85"/>
  <c r="BT85"/>
  <c r="BS85"/>
  <c r="BR85"/>
  <c r="BQ85"/>
  <c r="BP85"/>
  <c r="BO85"/>
  <c r="BN85"/>
  <c r="BM85"/>
  <c r="BL85"/>
  <c r="BK85"/>
  <c r="BJ85"/>
  <c r="BI85"/>
  <c r="BH85"/>
  <c r="BG85"/>
  <c r="BF85"/>
  <c r="BE85"/>
  <c r="BD85"/>
  <c r="BC85"/>
  <c r="BB85"/>
  <c r="BA85"/>
  <c r="AZ85"/>
  <c r="AY85"/>
  <c r="AX85"/>
  <c r="AW85"/>
  <c r="AV85"/>
  <c r="AU85"/>
  <c r="AT85"/>
  <c r="AS85"/>
  <c r="AR85"/>
  <c r="AQ85"/>
  <c r="AP85"/>
  <c r="AO85"/>
  <c r="AN85"/>
  <c r="AM85"/>
  <c r="AL85"/>
  <c r="AK85"/>
  <c r="AJ85"/>
  <c r="AI85"/>
  <c r="AH85"/>
  <c r="AG85"/>
  <c r="AF85"/>
  <c r="AE85"/>
  <c r="AD85"/>
  <c r="AC85"/>
  <c r="AB85"/>
  <c r="AA85"/>
  <c r="Z85"/>
  <c r="Y85"/>
  <c r="X85"/>
  <c r="W85"/>
  <c r="V85"/>
  <c r="U85"/>
  <c r="T85"/>
  <c r="S85"/>
  <c r="R85"/>
  <c r="Q85"/>
  <c r="P85"/>
  <c r="O85"/>
  <c r="N85"/>
  <c r="M85"/>
  <c r="L85"/>
  <c r="K85"/>
  <c r="J85"/>
  <c r="I85"/>
  <c r="H85"/>
  <c r="G85"/>
  <c r="F85"/>
  <c r="E85"/>
  <c r="D85"/>
  <c r="C85"/>
  <c r="B85"/>
  <c r="A85"/>
  <c r="IV84"/>
  <c r="IU84"/>
  <c r="IT84"/>
  <c r="IS84"/>
  <c r="IR84"/>
  <c r="IQ84"/>
  <c r="IP84"/>
  <c r="IO84"/>
  <c r="IN84"/>
  <c r="IM84"/>
  <c r="IL84"/>
  <c r="IK84"/>
  <c r="IJ84"/>
  <c r="II84"/>
  <c r="IH84"/>
  <c r="IG84"/>
  <c r="IF84"/>
  <c r="IE84"/>
  <c r="ID84"/>
  <c r="IC84"/>
  <c r="IB84"/>
  <c r="IA84"/>
  <c r="HZ84"/>
  <c r="HY84"/>
  <c r="HX84"/>
  <c r="HW84"/>
  <c r="HV84"/>
  <c r="HU84"/>
  <c r="HT84"/>
  <c r="HS84"/>
  <c r="HR84"/>
  <c r="HQ84"/>
  <c r="HP84"/>
  <c r="HO84"/>
  <c r="HN84"/>
  <c r="HM84"/>
  <c r="HL84"/>
  <c r="HK84"/>
  <c r="HJ84"/>
  <c r="HI84"/>
  <c r="HH84"/>
  <c r="HG84"/>
  <c r="HF84"/>
  <c r="HE84"/>
  <c r="HD84"/>
  <c r="HC84"/>
  <c r="HB84"/>
  <c r="HA84"/>
  <c r="GZ84"/>
  <c r="GY84"/>
  <c r="GX84"/>
  <c r="GW84"/>
  <c r="GV84"/>
  <c r="GU84"/>
  <c r="GT84"/>
  <c r="GS84"/>
  <c r="GR84"/>
  <c r="GQ84"/>
  <c r="GP84"/>
  <c r="GO84"/>
  <c r="GN84"/>
  <c r="GM84"/>
  <c r="GL84"/>
  <c r="GK84"/>
  <c r="GJ84"/>
  <c r="GI84"/>
  <c r="GH84"/>
  <c r="GG84"/>
  <c r="GF84"/>
  <c r="GE84"/>
  <c r="GD84"/>
  <c r="GC84"/>
  <c r="GB84"/>
  <c r="GA84"/>
  <c r="FZ84"/>
  <c r="FY84"/>
  <c r="FX84"/>
  <c r="FW84"/>
  <c r="FV84"/>
  <c r="FU84"/>
  <c r="FT84"/>
  <c r="FS84"/>
  <c r="FR84"/>
  <c r="FQ84"/>
  <c r="FP84"/>
  <c r="FO84"/>
  <c r="FN84"/>
  <c r="FM84"/>
  <c r="FL84"/>
  <c r="FK84"/>
  <c r="FJ84"/>
  <c r="FI84"/>
  <c r="FH84"/>
  <c r="FG84"/>
  <c r="FF84"/>
  <c r="FE84"/>
  <c r="FD84"/>
  <c r="FC84"/>
  <c r="FB84"/>
  <c r="FA84"/>
  <c r="EZ84"/>
  <c r="EY84"/>
  <c r="EX84"/>
  <c r="EW84"/>
  <c r="EV84"/>
  <c r="EU84"/>
  <c r="ET84"/>
  <c r="ES84"/>
  <c r="ER84"/>
  <c r="EQ84"/>
  <c r="EP84"/>
  <c r="EO84"/>
  <c r="EN84"/>
  <c r="EM84"/>
  <c r="EL84"/>
  <c r="EK84"/>
  <c r="EJ84"/>
  <c r="EI84"/>
  <c r="EH84"/>
  <c r="EG84"/>
  <c r="EF84"/>
  <c r="EE84"/>
  <c r="ED84"/>
  <c r="EC84"/>
  <c r="EB84"/>
  <c r="EA84"/>
  <c r="DZ84"/>
  <c r="DY84"/>
  <c r="DX84"/>
  <c r="DW84"/>
  <c r="DV84"/>
  <c r="DU84"/>
  <c r="DT84"/>
  <c r="DS84"/>
  <c r="DR84"/>
  <c r="DQ84"/>
  <c r="DP84"/>
  <c r="DO84"/>
  <c r="DN84"/>
  <c r="DM84"/>
  <c r="DL84"/>
  <c r="DK84"/>
  <c r="DJ84"/>
  <c r="DI84"/>
  <c r="DH84"/>
  <c r="DG84"/>
  <c r="DF84"/>
  <c r="DE84"/>
  <c r="DD84"/>
  <c r="DC84"/>
  <c r="DB84"/>
  <c r="DA84"/>
  <c r="CZ84"/>
  <c r="CY84"/>
  <c r="CX84"/>
  <c r="CW84"/>
  <c r="CV84"/>
  <c r="CU84"/>
  <c r="CT84"/>
  <c r="CS84"/>
  <c r="CR84"/>
  <c r="CQ84"/>
  <c r="CP84"/>
  <c r="CO84"/>
  <c r="CN84"/>
  <c r="CM84"/>
  <c r="CL84"/>
  <c r="CK84"/>
  <c r="CJ84"/>
  <c r="CI84"/>
  <c r="CH84"/>
  <c r="CG84"/>
  <c r="CF84"/>
  <c r="CE84"/>
  <c r="CD84"/>
  <c r="CC84"/>
  <c r="CB84"/>
  <c r="CA84"/>
  <c r="BZ84"/>
  <c r="BY84"/>
  <c r="BX84"/>
  <c r="BW84"/>
  <c r="BV84"/>
  <c r="BU84"/>
  <c r="BT84"/>
  <c r="BS84"/>
  <c r="BR84"/>
  <c r="BQ84"/>
  <c r="BP84"/>
  <c r="BO84"/>
  <c r="BN84"/>
  <c r="BM84"/>
  <c r="BL84"/>
  <c r="BK84"/>
  <c r="BJ84"/>
  <c r="BI84"/>
  <c r="BH84"/>
  <c r="BG84"/>
  <c r="BF84"/>
  <c r="BE84"/>
  <c r="BD84"/>
  <c r="BC84"/>
  <c r="BB84"/>
  <c r="BA84"/>
  <c r="AZ84"/>
  <c r="AY84"/>
  <c r="AX84"/>
  <c r="AW84"/>
  <c r="AV84"/>
  <c r="AU84"/>
  <c r="AT84"/>
  <c r="AS84"/>
  <c r="AR84"/>
  <c r="AQ84"/>
  <c r="AP84"/>
  <c r="AO84"/>
  <c r="AN84"/>
  <c r="AM84"/>
  <c r="AL84"/>
  <c r="AK84"/>
  <c r="AJ84"/>
  <c r="AI84"/>
  <c r="AH84"/>
  <c r="AG84"/>
  <c r="AF84"/>
  <c r="AE84"/>
  <c r="AD84"/>
  <c r="AC84"/>
  <c r="AB84"/>
  <c r="AA84"/>
  <c r="Z84"/>
  <c r="Y84"/>
  <c r="X84"/>
  <c r="W84"/>
  <c r="V84"/>
  <c r="U84"/>
  <c r="T84"/>
  <c r="S84"/>
  <c r="R84"/>
  <c r="Q84"/>
  <c r="P84"/>
  <c r="O84"/>
  <c r="N84"/>
  <c r="M84"/>
  <c r="L84"/>
  <c r="K84"/>
  <c r="J84"/>
  <c r="I84"/>
  <c r="H84"/>
  <c r="G84"/>
  <c r="F84"/>
  <c r="E84"/>
  <c r="D84"/>
  <c r="C84"/>
  <c r="B84"/>
  <c r="A84"/>
  <c r="IV83"/>
  <c r="IU83"/>
  <c r="IT83"/>
  <c r="IS83"/>
  <c r="IR83"/>
  <c r="IQ83"/>
  <c r="IP83"/>
  <c r="IO83"/>
  <c r="IN83"/>
  <c r="IM83"/>
  <c r="IL83"/>
  <c r="IK83"/>
  <c r="IJ83"/>
  <c r="II83"/>
  <c r="IH83"/>
  <c r="IG83"/>
  <c r="IF83"/>
  <c r="IE83"/>
  <c r="ID83"/>
  <c r="IC83"/>
  <c r="IB83"/>
  <c r="IA83"/>
  <c r="HZ83"/>
  <c r="HY83"/>
  <c r="HX83"/>
  <c r="HW83"/>
  <c r="HV83"/>
  <c r="HU83"/>
  <c r="HT83"/>
  <c r="HS83"/>
  <c r="HR83"/>
  <c r="HQ83"/>
  <c r="HP83"/>
  <c r="HO83"/>
  <c r="HN83"/>
  <c r="HM83"/>
  <c r="HL83"/>
  <c r="HK83"/>
  <c r="HJ83"/>
  <c r="HI83"/>
  <c r="HH83"/>
  <c r="HG83"/>
  <c r="HF83"/>
  <c r="HE83"/>
  <c r="HD83"/>
  <c r="HC83"/>
  <c r="HB83"/>
  <c r="HA83"/>
  <c r="GZ83"/>
  <c r="GY83"/>
  <c r="GX83"/>
  <c r="GW83"/>
  <c r="GV83"/>
  <c r="GU83"/>
  <c r="GT83"/>
  <c r="GS83"/>
  <c r="GR83"/>
  <c r="GQ83"/>
  <c r="GP83"/>
  <c r="GO83"/>
  <c r="GN83"/>
  <c r="GM83"/>
  <c r="GL83"/>
  <c r="GK83"/>
  <c r="GJ83"/>
  <c r="GI83"/>
  <c r="GH83"/>
  <c r="GG83"/>
  <c r="GF83"/>
  <c r="GE83"/>
  <c r="GD83"/>
  <c r="GC83"/>
  <c r="GB83"/>
  <c r="GA83"/>
  <c r="FZ83"/>
  <c r="FY83"/>
  <c r="FX83"/>
  <c r="FW83"/>
  <c r="FV83"/>
  <c r="FU83"/>
  <c r="FT83"/>
  <c r="FS83"/>
  <c r="FR83"/>
  <c r="FQ83"/>
  <c r="FP83"/>
  <c r="FO83"/>
  <c r="FN83"/>
  <c r="FM83"/>
  <c r="FL83"/>
  <c r="FK83"/>
  <c r="FJ83"/>
  <c r="FI83"/>
  <c r="FH83"/>
  <c r="FG83"/>
  <c r="FF83"/>
  <c r="FE83"/>
  <c r="FD83"/>
  <c r="FC83"/>
  <c r="FB83"/>
  <c r="FA83"/>
  <c r="EZ83"/>
  <c r="EY83"/>
  <c r="EX83"/>
  <c r="EW83"/>
  <c r="EV83"/>
  <c r="EU83"/>
  <c r="ET83"/>
  <c r="ES83"/>
  <c r="ER83"/>
  <c r="EQ83"/>
  <c r="EP83"/>
  <c r="EO83"/>
  <c r="EN83"/>
  <c r="EM83"/>
  <c r="EL83"/>
  <c r="EK83"/>
  <c r="EJ83"/>
  <c r="EI83"/>
  <c r="EH83"/>
  <c r="EG83"/>
  <c r="EF83"/>
  <c r="EE83"/>
  <c r="ED83"/>
  <c r="EC83"/>
  <c r="EB83"/>
  <c r="EA83"/>
  <c r="DZ83"/>
  <c r="DY83"/>
  <c r="DX83"/>
  <c r="DW83"/>
  <c r="DV83"/>
  <c r="DU83"/>
  <c r="DT83"/>
  <c r="DS83"/>
  <c r="DR83"/>
  <c r="DQ83"/>
  <c r="DP83"/>
  <c r="DO83"/>
  <c r="DN83"/>
  <c r="DM83"/>
  <c r="DL83"/>
  <c r="DK83"/>
  <c r="DJ83"/>
  <c r="DI83"/>
  <c r="DH83"/>
  <c r="DG83"/>
  <c r="DF83"/>
  <c r="DE83"/>
  <c r="DD83"/>
  <c r="DC83"/>
  <c r="DB83"/>
  <c r="DA83"/>
  <c r="CZ83"/>
  <c r="CY83"/>
  <c r="CX83"/>
  <c r="CW83"/>
  <c r="CV83"/>
  <c r="CU83"/>
  <c r="CT83"/>
  <c r="CS83"/>
  <c r="CR83"/>
  <c r="CQ83"/>
  <c r="CP83"/>
  <c r="CO83"/>
  <c r="CN83"/>
  <c r="CM83"/>
  <c r="CL83"/>
  <c r="CK83"/>
  <c r="CJ83"/>
  <c r="CI83"/>
  <c r="CH83"/>
  <c r="CG83"/>
  <c r="CF83"/>
  <c r="CE83"/>
  <c r="CD83"/>
  <c r="CC83"/>
  <c r="CB83"/>
  <c r="CA83"/>
  <c r="BZ83"/>
  <c r="BY83"/>
  <c r="BX83"/>
  <c r="BW83"/>
  <c r="BV83"/>
  <c r="BU83"/>
  <c r="BT83"/>
  <c r="BS83"/>
  <c r="BR83"/>
  <c r="BQ83"/>
  <c r="BP83"/>
  <c r="BO83"/>
  <c r="BN83"/>
  <c r="BM83"/>
  <c r="BL83"/>
  <c r="BK83"/>
  <c r="BJ83"/>
  <c r="BI83"/>
  <c r="BH83"/>
  <c r="BG83"/>
  <c r="BF83"/>
  <c r="BE83"/>
  <c r="BD83"/>
  <c r="BC83"/>
  <c r="BB83"/>
  <c r="BA83"/>
  <c r="AZ83"/>
  <c r="AY83"/>
  <c r="AX83"/>
  <c r="AW83"/>
  <c r="AV83"/>
  <c r="AU83"/>
  <c r="AT83"/>
  <c r="AS83"/>
  <c r="AR83"/>
  <c r="AQ83"/>
  <c r="AP83"/>
  <c r="AO83"/>
  <c r="AN83"/>
  <c r="AM83"/>
  <c r="AL83"/>
  <c r="AK83"/>
  <c r="AJ83"/>
  <c r="AI83"/>
  <c r="AH83"/>
  <c r="AG83"/>
  <c r="AF83"/>
  <c r="AE83"/>
  <c r="AD83"/>
  <c r="AC83"/>
  <c r="AB83"/>
  <c r="AA83"/>
  <c r="Z83"/>
  <c r="Y83"/>
  <c r="X83"/>
  <c r="W83"/>
  <c r="V83"/>
  <c r="U83"/>
  <c r="T83"/>
  <c r="S83"/>
  <c r="R83"/>
  <c r="Q83"/>
  <c r="P83"/>
  <c r="O83"/>
  <c r="N83"/>
  <c r="M83"/>
  <c r="L83"/>
  <c r="K83"/>
  <c r="J83"/>
  <c r="I83"/>
  <c r="H83"/>
  <c r="G83"/>
  <c r="F83"/>
  <c r="E83"/>
  <c r="D83"/>
  <c r="C83"/>
  <c r="B83"/>
  <c r="A83"/>
  <c r="IV82"/>
  <c r="IU82"/>
  <c r="IT82"/>
  <c r="IS82"/>
  <c r="IR82"/>
  <c r="IQ82"/>
  <c r="IP82"/>
  <c r="IO82"/>
  <c r="IN82"/>
  <c r="IM82"/>
  <c r="IL82"/>
  <c r="IK82"/>
  <c r="IJ82"/>
  <c r="II82"/>
  <c r="IH82"/>
  <c r="IG82"/>
  <c r="IF82"/>
  <c r="IE82"/>
  <c r="ID82"/>
  <c r="IC82"/>
  <c r="IB82"/>
  <c r="IA82"/>
  <c r="HZ82"/>
  <c r="HY82"/>
  <c r="HX82"/>
  <c r="HW82"/>
  <c r="HV82"/>
  <c r="HU82"/>
  <c r="HT82"/>
  <c r="HS82"/>
  <c r="HR82"/>
  <c r="HQ82"/>
  <c r="HP82"/>
  <c r="HO82"/>
  <c r="HN82"/>
  <c r="HM82"/>
  <c r="HL82"/>
  <c r="HK82"/>
  <c r="HJ82"/>
  <c r="HI82"/>
  <c r="HH82"/>
  <c r="HG82"/>
  <c r="HF82"/>
  <c r="HE82"/>
  <c r="HD82"/>
  <c r="HC82"/>
  <c r="HB82"/>
  <c r="HA82"/>
  <c r="GZ82"/>
  <c r="GY82"/>
  <c r="GX82"/>
  <c r="GW82"/>
  <c r="GV82"/>
  <c r="GU82"/>
  <c r="GT82"/>
  <c r="GS82"/>
  <c r="GR82"/>
  <c r="GQ82"/>
  <c r="GP82"/>
  <c r="GO82"/>
  <c r="GN82"/>
  <c r="GM82"/>
  <c r="GL82"/>
  <c r="GK82"/>
  <c r="GJ82"/>
  <c r="GI82"/>
  <c r="GH82"/>
  <c r="GG82"/>
  <c r="GF82"/>
  <c r="GE82"/>
  <c r="GD82"/>
  <c r="GC82"/>
  <c r="GB82"/>
  <c r="GA82"/>
  <c r="FZ82"/>
  <c r="FY82"/>
  <c r="FX82"/>
  <c r="FW82"/>
  <c r="FV82"/>
  <c r="FU82"/>
  <c r="FT82"/>
  <c r="FS82"/>
  <c r="FR82"/>
  <c r="FQ82"/>
  <c r="FP82"/>
  <c r="FO82"/>
  <c r="FN82"/>
  <c r="FM82"/>
  <c r="FL82"/>
  <c r="FK82"/>
  <c r="FJ82"/>
  <c r="FI82"/>
  <c r="FH82"/>
  <c r="FG82"/>
  <c r="FF82"/>
  <c r="FE82"/>
  <c r="FD82"/>
  <c r="FC82"/>
  <c r="FB82"/>
  <c r="FA82"/>
  <c r="EZ82"/>
  <c r="EY82"/>
  <c r="EX82"/>
  <c r="EW82"/>
  <c r="EV82"/>
  <c r="EU82"/>
  <c r="ET82"/>
  <c r="ES82"/>
  <c r="ER82"/>
  <c r="EQ82"/>
  <c r="EP82"/>
  <c r="EO82"/>
  <c r="EN82"/>
  <c r="EM82"/>
  <c r="EL82"/>
  <c r="EK82"/>
  <c r="EJ82"/>
  <c r="EI82"/>
  <c r="EH82"/>
  <c r="EG82"/>
  <c r="EF82"/>
  <c r="EE82"/>
  <c r="ED82"/>
  <c r="EC82"/>
  <c r="EB82"/>
  <c r="EA82"/>
  <c r="DZ82"/>
  <c r="DY82"/>
  <c r="DX82"/>
  <c r="DW82"/>
  <c r="DV82"/>
  <c r="DU82"/>
  <c r="DT82"/>
  <c r="DS82"/>
  <c r="DR82"/>
  <c r="DQ82"/>
  <c r="DP82"/>
  <c r="DO82"/>
  <c r="DN82"/>
  <c r="DM82"/>
  <c r="DL82"/>
  <c r="DK82"/>
  <c r="DJ82"/>
  <c r="DI82"/>
  <c r="DH82"/>
  <c r="DG82"/>
  <c r="DF82"/>
  <c r="DE82"/>
  <c r="DD82"/>
  <c r="DC82"/>
  <c r="DB82"/>
  <c r="DA82"/>
  <c r="CZ82"/>
  <c r="CY82"/>
  <c r="CX82"/>
  <c r="CW82"/>
  <c r="CV82"/>
  <c r="CU82"/>
  <c r="CT82"/>
  <c r="CS82"/>
  <c r="CR82"/>
  <c r="CQ82"/>
  <c r="CP82"/>
  <c r="CO82"/>
  <c r="CN82"/>
  <c r="CM82"/>
  <c r="CL82"/>
  <c r="CK82"/>
  <c r="CJ82"/>
  <c r="CI82"/>
  <c r="CH82"/>
  <c r="CG82"/>
  <c r="CF82"/>
  <c r="CE82"/>
  <c r="CD82"/>
  <c r="CC82"/>
  <c r="CB82"/>
  <c r="CA82"/>
  <c r="BZ82"/>
  <c r="BY82"/>
  <c r="BX82"/>
  <c r="BW82"/>
  <c r="BV82"/>
  <c r="BU82"/>
  <c r="BT82"/>
  <c r="BS82"/>
  <c r="BR82"/>
  <c r="BQ82"/>
  <c r="BP82"/>
  <c r="BO82"/>
  <c r="BN82"/>
  <c r="BM82"/>
  <c r="BL82"/>
  <c r="BK82"/>
  <c r="BJ82"/>
  <c r="BI82"/>
  <c r="BH82"/>
  <c r="BG82"/>
  <c r="BF82"/>
  <c r="BE82"/>
  <c r="BD82"/>
  <c r="BC82"/>
  <c r="BB82"/>
  <c r="BA82"/>
  <c r="AZ82"/>
  <c r="AY82"/>
  <c r="AX82"/>
  <c r="AW82"/>
  <c r="AV82"/>
  <c r="AU82"/>
  <c r="AT82"/>
  <c r="AS82"/>
  <c r="AR82"/>
  <c r="AQ82"/>
  <c r="AP82"/>
  <c r="AO82"/>
  <c r="AN82"/>
  <c r="AM82"/>
  <c r="AL82"/>
  <c r="AK82"/>
  <c r="AJ82"/>
  <c r="AI82"/>
  <c r="AH82"/>
  <c r="AG82"/>
  <c r="AF82"/>
  <c r="AE82"/>
  <c r="AD82"/>
  <c r="AC82"/>
  <c r="AB82"/>
  <c r="AA82"/>
  <c r="Z82"/>
  <c r="Y82"/>
  <c r="X82"/>
  <c r="W82"/>
  <c r="V82"/>
  <c r="U82"/>
  <c r="T82"/>
  <c r="S82"/>
  <c r="R82"/>
  <c r="Q82"/>
  <c r="P82"/>
  <c r="O82"/>
  <c r="N82"/>
  <c r="M82"/>
  <c r="L82"/>
  <c r="K82"/>
  <c r="J82"/>
  <c r="I82"/>
  <c r="H82"/>
  <c r="G82"/>
  <c r="F82"/>
  <c r="E82"/>
  <c r="D82"/>
  <c r="C82"/>
  <c r="B82"/>
  <c r="A82"/>
  <c r="IV81"/>
  <c r="IU81"/>
  <c r="IT81"/>
  <c r="IS81"/>
  <c r="IR81"/>
  <c r="IQ81"/>
  <c r="IP81"/>
  <c r="IO81"/>
  <c r="IN81"/>
  <c r="IM81"/>
  <c r="IL81"/>
  <c r="IK81"/>
  <c r="IJ81"/>
  <c r="II81"/>
  <c r="IH81"/>
  <c r="IG81"/>
  <c r="IF81"/>
  <c r="IE81"/>
  <c r="ID81"/>
  <c r="IC81"/>
  <c r="IB81"/>
  <c r="IA81"/>
  <c r="HZ81"/>
  <c r="HY81"/>
  <c r="HX81"/>
  <c r="HW81"/>
  <c r="HV81"/>
  <c r="HU81"/>
  <c r="HT81"/>
  <c r="HS81"/>
  <c r="HR81"/>
  <c r="HQ81"/>
  <c r="HP81"/>
  <c r="HO81"/>
  <c r="HN81"/>
  <c r="HM81"/>
  <c r="HL81"/>
  <c r="HK81"/>
  <c r="HJ81"/>
  <c r="HI81"/>
  <c r="HH81"/>
  <c r="HG81"/>
  <c r="HF81"/>
  <c r="HE81"/>
  <c r="HD81"/>
  <c r="HC81"/>
  <c r="HB81"/>
  <c r="HA81"/>
  <c r="GZ81"/>
  <c r="GY81"/>
  <c r="GX81"/>
  <c r="GW81"/>
  <c r="GV81"/>
  <c r="GU81"/>
  <c r="GT81"/>
  <c r="GS81"/>
  <c r="GR81"/>
  <c r="GQ81"/>
  <c r="GP81"/>
  <c r="GO81"/>
  <c r="GN81"/>
  <c r="GM81"/>
  <c r="GL81"/>
  <c r="GK81"/>
  <c r="GJ81"/>
  <c r="GI81"/>
  <c r="GH81"/>
  <c r="GG81"/>
  <c r="GF81"/>
  <c r="GE81"/>
  <c r="GD81"/>
  <c r="GC81"/>
  <c r="GB81"/>
  <c r="GA81"/>
  <c r="FZ81"/>
  <c r="FY81"/>
  <c r="FX81"/>
  <c r="FW81"/>
  <c r="FV81"/>
  <c r="FU81"/>
  <c r="FT81"/>
  <c r="FS81"/>
  <c r="FR81"/>
  <c r="FQ81"/>
  <c r="FP81"/>
  <c r="FO81"/>
  <c r="FN81"/>
  <c r="FM81"/>
  <c r="FL81"/>
  <c r="FK81"/>
  <c r="FJ81"/>
  <c r="FI81"/>
  <c r="FH81"/>
  <c r="FG81"/>
  <c r="FF81"/>
  <c r="FE81"/>
  <c r="FD81"/>
  <c r="FC81"/>
  <c r="FB81"/>
  <c r="FA81"/>
  <c r="EZ81"/>
  <c r="EY81"/>
  <c r="EX81"/>
  <c r="EW81"/>
  <c r="EV81"/>
  <c r="EU81"/>
  <c r="ET81"/>
  <c r="ES81"/>
  <c r="ER81"/>
  <c r="EQ81"/>
  <c r="EP81"/>
  <c r="EO81"/>
  <c r="EN81"/>
  <c r="EM81"/>
  <c r="EL81"/>
  <c r="EK81"/>
  <c r="EJ81"/>
  <c r="EI81"/>
  <c r="EH81"/>
  <c r="EG81"/>
  <c r="EF81"/>
  <c r="EE81"/>
  <c r="ED81"/>
  <c r="EC81"/>
  <c r="EB81"/>
  <c r="EA81"/>
  <c r="DZ81"/>
  <c r="DY81"/>
  <c r="DX81"/>
  <c r="DW81"/>
  <c r="DV81"/>
  <c r="DU81"/>
  <c r="DT81"/>
  <c r="DS81"/>
  <c r="DR81"/>
  <c r="DQ81"/>
  <c r="DP81"/>
  <c r="DO81"/>
  <c r="DN81"/>
  <c r="DM81"/>
  <c r="DL81"/>
  <c r="DK81"/>
  <c r="DJ81"/>
  <c r="DI81"/>
  <c r="DH81"/>
  <c r="DG81"/>
  <c r="DF81"/>
  <c r="DE81"/>
  <c r="DD81"/>
  <c r="DC81"/>
  <c r="DB81"/>
  <c r="DA81"/>
  <c r="CZ81"/>
  <c r="CY81"/>
  <c r="CX81"/>
  <c r="CW81"/>
  <c r="CV81"/>
  <c r="CU81"/>
  <c r="CT81"/>
  <c r="CS81"/>
  <c r="CR81"/>
  <c r="CQ81"/>
  <c r="CP81"/>
  <c r="CO81"/>
  <c r="CN81"/>
  <c r="CM81"/>
  <c r="CL81"/>
  <c r="CK81"/>
  <c r="CJ81"/>
  <c r="CI81"/>
  <c r="CH81"/>
  <c r="CG81"/>
  <c r="CF81"/>
  <c r="CE81"/>
  <c r="CD81"/>
  <c r="CC81"/>
  <c r="CB81"/>
  <c r="CA81"/>
  <c r="BZ81"/>
  <c r="BY81"/>
  <c r="BX81"/>
  <c r="BW81"/>
  <c r="BV81"/>
  <c r="BU81"/>
  <c r="BT81"/>
  <c r="BS81"/>
  <c r="BR81"/>
  <c r="BQ81"/>
  <c r="BP81"/>
  <c r="BO81"/>
  <c r="BN81"/>
  <c r="BM81"/>
  <c r="BL81"/>
  <c r="BK81"/>
  <c r="BJ81"/>
  <c r="BI81"/>
  <c r="BH81"/>
  <c r="BG81"/>
  <c r="BF81"/>
  <c r="BE81"/>
  <c r="BD81"/>
  <c r="BC81"/>
  <c r="BB81"/>
  <c r="BA81"/>
  <c r="AZ81"/>
  <c r="AY81"/>
  <c r="AX81"/>
  <c r="AW81"/>
  <c r="AV81"/>
  <c r="AU81"/>
  <c r="AT81"/>
  <c r="AS81"/>
  <c r="AR81"/>
  <c r="AQ81"/>
  <c r="AP81"/>
  <c r="AO81"/>
  <c r="AN81"/>
  <c r="AM81"/>
  <c r="AL81"/>
  <c r="AK81"/>
  <c r="AJ81"/>
  <c r="AI81"/>
  <c r="AH81"/>
  <c r="AG81"/>
  <c r="AF81"/>
  <c r="AE81"/>
  <c r="AD81"/>
  <c r="AC81"/>
  <c r="AB81"/>
  <c r="AA81"/>
  <c r="Z81"/>
  <c r="Y81"/>
  <c r="X81"/>
  <c r="W81"/>
  <c r="V81"/>
  <c r="U81"/>
  <c r="T81"/>
  <c r="S81"/>
  <c r="R81"/>
  <c r="Q81"/>
  <c r="P81"/>
  <c r="O81"/>
  <c r="N81"/>
  <c r="M81"/>
  <c r="L81"/>
  <c r="K81"/>
  <c r="J81"/>
  <c r="I81"/>
  <c r="H81"/>
  <c r="G81"/>
  <c r="F81"/>
  <c r="E81"/>
  <c r="D81"/>
  <c r="C81"/>
  <c r="B81"/>
  <c r="A81"/>
  <c r="IV80"/>
  <c r="IU80"/>
  <c r="IT80"/>
  <c r="IS80"/>
  <c r="IR80"/>
  <c r="IQ80"/>
  <c r="IP80"/>
  <c r="IO80"/>
  <c r="IN80"/>
  <c r="IM80"/>
  <c r="IL80"/>
  <c r="IK80"/>
  <c r="IJ80"/>
  <c r="II80"/>
  <c r="IH80"/>
  <c r="IG80"/>
  <c r="IF80"/>
  <c r="IE80"/>
  <c r="ID80"/>
  <c r="IC80"/>
  <c r="IB80"/>
  <c r="IA80"/>
  <c r="HZ80"/>
  <c r="HY80"/>
  <c r="HX80"/>
  <c r="HW80"/>
  <c r="HV80"/>
  <c r="HU80"/>
  <c r="HT80"/>
  <c r="HS80"/>
  <c r="HR80"/>
  <c r="HQ80"/>
  <c r="HP80"/>
  <c r="HO80"/>
  <c r="HN80"/>
  <c r="HM80"/>
  <c r="HL80"/>
  <c r="HK80"/>
  <c r="HJ80"/>
  <c r="HI80"/>
  <c r="HH80"/>
  <c r="HG80"/>
  <c r="HF80"/>
  <c r="HE80"/>
  <c r="HD80"/>
  <c r="HC80"/>
  <c r="HB80"/>
  <c r="HA80"/>
  <c r="GZ80"/>
  <c r="GY80"/>
  <c r="GX80"/>
  <c r="GW80"/>
  <c r="GV80"/>
  <c r="GU80"/>
  <c r="GT80"/>
  <c r="GS80"/>
  <c r="GR80"/>
  <c r="GQ80"/>
  <c r="GP80"/>
  <c r="GO80"/>
  <c r="GN80"/>
  <c r="GM80"/>
  <c r="GL80"/>
  <c r="GK80"/>
  <c r="GJ80"/>
  <c r="GI80"/>
  <c r="GH80"/>
  <c r="GG80"/>
  <c r="GF80"/>
  <c r="GE80"/>
  <c r="GD80"/>
  <c r="GC80"/>
  <c r="GB80"/>
  <c r="GA80"/>
  <c r="FZ80"/>
  <c r="FY80"/>
  <c r="FX80"/>
  <c r="FW80"/>
  <c r="FV80"/>
  <c r="FU80"/>
  <c r="FT80"/>
  <c r="FS80"/>
  <c r="FR80"/>
  <c r="FQ80"/>
  <c r="FP80"/>
  <c r="FO80"/>
  <c r="FN80"/>
  <c r="FM80"/>
  <c r="FL80"/>
  <c r="FK80"/>
  <c r="FJ80"/>
  <c r="FI80"/>
  <c r="FH80"/>
  <c r="FG80"/>
  <c r="FF80"/>
  <c r="FE80"/>
  <c r="FD80"/>
  <c r="FC80"/>
  <c r="FB80"/>
  <c r="FA80"/>
  <c r="EZ80"/>
  <c r="EY80"/>
  <c r="EX80"/>
  <c r="EW80"/>
  <c r="EV80"/>
  <c r="EU80"/>
  <c r="ET80"/>
  <c r="ES80"/>
  <c r="ER80"/>
  <c r="EQ80"/>
  <c r="EP80"/>
  <c r="EO80"/>
  <c r="EN80"/>
  <c r="EM80"/>
  <c r="EL80"/>
  <c r="EK80"/>
  <c r="EJ80"/>
  <c r="EI80"/>
  <c r="EH80"/>
  <c r="EG80"/>
  <c r="EF80"/>
  <c r="EE80"/>
  <c r="ED80"/>
  <c r="EC80"/>
  <c r="EB80"/>
  <c r="EA80"/>
  <c r="DZ80"/>
  <c r="DY80"/>
  <c r="DX80"/>
  <c r="DW80"/>
  <c r="DV80"/>
  <c r="DU80"/>
  <c r="DT80"/>
  <c r="DS80"/>
  <c r="DR80"/>
  <c r="DQ80"/>
  <c r="DP80"/>
  <c r="DO80"/>
  <c r="DN80"/>
  <c r="DM80"/>
  <c r="DL80"/>
  <c r="DK80"/>
  <c r="DJ80"/>
  <c r="DI80"/>
  <c r="DH80"/>
  <c r="DG80"/>
  <c r="DF80"/>
  <c r="DE80"/>
  <c r="DD80"/>
  <c r="DC80"/>
  <c r="DB80"/>
  <c r="DA80"/>
  <c r="CZ80"/>
  <c r="CY80"/>
  <c r="CX80"/>
  <c r="CW80"/>
  <c r="CV80"/>
  <c r="CU80"/>
  <c r="CT80"/>
  <c r="CS80"/>
  <c r="CR80"/>
  <c r="CQ80"/>
  <c r="CP80"/>
  <c r="CO80"/>
  <c r="CN80"/>
  <c r="CM80"/>
  <c r="CL80"/>
  <c r="CK80"/>
  <c r="CJ80"/>
  <c r="CI80"/>
  <c r="CH80"/>
  <c r="CG80"/>
  <c r="CF80"/>
  <c r="CE80"/>
  <c r="CD80"/>
  <c r="CC80"/>
  <c r="CB80"/>
  <c r="CA80"/>
  <c r="BZ80"/>
  <c r="BY80"/>
  <c r="BX80"/>
  <c r="BW80"/>
  <c r="BV80"/>
  <c r="BU80"/>
  <c r="BT80"/>
  <c r="BS80"/>
  <c r="BR80"/>
  <c r="BQ80"/>
  <c r="BP80"/>
  <c r="BO80"/>
  <c r="BN80"/>
  <c r="BM80"/>
  <c r="BL80"/>
  <c r="BK80"/>
  <c r="BJ80"/>
  <c r="BI80"/>
  <c r="BH80"/>
  <c r="BG80"/>
  <c r="BF80"/>
  <c r="BE80"/>
  <c r="BD80"/>
  <c r="BC80"/>
  <c r="BB80"/>
  <c r="BA80"/>
  <c r="AZ80"/>
  <c r="AY80"/>
  <c r="AX80"/>
  <c r="AW80"/>
  <c r="AV80"/>
  <c r="AU80"/>
  <c r="AT80"/>
  <c r="AS80"/>
  <c r="AR80"/>
  <c r="AQ80"/>
  <c r="AP80"/>
  <c r="AO80"/>
  <c r="AN80"/>
  <c r="AM80"/>
  <c r="AL80"/>
  <c r="AK80"/>
  <c r="AJ80"/>
  <c r="AI80"/>
  <c r="AH80"/>
  <c r="AG80"/>
  <c r="AF80"/>
  <c r="AE80"/>
  <c r="AD80"/>
  <c r="AC80"/>
  <c r="AB80"/>
  <c r="AA80"/>
  <c r="Z80"/>
  <c r="Y80"/>
  <c r="X80"/>
  <c r="W80"/>
  <c r="V80"/>
  <c r="U80"/>
  <c r="T80"/>
  <c r="S80"/>
  <c r="R80"/>
  <c r="Q80"/>
  <c r="P80"/>
  <c r="O80"/>
  <c r="N80"/>
  <c r="M80"/>
  <c r="L80"/>
  <c r="K80"/>
  <c r="J80"/>
  <c r="I80"/>
  <c r="H80"/>
  <c r="G80"/>
  <c r="F80"/>
  <c r="E80"/>
  <c r="D80"/>
  <c r="C80"/>
  <c r="B80"/>
  <c r="A80"/>
  <c r="IV79"/>
  <c r="IU79"/>
  <c r="IT79"/>
  <c r="IS79"/>
  <c r="IR79"/>
  <c r="IQ79"/>
  <c r="IP79"/>
  <c r="IO79"/>
  <c r="IN79"/>
  <c r="IM79"/>
  <c r="IL79"/>
  <c r="IK79"/>
  <c r="IJ79"/>
  <c r="II79"/>
  <c r="IH79"/>
  <c r="IG79"/>
  <c r="IF79"/>
  <c r="IE79"/>
  <c r="ID79"/>
  <c r="IC79"/>
  <c r="IB79"/>
  <c r="IA79"/>
  <c r="HZ79"/>
  <c r="HY79"/>
  <c r="HX79"/>
  <c r="HW79"/>
  <c r="HV79"/>
  <c r="HU79"/>
  <c r="HT79"/>
  <c r="HS79"/>
  <c r="HR79"/>
  <c r="HQ79"/>
  <c r="HP79"/>
  <c r="HO79"/>
  <c r="HN79"/>
  <c r="HM79"/>
  <c r="HL79"/>
  <c r="HK79"/>
  <c r="HJ79"/>
  <c r="HI79"/>
  <c r="HH79"/>
  <c r="HG79"/>
  <c r="HF79"/>
  <c r="HE79"/>
  <c r="HD79"/>
  <c r="HC79"/>
  <c r="HB79"/>
  <c r="HA79"/>
  <c r="GZ79"/>
  <c r="GY79"/>
  <c r="GX79"/>
  <c r="GW79"/>
  <c r="GV79"/>
  <c r="GU79"/>
  <c r="GT79"/>
  <c r="GS79"/>
  <c r="GR79"/>
  <c r="GQ79"/>
  <c r="GP79"/>
  <c r="GO79"/>
  <c r="GN79"/>
  <c r="GM79"/>
  <c r="GL79"/>
  <c r="GK79"/>
  <c r="GJ79"/>
  <c r="GI79"/>
  <c r="GH79"/>
  <c r="GG79"/>
  <c r="GF79"/>
  <c r="GE79"/>
  <c r="GD79"/>
  <c r="GC79"/>
  <c r="GB79"/>
  <c r="GA79"/>
  <c r="FZ79"/>
  <c r="FY79"/>
  <c r="FX79"/>
  <c r="FW79"/>
  <c r="FV79"/>
  <c r="FU79"/>
  <c r="FT79"/>
  <c r="FS79"/>
  <c r="FR79"/>
  <c r="FQ79"/>
  <c r="FP79"/>
  <c r="FO79"/>
  <c r="FN79"/>
  <c r="FM79"/>
  <c r="FL79"/>
  <c r="FK79"/>
  <c r="FJ79"/>
  <c r="FI79"/>
  <c r="FH79"/>
  <c r="FG79"/>
  <c r="FF79"/>
  <c r="FE79"/>
  <c r="FD79"/>
  <c r="FC79"/>
  <c r="FB79"/>
  <c r="FA79"/>
  <c r="EZ79"/>
  <c r="EY79"/>
  <c r="EX79"/>
  <c r="EW79"/>
  <c r="EV79"/>
  <c r="EU79"/>
  <c r="ET79"/>
  <c r="ES79"/>
  <c r="ER79"/>
  <c r="EQ79"/>
  <c r="EP79"/>
  <c r="EO79"/>
  <c r="EN79"/>
  <c r="EM79"/>
  <c r="EL79"/>
  <c r="EK79"/>
  <c r="EJ79"/>
  <c r="EI79"/>
  <c r="EH79"/>
  <c r="EG79"/>
  <c r="EF79"/>
  <c r="EE79"/>
  <c r="ED79"/>
  <c r="EC79"/>
  <c r="EB79"/>
  <c r="EA79"/>
  <c r="DZ79"/>
  <c r="DY79"/>
  <c r="DX79"/>
  <c r="DW79"/>
  <c r="DV79"/>
  <c r="DU79"/>
  <c r="DT79"/>
  <c r="DS79"/>
  <c r="DR79"/>
  <c r="DQ79"/>
  <c r="DP79"/>
  <c r="DO79"/>
  <c r="DN79"/>
  <c r="DM79"/>
  <c r="DL79"/>
  <c r="DK79"/>
  <c r="DJ79"/>
  <c r="DI79"/>
  <c r="DH79"/>
  <c r="DG79"/>
  <c r="DF79"/>
  <c r="DE79"/>
  <c r="DD79"/>
  <c r="DC79"/>
  <c r="DB79"/>
  <c r="DA79"/>
  <c r="CZ79"/>
  <c r="CY79"/>
  <c r="CX79"/>
  <c r="CW79"/>
  <c r="CV79"/>
  <c r="CU79"/>
  <c r="CT79"/>
  <c r="CS79"/>
  <c r="CR79"/>
  <c r="CQ79"/>
  <c r="CP79"/>
  <c r="CO79"/>
  <c r="CN79"/>
  <c r="CM79"/>
  <c r="CL79"/>
  <c r="CK79"/>
  <c r="CJ79"/>
  <c r="CI79"/>
  <c r="CH79"/>
  <c r="CG79"/>
  <c r="CF79"/>
  <c r="CE79"/>
  <c r="CD79"/>
  <c r="CC79"/>
  <c r="CB79"/>
  <c r="CA79"/>
  <c r="BZ79"/>
  <c r="BY79"/>
  <c r="BX79"/>
  <c r="BW79"/>
  <c r="BV79"/>
  <c r="BU79"/>
  <c r="BT79"/>
  <c r="BS79"/>
  <c r="BR79"/>
  <c r="BQ79"/>
  <c r="BP79"/>
  <c r="BO79"/>
  <c r="BN79"/>
  <c r="BM79"/>
  <c r="BL79"/>
  <c r="BK79"/>
  <c r="BJ79"/>
  <c r="BI79"/>
  <c r="BH79"/>
  <c r="BG79"/>
  <c r="BF79"/>
  <c r="BE79"/>
  <c r="BD79"/>
  <c r="BC79"/>
  <c r="BB79"/>
  <c r="BA79"/>
  <c r="AZ79"/>
  <c r="AY79"/>
  <c r="AX79"/>
  <c r="AW79"/>
  <c r="AV79"/>
  <c r="AU79"/>
  <c r="AT79"/>
  <c r="AS79"/>
  <c r="AR79"/>
  <c r="AQ79"/>
  <c r="AP79"/>
  <c r="AO79"/>
  <c r="AN79"/>
  <c r="AM79"/>
  <c r="AL79"/>
  <c r="AK79"/>
  <c r="AJ79"/>
  <c r="AI79"/>
  <c r="AH79"/>
  <c r="AG79"/>
  <c r="AF79"/>
  <c r="AE79"/>
  <c r="AD79"/>
  <c r="AC79"/>
  <c r="AB79"/>
  <c r="AA79"/>
  <c r="Z79"/>
  <c r="Y79"/>
  <c r="X79"/>
  <c r="W79"/>
  <c r="V79"/>
  <c r="U79"/>
  <c r="T79"/>
  <c r="S79"/>
  <c r="R79"/>
  <c r="Q79"/>
  <c r="P79"/>
  <c r="O79"/>
  <c r="N79"/>
  <c r="M79"/>
  <c r="L79"/>
  <c r="K79"/>
  <c r="J79"/>
  <c r="I79"/>
  <c r="H79"/>
  <c r="G79"/>
  <c r="F79"/>
  <c r="E79"/>
  <c r="D79"/>
  <c r="C79"/>
  <c r="B79"/>
  <c r="A79"/>
  <c r="IV78"/>
  <c r="IU78"/>
  <c r="IT78"/>
  <c r="IS78"/>
  <c r="IR78"/>
  <c r="IQ78"/>
  <c r="IP78"/>
  <c r="IO78"/>
  <c r="IN78"/>
  <c r="IM78"/>
  <c r="IL78"/>
  <c r="IK78"/>
  <c r="IJ78"/>
  <c r="II78"/>
  <c r="IH78"/>
  <c r="IG78"/>
  <c r="IF78"/>
  <c r="IE78"/>
  <c r="ID78"/>
  <c r="IC78"/>
  <c r="IB78"/>
  <c r="IA78"/>
  <c r="HZ78"/>
  <c r="HY78"/>
  <c r="HX78"/>
  <c r="HW78"/>
  <c r="HV78"/>
  <c r="HU78"/>
  <c r="HT78"/>
  <c r="HS78"/>
  <c r="HR78"/>
  <c r="HQ78"/>
  <c r="HP78"/>
  <c r="HO78"/>
  <c r="HN78"/>
  <c r="HM78"/>
  <c r="HL78"/>
  <c r="HK78"/>
  <c r="HJ78"/>
  <c r="HI78"/>
  <c r="HH78"/>
  <c r="HG78"/>
  <c r="HF78"/>
  <c r="HE78"/>
  <c r="HD78"/>
  <c r="HC78"/>
  <c r="HB78"/>
  <c r="HA78"/>
  <c r="GZ78"/>
  <c r="GY78"/>
  <c r="GX78"/>
  <c r="GW78"/>
  <c r="GV78"/>
  <c r="GU78"/>
  <c r="GT78"/>
  <c r="GS78"/>
  <c r="GR78"/>
  <c r="GQ78"/>
  <c r="GP78"/>
  <c r="GO78"/>
  <c r="GN78"/>
  <c r="GM78"/>
  <c r="GL78"/>
  <c r="GK78"/>
  <c r="GJ78"/>
  <c r="GI78"/>
  <c r="GH78"/>
  <c r="GG78"/>
  <c r="GF78"/>
  <c r="GE78"/>
  <c r="GD78"/>
  <c r="GC78"/>
  <c r="GB78"/>
  <c r="GA78"/>
  <c r="FZ78"/>
  <c r="FY78"/>
  <c r="FX78"/>
  <c r="FW78"/>
  <c r="FV78"/>
  <c r="FU78"/>
  <c r="FT78"/>
  <c r="FS78"/>
  <c r="FR78"/>
  <c r="FQ78"/>
  <c r="FP78"/>
  <c r="FO78"/>
  <c r="FN78"/>
  <c r="FM78"/>
  <c r="FL78"/>
  <c r="FK78"/>
  <c r="FJ78"/>
  <c r="FI78"/>
  <c r="FH78"/>
  <c r="FG78"/>
  <c r="FF78"/>
  <c r="FE78"/>
  <c r="FD78"/>
  <c r="FC78"/>
  <c r="FB78"/>
  <c r="FA78"/>
  <c r="EZ78"/>
  <c r="EY78"/>
  <c r="EX78"/>
  <c r="EW78"/>
  <c r="EV78"/>
  <c r="EU78"/>
  <c r="ET78"/>
  <c r="ES78"/>
  <c r="ER78"/>
  <c r="EQ78"/>
  <c r="EP78"/>
  <c r="EO78"/>
  <c r="EN78"/>
  <c r="EM78"/>
  <c r="EL78"/>
  <c r="EK78"/>
  <c r="EJ78"/>
  <c r="EI78"/>
  <c r="EH78"/>
  <c r="EG78"/>
  <c r="EF78"/>
  <c r="EE78"/>
  <c r="ED78"/>
  <c r="EC78"/>
  <c r="EB78"/>
  <c r="EA78"/>
  <c r="DZ78"/>
  <c r="DY78"/>
  <c r="DX78"/>
  <c r="DW78"/>
  <c r="DV78"/>
  <c r="DU78"/>
  <c r="DT78"/>
  <c r="DS78"/>
  <c r="DR78"/>
  <c r="DQ78"/>
  <c r="DP78"/>
  <c r="DO78"/>
  <c r="DN78"/>
  <c r="DM78"/>
  <c r="DL78"/>
  <c r="DK78"/>
  <c r="DJ78"/>
  <c r="DI78"/>
  <c r="DH78"/>
  <c r="DG78"/>
  <c r="DF78"/>
  <c r="DE78"/>
  <c r="DD78"/>
  <c r="DC78"/>
  <c r="DB78"/>
  <c r="DA78"/>
  <c r="CZ78"/>
  <c r="CY78"/>
  <c r="CX78"/>
  <c r="CW78"/>
  <c r="CV78"/>
  <c r="CU78"/>
  <c r="CT78"/>
  <c r="CS78"/>
  <c r="CR78"/>
  <c r="CQ78"/>
  <c r="CP78"/>
  <c r="CO78"/>
  <c r="CN78"/>
  <c r="CM78"/>
  <c r="CL78"/>
  <c r="CK78"/>
  <c r="CJ78"/>
  <c r="CI78"/>
  <c r="CH78"/>
  <c r="CG78"/>
  <c r="CF78"/>
  <c r="CE78"/>
  <c r="CD78"/>
  <c r="CC78"/>
  <c r="CB78"/>
  <c r="CA78"/>
  <c r="BZ78"/>
  <c r="BY78"/>
  <c r="BX78"/>
  <c r="BW78"/>
  <c r="BV78"/>
  <c r="BU78"/>
  <c r="BT78"/>
  <c r="BS78"/>
  <c r="BR78"/>
  <c r="BQ78"/>
  <c r="BP78"/>
  <c r="BO78"/>
  <c r="BN78"/>
  <c r="BM78"/>
  <c r="BL78"/>
  <c r="BK78"/>
  <c r="BJ78"/>
  <c r="BI78"/>
  <c r="BH78"/>
  <c r="BG78"/>
  <c r="BF78"/>
  <c r="BE78"/>
  <c r="BD78"/>
  <c r="BC78"/>
  <c r="BB78"/>
  <c r="BA78"/>
  <c r="AZ78"/>
  <c r="AY78"/>
  <c r="AX78"/>
  <c r="AW78"/>
  <c r="AV78"/>
  <c r="AU78"/>
  <c r="AT78"/>
  <c r="AS78"/>
  <c r="AR78"/>
  <c r="AQ78"/>
  <c r="AP78"/>
  <c r="AO78"/>
  <c r="AN78"/>
  <c r="AM78"/>
  <c r="AL78"/>
  <c r="AK78"/>
  <c r="AJ78"/>
  <c r="AI78"/>
  <c r="AH78"/>
  <c r="AG78"/>
  <c r="AF78"/>
  <c r="AE78"/>
  <c r="AD78"/>
  <c r="AC78"/>
  <c r="AB78"/>
  <c r="AA78"/>
  <c r="Z78"/>
  <c r="Y78"/>
  <c r="X78"/>
  <c r="W78"/>
  <c r="V78"/>
  <c r="U78"/>
  <c r="T78"/>
  <c r="S78"/>
  <c r="R78"/>
  <c r="Q78"/>
  <c r="P78"/>
  <c r="O78"/>
  <c r="N78"/>
  <c r="M78"/>
  <c r="L78"/>
  <c r="K78"/>
  <c r="J78"/>
  <c r="I78"/>
  <c r="H78"/>
  <c r="G78"/>
  <c r="F78"/>
  <c r="E78"/>
  <c r="D78"/>
  <c r="C78"/>
  <c r="B78"/>
  <c r="A78"/>
  <c r="IV77"/>
  <c r="IU77"/>
  <c r="IT77"/>
  <c r="IS77"/>
  <c r="IR77"/>
  <c r="IQ77"/>
  <c r="IP77"/>
  <c r="IO77"/>
  <c r="IN77"/>
  <c r="IM77"/>
  <c r="IL77"/>
  <c r="IK77"/>
  <c r="IJ77"/>
  <c r="II77"/>
  <c r="IH77"/>
  <c r="IG77"/>
  <c r="IF77"/>
  <c r="IE77"/>
  <c r="ID77"/>
  <c r="IC77"/>
  <c r="IB77"/>
  <c r="IA77"/>
  <c r="HZ77"/>
  <c r="HY77"/>
  <c r="HX77"/>
  <c r="HW77"/>
  <c r="HV77"/>
  <c r="HU77"/>
  <c r="HT77"/>
  <c r="HS77"/>
  <c r="HR77"/>
  <c r="HQ77"/>
  <c r="HP77"/>
  <c r="HO77"/>
  <c r="HN77"/>
  <c r="HM77"/>
  <c r="HL77"/>
  <c r="HK77"/>
  <c r="HJ77"/>
  <c r="HI77"/>
  <c r="HH77"/>
  <c r="HG77"/>
  <c r="HF77"/>
  <c r="HE77"/>
  <c r="HD77"/>
  <c r="HC77"/>
  <c r="HB77"/>
  <c r="HA77"/>
  <c r="GZ77"/>
  <c r="GY77"/>
  <c r="GX77"/>
  <c r="GW77"/>
  <c r="GV77"/>
  <c r="GU77"/>
  <c r="GT77"/>
  <c r="GS77"/>
  <c r="GR77"/>
  <c r="GQ77"/>
  <c r="GP77"/>
  <c r="GO77"/>
  <c r="GN77"/>
  <c r="GM77"/>
  <c r="GL77"/>
  <c r="GK77"/>
  <c r="GJ77"/>
  <c r="GI77"/>
  <c r="GH77"/>
  <c r="GG77"/>
  <c r="GF77"/>
  <c r="GE77"/>
  <c r="GD77"/>
  <c r="GC77"/>
  <c r="GB77"/>
  <c r="GA77"/>
  <c r="FZ77"/>
  <c r="FY77"/>
  <c r="FX77"/>
  <c r="FW77"/>
  <c r="FV77"/>
  <c r="FU77"/>
  <c r="FT77"/>
  <c r="FS77"/>
  <c r="FR77"/>
  <c r="FQ77"/>
  <c r="FP77"/>
  <c r="FO77"/>
  <c r="FN77"/>
  <c r="FM77"/>
  <c r="FL77"/>
  <c r="FK77"/>
  <c r="FJ77"/>
  <c r="FI77"/>
  <c r="FH77"/>
  <c r="FG77"/>
  <c r="FF77"/>
  <c r="FE77"/>
  <c r="FD77"/>
  <c r="FC77"/>
  <c r="FB77"/>
  <c r="FA77"/>
  <c r="EZ77"/>
  <c r="EY77"/>
  <c r="EX77"/>
  <c r="EW77"/>
  <c r="EV77"/>
  <c r="EU77"/>
  <c r="ET77"/>
  <c r="ES77"/>
  <c r="ER77"/>
  <c r="EQ77"/>
  <c r="EP77"/>
  <c r="EO77"/>
  <c r="EN77"/>
  <c r="EM77"/>
  <c r="EL77"/>
  <c r="EK77"/>
  <c r="EJ77"/>
  <c r="EI77"/>
  <c r="EH77"/>
  <c r="EG77"/>
  <c r="EF77"/>
  <c r="EE77"/>
  <c r="ED77"/>
  <c r="EC77"/>
  <c r="EB77"/>
  <c r="EA77"/>
  <c r="DZ77"/>
  <c r="DY77"/>
  <c r="DX77"/>
  <c r="DW77"/>
  <c r="DV77"/>
  <c r="DU77"/>
  <c r="DT77"/>
  <c r="DS77"/>
  <c r="DR77"/>
  <c r="DQ77"/>
  <c r="DP77"/>
  <c r="DO77"/>
  <c r="DN77"/>
  <c r="DM77"/>
  <c r="DL77"/>
  <c r="DK77"/>
  <c r="DJ77"/>
  <c r="DI77"/>
  <c r="DH77"/>
  <c r="DG77"/>
  <c r="DF77"/>
  <c r="DE77"/>
  <c r="DD77"/>
  <c r="DC77"/>
  <c r="DB77"/>
  <c r="DA77"/>
  <c r="CZ77"/>
  <c r="CY77"/>
  <c r="CX77"/>
  <c r="CW77"/>
  <c r="CV77"/>
  <c r="CU77"/>
  <c r="CT77"/>
  <c r="CS77"/>
  <c r="CR77"/>
  <c r="CQ77"/>
  <c r="CP77"/>
  <c r="CO77"/>
  <c r="CN77"/>
  <c r="CM77"/>
  <c r="CL77"/>
  <c r="CK77"/>
  <c r="CJ77"/>
  <c r="CI77"/>
  <c r="CH77"/>
  <c r="CG77"/>
  <c r="CF77"/>
  <c r="CE77"/>
  <c r="CD77"/>
  <c r="CC77"/>
  <c r="CB77"/>
  <c r="CA77"/>
  <c r="BZ77"/>
  <c r="BY77"/>
  <c r="BX77"/>
  <c r="BW77"/>
  <c r="BV77"/>
  <c r="BU77"/>
  <c r="BT77"/>
  <c r="BS77"/>
  <c r="BR77"/>
  <c r="BQ77"/>
  <c r="BP77"/>
  <c r="BO77"/>
  <c r="BN77"/>
  <c r="BM77"/>
  <c r="BL77"/>
  <c r="BK77"/>
  <c r="BJ77"/>
  <c r="BI77"/>
  <c r="BH77"/>
  <c r="BG77"/>
  <c r="BF77"/>
  <c r="BE77"/>
  <c r="BD77"/>
  <c r="BC77"/>
  <c r="BB77"/>
  <c r="BA77"/>
  <c r="AZ77"/>
  <c r="AY77"/>
  <c r="AX77"/>
  <c r="AW77"/>
  <c r="AV77"/>
  <c r="AU77"/>
  <c r="AT77"/>
  <c r="AS77"/>
  <c r="AR77"/>
  <c r="AQ77"/>
  <c r="AP77"/>
  <c r="AO77"/>
  <c r="AN77"/>
  <c r="AM77"/>
  <c r="AL77"/>
  <c r="AK77"/>
  <c r="AJ77"/>
  <c r="AI77"/>
  <c r="AH77"/>
  <c r="AG77"/>
  <c r="AF77"/>
  <c r="AE77"/>
  <c r="AD77"/>
  <c r="AC77"/>
  <c r="AB77"/>
  <c r="AA77"/>
  <c r="Z77"/>
  <c r="Y77"/>
  <c r="X77"/>
  <c r="W77"/>
  <c r="V77"/>
  <c r="U77"/>
  <c r="T77"/>
  <c r="S77"/>
  <c r="R77"/>
  <c r="Q77"/>
  <c r="P77"/>
  <c r="O77"/>
  <c r="N77"/>
  <c r="M77"/>
  <c r="L77"/>
  <c r="K77"/>
  <c r="J77"/>
  <c r="I77"/>
  <c r="H77"/>
  <c r="G77"/>
  <c r="F77"/>
  <c r="E77"/>
  <c r="D77"/>
  <c r="C77"/>
  <c r="B77"/>
  <c r="A77"/>
  <c r="IV76"/>
  <c r="IU76"/>
  <c r="IT76"/>
  <c r="IS76"/>
  <c r="IR76"/>
  <c r="IQ76"/>
  <c r="IP76"/>
  <c r="IO76"/>
  <c r="IN76"/>
  <c r="IM76"/>
  <c r="IL76"/>
  <c r="IK76"/>
  <c r="IJ76"/>
  <c r="II76"/>
  <c r="IH76"/>
  <c r="IG76"/>
  <c r="IF76"/>
  <c r="IE76"/>
  <c r="ID76"/>
  <c r="IC76"/>
  <c r="IB76"/>
  <c r="IA76"/>
  <c r="HZ76"/>
  <c r="HY76"/>
  <c r="HX76"/>
  <c r="HW76"/>
  <c r="HV76"/>
  <c r="HU76"/>
  <c r="HT76"/>
  <c r="HS76"/>
  <c r="HR76"/>
  <c r="HQ76"/>
  <c r="HP76"/>
  <c r="HO76"/>
  <c r="HN76"/>
  <c r="HM76"/>
  <c r="HL76"/>
  <c r="HK76"/>
  <c r="HJ76"/>
  <c r="HI76"/>
  <c r="HH76"/>
  <c r="HG76"/>
  <c r="HF76"/>
  <c r="HE76"/>
  <c r="HD76"/>
  <c r="HC76"/>
  <c r="HB76"/>
  <c r="HA76"/>
  <c r="GZ76"/>
  <c r="GY76"/>
  <c r="GX76"/>
  <c r="GW76"/>
  <c r="GV76"/>
  <c r="GU76"/>
  <c r="GT76"/>
  <c r="GS76"/>
  <c r="GR76"/>
  <c r="GQ76"/>
  <c r="GP76"/>
  <c r="GO76"/>
  <c r="GN76"/>
  <c r="GM76"/>
  <c r="GL76"/>
  <c r="GK76"/>
  <c r="GJ76"/>
  <c r="GI76"/>
  <c r="GH76"/>
  <c r="GG76"/>
  <c r="GF76"/>
  <c r="GE76"/>
  <c r="GD76"/>
  <c r="GC76"/>
  <c r="GB76"/>
  <c r="GA76"/>
  <c r="FZ76"/>
  <c r="FY76"/>
  <c r="FX76"/>
  <c r="FW76"/>
  <c r="FV76"/>
  <c r="FU76"/>
  <c r="FT76"/>
  <c r="FS76"/>
  <c r="FR76"/>
  <c r="FQ76"/>
  <c r="FP76"/>
  <c r="FO76"/>
  <c r="FN76"/>
  <c r="FM76"/>
  <c r="FL76"/>
  <c r="FK76"/>
  <c r="FJ76"/>
  <c r="FI76"/>
  <c r="FH76"/>
  <c r="FG76"/>
  <c r="FF76"/>
  <c r="FE76"/>
  <c r="FD76"/>
  <c r="FC76"/>
  <c r="FB76"/>
  <c r="FA76"/>
  <c r="EZ76"/>
  <c r="EY76"/>
  <c r="EX76"/>
  <c r="EW76"/>
  <c r="EV76"/>
  <c r="EU76"/>
  <c r="ET76"/>
  <c r="ES76"/>
  <c r="ER76"/>
  <c r="EQ76"/>
  <c r="EP76"/>
  <c r="EO76"/>
  <c r="EN76"/>
  <c r="EM76"/>
  <c r="EL76"/>
  <c r="EK76"/>
  <c r="EJ76"/>
  <c r="EI76"/>
  <c r="EH76"/>
  <c r="EG76"/>
  <c r="EF76"/>
  <c r="EE76"/>
  <c r="ED76"/>
  <c r="EC76"/>
  <c r="EB76"/>
  <c r="EA76"/>
  <c r="DZ76"/>
  <c r="DY76"/>
  <c r="DX76"/>
  <c r="DW76"/>
  <c r="DV76"/>
  <c r="DU76"/>
  <c r="DT76"/>
  <c r="DS76"/>
  <c r="DR76"/>
  <c r="DQ76"/>
  <c r="DP76"/>
  <c r="DO76"/>
  <c r="DN76"/>
  <c r="DM76"/>
  <c r="DL76"/>
  <c r="DK76"/>
  <c r="DJ76"/>
  <c r="DI76"/>
  <c r="DH76"/>
  <c r="DG76"/>
  <c r="DF76"/>
  <c r="DE76"/>
  <c r="DD76"/>
  <c r="DC76"/>
  <c r="DB76"/>
  <c r="DA76"/>
  <c r="CZ76"/>
  <c r="CY76"/>
  <c r="CX76"/>
  <c r="CW76"/>
  <c r="CV76"/>
  <c r="CU76"/>
  <c r="CT76"/>
  <c r="CS76"/>
  <c r="CR76"/>
  <c r="CQ76"/>
  <c r="CP76"/>
  <c r="CO76"/>
  <c r="CN76"/>
  <c r="CM76"/>
  <c r="CL76"/>
  <c r="CK76"/>
  <c r="CJ76"/>
  <c r="CI76"/>
  <c r="CH76"/>
  <c r="CG76"/>
  <c r="CF76"/>
  <c r="CE76"/>
  <c r="CD76"/>
  <c r="CC76"/>
  <c r="CB76"/>
  <c r="CA76"/>
  <c r="BZ76"/>
  <c r="BY76"/>
  <c r="BX76"/>
  <c r="BW76"/>
  <c r="BV76"/>
  <c r="BU76"/>
  <c r="BT76"/>
  <c r="BS76"/>
  <c r="BR76"/>
  <c r="BQ76"/>
  <c r="BP76"/>
  <c r="BO76"/>
  <c r="BN76"/>
  <c r="BM76"/>
  <c r="BL76"/>
  <c r="BK76"/>
  <c r="BJ76"/>
  <c r="BI76"/>
  <c r="BH76"/>
  <c r="BG76"/>
  <c r="BF76"/>
  <c r="BE76"/>
  <c r="BD76"/>
  <c r="BC76"/>
  <c r="BB76"/>
  <c r="BA76"/>
  <c r="AZ76"/>
  <c r="AY76"/>
  <c r="AX76"/>
  <c r="AW76"/>
  <c r="AV76"/>
  <c r="AU76"/>
  <c r="AT76"/>
  <c r="AS76"/>
  <c r="AR76"/>
  <c r="AQ76"/>
  <c r="AP76"/>
  <c r="AO76"/>
  <c r="AN76"/>
  <c r="AM76"/>
  <c r="AL76"/>
  <c r="AK76"/>
  <c r="AJ76"/>
  <c r="AI76"/>
  <c r="AH76"/>
  <c r="AG76"/>
  <c r="AF76"/>
  <c r="AE76"/>
  <c r="AD76"/>
  <c r="AC76"/>
  <c r="AB76"/>
  <c r="AA76"/>
  <c r="Z76"/>
  <c r="Y76"/>
  <c r="X76"/>
  <c r="W76"/>
  <c r="V76"/>
  <c r="U76"/>
  <c r="T76"/>
  <c r="S76"/>
  <c r="R76"/>
  <c r="Q76"/>
  <c r="P76"/>
  <c r="O76"/>
  <c r="N76"/>
  <c r="M76"/>
  <c r="L76"/>
  <c r="K76"/>
  <c r="J76"/>
  <c r="I76"/>
  <c r="H76"/>
  <c r="G76"/>
  <c r="F76"/>
  <c r="E76"/>
  <c r="D76"/>
  <c r="C76"/>
  <c r="B76"/>
  <c r="A76"/>
  <c r="IV75"/>
  <c r="IU75"/>
  <c r="IT75"/>
  <c r="IS75"/>
  <c r="IR75"/>
  <c r="IQ75"/>
  <c r="IP75"/>
  <c r="IO75"/>
  <c r="IN75"/>
  <c r="IM75"/>
  <c r="IL75"/>
  <c r="IK75"/>
  <c r="IJ75"/>
  <c r="II75"/>
  <c r="IH75"/>
  <c r="IG75"/>
  <c r="IF75"/>
  <c r="IE75"/>
  <c r="ID75"/>
  <c r="IC75"/>
  <c r="IB75"/>
  <c r="IA75"/>
  <c r="HZ75"/>
  <c r="HY75"/>
  <c r="HX75"/>
  <c r="HW75"/>
  <c r="HV75"/>
  <c r="HU75"/>
  <c r="HT75"/>
  <c r="HS75"/>
  <c r="HR75"/>
  <c r="HQ75"/>
  <c r="HP75"/>
  <c r="HO75"/>
  <c r="HN75"/>
  <c r="HM75"/>
  <c r="HL75"/>
  <c r="HK75"/>
  <c r="HJ75"/>
  <c r="HI75"/>
  <c r="HH75"/>
  <c r="HG75"/>
  <c r="HF75"/>
  <c r="HE75"/>
  <c r="HD75"/>
  <c r="HC75"/>
  <c r="HB75"/>
  <c r="HA75"/>
  <c r="GZ75"/>
  <c r="GY75"/>
  <c r="GX75"/>
  <c r="GW75"/>
  <c r="GV75"/>
  <c r="GU75"/>
  <c r="GT75"/>
  <c r="GS75"/>
  <c r="GR75"/>
  <c r="GQ75"/>
  <c r="GP75"/>
  <c r="GO75"/>
  <c r="GN75"/>
  <c r="GM75"/>
  <c r="GL75"/>
  <c r="GK75"/>
  <c r="GJ75"/>
  <c r="GI75"/>
  <c r="GH75"/>
  <c r="GG75"/>
  <c r="GF75"/>
  <c r="GE75"/>
  <c r="GD75"/>
  <c r="GC75"/>
  <c r="GB75"/>
  <c r="GA75"/>
  <c r="FZ75"/>
  <c r="FY75"/>
  <c r="FX75"/>
  <c r="FW75"/>
  <c r="FV75"/>
  <c r="FU75"/>
  <c r="FT75"/>
  <c r="FS75"/>
  <c r="FR75"/>
  <c r="FQ75"/>
  <c r="FP75"/>
  <c r="FO75"/>
  <c r="FN75"/>
  <c r="FM75"/>
  <c r="FL75"/>
  <c r="FK75"/>
  <c r="FJ75"/>
  <c r="FI75"/>
  <c r="FH75"/>
  <c r="FG75"/>
  <c r="FF75"/>
  <c r="FE75"/>
  <c r="FD75"/>
  <c r="FC75"/>
  <c r="FB75"/>
  <c r="FA75"/>
  <c r="EZ75"/>
  <c r="EY75"/>
  <c r="EX75"/>
  <c r="EW75"/>
  <c r="EV75"/>
  <c r="EU75"/>
  <c r="ET75"/>
  <c r="ES75"/>
  <c r="ER75"/>
  <c r="EQ75"/>
  <c r="EP75"/>
  <c r="EO75"/>
  <c r="EN75"/>
  <c r="EM75"/>
  <c r="EL75"/>
  <c r="EK75"/>
  <c r="EJ75"/>
  <c r="EI75"/>
  <c r="EH75"/>
  <c r="EG75"/>
  <c r="EF75"/>
  <c r="EE75"/>
  <c r="ED75"/>
  <c r="EC75"/>
  <c r="EB75"/>
  <c r="EA75"/>
  <c r="DZ75"/>
  <c r="DY75"/>
  <c r="DX75"/>
  <c r="DW75"/>
  <c r="DV75"/>
  <c r="DU75"/>
  <c r="DT75"/>
  <c r="DS75"/>
  <c r="DR75"/>
  <c r="DQ75"/>
  <c r="DP75"/>
  <c r="DO75"/>
  <c r="DN75"/>
  <c r="DM75"/>
  <c r="DL75"/>
  <c r="DK75"/>
  <c r="DJ75"/>
  <c r="DI75"/>
  <c r="DH75"/>
  <c r="DG75"/>
  <c r="DF75"/>
  <c r="DE75"/>
  <c r="DD75"/>
  <c r="DC75"/>
  <c r="DB75"/>
  <c r="DA75"/>
  <c r="CZ75"/>
  <c r="CY75"/>
  <c r="CX75"/>
  <c r="CW75"/>
  <c r="CV75"/>
  <c r="CU75"/>
  <c r="CT75"/>
  <c r="CS75"/>
  <c r="CR75"/>
  <c r="CQ75"/>
  <c r="CP75"/>
  <c r="CO75"/>
  <c r="CN75"/>
  <c r="CM75"/>
  <c r="CL75"/>
  <c r="CK75"/>
  <c r="CJ75"/>
  <c r="CI75"/>
  <c r="CH75"/>
  <c r="CG75"/>
  <c r="CF75"/>
  <c r="CE75"/>
  <c r="CD75"/>
  <c r="CC75"/>
  <c r="CB75"/>
  <c r="CA75"/>
  <c r="BZ75"/>
  <c r="BY75"/>
  <c r="BX75"/>
  <c r="BW75"/>
  <c r="BV75"/>
  <c r="BU75"/>
  <c r="BT75"/>
  <c r="BS75"/>
  <c r="BR75"/>
  <c r="BQ75"/>
  <c r="BP75"/>
  <c r="BO75"/>
  <c r="BN75"/>
  <c r="BM75"/>
  <c r="BL75"/>
  <c r="BK75"/>
  <c r="BJ75"/>
  <c r="BI75"/>
  <c r="BH75"/>
  <c r="BG75"/>
  <c r="BF75"/>
  <c r="BE75"/>
  <c r="BD75"/>
  <c r="BC75"/>
  <c r="BB75"/>
  <c r="BA75"/>
  <c r="AZ75"/>
  <c r="AY75"/>
  <c r="AX75"/>
  <c r="AW75"/>
  <c r="AV75"/>
  <c r="AU75"/>
  <c r="AT75"/>
  <c r="AS75"/>
  <c r="AR75"/>
  <c r="AQ75"/>
  <c r="AP75"/>
  <c r="AO75"/>
  <c r="AN75"/>
  <c r="AM75"/>
  <c r="AL75"/>
  <c r="AK75"/>
  <c r="AJ75"/>
  <c r="AI75"/>
  <c r="AH75"/>
  <c r="AG75"/>
  <c r="AF75"/>
  <c r="AE75"/>
  <c r="AD75"/>
  <c r="AC75"/>
  <c r="AB75"/>
  <c r="AA75"/>
  <c r="Z75"/>
  <c r="Y75"/>
  <c r="X75"/>
  <c r="W75"/>
  <c r="V75"/>
  <c r="U75"/>
  <c r="T75"/>
  <c r="S75"/>
  <c r="R75"/>
  <c r="Q75"/>
  <c r="P75"/>
  <c r="O75"/>
  <c r="N75"/>
  <c r="M75"/>
  <c r="L75"/>
  <c r="K75"/>
  <c r="J75"/>
  <c r="I75"/>
  <c r="H75"/>
  <c r="G75"/>
  <c r="F75"/>
  <c r="E75"/>
  <c r="D75"/>
  <c r="C75"/>
  <c r="B75"/>
  <c r="A75"/>
  <c r="IV74"/>
  <c r="IU74"/>
  <c r="IT74"/>
  <c r="IS74"/>
  <c r="IR74"/>
  <c r="IQ74"/>
  <c r="IP74"/>
  <c r="IO74"/>
  <c r="IN74"/>
  <c r="IM74"/>
  <c r="IL74"/>
  <c r="IK74"/>
  <c r="IJ74"/>
  <c r="II74"/>
  <c r="IH74"/>
  <c r="IG74"/>
  <c r="IF74"/>
  <c r="IE74"/>
  <c r="ID74"/>
  <c r="IC74"/>
  <c r="IB74"/>
  <c r="IA74"/>
  <c r="HZ74"/>
  <c r="HY74"/>
  <c r="HX74"/>
  <c r="HW74"/>
  <c r="HV74"/>
  <c r="HU74"/>
  <c r="HT74"/>
  <c r="HS74"/>
  <c r="HR74"/>
  <c r="HQ74"/>
  <c r="HP74"/>
  <c r="HO74"/>
  <c r="HN74"/>
  <c r="HM74"/>
  <c r="HL74"/>
  <c r="HK74"/>
  <c r="HJ74"/>
  <c r="HI74"/>
  <c r="HH74"/>
  <c r="HG74"/>
  <c r="HF74"/>
  <c r="HE74"/>
  <c r="HD74"/>
  <c r="HC74"/>
  <c r="HB74"/>
  <c r="HA74"/>
  <c r="GZ74"/>
  <c r="GY74"/>
  <c r="GX74"/>
  <c r="GW74"/>
  <c r="GV74"/>
  <c r="GU74"/>
  <c r="GT74"/>
  <c r="GS74"/>
  <c r="GR74"/>
  <c r="GQ74"/>
  <c r="GP74"/>
  <c r="GO74"/>
  <c r="GN74"/>
  <c r="GM74"/>
  <c r="GL74"/>
  <c r="GK74"/>
  <c r="GJ74"/>
  <c r="GI74"/>
  <c r="GH74"/>
  <c r="GG74"/>
  <c r="GF74"/>
  <c r="GE74"/>
  <c r="GD74"/>
  <c r="GC74"/>
  <c r="GB74"/>
  <c r="GA74"/>
  <c r="FZ74"/>
  <c r="FY74"/>
  <c r="FX74"/>
  <c r="FW74"/>
  <c r="FV74"/>
  <c r="FU74"/>
  <c r="FT74"/>
  <c r="FS74"/>
  <c r="FR74"/>
  <c r="FQ74"/>
  <c r="FP74"/>
  <c r="FO74"/>
  <c r="FN74"/>
  <c r="FM74"/>
  <c r="FL74"/>
  <c r="FK74"/>
  <c r="FJ74"/>
  <c r="FI74"/>
  <c r="FH74"/>
  <c r="FG74"/>
  <c r="FF74"/>
  <c r="FE74"/>
  <c r="FD74"/>
  <c r="FC74"/>
  <c r="FB74"/>
  <c r="FA74"/>
  <c r="EZ74"/>
  <c r="EY74"/>
  <c r="EX74"/>
  <c r="EW74"/>
  <c r="EV74"/>
  <c r="EU74"/>
  <c r="ET74"/>
  <c r="ES74"/>
  <c r="ER74"/>
  <c r="EQ74"/>
  <c r="EP74"/>
  <c r="EO74"/>
  <c r="EN74"/>
  <c r="EM74"/>
  <c r="EL74"/>
  <c r="EK74"/>
  <c r="EJ74"/>
  <c r="EI74"/>
  <c r="EH74"/>
  <c r="EG74"/>
  <c r="EF74"/>
  <c r="EE74"/>
  <c r="ED74"/>
  <c r="EC74"/>
  <c r="EB74"/>
  <c r="EA74"/>
  <c r="DZ74"/>
  <c r="DY74"/>
  <c r="DX74"/>
  <c r="DW74"/>
  <c r="DV74"/>
  <c r="DU74"/>
  <c r="DT74"/>
  <c r="DS74"/>
  <c r="DR74"/>
  <c r="DQ74"/>
  <c r="DP74"/>
  <c r="DO74"/>
  <c r="DN74"/>
  <c r="DM74"/>
  <c r="DL74"/>
  <c r="DK74"/>
  <c r="DJ74"/>
  <c r="DI74"/>
  <c r="DH74"/>
  <c r="DG74"/>
  <c r="DF74"/>
  <c r="DE74"/>
  <c r="DD74"/>
  <c r="DC74"/>
  <c r="DB74"/>
  <c r="DA74"/>
  <c r="CZ74"/>
  <c r="CY74"/>
  <c r="CX74"/>
  <c r="CW74"/>
  <c r="CV74"/>
  <c r="CU74"/>
  <c r="CT74"/>
  <c r="CS74"/>
  <c r="CR74"/>
  <c r="CQ74"/>
  <c r="CP74"/>
  <c r="CO74"/>
  <c r="CN74"/>
  <c r="CM74"/>
  <c r="CL74"/>
  <c r="CK74"/>
  <c r="CJ74"/>
  <c r="CI74"/>
  <c r="CH74"/>
  <c r="CG74"/>
  <c r="CF74"/>
  <c r="CE74"/>
  <c r="CD74"/>
  <c r="CC74"/>
  <c r="CB74"/>
  <c r="CA74"/>
  <c r="BZ74"/>
  <c r="BY74"/>
  <c r="BX74"/>
  <c r="BW74"/>
  <c r="BV74"/>
  <c r="BU74"/>
  <c r="BT74"/>
  <c r="BS74"/>
  <c r="BR74"/>
  <c r="BQ74"/>
  <c r="BP74"/>
  <c r="BO74"/>
  <c r="BN74"/>
  <c r="BM74"/>
  <c r="BL74"/>
  <c r="BK74"/>
  <c r="BJ74"/>
  <c r="BI74"/>
  <c r="BH74"/>
  <c r="BG74"/>
  <c r="BF74"/>
  <c r="BE74"/>
  <c r="BD74"/>
  <c r="BC74"/>
  <c r="BB74"/>
  <c r="BA74"/>
  <c r="AZ74"/>
  <c r="AY74"/>
  <c r="AX74"/>
  <c r="AW74"/>
  <c r="AV74"/>
  <c r="AU74"/>
  <c r="AT74"/>
  <c r="AS74"/>
  <c r="AR74"/>
  <c r="AQ74"/>
  <c r="AP74"/>
  <c r="AO74"/>
  <c r="AN74"/>
  <c r="AM74"/>
  <c r="AL74"/>
  <c r="AK74"/>
  <c r="AJ74"/>
  <c r="AI74"/>
  <c r="AH74"/>
  <c r="AG74"/>
  <c r="AF74"/>
  <c r="AE74"/>
  <c r="AD74"/>
  <c r="AC74"/>
  <c r="AB74"/>
  <c r="AA74"/>
  <c r="Z74"/>
  <c r="Y74"/>
  <c r="X74"/>
  <c r="W74"/>
  <c r="V74"/>
  <c r="U74"/>
  <c r="T74"/>
  <c r="S74"/>
  <c r="R74"/>
  <c r="Q74"/>
  <c r="P74"/>
  <c r="O74"/>
  <c r="N74"/>
  <c r="M74"/>
  <c r="L74"/>
  <c r="K74"/>
  <c r="J74"/>
  <c r="I74"/>
  <c r="H74"/>
  <c r="G74"/>
  <c r="F74"/>
  <c r="E74"/>
  <c r="D74"/>
  <c r="C74"/>
  <c r="B74"/>
  <c r="A74"/>
  <c r="IV73"/>
  <c r="IU73"/>
  <c r="IT73"/>
  <c r="IS73"/>
  <c r="IR73"/>
  <c r="IQ73"/>
  <c r="IP73"/>
  <c r="IO73"/>
  <c r="IN73"/>
  <c r="IM73"/>
  <c r="IL73"/>
  <c r="IK73"/>
  <c r="IJ73"/>
  <c r="II73"/>
  <c r="IH73"/>
  <c r="IG73"/>
  <c r="IF73"/>
  <c r="IE73"/>
  <c r="ID73"/>
  <c r="IC73"/>
  <c r="IB73"/>
  <c r="IA73"/>
  <c r="HZ73"/>
  <c r="HY73"/>
  <c r="HX73"/>
  <c r="HW73"/>
  <c r="HV73"/>
  <c r="HU73"/>
  <c r="HT73"/>
  <c r="HS73"/>
  <c r="HR73"/>
  <c r="HQ73"/>
  <c r="HP73"/>
  <c r="HO73"/>
  <c r="HN73"/>
  <c r="HM73"/>
  <c r="HL73"/>
  <c r="HK73"/>
  <c r="HJ73"/>
  <c r="HI73"/>
  <c r="HH73"/>
  <c r="HG73"/>
  <c r="HF73"/>
  <c r="HE73"/>
  <c r="HD73"/>
  <c r="HC73"/>
  <c r="HB73"/>
  <c r="HA73"/>
  <c r="GZ73"/>
  <c r="GY73"/>
  <c r="GX73"/>
  <c r="GW73"/>
  <c r="GV73"/>
  <c r="GU73"/>
  <c r="GT73"/>
  <c r="GS73"/>
  <c r="GR73"/>
  <c r="GQ73"/>
  <c r="GP73"/>
  <c r="GO73"/>
  <c r="GN73"/>
  <c r="GM73"/>
  <c r="GL73"/>
  <c r="GK73"/>
  <c r="GJ73"/>
  <c r="GI73"/>
  <c r="GH73"/>
  <c r="GG73"/>
  <c r="GF73"/>
  <c r="GE73"/>
  <c r="GD73"/>
  <c r="GC73"/>
  <c r="GB73"/>
  <c r="GA73"/>
  <c r="FZ73"/>
  <c r="FY73"/>
  <c r="FX73"/>
  <c r="FW73"/>
  <c r="FV73"/>
  <c r="FU73"/>
  <c r="FT73"/>
  <c r="FS73"/>
  <c r="FR73"/>
  <c r="FQ73"/>
  <c r="FP73"/>
  <c r="FO73"/>
  <c r="FN73"/>
  <c r="FM73"/>
  <c r="FL73"/>
  <c r="FK73"/>
  <c r="FJ73"/>
  <c r="FI73"/>
  <c r="FH73"/>
  <c r="FG73"/>
  <c r="FF73"/>
  <c r="FE73"/>
  <c r="FD73"/>
  <c r="FC73"/>
  <c r="FB73"/>
  <c r="FA73"/>
  <c r="EZ73"/>
  <c r="EY73"/>
  <c r="EX73"/>
  <c r="EW73"/>
  <c r="EV73"/>
  <c r="EU73"/>
  <c r="ET73"/>
  <c r="ES73"/>
  <c r="ER73"/>
  <c r="EQ73"/>
  <c r="EP73"/>
  <c r="EO73"/>
  <c r="EN73"/>
  <c r="EM73"/>
  <c r="EL73"/>
  <c r="EK73"/>
  <c r="EJ73"/>
  <c r="EI73"/>
  <c r="EH73"/>
  <c r="EG73"/>
  <c r="EF73"/>
  <c r="EE73"/>
  <c r="ED73"/>
  <c r="EC73"/>
  <c r="EB73"/>
  <c r="EA73"/>
  <c r="DZ73"/>
  <c r="DY73"/>
  <c r="DX73"/>
  <c r="DW73"/>
  <c r="DV73"/>
  <c r="DU73"/>
  <c r="DT73"/>
  <c r="DS73"/>
  <c r="DR73"/>
  <c r="DQ73"/>
  <c r="DP73"/>
  <c r="DO73"/>
  <c r="DN73"/>
  <c r="DM73"/>
  <c r="DL73"/>
  <c r="DK73"/>
  <c r="DJ73"/>
  <c r="DI73"/>
  <c r="DH73"/>
  <c r="DG73"/>
  <c r="DF73"/>
  <c r="DE73"/>
  <c r="DD73"/>
  <c r="DC73"/>
  <c r="DB73"/>
  <c r="DA73"/>
  <c r="CZ73"/>
  <c r="CY73"/>
  <c r="CX73"/>
  <c r="CW73"/>
  <c r="CV73"/>
  <c r="CU73"/>
  <c r="CT73"/>
  <c r="CS73"/>
  <c r="CR73"/>
  <c r="CQ73"/>
  <c r="CP73"/>
  <c r="CO73"/>
  <c r="CN73"/>
  <c r="CM73"/>
  <c r="CL73"/>
  <c r="CK73"/>
  <c r="CJ73"/>
  <c r="CI73"/>
  <c r="CH73"/>
  <c r="CG73"/>
  <c r="CF73"/>
  <c r="CE73"/>
  <c r="CD73"/>
  <c r="CC73"/>
  <c r="CB73"/>
  <c r="CA73"/>
  <c r="BZ73"/>
  <c r="BY73"/>
  <c r="BX73"/>
  <c r="BW73"/>
  <c r="BV73"/>
  <c r="BU73"/>
  <c r="BT73"/>
  <c r="BS73"/>
  <c r="BR73"/>
  <c r="BQ73"/>
  <c r="BP73"/>
  <c r="BO73"/>
  <c r="BN73"/>
  <c r="BM73"/>
  <c r="BL73"/>
  <c r="BK73"/>
  <c r="BJ73"/>
  <c r="BI73"/>
  <c r="BH73"/>
  <c r="BG73"/>
  <c r="BF73"/>
  <c r="BE73"/>
  <c r="BD73"/>
  <c r="BC73"/>
  <c r="BB73"/>
  <c r="BA73"/>
  <c r="AZ73"/>
  <c r="AY73"/>
  <c r="AX73"/>
  <c r="AW73"/>
  <c r="AV73"/>
  <c r="AU73"/>
  <c r="AT73"/>
  <c r="AS73"/>
  <c r="AR73"/>
  <c r="AQ73"/>
  <c r="AP73"/>
  <c r="AO73"/>
  <c r="AN73"/>
  <c r="AM73"/>
  <c r="AL73"/>
  <c r="AK73"/>
  <c r="AJ73"/>
  <c r="AI73"/>
  <c r="AH73"/>
  <c r="AG73"/>
  <c r="AF73"/>
  <c r="AE73"/>
  <c r="AD73"/>
  <c r="AC73"/>
  <c r="AB73"/>
  <c r="AA73"/>
  <c r="Z73"/>
  <c r="Y73"/>
  <c r="X73"/>
  <c r="W73"/>
  <c r="V73"/>
  <c r="U73"/>
  <c r="T73"/>
  <c r="S73"/>
  <c r="R73"/>
  <c r="Q73"/>
  <c r="P73"/>
  <c r="O73"/>
  <c r="N73"/>
  <c r="M73"/>
  <c r="L73"/>
  <c r="K73"/>
  <c r="J73"/>
  <c r="I73"/>
  <c r="H73"/>
  <c r="G73"/>
  <c r="F73"/>
  <c r="E73"/>
  <c r="D73"/>
  <c r="C73"/>
  <c r="B73"/>
  <c r="A73"/>
  <c r="IV72"/>
  <c r="IU72"/>
  <c r="IT72"/>
  <c r="IS72"/>
  <c r="IR72"/>
  <c r="IQ72"/>
  <c r="IP72"/>
  <c r="IO72"/>
  <c r="IN72"/>
  <c r="IM72"/>
  <c r="IL72"/>
  <c r="IK72"/>
  <c r="IJ72"/>
  <c r="II72"/>
  <c r="IH72"/>
  <c r="IG72"/>
  <c r="IF72"/>
  <c r="IE72"/>
  <c r="ID72"/>
  <c r="IC72"/>
  <c r="IB72"/>
  <c r="IA72"/>
  <c r="HZ72"/>
  <c r="HY72"/>
  <c r="HX72"/>
  <c r="HW72"/>
  <c r="HV72"/>
  <c r="HU72"/>
  <c r="HT72"/>
  <c r="HS72"/>
  <c r="HR72"/>
  <c r="HQ72"/>
  <c r="HP72"/>
  <c r="HO72"/>
  <c r="HN72"/>
  <c r="HM72"/>
  <c r="HL72"/>
  <c r="HK72"/>
  <c r="HJ72"/>
  <c r="HI72"/>
  <c r="HH72"/>
  <c r="HG72"/>
  <c r="HF72"/>
  <c r="HE72"/>
  <c r="HD72"/>
  <c r="HC72"/>
  <c r="HB72"/>
  <c r="HA72"/>
  <c r="GZ72"/>
  <c r="GY72"/>
  <c r="GX72"/>
  <c r="GW72"/>
  <c r="GV72"/>
  <c r="GU72"/>
  <c r="GT72"/>
  <c r="GS72"/>
  <c r="GR72"/>
  <c r="GQ72"/>
  <c r="GP72"/>
  <c r="GO72"/>
  <c r="GN72"/>
  <c r="GM72"/>
  <c r="GL72"/>
  <c r="GK72"/>
  <c r="GJ72"/>
  <c r="GI72"/>
  <c r="GH72"/>
  <c r="GG72"/>
  <c r="GF72"/>
  <c r="GE72"/>
  <c r="GD72"/>
  <c r="GC72"/>
  <c r="GB72"/>
  <c r="GA72"/>
  <c r="FZ72"/>
  <c r="FY72"/>
  <c r="FX72"/>
  <c r="FW72"/>
  <c r="FV72"/>
  <c r="FU72"/>
  <c r="FT72"/>
  <c r="FS72"/>
  <c r="FR72"/>
  <c r="FQ72"/>
  <c r="FP72"/>
  <c r="FO72"/>
  <c r="FN72"/>
  <c r="FM72"/>
  <c r="FL72"/>
  <c r="FK72"/>
  <c r="FJ72"/>
  <c r="FI72"/>
  <c r="FH72"/>
  <c r="FG72"/>
  <c r="FF72"/>
  <c r="FE72"/>
  <c r="FD72"/>
  <c r="FC72"/>
  <c r="FB72"/>
  <c r="FA72"/>
  <c r="EZ72"/>
  <c r="EY72"/>
  <c r="EX72"/>
  <c r="EW72"/>
  <c r="EV72"/>
  <c r="EU72"/>
  <c r="ET72"/>
  <c r="ES72"/>
  <c r="ER72"/>
  <c r="EQ72"/>
  <c r="EP72"/>
  <c r="EO72"/>
  <c r="EN72"/>
  <c r="EM72"/>
  <c r="EL72"/>
  <c r="EK72"/>
  <c r="EJ72"/>
  <c r="EI72"/>
  <c r="EH72"/>
  <c r="EG72"/>
  <c r="EF72"/>
  <c r="EE72"/>
  <c r="ED72"/>
  <c r="EC72"/>
  <c r="EB72"/>
  <c r="EA72"/>
  <c r="DZ72"/>
  <c r="DY72"/>
  <c r="DX72"/>
  <c r="DW72"/>
  <c r="DV72"/>
  <c r="DU72"/>
  <c r="DT72"/>
  <c r="DS72"/>
  <c r="DR72"/>
  <c r="DQ72"/>
  <c r="DP72"/>
  <c r="DO72"/>
  <c r="DN72"/>
  <c r="DM72"/>
  <c r="DL72"/>
  <c r="DK72"/>
  <c r="DJ72"/>
  <c r="DI72"/>
  <c r="DH72"/>
  <c r="DG72"/>
  <c r="DF72"/>
  <c r="DE72"/>
  <c r="DD72"/>
  <c r="DC72"/>
  <c r="DB72"/>
  <c r="DA72"/>
  <c r="CZ72"/>
  <c r="CY72"/>
  <c r="CX72"/>
  <c r="CW72"/>
  <c r="CV72"/>
  <c r="CU72"/>
  <c r="CT72"/>
  <c r="CS72"/>
  <c r="CR72"/>
  <c r="CQ72"/>
  <c r="CP72"/>
  <c r="CO72"/>
  <c r="CN72"/>
  <c r="CM72"/>
  <c r="CL72"/>
  <c r="CK72"/>
  <c r="CJ72"/>
  <c r="CI72"/>
  <c r="CH72"/>
  <c r="CG72"/>
  <c r="CF72"/>
  <c r="CE72"/>
  <c r="CD72"/>
  <c r="CC72"/>
  <c r="CB72"/>
  <c r="CA72"/>
  <c r="BZ72"/>
  <c r="BY72"/>
  <c r="BX72"/>
  <c r="BW72"/>
  <c r="BV72"/>
  <c r="BU72"/>
  <c r="BT72"/>
  <c r="BS72"/>
  <c r="BR72"/>
  <c r="BQ72"/>
  <c r="BP72"/>
  <c r="BO72"/>
  <c r="BN72"/>
  <c r="BM72"/>
  <c r="BL72"/>
  <c r="BK72"/>
  <c r="BJ72"/>
  <c r="BI72"/>
  <c r="BH72"/>
  <c r="BG72"/>
  <c r="BF72"/>
  <c r="BE72"/>
  <c r="BD72"/>
  <c r="BC72"/>
  <c r="BB72"/>
  <c r="BA72"/>
  <c r="AZ72"/>
  <c r="AY72"/>
  <c r="AX72"/>
  <c r="AW72"/>
  <c r="AV72"/>
  <c r="AU72"/>
  <c r="AT72"/>
  <c r="AS72"/>
  <c r="AR72"/>
  <c r="AQ72"/>
  <c r="AP72"/>
  <c r="AO72"/>
  <c r="AN72"/>
  <c r="AM72"/>
  <c r="AL72"/>
  <c r="AK72"/>
  <c r="AJ72"/>
  <c r="AI72"/>
  <c r="AH72"/>
  <c r="AG72"/>
  <c r="AF72"/>
  <c r="AE72"/>
  <c r="AD72"/>
  <c r="AC72"/>
  <c r="AB72"/>
  <c r="AA72"/>
  <c r="Z72"/>
  <c r="Y72"/>
  <c r="X72"/>
  <c r="W72"/>
  <c r="V72"/>
  <c r="U72"/>
  <c r="T72"/>
  <c r="S72"/>
  <c r="R72"/>
  <c r="Q72"/>
  <c r="P72"/>
  <c r="O72"/>
  <c r="N72"/>
  <c r="M72"/>
  <c r="L72"/>
  <c r="K72"/>
  <c r="J72"/>
  <c r="I72"/>
  <c r="H72"/>
  <c r="G72"/>
  <c r="F72"/>
  <c r="E72"/>
  <c r="D72"/>
  <c r="C72"/>
  <c r="B72"/>
  <c r="A72"/>
  <c r="IV71"/>
  <c r="IU71"/>
  <c r="IT71"/>
  <c r="IS71"/>
  <c r="IR71"/>
  <c r="IQ71"/>
  <c r="IP71"/>
  <c r="IO71"/>
  <c r="IN71"/>
  <c r="IM71"/>
  <c r="IL71"/>
  <c r="IK71"/>
  <c r="IJ71"/>
  <c r="II71"/>
  <c r="IH71"/>
  <c r="IG71"/>
  <c r="IF71"/>
  <c r="IE71"/>
  <c r="ID71"/>
  <c r="IC71"/>
  <c r="IB71"/>
  <c r="IA71"/>
  <c r="HZ71"/>
  <c r="HY71"/>
  <c r="HX71"/>
  <c r="HW71"/>
  <c r="HV71"/>
  <c r="HU71"/>
  <c r="HT71"/>
  <c r="HS71"/>
  <c r="HR71"/>
  <c r="HQ71"/>
  <c r="HP71"/>
  <c r="HO71"/>
  <c r="HN71"/>
  <c r="HM71"/>
  <c r="HL71"/>
  <c r="HK71"/>
  <c r="HJ71"/>
  <c r="HI71"/>
  <c r="HH71"/>
  <c r="HG71"/>
  <c r="HF71"/>
  <c r="HE71"/>
  <c r="HD71"/>
  <c r="HC71"/>
  <c r="HB71"/>
  <c r="HA71"/>
  <c r="GZ71"/>
  <c r="GY71"/>
  <c r="GX71"/>
  <c r="GW71"/>
  <c r="GV71"/>
  <c r="GU71"/>
  <c r="GT71"/>
  <c r="GS71"/>
  <c r="GR71"/>
  <c r="GQ71"/>
  <c r="GP71"/>
  <c r="GO71"/>
  <c r="GN71"/>
  <c r="GM71"/>
  <c r="GL71"/>
  <c r="GK71"/>
  <c r="GJ71"/>
  <c r="GI71"/>
  <c r="GH71"/>
  <c r="GG71"/>
  <c r="GF71"/>
  <c r="GE71"/>
  <c r="GD71"/>
  <c r="GC71"/>
  <c r="GB71"/>
  <c r="GA71"/>
  <c r="FZ71"/>
  <c r="FY71"/>
  <c r="FX71"/>
  <c r="FW71"/>
  <c r="FV71"/>
  <c r="FU71"/>
  <c r="FT71"/>
  <c r="FS71"/>
  <c r="FR71"/>
  <c r="FQ71"/>
  <c r="FP71"/>
  <c r="FO71"/>
  <c r="FN71"/>
  <c r="FM71"/>
  <c r="FL71"/>
  <c r="FK71"/>
  <c r="FJ71"/>
  <c r="FI71"/>
  <c r="FH71"/>
  <c r="FG71"/>
  <c r="FF71"/>
  <c r="FE71"/>
  <c r="FD71"/>
  <c r="FC71"/>
  <c r="FB71"/>
  <c r="FA71"/>
  <c r="EZ71"/>
  <c r="EY71"/>
  <c r="EX71"/>
  <c r="EW71"/>
  <c r="EV71"/>
  <c r="EU71"/>
  <c r="ET71"/>
  <c r="ES71"/>
  <c r="ER71"/>
  <c r="EQ71"/>
  <c r="EP71"/>
  <c r="EO71"/>
  <c r="EN71"/>
  <c r="EM71"/>
  <c r="EL71"/>
  <c r="EK71"/>
  <c r="EJ71"/>
  <c r="EI71"/>
  <c r="EH71"/>
  <c r="EG71"/>
  <c r="EF71"/>
  <c r="EE71"/>
  <c r="ED71"/>
  <c r="EC71"/>
  <c r="EB71"/>
  <c r="EA71"/>
  <c r="DZ71"/>
  <c r="DY71"/>
  <c r="DX71"/>
  <c r="DW71"/>
  <c r="DV71"/>
  <c r="DU71"/>
  <c r="DT71"/>
  <c r="DS71"/>
  <c r="DR71"/>
  <c r="DQ71"/>
  <c r="DP71"/>
  <c r="DO71"/>
  <c r="DN71"/>
  <c r="DM71"/>
  <c r="DL71"/>
  <c r="DK71"/>
  <c r="DJ71"/>
  <c r="DI71"/>
  <c r="DH71"/>
  <c r="DG71"/>
  <c r="DF71"/>
  <c r="DE71"/>
  <c r="DD71"/>
  <c r="DC71"/>
  <c r="DB71"/>
  <c r="DA71"/>
  <c r="CZ71"/>
  <c r="CY71"/>
  <c r="CX71"/>
  <c r="CW71"/>
  <c r="CV71"/>
  <c r="CU71"/>
  <c r="CT71"/>
  <c r="CS71"/>
  <c r="CR71"/>
  <c r="CQ71"/>
  <c r="CP71"/>
  <c r="CO71"/>
  <c r="CN71"/>
  <c r="CM71"/>
  <c r="CL71"/>
  <c r="CK71"/>
  <c r="CJ71"/>
  <c r="CI71"/>
  <c r="CH71"/>
  <c r="CG71"/>
  <c r="CF71"/>
  <c r="CE71"/>
  <c r="CD71"/>
  <c r="CC71"/>
  <c r="CB71"/>
  <c r="CA71"/>
  <c r="BZ71"/>
  <c r="BY71"/>
  <c r="BX71"/>
  <c r="BW71"/>
  <c r="BV71"/>
  <c r="BU71"/>
  <c r="BT71"/>
  <c r="BS71"/>
  <c r="BR71"/>
  <c r="BQ71"/>
  <c r="BP71"/>
  <c r="BO71"/>
  <c r="BN71"/>
  <c r="BM71"/>
  <c r="BL71"/>
  <c r="BK71"/>
  <c r="BJ71"/>
  <c r="BI71"/>
  <c r="BH71"/>
  <c r="BG71"/>
  <c r="BF71"/>
  <c r="BE71"/>
  <c r="BD71"/>
  <c r="BC71"/>
  <c r="BB71"/>
  <c r="BA71"/>
  <c r="AZ71"/>
  <c r="AY71"/>
  <c r="AX71"/>
  <c r="AW71"/>
  <c r="AV71"/>
  <c r="AU71"/>
  <c r="AT71"/>
  <c r="AS71"/>
  <c r="AR71"/>
  <c r="AQ71"/>
  <c r="AP71"/>
  <c r="AO71"/>
  <c r="AN71"/>
  <c r="AM71"/>
  <c r="AL71"/>
  <c r="AK71"/>
  <c r="AJ71"/>
  <c r="AI71"/>
  <c r="AH71"/>
  <c r="AG71"/>
  <c r="AF71"/>
  <c r="AE71"/>
  <c r="AD71"/>
  <c r="AC71"/>
  <c r="AB71"/>
  <c r="AA71"/>
  <c r="Z71"/>
  <c r="Y71"/>
  <c r="X71"/>
  <c r="W71"/>
  <c r="V71"/>
  <c r="U71"/>
  <c r="T71"/>
  <c r="S71"/>
  <c r="R71"/>
  <c r="Q71"/>
  <c r="P71"/>
  <c r="O71"/>
  <c r="N71"/>
  <c r="M71"/>
  <c r="L71"/>
  <c r="K71"/>
  <c r="J71"/>
  <c r="I71"/>
  <c r="H71"/>
  <c r="G71"/>
  <c r="F71"/>
  <c r="E71"/>
  <c r="D71"/>
  <c r="C71"/>
  <c r="B71"/>
  <c r="A71"/>
  <c r="IV70"/>
  <c r="IU70"/>
  <c r="IT70"/>
  <c r="IS70"/>
  <c r="IR70"/>
  <c r="IQ70"/>
  <c r="IP70"/>
  <c r="IO70"/>
  <c r="IN70"/>
  <c r="IM70"/>
  <c r="IL70"/>
  <c r="IK70"/>
  <c r="IJ70"/>
  <c r="II70"/>
  <c r="IH70"/>
  <c r="IG70"/>
  <c r="IF70"/>
  <c r="IE70"/>
  <c r="ID70"/>
  <c r="IC70"/>
  <c r="IB70"/>
  <c r="IA70"/>
  <c r="HZ70"/>
  <c r="HY70"/>
  <c r="HX70"/>
  <c r="HW70"/>
  <c r="HV70"/>
  <c r="HU70"/>
  <c r="HT70"/>
  <c r="HS70"/>
  <c r="HR70"/>
  <c r="HQ70"/>
  <c r="HP70"/>
  <c r="HO70"/>
  <c r="HN70"/>
  <c r="HM70"/>
  <c r="HL70"/>
  <c r="HK70"/>
  <c r="HJ70"/>
  <c r="HI70"/>
  <c r="HH70"/>
  <c r="HG70"/>
  <c r="HF70"/>
  <c r="HE70"/>
  <c r="HD70"/>
  <c r="HC70"/>
  <c r="HB70"/>
  <c r="HA70"/>
  <c r="GZ70"/>
  <c r="GY70"/>
  <c r="GX70"/>
  <c r="GW70"/>
  <c r="GV70"/>
  <c r="GU70"/>
  <c r="GT70"/>
  <c r="GS70"/>
  <c r="GR70"/>
  <c r="GQ70"/>
  <c r="GP70"/>
  <c r="GO70"/>
  <c r="GN70"/>
  <c r="GM70"/>
  <c r="GL70"/>
  <c r="GK70"/>
  <c r="GJ70"/>
  <c r="GI70"/>
  <c r="GH70"/>
  <c r="GG70"/>
  <c r="GF70"/>
  <c r="GE70"/>
  <c r="GD70"/>
  <c r="GC70"/>
  <c r="GB70"/>
  <c r="GA70"/>
  <c r="FZ70"/>
  <c r="FY70"/>
  <c r="FX70"/>
  <c r="FW70"/>
  <c r="FV70"/>
  <c r="FU70"/>
  <c r="FT70"/>
  <c r="FS70"/>
  <c r="FR70"/>
  <c r="FQ70"/>
  <c r="FP70"/>
  <c r="FO70"/>
  <c r="FN70"/>
  <c r="FM70"/>
  <c r="FL70"/>
  <c r="FK70"/>
  <c r="FJ70"/>
  <c r="FI70"/>
  <c r="FH70"/>
  <c r="FG70"/>
  <c r="FF70"/>
  <c r="FE70"/>
  <c r="FD70"/>
  <c r="FC70"/>
  <c r="FB70"/>
  <c r="FA70"/>
  <c r="EZ70"/>
  <c r="EY70"/>
  <c r="EX70"/>
  <c r="EW70"/>
  <c r="EV70"/>
  <c r="EU70"/>
  <c r="ET70"/>
  <c r="ES70"/>
  <c r="ER70"/>
  <c r="EQ70"/>
  <c r="EP70"/>
  <c r="EO70"/>
  <c r="EN70"/>
  <c r="EM70"/>
  <c r="EL70"/>
  <c r="EK70"/>
  <c r="EJ70"/>
  <c r="EI70"/>
  <c r="EH70"/>
  <c r="EG70"/>
  <c r="EF70"/>
  <c r="EE70"/>
  <c r="ED70"/>
  <c r="EC70"/>
  <c r="EB70"/>
  <c r="EA70"/>
  <c r="DZ70"/>
  <c r="DY70"/>
  <c r="DX70"/>
  <c r="DW70"/>
  <c r="DV70"/>
  <c r="DU70"/>
  <c r="DT70"/>
  <c r="DS70"/>
  <c r="DR70"/>
  <c r="DQ70"/>
  <c r="DP70"/>
  <c r="DO70"/>
  <c r="DN70"/>
  <c r="DM70"/>
  <c r="DL70"/>
  <c r="DK70"/>
  <c r="DJ70"/>
  <c r="DI70"/>
  <c r="DH70"/>
  <c r="DG70"/>
  <c r="DF70"/>
  <c r="DE70"/>
  <c r="DD70"/>
  <c r="DC70"/>
  <c r="DB70"/>
  <c r="DA70"/>
  <c r="CZ70"/>
  <c r="CY70"/>
  <c r="CX70"/>
  <c r="CW70"/>
  <c r="CV70"/>
  <c r="CU70"/>
  <c r="CT70"/>
  <c r="CS70"/>
  <c r="CR70"/>
  <c r="CQ70"/>
  <c r="CP70"/>
  <c r="CO70"/>
  <c r="CN70"/>
  <c r="CM70"/>
  <c r="CL70"/>
  <c r="CK70"/>
  <c r="CJ70"/>
  <c r="CI70"/>
  <c r="CH70"/>
  <c r="CG70"/>
  <c r="CF70"/>
  <c r="CE70"/>
  <c r="CD70"/>
  <c r="CC70"/>
  <c r="CB70"/>
  <c r="CA70"/>
  <c r="BZ70"/>
  <c r="BY70"/>
  <c r="BX70"/>
  <c r="BW70"/>
  <c r="BV70"/>
  <c r="BU70"/>
  <c r="BT70"/>
  <c r="BS70"/>
  <c r="BR70"/>
  <c r="BQ70"/>
  <c r="BP70"/>
  <c r="BO70"/>
  <c r="BN70"/>
  <c r="BM70"/>
  <c r="BL70"/>
  <c r="BK70"/>
  <c r="BJ70"/>
  <c r="BI70"/>
  <c r="BH70"/>
  <c r="BG70"/>
  <c r="BF70"/>
  <c r="BE70"/>
  <c r="BD70"/>
  <c r="BC70"/>
  <c r="BB70"/>
  <c r="BA70"/>
  <c r="AZ70"/>
  <c r="AY70"/>
  <c r="AX70"/>
  <c r="AW70"/>
  <c r="AV70"/>
  <c r="AU70"/>
  <c r="AT70"/>
  <c r="AS70"/>
  <c r="AR70"/>
  <c r="AQ70"/>
  <c r="AP70"/>
  <c r="AO70"/>
  <c r="AN70"/>
  <c r="AM70"/>
  <c r="AL70"/>
  <c r="AK70"/>
  <c r="AJ70"/>
  <c r="AI70"/>
  <c r="AH70"/>
  <c r="AG70"/>
  <c r="AF70"/>
  <c r="AE70"/>
  <c r="AD70"/>
  <c r="AC70"/>
  <c r="AB70"/>
  <c r="AA70"/>
  <c r="Z70"/>
  <c r="Y70"/>
  <c r="X70"/>
  <c r="W70"/>
  <c r="V70"/>
  <c r="U70"/>
  <c r="T70"/>
  <c r="S70"/>
  <c r="R70"/>
  <c r="Q70"/>
  <c r="P70"/>
  <c r="O70"/>
  <c r="N70"/>
  <c r="M70"/>
  <c r="L70"/>
  <c r="K70"/>
  <c r="J70"/>
  <c r="I70"/>
  <c r="H70"/>
  <c r="G70"/>
  <c r="F70"/>
  <c r="E70"/>
  <c r="D70"/>
  <c r="C70"/>
  <c r="B70"/>
  <c r="A70"/>
  <c r="IV69"/>
  <c r="IU69"/>
  <c r="IT69"/>
  <c r="IS69"/>
  <c r="IR69"/>
  <c r="IQ69"/>
  <c r="IP69"/>
  <c r="IO69"/>
  <c r="IN69"/>
  <c r="IM69"/>
  <c r="IL69"/>
  <c r="IK69"/>
  <c r="IJ69"/>
  <c r="II69"/>
  <c r="IH69"/>
  <c r="IG69"/>
  <c r="IF69"/>
  <c r="IE69"/>
  <c r="ID69"/>
  <c r="IC69"/>
  <c r="IB69"/>
  <c r="IA69"/>
  <c r="HZ69"/>
  <c r="HY69"/>
  <c r="HX69"/>
  <c r="HW69"/>
  <c r="HV69"/>
  <c r="HU69"/>
  <c r="HT69"/>
  <c r="HS69"/>
  <c r="HR69"/>
  <c r="HQ69"/>
  <c r="HP69"/>
  <c r="HO69"/>
  <c r="HN69"/>
  <c r="HM69"/>
  <c r="HL69"/>
  <c r="HK69"/>
  <c r="HJ69"/>
  <c r="HI69"/>
  <c r="HH69"/>
  <c r="HG69"/>
  <c r="HF69"/>
  <c r="HE69"/>
  <c r="HD69"/>
  <c r="HC69"/>
  <c r="HB69"/>
  <c r="HA69"/>
  <c r="GZ69"/>
  <c r="GY69"/>
  <c r="GX69"/>
  <c r="GW69"/>
  <c r="GV69"/>
  <c r="GU69"/>
  <c r="GT69"/>
  <c r="GS69"/>
  <c r="GR69"/>
  <c r="GQ69"/>
  <c r="GP69"/>
  <c r="GO69"/>
  <c r="GN69"/>
  <c r="GM69"/>
  <c r="GL69"/>
  <c r="GK69"/>
  <c r="GJ69"/>
  <c r="GI69"/>
  <c r="GH69"/>
  <c r="GG69"/>
  <c r="GF69"/>
  <c r="GE69"/>
  <c r="GD69"/>
  <c r="GC69"/>
  <c r="GB69"/>
  <c r="GA69"/>
  <c r="FZ69"/>
  <c r="FY69"/>
  <c r="FX69"/>
  <c r="FW69"/>
  <c r="FV69"/>
  <c r="FU69"/>
  <c r="FT69"/>
  <c r="FS69"/>
  <c r="FR69"/>
  <c r="FQ69"/>
  <c r="FP69"/>
  <c r="FO69"/>
  <c r="FN69"/>
  <c r="FM69"/>
  <c r="FL69"/>
  <c r="FK69"/>
  <c r="FJ69"/>
  <c r="FI69"/>
  <c r="FH69"/>
  <c r="FG69"/>
  <c r="FF69"/>
  <c r="FE69"/>
  <c r="FD69"/>
  <c r="FC69"/>
  <c r="FB69"/>
  <c r="FA69"/>
  <c r="EZ69"/>
  <c r="EY69"/>
  <c r="EX69"/>
  <c r="EW69"/>
  <c r="EV69"/>
  <c r="EU69"/>
  <c r="ET69"/>
  <c r="ES69"/>
  <c r="ER69"/>
  <c r="EQ69"/>
  <c r="EP69"/>
  <c r="EO69"/>
  <c r="EN69"/>
  <c r="EM69"/>
  <c r="EL69"/>
  <c r="EK69"/>
  <c r="EJ69"/>
  <c r="EI69"/>
  <c r="EH69"/>
  <c r="EG69"/>
  <c r="EF69"/>
  <c r="EE69"/>
  <c r="ED69"/>
  <c r="EC69"/>
  <c r="EB69"/>
  <c r="EA69"/>
  <c r="DZ69"/>
  <c r="DY69"/>
  <c r="DX69"/>
  <c r="DW69"/>
  <c r="DV69"/>
  <c r="DU69"/>
  <c r="DT69"/>
  <c r="DS69"/>
  <c r="DR69"/>
  <c r="DQ69"/>
  <c r="DP69"/>
  <c r="DO69"/>
  <c r="DN69"/>
  <c r="DM69"/>
  <c r="DL69"/>
  <c r="DK69"/>
  <c r="DJ69"/>
  <c r="DI69"/>
  <c r="DH69"/>
  <c r="DG69"/>
  <c r="DF69"/>
  <c r="DE69"/>
  <c r="DD69"/>
  <c r="DC69"/>
  <c r="DB69"/>
  <c r="DA69"/>
  <c r="CZ69"/>
  <c r="CY69"/>
  <c r="CX69"/>
  <c r="CW69"/>
  <c r="CV69"/>
  <c r="CU69"/>
  <c r="CT69"/>
  <c r="CS69"/>
  <c r="CR69"/>
  <c r="CQ69"/>
  <c r="CP69"/>
  <c r="CO69"/>
  <c r="CN69"/>
  <c r="CM69"/>
  <c r="CL69"/>
  <c r="CK69"/>
  <c r="CJ69"/>
  <c r="CI69"/>
  <c r="CH69"/>
  <c r="CG69"/>
  <c r="CF69"/>
  <c r="CE69"/>
  <c r="CD69"/>
  <c r="CC69"/>
  <c r="CB69"/>
  <c r="CA69"/>
  <c r="BZ69"/>
  <c r="BY69"/>
  <c r="BX69"/>
  <c r="BW69"/>
  <c r="BV69"/>
  <c r="BU69"/>
  <c r="BT69"/>
  <c r="BS69"/>
  <c r="BR69"/>
  <c r="BQ69"/>
  <c r="BP69"/>
  <c r="BO69"/>
  <c r="BN69"/>
  <c r="BM69"/>
  <c r="BL69"/>
  <c r="BK69"/>
  <c r="BJ69"/>
  <c r="BI69"/>
  <c r="BH69"/>
  <c r="BG69"/>
  <c r="BF69"/>
  <c r="BE69"/>
  <c r="BD69"/>
  <c r="BC69"/>
  <c r="BB69"/>
  <c r="BA69"/>
  <c r="AZ69"/>
  <c r="AY69"/>
  <c r="AX69"/>
  <c r="AW69"/>
  <c r="AV69"/>
  <c r="AU69"/>
  <c r="AT69"/>
  <c r="AS69"/>
  <c r="AR69"/>
  <c r="AQ69"/>
  <c r="AP69"/>
  <c r="AO69"/>
  <c r="AN69"/>
  <c r="AM69"/>
  <c r="AL69"/>
  <c r="AK69"/>
  <c r="AJ69"/>
  <c r="AI69"/>
  <c r="AH69"/>
  <c r="AG69"/>
  <c r="AF69"/>
  <c r="AE69"/>
  <c r="AD69"/>
  <c r="AC69"/>
  <c r="AB69"/>
  <c r="AA69"/>
  <c r="Z69"/>
  <c r="Y69"/>
  <c r="X69"/>
  <c r="W69"/>
  <c r="V69"/>
  <c r="U69"/>
  <c r="T69"/>
  <c r="S69"/>
  <c r="R69"/>
  <c r="Q69"/>
  <c r="P69"/>
  <c r="O69"/>
  <c r="N69"/>
  <c r="M69"/>
  <c r="L69"/>
  <c r="K69"/>
  <c r="J69"/>
  <c r="I69"/>
  <c r="H69"/>
  <c r="G69"/>
  <c r="F69"/>
  <c r="E69"/>
  <c r="D69"/>
  <c r="C69"/>
  <c r="B69"/>
  <c r="A69"/>
  <c r="IV68"/>
  <c r="IU68"/>
  <c r="IT68"/>
  <c r="IS68"/>
  <c r="IR68"/>
  <c r="IQ68"/>
  <c r="IP68"/>
  <c r="IO68"/>
  <c r="IN68"/>
  <c r="IM68"/>
  <c r="IL68"/>
  <c r="IK68"/>
  <c r="IJ68"/>
  <c r="II68"/>
  <c r="IH68"/>
  <c r="IG68"/>
  <c r="IF68"/>
  <c r="IE68"/>
  <c r="ID68"/>
  <c r="IC68"/>
  <c r="IB68"/>
  <c r="IA68"/>
  <c r="HZ68"/>
  <c r="HY68"/>
  <c r="HX68"/>
  <c r="HW68"/>
  <c r="HV68"/>
  <c r="HU68"/>
  <c r="HT68"/>
  <c r="HS68"/>
  <c r="HR68"/>
  <c r="HQ68"/>
  <c r="HP68"/>
  <c r="HO68"/>
  <c r="HN68"/>
  <c r="HM68"/>
  <c r="HL68"/>
  <c r="HK68"/>
  <c r="HJ68"/>
  <c r="HI68"/>
  <c r="HH68"/>
  <c r="HG68"/>
  <c r="HF68"/>
  <c r="HE68"/>
  <c r="HD68"/>
  <c r="HC68"/>
  <c r="HB68"/>
  <c r="HA68"/>
  <c r="GZ68"/>
  <c r="GY68"/>
  <c r="GX68"/>
  <c r="GW68"/>
  <c r="GV68"/>
  <c r="GU68"/>
  <c r="GT68"/>
  <c r="GS68"/>
  <c r="GR68"/>
  <c r="GQ68"/>
  <c r="GP68"/>
  <c r="GO68"/>
  <c r="GN68"/>
  <c r="GM68"/>
  <c r="GL68"/>
  <c r="GK68"/>
  <c r="GJ68"/>
  <c r="GI68"/>
  <c r="GH68"/>
  <c r="GG68"/>
  <c r="GF68"/>
  <c r="GE68"/>
  <c r="GD68"/>
  <c r="GC68"/>
  <c r="GB68"/>
  <c r="GA68"/>
  <c r="FZ68"/>
  <c r="FY68"/>
  <c r="FX68"/>
  <c r="FW68"/>
  <c r="FV68"/>
  <c r="FU68"/>
  <c r="FT68"/>
  <c r="FS68"/>
  <c r="FR68"/>
  <c r="FQ68"/>
  <c r="FP68"/>
  <c r="FO68"/>
  <c r="FN68"/>
  <c r="FM68"/>
  <c r="FL68"/>
  <c r="FK68"/>
  <c r="FJ68"/>
  <c r="FI68"/>
  <c r="FH68"/>
  <c r="FG68"/>
  <c r="FF68"/>
  <c r="FE68"/>
  <c r="FD68"/>
  <c r="FC68"/>
  <c r="FB68"/>
  <c r="FA68"/>
  <c r="EZ68"/>
  <c r="EY68"/>
  <c r="EX68"/>
  <c r="EW68"/>
  <c r="EV68"/>
  <c r="EU68"/>
  <c r="ET68"/>
  <c r="ES68"/>
  <c r="ER68"/>
  <c r="EQ68"/>
  <c r="EP68"/>
  <c r="EO68"/>
  <c r="EN68"/>
  <c r="EM68"/>
  <c r="EL68"/>
  <c r="EK68"/>
  <c r="EJ68"/>
  <c r="EI68"/>
  <c r="EH68"/>
  <c r="EG68"/>
  <c r="EF68"/>
  <c r="EE68"/>
  <c r="ED68"/>
  <c r="EC68"/>
  <c r="EB68"/>
  <c r="EA68"/>
  <c r="DZ68"/>
  <c r="DY68"/>
  <c r="DX68"/>
  <c r="DW68"/>
  <c r="DV68"/>
  <c r="DU68"/>
  <c r="DT68"/>
  <c r="DS68"/>
  <c r="DR68"/>
  <c r="DQ68"/>
  <c r="DP68"/>
  <c r="DO68"/>
  <c r="DN68"/>
  <c r="DM68"/>
  <c r="DL68"/>
  <c r="DK68"/>
  <c r="DJ68"/>
  <c r="DI68"/>
  <c r="DH68"/>
  <c r="DG68"/>
  <c r="DF68"/>
  <c r="DE68"/>
  <c r="DD68"/>
  <c r="DC68"/>
  <c r="DB68"/>
  <c r="DA68"/>
  <c r="CZ68"/>
  <c r="CY68"/>
  <c r="CX68"/>
  <c r="CW68"/>
  <c r="CV68"/>
  <c r="CU68"/>
  <c r="CT68"/>
  <c r="CS68"/>
  <c r="CR68"/>
  <c r="CQ68"/>
  <c r="CP68"/>
  <c r="CO68"/>
  <c r="CN68"/>
  <c r="CM68"/>
  <c r="CL68"/>
  <c r="CK68"/>
  <c r="CJ68"/>
  <c r="CI68"/>
  <c r="CH68"/>
  <c r="CG68"/>
  <c r="CF68"/>
  <c r="CE68"/>
  <c r="CD68"/>
  <c r="CC68"/>
  <c r="CB68"/>
  <c r="CA68"/>
  <c r="BZ68"/>
  <c r="BY68"/>
  <c r="BX68"/>
  <c r="BW68"/>
  <c r="BV68"/>
  <c r="BU68"/>
  <c r="BT68"/>
  <c r="BS68"/>
  <c r="BR68"/>
  <c r="BQ68"/>
  <c r="BP68"/>
  <c r="BO68"/>
  <c r="BN68"/>
  <c r="BM68"/>
  <c r="BL68"/>
  <c r="BK68"/>
  <c r="BJ68"/>
  <c r="BI68"/>
  <c r="BH68"/>
  <c r="BG68"/>
  <c r="BF68"/>
  <c r="BE68"/>
  <c r="BD68"/>
  <c r="BC68"/>
  <c r="BB68"/>
  <c r="BA68"/>
  <c r="AZ68"/>
  <c r="AY68"/>
  <c r="AX68"/>
  <c r="AW68"/>
  <c r="AV68"/>
  <c r="AU68"/>
  <c r="AT68"/>
  <c r="AS68"/>
  <c r="AR68"/>
  <c r="AQ68"/>
  <c r="AP68"/>
  <c r="AO68"/>
  <c r="AN68"/>
  <c r="AM68"/>
  <c r="AL68"/>
  <c r="AK68"/>
  <c r="AJ68"/>
  <c r="AI68"/>
  <c r="AH68"/>
  <c r="AG68"/>
  <c r="AF68"/>
  <c r="AE68"/>
  <c r="AD68"/>
  <c r="AC68"/>
  <c r="AB68"/>
  <c r="AA68"/>
  <c r="Z68"/>
  <c r="Y68"/>
  <c r="X68"/>
  <c r="W68"/>
  <c r="V68"/>
  <c r="U68"/>
  <c r="T68"/>
  <c r="S68"/>
  <c r="R68"/>
  <c r="Q68"/>
  <c r="P68"/>
  <c r="O68"/>
  <c r="N68"/>
  <c r="M68"/>
  <c r="L68"/>
  <c r="K68"/>
  <c r="J68"/>
  <c r="I68"/>
  <c r="H68"/>
  <c r="G68"/>
  <c r="F68"/>
  <c r="E68"/>
  <c r="D68"/>
  <c r="C68"/>
  <c r="B68"/>
  <c r="A68"/>
  <c r="IV67"/>
  <c r="IU67"/>
  <c r="IT67"/>
  <c r="IS67"/>
  <c r="IR67"/>
  <c r="IQ67"/>
  <c r="IP67"/>
  <c r="IO67"/>
  <c r="IN67"/>
  <c r="IM67"/>
  <c r="IL67"/>
  <c r="IK67"/>
  <c r="IJ67"/>
  <c r="II67"/>
  <c r="IH67"/>
  <c r="IG67"/>
  <c r="IF67"/>
  <c r="IE67"/>
  <c r="ID67"/>
  <c r="IC67"/>
  <c r="IB67"/>
  <c r="IA67"/>
  <c r="HZ67"/>
  <c r="HY67"/>
  <c r="HX67"/>
  <c r="HW67"/>
  <c r="HV67"/>
  <c r="HU67"/>
  <c r="HT67"/>
  <c r="HS67"/>
  <c r="HR67"/>
  <c r="HQ67"/>
  <c r="HP67"/>
  <c r="HO67"/>
  <c r="HN67"/>
  <c r="HM67"/>
  <c r="HL67"/>
  <c r="HK67"/>
  <c r="HJ67"/>
  <c r="HI67"/>
  <c r="HH67"/>
  <c r="HG67"/>
  <c r="HF67"/>
  <c r="HE67"/>
  <c r="HD67"/>
  <c r="HC67"/>
  <c r="HB67"/>
  <c r="HA67"/>
  <c r="GZ67"/>
  <c r="GY67"/>
  <c r="GX67"/>
  <c r="GW67"/>
  <c r="GV67"/>
  <c r="GU67"/>
  <c r="GT67"/>
  <c r="GS67"/>
  <c r="GR67"/>
  <c r="GQ67"/>
  <c r="GP67"/>
  <c r="GO67"/>
  <c r="GN67"/>
  <c r="GM67"/>
  <c r="GL67"/>
  <c r="GK67"/>
  <c r="GJ67"/>
  <c r="GI67"/>
  <c r="GH67"/>
  <c r="GG67"/>
  <c r="GF67"/>
  <c r="GE67"/>
  <c r="GD67"/>
  <c r="GC67"/>
  <c r="GB67"/>
  <c r="GA67"/>
  <c r="FZ67"/>
  <c r="FY67"/>
  <c r="FX67"/>
  <c r="FW67"/>
  <c r="FV67"/>
  <c r="FU67"/>
  <c r="FT67"/>
  <c r="FS67"/>
  <c r="FR67"/>
  <c r="FQ67"/>
  <c r="FP67"/>
  <c r="FO67"/>
  <c r="FN67"/>
  <c r="FM67"/>
  <c r="FL67"/>
  <c r="FK67"/>
  <c r="FJ67"/>
  <c r="FI67"/>
  <c r="FH67"/>
  <c r="FG67"/>
  <c r="FF67"/>
  <c r="FE67"/>
  <c r="FD67"/>
  <c r="FC67"/>
  <c r="FB67"/>
  <c r="FA67"/>
  <c r="EZ67"/>
  <c r="EY67"/>
  <c r="EX67"/>
  <c r="EW67"/>
  <c r="EV67"/>
  <c r="EU67"/>
  <c r="ET67"/>
  <c r="ES67"/>
  <c r="ER67"/>
  <c r="EQ67"/>
  <c r="EP67"/>
  <c r="EO67"/>
  <c r="EN67"/>
  <c r="EM67"/>
  <c r="EL67"/>
  <c r="EK67"/>
  <c r="EJ67"/>
  <c r="EI67"/>
  <c r="EH67"/>
  <c r="EG67"/>
  <c r="EF67"/>
  <c r="EE67"/>
  <c r="ED67"/>
  <c r="EC67"/>
  <c r="EB67"/>
  <c r="EA67"/>
  <c r="DZ67"/>
  <c r="DY67"/>
  <c r="DX67"/>
  <c r="DW67"/>
  <c r="DV67"/>
  <c r="DU67"/>
  <c r="DT67"/>
  <c r="DS67"/>
  <c r="DR67"/>
  <c r="DQ67"/>
  <c r="DP67"/>
  <c r="DO67"/>
  <c r="DN67"/>
  <c r="DM67"/>
  <c r="DL67"/>
  <c r="DK67"/>
  <c r="DJ67"/>
  <c r="DI67"/>
  <c r="DH67"/>
  <c r="DG67"/>
  <c r="DF67"/>
  <c r="DE67"/>
  <c r="DD67"/>
  <c r="DC67"/>
  <c r="DB67"/>
  <c r="DA67"/>
  <c r="CZ67"/>
  <c r="CY67"/>
  <c r="CX67"/>
  <c r="CW67"/>
  <c r="CV67"/>
  <c r="CU67"/>
  <c r="CT67"/>
  <c r="CS67"/>
  <c r="CR67"/>
  <c r="CQ67"/>
  <c r="CP67"/>
  <c r="CO67"/>
  <c r="CN67"/>
  <c r="CM67"/>
  <c r="CL67"/>
  <c r="CK67"/>
  <c r="CJ67"/>
  <c r="CI67"/>
  <c r="CH67"/>
  <c r="CG67"/>
  <c r="CF67"/>
  <c r="CE67"/>
  <c r="CD67"/>
  <c r="CC67"/>
  <c r="CB67"/>
  <c r="CA67"/>
  <c r="BZ67"/>
  <c r="BY67"/>
  <c r="BX67"/>
  <c r="BW67"/>
  <c r="BV67"/>
  <c r="BU67"/>
  <c r="BT67"/>
  <c r="BS67"/>
  <c r="BR67"/>
  <c r="BQ67"/>
  <c r="BP67"/>
  <c r="BO67"/>
  <c r="BN67"/>
  <c r="BM67"/>
  <c r="BL67"/>
  <c r="BK67"/>
  <c r="BJ67"/>
  <c r="BI67"/>
  <c r="BH67"/>
  <c r="BG67"/>
  <c r="BF67"/>
  <c r="BE67"/>
  <c r="BD67"/>
  <c r="BC67"/>
  <c r="BB67"/>
  <c r="BA67"/>
  <c r="AZ67"/>
  <c r="AY67"/>
  <c r="AX67"/>
  <c r="AW67"/>
  <c r="AV67"/>
  <c r="AU67"/>
  <c r="AT67"/>
  <c r="AS67"/>
  <c r="AR67"/>
  <c r="AQ67"/>
  <c r="AP67"/>
  <c r="AO67"/>
  <c r="AN67"/>
  <c r="AM67"/>
  <c r="AL67"/>
  <c r="AK67"/>
  <c r="AJ67"/>
  <c r="AI67"/>
  <c r="AH67"/>
  <c r="AG67"/>
  <c r="AF67"/>
  <c r="AE67"/>
  <c r="AD67"/>
  <c r="AC67"/>
  <c r="AB67"/>
  <c r="AA67"/>
  <c r="Z67"/>
  <c r="Y67"/>
  <c r="X67"/>
  <c r="W67"/>
  <c r="V67"/>
  <c r="U67"/>
  <c r="T67"/>
  <c r="S67"/>
  <c r="R67"/>
  <c r="Q67"/>
  <c r="P67"/>
  <c r="O67"/>
  <c r="N67"/>
  <c r="M67"/>
  <c r="L67"/>
  <c r="K67"/>
  <c r="J67"/>
  <c r="I67"/>
  <c r="H67"/>
  <c r="G67"/>
  <c r="F67"/>
  <c r="E67"/>
  <c r="D67"/>
  <c r="C67"/>
  <c r="B67"/>
  <c r="A67"/>
  <c r="IV66"/>
  <c r="IU66"/>
  <c r="IT66"/>
  <c r="IS66"/>
  <c r="IR66"/>
  <c r="IQ66"/>
  <c r="IP66"/>
  <c r="IO66"/>
  <c r="IN66"/>
  <c r="IM66"/>
  <c r="IL66"/>
  <c r="IK66"/>
  <c r="IJ66"/>
  <c r="II66"/>
  <c r="IH66"/>
  <c r="IG66"/>
  <c r="IF66"/>
  <c r="IE66"/>
  <c r="ID66"/>
  <c r="IC66"/>
  <c r="IB66"/>
  <c r="IA66"/>
  <c r="HZ66"/>
  <c r="HY66"/>
  <c r="HX66"/>
  <c r="HW66"/>
  <c r="HV66"/>
  <c r="HU66"/>
  <c r="HT66"/>
  <c r="HS66"/>
  <c r="HR66"/>
  <c r="HQ66"/>
  <c r="HP66"/>
  <c r="HO66"/>
  <c r="HN66"/>
  <c r="HM66"/>
  <c r="HL66"/>
  <c r="HK66"/>
  <c r="HJ66"/>
  <c r="HI66"/>
  <c r="HH66"/>
  <c r="HG66"/>
  <c r="HF66"/>
  <c r="HE66"/>
  <c r="HD66"/>
  <c r="HC66"/>
  <c r="HB66"/>
  <c r="HA66"/>
  <c r="GZ66"/>
  <c r="GY66"/>
  <c r="GX66"/>
  <c r="GW66"/>
  <c r="GV66"/>
  <c r="GU66"/>
  <c r="GT66"/>
  <c r="GS66"/>
  <c r="GR66"/>
  <c r="GQ66"/>
  <c r="GP66"/>
  <c r="GO66"/>
  <c r="GN66"/>
  <c r="GM66"/>
  <c r="GL66"/>
  <c r="GK66"/>
  <c r="GJ66"/>
  <c r="GI66"/>
  <c r="GH66"/>
  <c r="GG66"/>
  <c r="GF66"/>
  <c r="GE66"/>
  <c r="GD66"/>
  <c r="GC66"/>
  <c r="GB66"/>
  <c r="GA66"/>
  <c r="FZ66"/>
  <c r="FY66"/>
  <c r="FX66"/>
  <c r="FW66"/>
  <c r="FV66"/>
  <c r="FU66"/>
  <c r="FT66"/>
  <c r="FS66"/>
  <c r="FR66"/>
  <c r="FQ66"/>
  <c r="FP66"/>
  <c r="FO66"/>
  <c r="FN66"/>
  <c r="FM66"/>
  <c r="FL66"/>
  <c r="FK66"/>
  <c r="FJ66"/>
  <c r="FI66"/>
  <c r="FH66"/>
  <c r="FG66"/>
  <c r="FF66"/>
  <c r="FE66"/>
  <c r="FD66"/>
  <c r="FC66"/>
  <c r="FB66"/>
  <c r="FA66"/>
  <c r="EZ66"/>
  <c r="EY66"/>
  <c r="EX66"/>
  <c r="EW66"/>
  <c r="EV66"/>
  <c r="EU66"/>
  <c r="ET66"/>
  <c r="ES66"/>
  <c r="ER66"/>
  <c r="EQ66"/>
  <c r="EP66"/>
  <c r="EO66"/>
  <c r="EN66"/>
  <c r="EM66"/>
  <c r="EL66"/>
  <c r="EK66"/>
  <c r="EJ66"/>
  <c r="EI66"/>
  <c r="EH66"/>
  <c r="EG66"/>
  <c r="EF66"/>
  <c r="EE66"/>
  <c r="ED66"/>
  <c r="EC66"/>
  <c r="EB66"/>
  <c r="EA66"/>
  <c r="DZ66"/>
  <c r="DY66"/>
  <c r="DX66"/>
  <c r="DW66"/>
  <c r="DV66"/>
  <c r="DU66"/>
  <c r="DT66"/>
  <c r="DS66"/>
  <c r="DR66"/>
  <c r="DQ66"/>
  <c r="DP66"/>
  <c r="DO66"/>
  <c r="DN66"/>
  <c r="DM66"/>
  <c r="DL66"/>
  <c r="DK66"/>
  <c r="DJ66"/>
  <c r="DI66"/>
  <c r="DH66"/>
  <c r="DG66"/>
  <c r="DF66"/>
  <c r="DE66"/>
  <c r="DD66"/>
  <c r="DC66"/>
  <c r="DB66"/>
  <c r="DA66"/>
  <c r="CZ66"/>
  <c r="CY66"/>
  <c r="CX66"/>
  <c r="CW66"/>
  <c r="CV66"/>
  <c r="CU66"/>
  <c r="CT66"/>
  <c r="CS66"/>
  <c r="CR66"/>
  <c r="CQ66"/>
  <c r="CP66"/>
  <c r="CO66"/>
  <c r="CN66"/>
  <c r="CM66"/>
  <c r="CL66"/>
  <c r="CK66"/>
  <c r="CJ66"/>
  <c r="CI66"/>
  <c r="CH66"/>
  <c r="CG66"/>
  <c r="CF66"/>
  <c r="CE66"/>
  <c r="CD66"/>
  <c r="CC66"/>
  <c r="CB66"/>
  <c r="CA66"/>
  <c r="BZ66"/>
  <c r="BY66"/>
  <c r="BX66"/>
  <c r="BW66"/>
  <c r="BV66"/>
  <c r="BU66"/>
  <c r="BT66"/>
  <c r="BS66"/>
  <c r="BR66"/>
  <c r="BQ66"/>
  <c r="BP66"/>
  <c r="BO66"/>
  <c r="BN66"/>
  <c r="BM66"/>
  <c r="BL66"/>
  <c r="BK66"/>
  <c r="BJ66"/>
  <c r="BI66"/>
  <c r="BH66"/>
  <c r="BG66"/>
  <c r="BF66"/>
  <c r="BE66"/>
  <c r="BD66"/>
  <c r="BC66"/>
  <c r="BB66"/>
  <c r="BA66"/>
  <c r="AZ66"/>
  <c r="AY66"/>
  <c r="AX66"/>
  <c r="AW66"/>
  <c r="AV66"/>
  <c r="AU66"/>
  <c r="AT66"/>
  <c r="AS66"/>
  <c r="AR66"/>
  <c r="AQ66"/>
  <c r="AP66"/>
  <c r="AO66"/>
  <c r="AN66"/>
  <c r="AM66"/>
  <c r="AL66"/>
  <c r="AK66"/>
  <c r="AJ66"/>
  <c r="AI66"/>
  <c r="AH66"/>
  <c r="AG66"/>
  <c r="AF66"/>
  <c r="AE66"/>
  <c r="AD66"/>
  <c r="AC66"/>
  <c r="AB66"/>
  <c r="AA66"/>
  <c r="Z66"/>
  <c r="Y66"/>
  <c r="X66"/>
  <c r="W66"/>
  <c r="V66"/>
  <c r="U66"/>
  <c r="T66"/>
  <c r="S66"/>
  <c r="R66"/>
  <c r="Q66"/>
  <c r="P66"/>
  <c r="O66"/>
  <c r="N66"/>
  <c r="M66"/>
  <c r="L66"/>
  <c r="K66"/>
  <c r="J66"/>
  <c r="I66"/>
  <c r="H66"/>
  <c r="G66"/>
  <c r="F66"/>
  <c r="E66"/>
  <c r="D66"/>
  <c r="C66"/>
  <c r="B66"/>
  <c r="A66"/>
  <c r="IV65"/>
  <c r="IU65"/>
  <c r="IT65"/>
  <c r="IS65"/>
  <c r="IR65"/>
  <c r="IQ65"/>
  <c r="IP65"/>
  <c r="IO65"/>
  <c r="IN65"/>
  <c r="IM65"/>
  <c r="IL65"/>
  <c r="IK65"/>
  <c r="IJ65"/>
  <c r="II65"/>
  <c r="IH65"/>
  <c r="IG65"/>
  <c r="IF65"/>
  <c r="IE65"/>
  <c r="ID65"/>
  <c r="IC65"/>
  <c r="IB65"/>
  <c r="IA65"/>
  <c r="HZ65"/>
  <c r="HY65"/>
  <c r="HX65"/>
  <c r="HW65"/>
  <c r="HV65"/>
  <c r="HU65"/>
  <c r="HT65"/>
  <c r="HS65"/>
  <c r="HR65"/>
  <c r="HQ65"/>
  <c r="HP65"/>
  <c r="HO65"/>
  <c r="HN65"/>
  <c r="HM65"/>
  <c r="HL65"/>
  <c r="HK65"/>
  <c r="HJ65"/>
  <c r="HI65"/>
  <c r="HH65"/>
  <c r="HG65"/>
  <c r="HF65"/>
  <c r="HE65"/>
  <c r="HD65"/>
  <c r="HC65"/>
  <c r="HB65"/>
  <c r="HA65"/>
  <c r="GZ65"/>
  <c r="GY65"/>
  <c r="GX65"/>
  <c r="GW65"/>
  <c r="GV65"/>
  <c r="GU65"/>
  <c r="GT65"/>
  <c r="GS65"/>
  <c r="GR65"/>
  <c r="GQ65"/>
  <c r="GP65"/>
  <c r="GO65"/>
  <c r="GN65"/>
  <c r="GM65"/>
  <c r="GL65"/>
  <c r="GK65"/>
  <c r="GJ65"/>
  <c r="GI65"/>
  <c r="GH65"/>
  <c r="GG65"/>
  <c r="GF65"/>
  <c r="GE65"/>
  <c r="GD65"/>
  <c r="GC65"/>
  <c r="GB65"/>
  <c r="GA65"/>
  <c r="FZ65"/>
  <c r="FY65"/>
  <c r="FX65"/>
  <c r="FW65"/>
  <c r="FV65"/>
  <c r="FU65"/>
  <c r="FT65"/>
  <c r="FS65"/>
  <c r="FR65"/>
  <c r="FQ65"/>
  <c r="FP65"/>
  <c r="FO65"/>
  <c r="FN65"/>
  <c r="FM65"/>
  <c r="FL65"/>
  <c r="FK65"/>
  <c r="FJ65"/>
  <c r="FI65"/>
  <c r="FH65"/>
  <c r="FG65"/>
  <c r="FF65"/>
  <c r="FE65"/>
  <c r="FD65"/>
  <c r="FC65"/>
  <c r="FB65"/>
  <c r="FA65"/>
  <c r="EZ65"/>
  <c r="EY65"/>
  <c r="EX65"/>
  <c r="EW65"/>
  <c r="EV65"/>
  <c r="EU65"/>
  <c r="ET65"/>
  <c r="ES65"/>
  <c r="ER65"/>
  <c r="EQ65"/>
  <c r="EP65"/>
  <c r="EO65"/>
  <c r="EN65"/>
  <c r="EM65"/>
  <c r="EL65"/>
  <c r="EK65"/>
  <c r="EJ65"/>
  <c r="EI65"/>
  <c r="EH65"/>
  <c r="EG65"/>
  <c r="EF65"/>
  <c r="EE65"/>
  <c r="ED65"/>
  <c r="EC65"/>
  <c r="EB65"/>
  <c r="EA65"/>
  <c r="DZ65"/>
  <c r="DY65"/>
  <c r="DX65"/>
  <c r="DW65"/>
  <c r="DV65"/>
  <c r="DU65"/>
  <c r="DT65"/>
  <c r="DS65"/>
  <c r="DR65"/>
  <c r="DQ65"/>
  <c r="DP65"/>
  <c r="DO65"/>
  <c r="DN65"/>
  <c r="DM65"/>
  <c r="DL65"/>
  <c r="DK65"/>
  <c r="DJ65"/>
  <c r="DI65"/>
  <c r="DH65"/>
  <c r="DG65"/>
  <c r="DF65"/>
  <c r="DE65"/>
  <c r="DD65"/>
  <c r="DC65"/>
  <c r="DB65"/>
  <c r="DA65"/>
  <c r="CZ65"/>
  <c r="CY65"/>
  <c r="CX65"/>
  <c r="CW65"/>
  <c r="CV65"/>
  <c r="CU65"/>
  <c r="CT65"/>
  <c r="CS65"/>
  <c r="CR65"/>
  <c r="CQ65"/>
  <c r="CP65"/>
  <c r="CO65"/>
  <c r="CN65"/>
  <c r="CM65"/>
  <c r="CL65"/>
  <c r="CK65"/>
  <c r="CJ65"/>
  <c r="CI65"/>
  <c r="CH65"/>
  <c r="CG65"/>
  <c r="CF65"/>
  <c r="CE65"/>
  <c r="CD65"/>
  <c r="CC65"/>
  <c r="CB65"/>
  <c r="CA65"/>
  <c r="BZ65"/>
  <c r="BY65"/>
  <c r="BX65"/>
  <c r="BW65"/>
  <c r="BV65"/>
  <c r="BU65"/>
  <c r="BT65"/>
  <c r="BS65"/>
  <c r="BR65"/>
  <c r="BQ65"/>
  <c r="BP65"/>
  <c r="BO65"/>
  <c r="BN65"/>
  <c r="BM65"/>
  <c r="BL65"/>
  <c r="BK65"/>
  <c r="BJ65"/>
  <c r="BI65"/>
  <c r="BH65"/>
  <c r="BG65"/>
  <c r="BF65"/>
  <c r="BE65"/>
  <c r="BD65"/>
  <c r="BC65"/>
  <c r="BB65"/>
  <c r="BA65"/>
  <c r="AZ65"/>
  <c r="AY65"/>
  <c r="AX65"/>
  <c r="AW65"/>
  <c r="AV65"/>
  <c r="AU65"/>
  <c r="AT65"/>
  <c r="AS65"/>
  <c r="AR65"/>
  <c r="AQ65"/>
  <c r="AP65"/>
  <c r="AO65"/>
  <c r="AN65"/>
  <c r="AM65"/>
  <c r="AL65"/>
  <c r="AK65"/>
  <c r="AJ65"/>
  <c r="AI65"/>
  <c r="AH65"/>
  <c r="AG65"/>
  <c r="AF65"/>
  <c r="AE65"/>
  <c r="AD65"/>
  <c r="AC65"/>
  <c r="AB65"/>
  <c r="AA65"/>
  <c r="Z65"/>
  <c r="Y65"/>
  <c r="X65"/>
  <c r="W65"/>
  <c r="V65"/>
  <c r="U65"/>
  <c r="T65"/>
  <c r="S65"/>
  <c r="R65"/>
  <c r="Q65"/>
  <c r="P65"/>
  <c r="O65"/>
  <c r="N65"/>
  <c r="M65"/>
  <c r="L65"/>
  <c r="K65"/>
  <c r="J65"/>
  <c r="I65"/>
  <c r="H65"/>
  <c r="G65"/>
  <c r="F65"/>
  <c r="E65"/>
  <c r="D65"/>
  <c r="C65"/>
  <c r="B65"/>
  <c r="A65"/>
  <c r="IV64"/>
  <c r="IU64"/>
  <c r="IT64"/>
  <c r="IS64"/>
  <c r="IR64"/>
  <c r="IQ64"/>
  <c r="IP64"/>
  <c r="IO64"/>
  <c r="IN64"/>
  <c r="IM64"/>
  <c r="IL64"/>
  <c r="IK64"/>
  <c r="IJ64"/>
  <c r="II64"/>
  <c r="IH64"/>
  <c r="IG64"/>
  <c r="IF64"/>
  <c r="IE64"/>
  <c r="ID64"/>
  <c r="IC64"/>
  <c r="IB64"/>
  <c r="IA64"/>
  <c r="HZ64"/>
  <c r="HY64"/>
  <c r="HX64"/>
  <c r="HW64"/>
  <c r="HV64"/>
  <c r="HU64"/>
  <c r="HT64"/>
  <c r="HS64"/>
  <c r="HR64"/>
  <c r="HQ64"/>
  <c r="HP64"/>
  <c r="HO64"/>
  <c r="HN64"/>
  <c r="HM64"/>
  <c r="HL64"/>
  <c r="HK64"/>
  <c r="HJ64"/>
  <c r="HI64"/>
  <c r="HH64"/>
  <c r="HG64"/>
  <c r="HF64"/>
  <c r="HE64"/>
  <c r="HD64"/>
  <c r="HC64"/>
  <c r="HB64"/>
  <c r="HA64"/>
  <c r="GZ64"/>
  <c r="GY64"/>
  <c r="GX64"/>
  <c r="GW64"/>
  <c r="GV64"/>
  <c r="GU64"/>
  <c r="GT64"/>
  <c r="GS64"/>
  <c r="GR64"/>
  <c r="GQ64"/>
  <c r="GP64"/>
  <c r="GO64"/>
  <c r="GN64"/>
  <c r="GM64"/>
  <c r="GL64"/>
  <c r="GK64"/>
  <c r="GJ64"/>
  <c r="GI64"/>
  <c r="GH64"/>
  <c r="GG64"/>
  <c r="GF64"/>
  <c r="GE64"/>
  <c r="GD64"/>
  <c r="GC64"/>
  <c r="GB64"/>
  <c r="GA64"/>
  <c r="FZ64"/>
  <c r="FY64"/>
  <c r="FX64"/>
  <c r="FW64"/>
  <c r="FV64"/>
  <c r="FU64"/>
  <c r="FT64"/>
  <c r="FS64"/>
  <c r="FR64"/>
  <c r="FQ64"/>
  <c r="FP64"/>
  <c r="FO64"/>
  <c r="FN64"/>
  <c r="FM64"/>
  <c r="FL64"/>
  <c r="FK64"/>
  <c r="FJ64"/>
  <c r="FI64"/>
  <c r="FH64"/>
  <c r="FG64"/>
  <c r="FF64"/>
  <c r="FE64"/>
  <c r="FD64"/>
  <c r="FC64"/>
  <c r="FB64"/>
  <c r="FA64"/>
  <c r="EZ64"/>
  <c r="EY64"/>
  <c r="EX64"/>
  <c r="EW64"/>
  <c r="EV64"/>
  <c r="EU64"/>
  <c r="ET64"/>
  <c r="ES64"/>
  <c r="ER64"/>
  <c r="EQ64"/>
  <c r="EP64"/>
  <c r="EO64"/>
  <c r="EN64"/>
  <c r="EM64"/>
  <c r="EL64"/>
  <c r="EK64"/>
  <c r="EJ64"/>
  <c r="EI64"/>
  <c r="EH64"/>
  <c r="EG64"/>
  <c r="EF64"/>
  <c r="EE64"/>
  <c r="ED64"/>
  <c r="EC64"/>
  <c r="EB64"/>
  <c r="EA64"/>
  <c r="DZ64"/>
  <c r="DY64"/>
  <c r="DX64"/>
  <c r="DW64"/>
  <c r="DV64"/>
  <c r="DU64"/>
  <c r="DT64"/>
  <c r="DS64"/>
  <c r="DR64"/>
  <c r="DQ64"/>
  <c r="DP64"/>
  <c r="DO64"/>
  <c r="DN64"/>
  <c r="DM64"/>
  <c r="DL64"/>
  <c r="DK64"/>
  <c r="DJ64"/>
  <c r="DI64"/>
  <c r="DH64"/>
  <c r="DG64"/>
  <c r="DF64"/>
  <c r="DE64"/>
  <c r="DD64"/>
  <c r="DC64"/>
  <c r="DB64"/>
  <c r="DA64"/>
  <c r="CZ64"/>
  <c r="CY64"/>
  <c r="CX64"/>
  <c r="CW64"/>
  <c r="CV64"/>
  <c r="CU64"/>
  <c r="CT64"/>
  <c r="CS64"/>
  <c r="CR64"/>
  <c r="CQ64"/>
  <c r="CP64"/>
  <c r="CO64"/>
  <c r="CN64"/>
  <c r="CM64"/>
  <c r="CL64"/>
  <c r="CK64"/>
  <c r="CJ64"/>
  <c r="CI64"/>
  <c r="CH64"/>
  <c r="CG64"/>
  <c r="CF64"/>
  <c r="CE64"/>
  <c r="CD64"/>
  <c r="CC64"/>
  <c r="CB64"/>
  <c r="CA64"/>
  <c r="BZ64"/>
  <c r="BY64"/>
  <c r="BX64"/>
  <c r="BW64"/>
  <c r="BV64"/>
  <c r="BU64"/>
  <c r="BT64"/>
  <c r="BS64"/>
  <c r="BR64"/>
  <c r="BQ64"/>
  <c r="BP64"/>
  <c r="BO64"/>
  <c r="BN64"/>
  <c r="BM64"/>
  <c r="BL64"/>
  <c r="BK64"/>
  <c r="BJ64"/>
  <c r="BI64"/>
  <c r="BH64"/>
  <c r="BG64"/>
  <c r="BF64"/>
  <c r="BE64"/>
  <c r="BD64"/>
  <c r="BC64"/>
  <c r="BB64"/>
  <c r="BA64"/>
  <c r="AZ64"/>
  <c r="AY64"/>
  <c r="AX64"/>
  <c r="AW64"/>
  <c r="AV64"/>
  <c r="AU64"/>
  <c r="AT64"/>
  <c r="AS64"/>
  <c r="AR64"/>
  <c r="AQ64"/>
  <c r="AP64"/>
  <c r="AO64"/>
  <c r="AN64"/>
  <c r="AM64"/>
  <c r="AL64"/>
  <c r="AK64"/>
  <c r="AJ64"/>
  <c r="AI64"/>
  <c r="AH64"/>
  <c r="AG64"/>
  <c r="AF64"/>
  <c r="AE64"/>
  <c r="AD64"/>
  <c r="AC64"/>
  <c r="AB64"/>
  <c r="AA64"/>
  <c r="Z64"/>
  <c r="Y64"/>
  <c r="X64"/>
  <c r="W64"/>
  <c r="V64"/>
  <c r="U64"/>
  <c r="T64"/>
  <c r="S64"/>
  <c r="R64"/>
  <c r="Q64"/>
  <c r="P64"/>
  <c r="O64"/>
  <c r="N64"/>
  <c r="M64"/>
  <c r="L64"/>
  <c r="K64"/>
  <c r="J64"/>
  <c r="I64"/>
  <c r="H64"/>
  <c r="G64"/>
  <c r="F64"/>
  <c r="E64"/>
  <c r="D64"/>
  <c r="C64"/>
  <c r="B64"/>
  <c r="A64"/>
  <c r="IV63"/>
  <c r="IU63"/>
  <c r="IT63"/>
  <c r="IS63"/>
  <c r="IR63"/>
  <c r="IQ63"/>
  <c r="IP63"/>
  <c r="IO63"/>
  <c r="IN63"/>
  <c r="IM63"/>
  <c r="IL63"/>
  <c r="IK63"/>
  <c r="IJ63"/>
  <c r="II63"/>
  <c r="IH63"/>
  <c r="IG63"/>
  <c r="IF63"/>
  <c r="IE63"/>
  <c r="ID63"/>
  <c r="IC63"/>
  <c r="IB63"/>
  <c r="IA63"/>
  <c r="HZ63"/>
  <c r="HY63"/>
  <c r="HX63"/>
  <c r="HW63"/>
  <c r="HV63"/>
  <c r="HU63"/>
  <c r="HT63"/>
  <c r="HS63"/>
  <c r="HR63"/>
  <c r="HQ63"/>
  <c r="HP63"/>
  <c r="HO63"/>
  <c r="HN63"/>
  <c r="HM63"/>
  <c r="HL63"/>
  <c r="HK63"/>
  <c r="HJ63"/>
  <c r="HI63"/>
  <c r="HH63"/>
  <c r="HG63"/>
  <c r="HF63"/>
  <c r="HE63"/>
  <c r="HD63"/>
  <c r="HC63"/>
  <c r="HB63"/>
  <c r="HA63"/>
  <c r="GZ63"/>
  <c r="GY63"/>
  <c r="GX63"/>
  <c r="GW63"/>
  <c r="GV63"/>
  <c r="GU63"/>
  <c r="GT63"/>
  <c r="GS63"/>
  <c r="GR63"/>
  <c r="GQ63"/>
  <c r="GP63"/>
  <c r="GO63"/>
  <c r="GN63"/>
  <c r="GM63"/>
  <c r="GL63"/>
  <c r="GK63"/>
  <c r="GJ63"/>
  <c r="GI63"/>
  <c r="GH63"/>
  <c r="GG63"/>
  <c r="GF63"/>
  <c r="GE63"/>
  <c r="GD63"/>
  <c r="GC63"/>
  <c r="GB63"/>
  <c r="GA63"/>
  <c r="FZ63"/>
  <c r="FY63"/>
  <c r="FX63"/>
  <c r="FW63"/>
  <c r="FV63"/>
  <c r="FU63"/>
  <c r="FT63"/>
  <c r="FS63"/>
  <c r="FR63"/>
  <c r="FQ63"/>
  <c r="FP63"/>
  <c r="FO63"/>
  <c r="FN63"/>
  <c r="FM63"/>
  <c r="FL63"/>
  <c r="FK63"/>
  <c r="FJ63"/>
  <c r="FI63"/>
  <c r="FH63"/>
  <c r="FG63"/>
  <c r="FF63"/>
  <c r="FE63"/>
  <c r="FD63"/>
  <c r="FC63"/>
  <c r="FB63"/>
  <c r="FA63"/>
  <c r="EZ63"/>
  <c r="EY63"/>
  <c r="EX63"/>
  <c r="EW63"/>
  <c r="EV63"/>
  <c r="EU63"/>
  <c r="ET63"/>
  <c r="ES63"/>
  <c r="ER63"/>
  <c r="EQ63"/>
  <c r="EP63"/>
  <c r="EO63"/>
  <c r="EN63"/>
  <c r="EM63"/>
  <c r="EL63"/>
  <c r="EK63"/>
  <c r="EJ63"/>
  <c r="EI63"/>
  <c r="EH63"/>
  <c r="EG63"/>
  <c r="EF63"/>
  <c r="EE63"/>
  <c r="ED63"/>
  <c r="EC63"/>
  <c r="EB63"/>
  <c r="EA63"/>
  <c r="DZ63"/>
  <c r="DY63"/>
  <c r="DX63"/>
  <c r="DW63"/>
  <c r="DV63"/>
  <c r="DU63"/>
  <c r="DT63"/>
  <c r="DS63"/>
  <c r="DR63"/>
  <c r="DQ63"/>
  <c r="DP63"/>
  <c r="DO63"/>
  <c r="DN63"/>
  <c r="DM63"/>
  <c r="DL63"/>
  <c r="DK63"/>
  <c r="DJ63"/>
  <c r="DI63"/>
  <c r="DH63"/>
  <c r="DG63"/>
  <c r="DF63"/>
  <c r="DE63"/>
  <c r="DD63"/>
  <c r="DC63"/>
  <c r="DB63"/>
  <c r="DA63"/>
  <c r="CZ63"/>
  <c r="CY63"/>
  <c r="CX63"/>
  <c r="CW63"/>
  <c r="CV63"/>
  <c r="CU63"/>
  <c r="CT63"/>
  <c r="CS63"/>
  <c r="CR63"/>
  <c r="CQ63"/>
  <c r="CP63"/>
  <c r="CO63"/>
  <c r="CN63"/>
  <c r="CM63"/>
  <c r="CL63"/>
  <c r="CK63"/>
  <c r="CJ63"/>
  <c r="CI63"/>
  <c r="CH63"/>
  <c r="CG63"/>
  <c r="CF63"/>
  <c r="CE63"/>
  <c r="CD63"/>
  <c r="CC63"/>
  <c r="CB63"/>
  <c r="CA63"/>
  <c r="BZ63"/>
  <c r="BY63"/>
  <c r="BX63"/>
  <c r="BW63"/>
  <c r="BV63"/>
  <c r="BU63"/>
  <c r="BT63"/>
  <c r="BS63"/>
  <c r="BR63"/>
  <c r="BQ63"/>
  <c r="BP63"/>
  <c r="BO63"/>
  <c r="BN63"/>
  <c r="BM63"/>
  <c r="BL63"/>
  <c r="BK63"/>
  <c r="BJ63"/>
  <c r="BI63"/>
  <c r="BH63"/>
  <c r="BG63"/>
  <c r="BF63"/>
  <c r="BE63"/>
  <c r="BD63"/>
  <c r="BC63"/>
  <c r="BB63"/>
  <c r="BA63"/>
  <c r="AZ63"/>
  <c r="AY63"/>
  <c r="AX63"/>
  <c r="AW63"/>
  <c r="AV63"/>
  <c r="AU63"/>
  <c r="AT63"/>
  <c r="AS63"/>
  <c r="AR63"/>
  <c r="AQ63"/>
  <c r="AP63"/>
  <c r="AO63"/>
  <c r="AN63"/>
  <c r="AM63"/>
  <c r="AL63"/>
  <c r="AK63"/>
  <c r="AJ63"/>
  <c r="AI63"/>
  <c r="AH63"/>
  <c r="AG63"/>
  <c r="AF63"/>
  <c r="AE63"/>
  <c r="AD63"/>
  <c r="AC63"/>
  <c r="AB63"/>
  <c r="AA63"/>
  <c r="Z63"/>
  <c r="Y63"/>
  <c r="X63"/>
  <c r="W63"/>
  <c r="V63"/>
  <c r="U63"/>
  <c r="T63"/>
  <c r="S63"/>
  <c r="R63"/>
  <c r="Q63"/>
  <c r="P63"/>
  <c r="O63"/>
  <c r="N63"/>
  <c r="M63"/>
  <c r="L63"/>
  <c r="K63"/>
  <c r="J63"/>
  <c r="I63"/>
  <c r="H63"/>
  <c r="G63"/>
  <c r="F63"/>
  <c r="E63"/>
  <c r="D63"/>
  <c r="C63"/>
  <c r="B63"/>
  <c r="A63"/>
  <c r="IV62"/>
  <c r="IU62"/>
  <c r="IT62"/>
  <c r="IS62"/>
  <c r="IR62"/>
  <c r="IQ62"/>
  <c r="IP62"/>
  <c r="IO62"/>
  <c r="IN62"/>
  <c r="IM62"/>
  <c r="IL62"/>
  <c r="IK62"/>
  <c r="IJ62"/>
  <c r="II62"/>
  <c r="IH62"/>
  <c r="IG62"/>
  <c r="IF62"/>
  <c r="IE62"/>
  <c r="ID62"/>
  <c r="IC62"/>
  <c r="IB62"/>
  <c r="IA62"/>
  <c r="HZ62"/>
  <c r="HY62"/>
  <c r="HX62"/>
  <c r="HW62"/>
  <c r="HV62"/>
  <c r="HU62"/>
  <c r="HT62"/>
  <c r="HS62"/>
  <c r="HR62"/>
  <c r="HQ62"/>
  <c r="HP62"/>
  <c r="HO62"/>
  <c r="HN62"/>
  <c r="HM62"/>
  <c r="HL62"/>
  <c r="HK62"/>
  <c r="HJ62"/>
  <c r="HI62"/>
  <c r="HH62"/>
  <c r="HG62"/>
  <c r="HF62"/>
  <c r="HE62"/>
  <c r="HD62"/>
  <c r="HC62"/>
  <c r="HB62"/>
  <c r="HA62"/>
  <c r="GZ62"/>
  <c r="GY62"/>
  <c r="GX62"/>
  <c r="GW62"/>
  <c r="GV62"/>
  <c r="GU62"/>
  <c r="GT62"/>
  <c r="GS62"/>
  <c r="GR62"/>
  <c r="GQ62"/>
  <c r="GP62"/>
  <c r="GO62"/>
  <c r="GN62"/>
  <c r="GM62"/>
  <c r="GL62"/>
  <c r="GK62"/>
  <c r="GJ62"/>
  <c r="GI62"/>
  <c r="GH62"/>
  <c r="GG62"/>
  <c r="GF62"/>
  <c r="GE62"/>
  <c r="GD62"/>
  <c r="GC62"/>
  <c r="GB62"/>
  <c r="GA62"/>
  <c r="FZ62"/>
  <c r="FY62"/>
  <c r="FX62"/>
  <c r="FW62"/>
  <c r="FV62"/>
  <c r="FU62"/>
  <c r="FT62"/>
  <c r="FS62"/>
  <c r="FR62"/>
  <c r="FQ62"/>
  <c r="FP62"/>
  <c r="FO62"/>
  <c r="FN62"/>
  <c r="FM62"/>
  <c r="FL62"/>
  <c r="FK62"/>
  <c r="FJ62"/>
  <c r="FI62"/>
  <c r="FH62"/>
  <c r="FG62"/>
  <c r="FF62"/>
  <c r="FE62"/>
  <c r="FD62"/>
  <c r="FC62"/>
  <c r="FB62"/>
  <c r="FA62"/>
  <c r="EZ62"/>
  <c r="EY62"/>
  <c r="EX62"/>
  <c r="EW62"/>
  <c r="EV62"/>
  <c r="EU62"/>
  <c r="ET62"/>
  <c r="ES62"/>
  <c r="ER62"/>
  <c r="EQ62"/>
  <c r="EP62"/>
  <c r="EO62"/>
  <c r="EN62"/>
  <c r="EM62"/>
  <c r="EL62"/>
  <c r="EK62"/>
  <c r="EJ62"/>
  <c r="EI62"/>
  <c r="EH62"/>
  <c r="EG62"/>
  <c r="EF62"/>
  <c r="EE62"/>
  <c r="ED62"/>
  <c r="EC62"/>
  <c r="EB62"/>
  <c r="EA62"/>
  <c r="DZ62"/>
  <c r="DY62"/>
  <c r="DX62"/>
  <c r="DW62"/>
  <c r="DV62"/>
  <c r="DU62"/>
  <c r="DT62"/>
  <c r="DS62"/>
  <c r="DR62"/>
  <c r="DQ62"/>
  <c r="DP62"/>
  <c r="DO62"/>
  <c r="DN62"/>
  <c r="DM62"/>
  <c r="DL62"/>
  <c r="DK62"/>
  <c r="DJ62"/>
  <c r="DI62"/>
  <c r="DH62"/>
  <c r="DG62"/>
  <c r="DF62"/>
  <c r="DE62"/>
  <c r="DD62"/>
  <c r="DC62"/>
  <c r="DB62"/>
  <c r="DA62"/>
  <c r="CZ62"/>
  <c r="CY62"/>
  <c r="CX62"/>
  <c r="CW62"/>
  <c r="CV62"/>
  <c r="CU62"/>
  <c r="CT62"/>
  <c r="CS62"/>
  <c r="CR62"/>
  <c r="CQ62"/>
  <c r="CP62"/>
  <c r="CO62"/>
  <c r="CN62"/>
  <c r="CM62"/>
  <c r="CL62"/>
  <c r="CK62"/>
  <c r="CJ62"/>
  <c r="CI62"/>
  <c r="CH62"/>
  <c r="CG62"/>
  <c r="CF62"/>
  <c r="CE62"/>
  <c r="CD62"/>
  <c r="CC62"/>
  <c r="CB62"/>
  <c r="CA62"/>
  <c r="BZ62"/>
  <c r="BY62"/>
  <c r="BX62"/>
  <c r="BW62"/>
  <c r="BV62"/>
  <c r="BU62"/>
  <c r="BT62"/>
  <c r="BS62"/>
  <c r="BR62"/>
  <c r="BQ62"/>
  <c r="BP62"/>
  <c r="BO62"/>
  <c r="BN62"/>
  <c r="BM62"/>
  <c r="BL62"/>
  <c r="BK62"/>
  <c r="BJ62"/>
  <c r="BI62"/>
  <c r="BH62"/>
  <c r="BG62"/>
  <c r="BF62"/>
  <c r="BE62"/>
  <c r="BD62"/>
  <c r="BC62"/>
  <c r="BB62"/>
  <c r="BA62"/>
  <c r="AZ62"/>
  <c r="AY62"/>
  <c r="AX62"/>
  <c r="AW62"/>
  <c r="AV62"/>
  <c r="AU62"/>
  <c r="AT62"/>
  <c r="AS62"/>
  <c r="AR62"/>
  <c r="AQ62"/>
  <c r="AP62"/>
  <c r="AO62"/>
  <c r="AN62"/>
  <c r="AM62"/>
  <c r="AL62"/>
  <c r="AK62"/>
  <c r="AJ62"/>
  <c r="AI62"/>
  <c r="AH62"/>
  <c r="AG62"/>
  <c r="AF62"/>
  <c r="AE62"/>
  <c r="AD62"/>
  <c r="AC62"/>
  <c r="AB62"/>
  <c r="AA62"/>
  <c r="Z62"/>
  <c r="Y62"/>
  <c r="X62"/>
  <c r="W62"/>
  <c r="V62"/>
  <c r="U62"/>
  <c r="T62"/>
  <c r="S62"/>
  <c r="R62"/>
  <c r="Q62"/>
  <c r="P62"/>
  <c r="O62"/>
  <c r="N62"/>
  <c r="M62"/>
  <c r="L62"/>
  <c r="K62"/>
  <c r="J62"/>
  <c r="I62"/>
  <c r="H62"/>
  <c r="G62"/>
  <c r="F62"/>
  <c r="E62"/>
  <c r="D62"/>
  <c r="C62"/>
  <c r="B62"/>
  <c r="A62"/>
  <c r="IV61"/>
  <c r="IU61"/>
  <c r="IT61"/>
  <c r="IS61"/>
  <c r="IR61"/>
  <c r="IQ61"/>
  <c r="IP61"/>
  <c r="IO61"/>
  <c r="IN61"/>
  <c r="IM61"/>
  <c r="IL61"/>
  <c r="IK61"/>
  <c r="IJ61"/>
  <c r="II61"/>
  <c r="IH61"/>
  <c r="IG61"/>
  <c r="IF61"/>
  <c r="IE61"/>
  <c r="ID61"/>
  <c r="IC61"/>
  <c r="IB61"/>
  <c r="IA61"/>
  <c r="HZ61"/>
  <c r="HY61"/>
  <c r="HX61"/>
  <c r="HW61"/>
  <c r="HV61"/>
  <c r="HU61"/>
  <c r="HT61"/>
  <c r="HS61"/>
  <c r="HR61"/>
  <c r="HQ61"/>
  <c r="HP61"/>
  <c r="HO61"/>
  <c r="HN61"/>
  <c r="HM61"/>
  <c r="HL61"/>
  <c r="HK61"/>
  <c r="HJ61"/>
  <c r="HI61"/>
  <c r="HH61"/>
  <c r="HG61"/>
  <c r="HF61"/>
  <c r="HE61"/>
  <c r="HD61"/>
  <c r="HC61"/>
  <c r="HB61"/>
  <c r="HA61"/>
  <c r="GZ61"/>
  <c r="GY61"/>
  <c r="GX61"/>
  <c r="GW61"/>
  <c r="GV61"/>
  <c r="GU61"/>
  <c r="GT61"/>
  <c r="GS61"/>
  <c r="GR61"/>
  <c r="GQ61"/>
  <c r="GP61"/>
  <c r="GO61"/>
  <c r="GN61"/>
  <c r="GM61"/>
  <c r="GL61"/>
  <c r="GK61"/>
  <c r="GJ61"/>
  <c r="GI61"/>
  <c r="GH61"/>
  <c r="GG61"/>
  <c r="GF61"/>
  <c r="GE61"/>
  <c r="GD61"/>
  <c r="GC61"/>
  <c r="GB61"/>
  <c r="GA61"/>
  <c r="FZ61"/>
  <c r="FY61"/>
  <c r="FX61"/>
  <c r="FW61"/>
  <c r="FV61"/>
  <c r="FU61"/>
  <c r="FT61"/>
  <c r="FS61"/>
  <c r="FR61"/>
  <c r="FQ61"/>
  <c r="FP61"/>
  <c r="FO61"/>
  <c r="FN61"/>
  <c r="FM61"/>
  <c r="FL61"/>
  <c r="FK61"/>
  <c r="FJ61"/>
  <c r="FI61"/>
  <c r="FH61"/>
  <c r="FG61"/>
  <c r="FF61"/>
  <c r="FE61"/>
  <c r="FD61"/>
  <c r="FC61"/>
  <c r="FB61"/>
  <c r="FA61"/>
  <c r="EZ61"/>
  <c r="EY61"/>
  <c r="EX61"/>
  <c r="EW61"/>
  <c r="EV61"/>
  <c r="EU61"/>
  <c r="ET61"/>
  <c r="ES61"/>
  <c r="ER61"/>
  <c r="EQ61"/>
  <c r="EP61"/>
  <c r="EO61"/>
  <c r="EN61"/>
  <c r="EM61"/>
  <c r="EL61"/>
  <c r="EK61"/>
  <c r="EJ61"/>
  <c r="EI61"/>
  <c r="EH61"/>
  <c r="EG61"/>
  <c r="EF61"/>
  <c r="EE61"/>
  <c r="ED61"/>
  <c r="EC61"/>
  <c r="EB61"/>
  <c r="EA61"/>
  <c r="DZ61"/>
  <c r="DY61"/>
  <c r="DX61"/>
  <c r="DW61"/>
  <c r="DV61"/>
  <c r="DU61"/>
  <c r="DT61"/>
  <c r="DS61"/>
  <c r="DR61"/>
  <c r="DQ61"/>
  <c r="DP61"/>
  <c r="DO61"/>
  <c r="DN61"/>
  <c r="DM61"/>
  <c r="DL61"/>
  <c r="DK61"/>
  <c r="DJ61"/>
  <c r="DI61"/>
  <c r="DH61"/>
  <c r="DG61"/>
  <c r="DF61"/>
  <c r="DE61"/>
  <c r="DD61"/>
  <c r="DC61"/>
  <c r="DB61"/>
  <c r="DA61"/>
  <c r="CZ61"/>
  <c r="CY61"/>
  <c r="CX61"/>
  <c r="CW61"/>
  <c r="CV61"/>
  <c r="CU61"/>
  <c r="CT61"/>
  <c r="CS61"/>
  <c r="CR61"/>
  <c r="CQ61"/>
  <c r="CP61"/>
  <c r="CO61"/>
  <c r="CN61"/>
  <c r="CM61"/>
  <c r="CL61"/>
  <c r="CK61"/>
  <c r="CJ61"/>
  <c r="CI61"/>
  <c r="CH61"/>
  <c r="CG61"/>
  <c r="CF61"/>
  <c r="CE61"/>
  <c r="CD61"/>
  <c r="CC61"/>
  <c r="CB61"/>
  <c r="CA61"/>
  <c r="BZ61"/>
  <c r="BY61"/>
  <c r="BX61"/>
  <c r="BW61"/>
  <c r="BV61"/>
  <c r="BU61"/>
  <c r="BT61"/>
  <c r="BS61"/>
  <c r="BR61"/>
  <c r="BQ61"/>
  <c r="BP61"/>
  <c r="BO61"/>
  <c r="BN61"/>
  <c r="BM61"/>
  <c r="BL61"/>
  <c r="BK61"/>
  <c r="BJ61"/>
  <c r="BI61"/>
  <c r="BH61"/>
  <c r="BG61"/>
  <c r="BF61"/>
  <c r="BE61"/>
  <c r="BD61"/>
  <c r="BC61"/>
  <c r="BB61"/>
  <c r="BA61"/>
  <c r="AZ61"/>
  <c r="AY61"/>
  <c r="AX61"/>
  <c r="AW61"/>
  <c r="AV61"/>
  <c r="AU61"/>
  <c r="AT61"/>
  <c r="AS61"/>
  <c r="AR61"/>
  <c r="AQ61"/>
  <c r="AP61"/>
  <c r="AO61"/>
  <c r="AN61"/>
  <c r="AM61"/>
  <c r="AL61"/>
  <c r="AK61"/>
  <c r="AJ61"/>
  <c r="AI61"/>
  <c r="AH61"/>
  <c r="AG61"/>
  <c r="AF61"/>
  <c r="AE61"/>
  <c r="AD61"/>
  <c r="AC61"/>
  <c r="AB61"/>
  <c r="AA61"/>
  <c r="Z61"/>
  <c r="Y61"/>
  <c r="X61"/>
  <c r="W61"/>
  <c r="V61"/>
  <c r="U61"/>
  <c r="T61"/>
  <c r="S61"/>
  <c r="R61"/>
  <c r="Q61"/>
  <c r="P61"/>
  <c r="O61"/>
  <c r="N61"/>
  <c r="M61"/>
  <c r="L61"/>
  <c r="K61"/>
  <c r="J61"/>
  <c r="I61"/>
  <c r="H61"/>
  <c r="G61"/>
  <c r="F61"/>
  <c r="E61"/>
  <c r="D61"/>
  <c r="C61"/>
  <c r="B61"/>
  <c r="A61"/>
  <c r="IV60"/>
  <c r="IU60"/>
  <c r="IT60"/>
  <c r="IS60"/>
  <c r="IR60"/>
  <c r="IQ60"/>
  <c r="IP60"/>
  <c r="IO60"/>
  <c r="IN60"/>
  <c r="IM60"/>
  <c r="IL60"/>
  <c r="IK60"/>
  <c r="IJ60"/>
  <c r="II60"/>
  <c r="IH60"/>
  <c r="IG60"/>
  <c r="IF60"/>
  <c r="IE60"/>
  <c r="ID60"/>
  <c r="IC60"/>
  <c r="IB60"/>
  <c r="IA60"/>
  <c r="HZ60"/>
  <c r="HY60"/>
  <c r="HX60"/>
  <c r="HW60"/>
  <c r="HV60"/>
  <c r="HU60"/>
  <c r="HT60"/>
  <c r="HS60"/>
  <c r="HR60"/>
  <c r="HQ60"/>
  <c r="HP60"/>
  <c r="HO60"/>
  <c r="HN60"/>
  <c r="HM60"/>
  <c r="HL60"/>
  <c r="HK60"/>
  <c r="HJ60"/>
  <c r="HI60"/>
  <c r="HH60"/>
  <c r="HG60"/>
  <c r="HF60"/>
  <c r="HE60"/>
  <c r="HD60"/>
  <c r="HC60"/>
  <c r="HB60"/>
  <c r="HA60"/>
  <c r="GZ60"/>
  <c r="GY60"/>
  <c r="GX60"/>
  <c r="GW60"/>
  <c r="GV60"/>
  <c r="GU60"/>
  <c r="GT60"/>
  <c r="GS60"/>
  <c r="GR60"/>
  <c r="GQ60"/>
  <c r="GP60"/>
  <c r="GO60"/>
  <c r="GN60"/>
  <c r="GM60"/>
  <c r="GL60"/>
  <c r="GK60"/>
  <c r="GJ60"/>
  <c r="GI60"/>
  <c r="GH60"/>
  <c r="GG60"/>
  <c r="GF60"/>
  <c r="GE60"/>
  <c r="GD60"/>
  <c r="GC60"/>
  <c r="GB60"/>
  <c r="GA60"/>
  <c r="FZ60"/>
  <c r="FY60"/>
  <c r="FX60"/>
  <c r="FW60"/>
  <c r="FV60"/>
  <c r="FU60"/>
  <c r="FT60"/>
  <c r="FS60"/>
  <c r="FR60"/>
  <c r="FQ60"/>
  <c r="FP60"/>
  <c r="FO60"/>
  <c r="FN60"/>
  <c r="FM60"/>
  <c r="FL60"/>
  <c r="FK60"/>
  <c r="FJ60"/>
  <c r="FI60"/>
  <c r="FH60"/>
  <c r="FG60"/>
  <c r="FF60"/>
  <c r="FE60"/>
  <c r="FD60"/>
  <c r="FC60"/>
  <c r="FB60"/>
  <c r="FA60"/>
  <c r="EZ60"/>
  <c r="EY60"/>
  <c r="EX60"/>
  <c r="EW60"/>
  <c r="EV60"/>
  <c r="EU60"/>
  <c r="ET60"/>
  <c r="ES60"/>
  <c r="ER60"/>
  <c r="EQ60"/>
  <c r="EP60"/>
  <c r="EO60"/>
  <c r="EN60"/>
  <c r="EM60"/>
  <c r="EL60"/>
  <c r="EK60"/>
  <c r="EJ60"/>
  <c r="EI60"/>
  <c r="EH60"/>
  <c r="EG60"/>
  <c r="EF60"/>
  <c r="EE60"/>
  <c r="ED60"/>
  <c r="EC60"/>
  <c r="EB60"/>
  <c r="EA60"/>
  <c r="DZ60"/>
  <c r="DY60"/>
  <c r="DX60"/>
  <c r="DW60"/>
  <c r="DV60"/>
  <c r="DU60"/>
  <c r="DT60"/>
  <c r="DS60"/>
  <c r="DR60"/>
  <c r="DQ60"/>
  <c r="DP60"/>
  <c r="DO60"/>
  <c r="DN60"/>
  <c r="DM60"/>
  <c r="DL60"/>
  <c r="DK60"/>
  <c r="DJ60"/>
  <c r="DI60"/>
  <c r="DH60"/>
  <c r="DG60"/>
  <c r="DF60"/>
  <c r="DE60"/>
  <c r="DD60"/>
  <c r="DC60"/>
  <c r="DB60"/>
  <c r="DA60"/>
  <c r="CZ60"/>
  <c r="CY60"/>
  <c r="CX60"/>
  <c r="CW60"/>
  <c r="CV60"/>
  <c r="CU60"/>
  <c r="CT60"/>
  <c r="CS60"/>
  <c r="CR60"/>
  <c r="CQ60"/>
  <c r="CP60"/>
  <c r="CO60"/>
  <c r="CN60"/>
  <c r="CM60"/>
  <c r="CL60"/>
  <c r="CK60"/>
  <c r="CJ60"/>
  <c r="CI60"/>
  <c r="CH60"/>
  <c r="CG60"/>
  <c r="CF60"/>
  <c r="CE60"/>
  <c r="CD60"/>
  <c r="CC60"/>
  <c r="CB60"/>
  <c r="CA60"/>
  <c r="BZ60"/>
  <c r="BY60"/>
  <c r="BX60"/>
  <c r="BW60"/>
  <c r="BV60"/>
  <c r="BU60"/>
  <c r="BT60"/>
  <c r="BS60"/>
  <c r="BR60"/>
  <c r="BQ60"/>
  <c r="BP60"/>
  <c r="BO60"/>
  <c r="BN60"/>
  <c r="BM60"/>
  <c r="BL60"/>
  <c r="BK60"/>
  <c r="BJ60"/>
  <c r="BI60"/>
  <c r="BH60"/>
  <c r="BG60"/>
  <c r="BF60"/>
  <c r="BE60"/>
  <c r="BD60"/>
  <c r="BC60"/>
  <c r="BB60"/>
  <c r="BA60"/>
  <c r="AZ60"/>
  <c r="AY60"/>
  <c r="AX60"/>
  <c r="AW60"/>
  <c r="AV60"/>
  <c r="AU60"/>
  <c r="AT60"/>
  <c r="AS60"/>
  <c r="AR60"/>
  <c r="AQ60"/>
  <c r="AP60"/>
  <c r="AO60"/>
  <c r="AN60"/>
  <c r="AM60"/>
  <c r="AL60"/>
  <c r="AK60"/>
  <c r="AJ60"/>
  <c r="AI60"/>
  <c r="AH60"/>
  <c r="AG60"/>
  <c r="AF60"/>
  <c r="AE60"/>
  <c r="AD60"/>
  <c r="AC60"/>
  <c r="AB60"/>
  <c r="AA60"/>
  <c r="Z60"/>
  <c r="Y60"/>
  <c r="X60"/>
  <c r="W60"/>
  <c r="V60"/>
  <c r="U60"/>
  <c r="T60"/>
  <c r="S60"/>
  <c r="R60"/>
  <c r="Q60"/>
  <c r="P60"/>
  <c r="O60"/>
  <c r="N60"/>
  <c r="M60"/>
  <c r="L60"/>
  <c r="K60"/>
  <c r="J60"/>
  <c r="I60"/>
  <c r="H60"/>
  <c r="G60"/>
  <c r="F60"/>
  <c r="E60"/>
  <c r="D60"/>
  <c r="C60"/>
  <c r="B60"/>
  <c r="A60"/>
  <c r="IV59"/>
  <c r="IU59"/>
  <c r="IT59"/>
  <c r="IS59"/>
  <c r="IR59"/>
  <c r="IQ59"/>
  <c r="IP59"/>
  <c r="IO59"/>
  <c r="IN59"/>
  <c r="IM59"/>
  <c r="IL59"/>
  <c r="IK59"/>
  <c r="IJ59"/>
  <c r="II59"/>
  <c r="IH59"/>
  <c r="IG59"/>
  <c r="IF59"/>
  <c r="IE59"/>
  <c r="ID59"/>
  <c r="IC59"/>
  <c r="IB59"/>
  <c r="IA59"/>
  <c r="HZ59"/>
  <c r="HY59"/>
  <c r="HX59"/>
  <c r="HW59"/>
  <c r="HV59"/>
  <c r="HU59"/>
  <c r="HT59"/>
  <c r="HS59"/>
  <c r="HR59"/>
  <c r="HQ59"/>
  <c r="HP59"/>
  <c r="HO59"/>
  <c r="HN59"/>
  <c r="HM59"/>
  <c r="HL59"/>
  <c r="HK59"/>
  <c r="HJ59"/>
  <c r="HI59"/>
  <c r="HH59"/>
  <c r="HG59"/>
  <c r="HF59"/>
  <c r="HE59"/>
  <c r="HD59"/>
  <c r="HC59"/>
  <c r="HB59"/>
  <c r="HA59"/>
  <c r="GZ59"/>
  <c r="GY59"/>
  <c r="GX59"/>
  <c r="GW59"/>
  <c r="GV59"/>
  <c r="GU59"/>
  <c r="GT59"/>
  <c r="GS59"/>
  <c r="GR59"/>
  <c r="GQ59"/>
  <c r="GP59"/>
  <c r="GO59"/>
  <c r="GN59"/>
  <c r="GM59"/>
  <c r="GL59"/>
  <c r="GK59"/>
  <c r="GJ59"/>
  <c r="GI59"/>
  <c r="GH59"/>
  <c r="GG59"/>
  <c r="GF59"/>
  <c r="GE59"/>
  <c r="GD59"/>
  <c r="GC59"/>
  <c r="GB59"/>
  <c r="GA59"/>
  <c r="FZ59"/>
  <c r="FY59"/>
  <c r="FX59"/>
  <c r="FW59"/>
  <c r="FV59"/>
  <c r="FU59"/>
  <c r="FT59"/>
  <c r="FS59"/>
  <c r="FR59"/>
  <c r="FQ59"/>
  <c r="FP59"/>
  <c r="FO59"/>
  <c r="FN59"/>
  <c r="FM59"/>
  <c r="FL59"/>
  <c r="FK59"/>
  <c r="FJ59"/>
  <c r="FI59"/>
  <c r="FH59"/>
  <c r="FG59"/>
  <c r="FF59"/>
  <c r="FE59"/>
  <c r="FD59"/>
  <c r="FC59"/>
  <c r="FB59"/>
  <c r="FA59"/>
  <c r="EZ59"/>
  <c r="EY59"/>
  <c r="EX59"/>
  <c r="EW59"/>
  <c r="EV59"/>
  <c r="EU59"/>
  <c r="ET59"/>
  <c r="ES59"/>
  <c r="ER59"/>
  <c r="EQ59"/>
  <c r="EP59"/>
  <c r="EO59"/>
  <c r="EN59"/>
  <c r="EM59"/>
  <c r="EL59"/>
  <c r="EK59"/>
  <c r="EJ59"/>
  <c r="EI59"/>
  <c r="EH59"/>
  <c r="EG59"/>
  <c r="EF59"/>
  <c r="EE59"/>
  <c r="ED59"/>
  <c r="EC59"/>
  <c r="EB59"/>
  <c r="EA59"/>
  <c r="DZ59"/>
  <c r="DY59"/>
  <c r="DX59"/>
  <c r="DW59"/>
  <c r="DV59"/>
  <c r="DU59"/>
  <c r="DT59"/>
  <c r="DS59"/>
  <c r="DR59"/>
  <c r="DQ59"/>
  <c r="DP59"/>
  <c r="DO59"/>
  <c r="DN59"/>
  <c r="DM59"/>
  <c r="DL59"/>
  <c r="DK59"/>
  <c r="DJ59"/>
  <c r="DI59"/>
  <c r="DH59"/>
  <c r="DG59"/>
  <c r="DF59"/>
  <c r="DE59"/>
  <c r="DD59"/>
  <c r="DC59"/>
  <c r="DB59"/>
  <c r="DA59"/>
  <c r="CZ59"/>
  <c r="CY59"/>
  <c r="CX59"/>
  <c r="CW59"/>
  <c r="CV59"/>
  <c r="CU59"/>
  <c r="CT59"/>
  <c r="CS59"/>
  <c r="CR59"/>
  <c r="CQ59"/>
  <c r="CP59"/>
  <c r="CO59"/>
  <c r="CN59"/>
  <c r="CM59"/>
  <c r="CL59"/>
  <c r="CK59"/>
  <c r="CJ59"/>
  <c r="CI59"/>
  <c r="CH59"/>
  <c r="CG59"/>
  <c r="CF59"/>
  <c r="CE59"/>
  <c r="CD59"/>
  <c r="CC59"/>
  <c r="CB59"/>
  <c r="CA59"/>
  <c r="BZ59"/>
  <c r="BY59"/>
  <c r="BX59"/>
  <c r="BW59"/>
  <c r="BV59"/>
  <c r="BU59"/>
  <c r="BT59"/>
  <c r="BS59"/>
  <c r="BR59"/>
  <c r="BQ59"/>
  <c r="BP59"/>
  <c r="BO59"/>
  <c r="BN59"/>
  <c r="BM59"/>
  <c r="BL59"/>
  <c r="BK59"/>
  <c r="BJ59"/>
  <c r="BI59"/>
  <c r="BH59"/>
  <c r="BG59"/>
  <c r="BF59"/>
  <c r="BE59"/>
  <c r="BD59"/>
  <c r="BC59"/>
  <c r="BB59"/>
  <c r="BA59"/>
  <c r="AZ59"/>
  <c r="AY59"/>
  <c r="AX59"/>
  <c r="AW59"/>
  <c r="AV59"/>
  <c r="AU59"/>
  <c r="AT59"/>
  <c r="AS59"/>
  <c r="AR59"/>
  <c r="AQ59"/>
  <c r="AP59"/>
  <c r="AO59"/>
  <c r="AN59"/>
  <c r="AM59"/>
  <c r="AL59"/>
  <c r="AK59"/>
  <c r="AJ59"/>
  <c r="AI59"/>
  <c r="AH59"/>
  <c r="AG59"/>
  <c r="AF59"/>
  <c r="AE59"/>
  <c r="AD59"/>
  <c r="AC59"/>
  <c r="AB59"/>
  <c r="AA59"/>
  <c r="Z59"/>
  <c r="Y59"/>
  <c r="X59"/>
  <c r="W59"/>
  <c r="V59"/>
  <c r="U59"/>
  <c r="T59"/>
  <c r="S59"/>
  <c r="R59"/>
  <c r="Q59"/>
  <c r="P59"/>
  <c r="O59"/>
  <c r="N59"/>
  <c r="M59"/>
  <c r="L59"/>
  <c r="K59"/>
  <c r="J59"/>
  <c r="I59"/>
  <c r="H59"/>
  <c r="G59"/>
  <c r="F59"/>
  <c r="E59"/>
  <c r="D59"/>
  <c r="C59"/>
  <c r="B59"/>
  <c r="A59"/>
  <c r="IV58"/>
  <c r="IU58"/>
  <c r="IT58"/>
  <c r="IS58"/>
  <c r="IR58"/>
  <c r="IQ58"/>
  <c r="IP58"/>
  <c r="IO58"/>
  <c r="IN58"/>
  <c r="IM58"/>
  <c r="IL58"/>
  <c r="IK58"/>
  <c r="IJ58"/>
  <c r="II58"/>
  <c r="IH58"/>
  <c r="IG58"/>
  <c r="IF58"/>
  <c r="IE58"/>
  <c r="ID58"/>
  <c r="IC58"/>
  <c r="IB58"/>
  <c r="IA58"/>
  <c r="HZ58"/>
  <c r="HY58"/>
  <c r="HX58"/>
  <c r="HW58"/>
  <c r="HV58"/>
  <c r="HU58"/>
  <c r="HT58"/>
  <c r="HS58"/>
  <c r="HR58"/>
  <c r="HQ58"/>
  <c r="HP58"/>
  <c r="HO58"/>
  <c r="HN58"/>
  <c r="HM58"/>
  <c r="HL58"/>
  <c r="HK58"/>
  <c r="HJ58"/>
  <c r="HI58"/>
  <c r="HH58"/>
  <c r="HG58"/>
  <c r="HF58"/>
  <c r="HE58"/>
  <c r="HD58"/>
  <c r="HC58"/>
  <c r="HB58"/>
  <c r="HA58"/>
  <c r="GZ58"/>
  <c r="GY58"/>
  <c r="GX58"/>
  <c r="GW58"/>
  <c r="GV58"/>
  <c r="GU58"/>
  <c r="GT58"/>
  <c r="GS58"/>
  <c r="GR58"/>
  <c r="GQ58"/>
  <c r="GP58"/>
  <c r="GO58"/>
  <c r="GN58"/>
  <c r="GM58"/>
  <c r="GL58"/>
  <c r="GK58"/>
  <c r="GJ58"/>
  <c r="GI58"/>
  <c r="GH58"/>
  <c r="GG58"/>
  <c r="GF58"/>
  <c r="GE58"/>
  <c r="GD58"/>
  <c r="GC58"/>
  <c r="GB58"/>
  <c r="GA58"/>
  <c r="FZ58"/>
  <c r="FY58"/>
  <c r="FX58"/>
  <c r="FW58"/>
  <c r="FV58"/>
  <c r="FU58"/>
  <c r="FT58"/>
  <c r="FS58"/>
  <c r="FR58"/>
  <c r="FQ58"/>
  <c r="FP58"/>
  <c r="FO58"/>
  <c r="FN58"/>
  <c r="FM58"/>
  <c r="FL58"/>
  <c r="FK58"/>
  <c r="FJ58"/>
  <c r="FI58"/>
  <c r="FH58"/>
  <c r="FG58"/>
  <c r="FF58"/>
  <c r="FE58"/>
  <c r="FD58"/>
  <c r="FC58"/>
  <c r="FB58"/>
  <c r="FA58"/>
  <c r="EZ58"/>
  <c r="EY58"/>
  <c r="EX58"/>
  <c r="EW58"/>
  <c r="EV58"/>
  <c r="EU58"/>
  <c r="ET58"/>
  <c r="ES58"/>
  <c r="ER58"/>
  <c r="EQ58"/>
  <c r="EP58"/>
  <c r="EO58"/>
  <c r="EN58"/>
  <c r="EM58"/>
  <c r="EL58"/>
  <c r="EK58"/>
  <c r="EJ58"/>
  <c r="EI58"/>
  <c r="EH58"/>
  <c r="EG58"/>
  <c r="EF58"/>
  <c r="EE58"/>
  <c r="ED58"/>
  <c r="EC58"/>
  <c r="EB58"/>
  <c r="EA58"/>
  <c r="DZ58"/>
  <c r="DY58"/>
  <c r="DX58"/>
  <c r="DW58"/>
  <c r="DV58"/>
  <c r="DU58"/>
  <c r="DT58"/>
  <c r="DS58"/>
  <c r="DR58"/>
  <c r="DQ58"/>
  <c r="DP58"/>
  <c r="DO58"/>
  <c r="DN58"/>
  <c r="DM58"/>
  <c r="DL58"/>
  <c r="DK58"/>
  <c r="DJ58"/>
  <c r="DI58"/>
  <c r="DH58"/>
  <c r="DG58"/>
  <c r="DF58"/>
  <c r="DE58"/>
  <c r="DD58"/>
  <c r="DC58"/>
  <c r="DB58"/>
  <c r="DA58"/>
  <c r="CZ58"/>
  <c r="CY58"/>
  <c r="CX58"/>
  <c r="CW58"/>
  <c r="CV58"/>
  <c r="CU58"/>
  <c r="CT58"/>
  <c r="CS58"/>
  <c r="CR58"/>
  <c r="CQ58"/>
  <c r="CP58"/>
  <c r="CO58"/>
  <c r="CN58"/>
  <c r="CM58"/>
  <c r="CL58"/>
  <c r="CK58"/>
  <c r="CJ58"/>
  <c r="CI58"/>
  <c r="CH58"/>
  <c r="CG58"/>
  <c r="CF58"/>
  <c r="CE58"/>
  <c r="CD58"/>
  <c r="CC58"/>
  <c r="CB58"/>
  <c r="CA58"/>
  <c r="BZ58"/>
  <c r="BY58"/>
  <c r="BX58"/>
  <c r="BW58"/>
  <c r="BV58"/>
  <c r="BU58"/>
  <c r="BT58"/>
  <c r="BS58"/>
  <c r="BR58"/>
  <c r="BQ58"/>
  <c r="BP58"/>
  <c r="BO58"/>
  <c r="BN58"/>
  <c r="BM58"/>
  <c r="BL58"/>
  <c r="BK58"/>
  <c r="BJ58"/>
  <c r="BI58"/>
  <c r="BH58"/>
  <c r="BG58"/>
  <c r="BF58"/>
  <c r="BE58"/>
  <c r="BD58"/>
  <c r="BC58"/>
  <c r="BB58"/>
  <c r="BA58"/>
  <c r="AZ58"/>
  <c r="AY58"/>
  <c r="AX58"/>
  <c r="AW58"/>
  <c r="AV58"/>
  <c r="AU58"/>
  <c r="AT58"/>
  <c r="AS58"/>
  <c r="AR58"/>
  <c r="AQ58"/>
  <c r="AP58"/>
  <c r="AO58"/>
  <c r="AN58"/>
  <c r="AM58"/>
  <c r="AL58"/>
  <c r="AK58"/>
  <c r="AJ58"/>
  <c r="AI58"/>
  <c r="AH58"/>
  <c r="AG58"/>
  <c r="AF58"/>
  <c r="AE58"/>
  <c r="AD58"/>
  <c r="AC58"/>
  <c r="AB58"/>
  <c r="AA58"/>
  <c r="Z58"/>
  <c r="Y58"/>
  <c r="X58"/>
  <c r="W58"/>
  <c r="V58"/>
  <c r="U58"/>
  <c r="T58"/>
  <c r="S58"/>
  <c r="R58"/>
  <c r="Q58"/>
  <c r="P58"/>
  <c r="O58"/>
  <c r="N58"/>
  <c r="M58"/>
  <c r="L58"/>
  <c r="K58"/>
  <c r="J58"/>
  <c r="I58"/>
  <c r="H58"/>
  <c r="G58"/>
  <c r="F58"/>
  <c r="E58"/>
  <c r="D58"/>
  <c r="C58"/>
  <c r="B58"/>
  <c r="A58"/>
  <c r="IV57"/>
  <c r="IU57"/>
  <c r="IT57"/>
  <c r="IS57"/>
  <c r="IR57"/>
  <c r="IQ57"/>
  <c r="IP57"/>
  <c r="IO57"/>
  <c r="IN57"/>
  <c r="IM57"/>
  <c r="IL57"/>
  <c r="IK57"/>
  <c r="IJ57"/>
  <c r="II57"/>
  <c r="IH57"/>
  <c r="IG57"/>
  <c r="IF57"/>
  <c r="IE57"/>
  <c r="ID57"/>
  <c r="IC57"/>
  <c r="IB57"/>
  <c r="IA57"/>
  <c r="HZ57"/>
  <c r="HY57"/>
  <c r="HX57"/>
  <c r="HW57"/>
  <c r="HV57"/>
  <c r="HU57"/>
  <c r="HT57"/>
  <c r="HS57"/>
  <c r="HR57"/>
  <c r="HQ57"/>
  <c r="HP57"/>
  <c r="HO57"/>
  <c r="HN57"/>
  <c r="HM57"/>
  <c r="HL57"/>
  <c r="HK57"/>
  <c r="HJ57"/>
  <c r="HI57"/>
  <c r="HH57"/>
  <c r="HG57"/>
  <c r="HF57"/>
  <c r="HE57"/>
  <c r="HD57"/>
  <c r="HC57"/>
  <c r="HB57"/>
  <c r="HA57"/>
  <c r="GZ57"/>
  <c r="GY57"/>
  <c r="GX57"/>
  <c r="GW57"/>
  <c r="GV57"/>
  <c r="GU57"/>
  <c r="GT57"/>
  <c r="GS57"/>
  <c r="GR57"/>
  <c r="GQ57"/>
  <c r="GP57"/>
  <c r="GO57"/>
  <c r="GN57"/>
  <c r="GM57"/>
  <c r="GL57"/>
  <c r="GK57"/>
  <c r="GJ57"/>
  <c r="GI57"/>
  <c r="GH57"/>
  <c r="GG57"/>
  <c r="GF57"/>
  <c r="GE57"/>
  <c r="GD57"/>
  <c r="GC57"/>
  <c r="GB57"/>
  <c r="GA57"/>
  <c r="FZ57"/>
  <c r="FY57"/>
  <c r="FX57"/>
  <c r="FW57"/>
  <c r="FV57"/>
  <c r="FU57"/>
  <c r="FT57"/>
  <c r="FS57"/>
  <c r="FR57"/>
  <c r="FQ57"/>
  <c r="FP57"/>
  <c r="FO57"/>
  <c r="FN57"/>
  <c r="FM57"/>
  <c r="FL57"/>
  <c r="FK57"/>
  <c r="FJ57"/>
  <c r="FI57"/>
  <c r="FH57"/>
  <c r="FG57"/>
  <c r="FF57"/>
  <c r="FE57"/>
  <c r="FD57"/>
  <c r="FC57"/>
  <c r="FB57"/>
  <c r="FA57"/>
  <c r="EZ57"/>
  <c r="EY57"/>
  <c r="EX57"/>
  <c r="EW57"/>
  <c r="EV57"/>
  <c r="EU57"/>
  <c r="ET57"/>
  <c r="ES57"/>
  <c r="ER57"/>
  <c r="EQ57"/>
  <c r="EP57"/>
  <c r="EO57"/>
  <c r="EN57"/>
  <c r="EM57"/>
  <c r="EL57"/>
  <c r="EK57"/>
  <c r="EJ57"/>
  <c r="EI57"/>
  <c r="EH57"/>
  <c r="EG57"/>
  <c r="EF57"/>
  <c r="EE57"/>
  <c r="ED57"/>
  <c r="EC57"/>
  <c r="EB57"/>
  <c r="EA57"/>
  <c r="DZ57"/>
  <c r="DY57"/>
  <c r="DX57"/>
  <c r="DW57"/>
  <c r="DV57"/>
  <c r="DU57"/>
  <c r="DT57"/>
  <c r="DS57"/>
  <c r="DR57"/>
  <c r="DQ57"/>
  <c r="DP57"/>
  <c r="DO57"/>
  <c r="DN57"/>
  <c r="DM57"/>
  <c r="DL57"/>
  <c r="DK57"/>
  <c r="DJ57"/>
  <c r="DI57"/>
  <c r="DH57"/>
  <c r="DG57"/>
  <c r="DF57"/>
  <c r="DE57"/>
  <c r="DD57"/>
  <c r="DC57"/>
  <c r="DB57"/>
  <c r="DA57"/>
  <c r="CZ57"/>
  <c r="CY57"/>
  <c r="CX57"/>
  <c r="CW57"/>
  <c r="CV57"/>
  <c r="CU57"/>
  <c r="CT57"/>
  <c r="CS57"/>
  <c r="CR57"/>
  <c r="CQ57"/>
  <c r="CP57"/>
  <c r="CO57"/>
  <c r="CN57"/>
  <c r="CM57"/>
  <c r="CL57"/>
  <c r="CK57"/>
  <c r="CJ57"/>
  <c r="CI57"/>
  <c r="CH57"/>
  <c r="CG57"/>
  <c r="CF57"/>
  <c r="CE57"/>
  <c r="CD57"/>
  <c r="CC57"/>
  <c r="CB57"/>
  <c r="CA57"/>
  <c r="BZ57"/>
  <c r="BY57"/>
  <c r="BX57"/>
  <c r="BW57"/>
  <c r="BV57"/>
  <c r="BU57"/>
  <c r="BT57"/>
  <c r="BS57"/>
  <c r="BR57"/>
  <c r="BQ57"/>
  <c r="BP57"/>
  <c r="BO57"/>
  <c r="BN57"/>
  <c r="BM57"/>
  <c r="BL57"/>
  <c r="BK57"/>
  <c r="BJ57"/>
  <c r="BI57"/>
  <c r="BH57"/>
  <c r="BG57"/>
  <c r="BF57"/>
  <c r="BE57"/>
  <c r="BD57"/>
  <c r="BC57"/>
  <c r="BB57"/>
  <c r="BA57"/>
  <c r="AZ57"/>
  <c r="AY57"/>
  <c r="AX57"/>
  <c r="AW57"/>
  <c r="AV57"/>
  <c r="AU57"/>
  <c r="AT57"/>
  <c r="AS57"/>
  <c r="AR57"/>
  <c r="AQ57"/>
  <c r="AP57"/>
  <c r="AO57"/>
  <c r="AN57"/>
  <c r="AM57"/>
  <c r="AL57"/>
  <c r="AK57"/>
  <c r="AJ57"/>
  <c r="AI57"/>
  <c r="AH57"/>
  <c r="AG57"/>
  <c r="AF57"/>
  <c r="AE57"/>
  <c r="AD57"/>
  <c r="AC57"/>
  <c r="AB57"/>
  <c r="AA57"/>
  <c r="Z57"/>
  <c r="Y57"/>
  <c r="X57"/>
  <c r="W57"/>
  <c r="V57"/>
  <c r="U57"/>
  <c r="T57"/>
  <c r="S57"/>
  <c r="R57"/>
  <c r="Q57"/>
  <c r="P57"/>
  <c r="O57"/>
  <c r="N57"/>
  <c r="M57"/>
  <c r="L57"/>
  <c r="K57"/>
  <c r="J57"/>
  <c r="I57"/>
  <c r="H57"/>
  <c r="G57"/>
  <c r="F57"/>
  <c r="E57"/>
  <c r="D57"/>
  <c r="C57"/>
  <c r="B57"/>
  <c r="A57"/>
  <c r="IV56"/>
  <c r="IU56"/>
  <c r="IT56"/>
  <c r="IS56"/>
  <c r="IR56"/>
  <c r="IQ56"/>
  <c r="IP56"/>
  <c r="IO56"/>
  <c r="IN56"/>
  <c r="IM56"/>
  <c r="IL56"/>
  <c r="IK56"/>
  <c r="IJ56"/>
  <c r="II56"/>
  <c r="IH56"/>
  <c r="IG56"/>
  <c r="IF56"/>
  <c r="IE56"/>
  <c r="ID56"/>
  <c r="IC56"/>
  <c r="IB56"/>
  <c r="IA56"/>
  <c r="HZ56"/>
  <c r="HY56"/>
  <c r="HX56"/>
  <c r="HW56"/>
  <c r="HV56"/>
  <c r="HU56"/>
  <c r="HT56"/>
  <c r="HS56"/>
  <c r="HR56"/>
  <c r="HQ56"/>
  <c r="HP56"/>
  <c r="HO56"/>
  <c r="HN56"/>
  <c r="HM56"/>
  <c r="HL56"/>
  <c r="HK56"/>
  <c r="HJ56"/>
  <c r="HI56"/>
  <c r="HH56"/>
  <c r="HG56"/>
  <c r="HF56"/>
  <c r="HE56"/>
  <c r="HD56"/>
  <c r="HC56"/>
  <c r="HB56"/>
  <c r="HA56"/>
  <c r="GZ56"/>
  <c r="GY56"/>
  <c r="GX56"/>
  <c r="GW56"/>
  <c r="GV56"/>
  <c r="GU56"/>
  <c r="GT56"/>
  <c r="GS56"/>
  <c r="GR56"/>
  <c r="GQ56"/>
  <c r="GP56"/>
  <c r="GO56"/>
  <c r="GN56"/>
  <c r="GM56"/>
  <c r="GL56"/>
  <c r="GK56"/>
  <c r="GJ56"/>
  <c r="GI56"/>
  <c r="GH56"/>
  <c r="GG56"/>
  <c r="GF56"/>
  <c r="GE56"/>
  <c r="GD56"/>
  <c r="GC56"/>
  <c r="GB56"/>
  <c r="GA56"/>
  <c r="FZ56"/>
  <c r="FY56"/>
  <c r="FX56"/>
  <c r="FW56"/>
  <c r="FV56"/>
  <c r="FU56"/>
  <c r="FT56"/>
  <c r="FS56"/>
  <c r="FR56"/>
  <c r="FQ56"/>
  <c r="FP56"/>
  <c r="FO56"/>
  <c r="FN56"/>
  <c r="FM56"/>
  <c r="FL56"/>
  <c r="FK56"/>
  <c r="FJ56"/>
  <c r="FI56"/>
  <c r="FH56"/>
  <c r="FG56"/>
  <c r="FF56"/>
  <c r="FE56"/>
  <c r="FD56"/>
  <c r="FC56"/>
  <c r="FB56"/>
  <c r="FA56"/>
  <c r="EZ56"/>
  <c r="EY56"/>
  <c r="EX56"/>
  <c r="EW56"/>
  <c r="EV56"/>
  <c r="EU56"/>
  <c r="ET56"/>
  <c r="ES56"/>
  <c r="ER56"/>
  <c r="EQ56"/>
  <c r="EP56"/>
  <c r="EO56"/>
  <c r="EN56"/>
  <c r="EM56"/>
  <c r="EL56"/>
  <c r="EK56"/>
  <c r="EJ56"/>
  <c r="EI56"/>
  <c r="EH56"/>
  <c r="EG56"/>
  <c r="EF56"/>
  <c r="EE56"/>
  <c r="ED56"/>
  <c r="EC56"/>
  <c r="EB56"/>
  <c r="EA56"/>
  <c r="DZ56"/>
  <c r="DY56"/>
  <c r="DX56"/>
  <c r="DW56"/>
  <c r="DV56"/>
  <c r="DU56"/>
  <c r="DT56"/>
  <c r="DS56"/>
  <c r="DR56"/>
  <c r="DQ56"/>
  <c r="DP56"/>
  <c r="DO56"/>
  <c r="DN56"/>
  <c r="DM56"/>
  <c r="DL56"/>
  <c r="DK56"/>
  <c r="DJ56"/>
  <c r="DI56"/>
  <c r="DH56"/>
  <c r="DG56"/>
  <c r="DF56"/>
  <c r="DE56"/>
  <c r="DD56"/>
  <c r="DC56"/>
  <c r="DB56"/>
  <c r="DA56"/>
  <c r="CZ56"/>
  <c r="CY56"/>
  <c r="CX56"/>
  <c r="CW56"/>
  <c r="CV56"/>
  <c r="CU56"/>
  <c r="CT56"/>
  <c r="CS56"/>
  <c r="CR56"/>
  <c r="CQ56"/>
  <c r="CP56"/>
  <c r="CO56"/>
  <c r="CN56"/>
  <c r="CM56"/>
  <c r="CL56"/>
  <c r="CK56"/>
  <c r="CJ56"/>
  <c r="CI56"/>
  <c r="CH56"/>
  <c r="CG56"/>
  <c r="CF56"/>
  <c r="CE56"/>
  <c r="CD56"/>
  <c r="CC56"/>
  <c r="CB56"/>
  <c r="CA56"/>
  <c r="BZ56"/>
  <c r="BY56"/>
  <c r="BX56"/>
  <c r="BW56"/>
  <c r="BV56"/>
  <c r="BU56"/>
  <c r="BT56"/>
  <c r="BS56"/>
  <c r="BR56"/>
  <c r="BQ56"/>
  <c r="BP56"/>
  <c r="BO56"/>
  <c r="BN56"/>
  <c r="BM56"/>
  <c r="BL56"/>
  <c r="BK56"/>
  <c r="BJ56"/>
  <c r="BI56"/>
  <c r="BH56"/>
  <c r="BG56"/>
  <c r="BF56"/>
  <c r="BE56"/>
  <c r="BD56"/>
  <c r="BC56"/>
  <c r="BB56"/>
  <c r="BA56"/>
  <c r="AZ56"/>
  <c r="AY56"/>
  <c r="AX56"/>
  <c r="AW56"/>
  <c r="AV56"/>
  <c r="AU56"/>
  <c r="AT56"/>
  <c r="AS56"/>
  <c r="AR56"/>
  <c r="AQ56"/>
  <c r="AP56"/>
  <c r="AO56"/>
  <c r="AN56"/>
  <c r="AM56"/>
  <c r="AL56"/>
  <c r="AK56"/>
  <c r="AJ56"/>
  <c r="AI56"/>
  <c r="AH56"/>
  <c r="AG56"/>
  <c r="AF56"/>
  <c r="AE56"/>
  <c r="AD56"/>
  <c r="AC56"/>
  <c r="AB56"/>
  <c r="AA56"/>
  <c r="Z56"/>
  <c r="Y56"/>
  <c r="X56"/>
  <c r="W56"/>
  <c r="V56"/>
  <c r="U56"/>
  <c r="T56"/>
  <c r="S56"/>
  <c r="R56"/>
  <c r="Q56"/>
  <c r="P56"/>
  <c r="O56"/>
  <c r="N56"/>
  <c r="M56"/>
  <c r="L56"/>
  <c r="K56"/>
  <c r="J56"/>
  <c r="I56"/>
  <c r="H56"/>
  <c r="G56"/>
  <c r="F56"/>
  <c r="E56"/>
  <c r="D56"/>
  <c r="C56"/>
  <c r="B56"/>
  <c r="A56"/>
  <c r="IV55"/>
  <c r="IU55"/>
  <c r="IT55"/>
  <c r="IS55"/>
  <c r="IR55"/>
  <c r="IQ55"/>
  <c r="IP55"/>
  <c r="IO55"/>
  <c r="IN55"/>
  <c r="IM55"/>
  <c r="IL55"/>
  <c r="IK55"/>
  <c r="IJ55"/>
  <c r="II55"/>
  <c r="IH55"/>
  <c r="IG55"/>
  <c r="IF55"/>
  <c r="IE55"/>
  <c r="ID55"/>
  <c r="IC55"/>
  <c r="IB55"/>
  <c r="IA55"/>
  <c r="HZ55"/>
  <c r="HY55"/>
  <c r="HX55"/>
  <c r="HW55"/>
  <c r="HV55"/>
  <c r="HU55"/>
  <c r="HT55"/>
  <c r="HS55"/>
  <c r="HR55"/>
  <c r="HQ55"/>
  <c r="HP55"/>
  <c r="HO55"/>
  <c r="HN55"/>
  <c r="HM55"/>
  <c r="HL55"/>
  <c r="HK55"/>
  <c r="HJ55"/>
  <c r="HI55"/>
  <c r="HH55"/>
  <c r="HG55"/>
  <c r="HF55"/>
  <c r="HE55"/>
  <c r="HD55"/>
  <c r="HC55"/>
  <c r="HB55"/>
  <c r="HA55"/>
  <c r="GZ55"/>
  <c r="GY55"/>
  <c r="GX55"/>
  <c r="GW55"/>
  <c r="GV55"/>
  <c r="GU55"/>
  <c r="GT55"/>
  <c r="GS55"/>
  <c r="GR55"/>
  <c r="GQ55"/>
  <c r="GP55"/>
  <c r="GO55"/>
  <c r="GN55"/>
  <c r="GM55"/>
  <c r="GL55"/>
  <c r="GK55"/>
  <c r="GJ55"/>
  <c r="GI55"/>
  <c r="GH55"/>
  <c r="GG55"/>
  <c r="GF55"/>
  <c r="GE55"/>
  <c r="GD55"/>
  <c r="GC55"/>
  <c r="GB55"/>
  <c r="GA55"/>
  <c r="FZ55"/>
  <c r="FY55"/>
  <c r="FX55"/>
  <c r="FW55"/>
  <c r="FV55"/>
  <c r="FU55"/>
  <c r="FT55"/>
  <c r="FS55"/>
  <c r="FR55"/>
  <c r="FQ55"/>
  <c r="FP55"/>
  <c r="FO55"/>
  <c r="FN55"/>
  <c r="FM55"/>
  <c r="FL55"/>
  <c r="FK55"/>
  <c r="FJ55"/>
  <c r="FI55"/>
  <c r="FH55"/>
  <c r="FG55"/>
  <c r="FF55"/>
  <c r="FE55"/>
  <c r="FD55"/>
  <c r="FC55"/>
  <c r="FB55"/>
  <c r="FA55"/>
  <c r="EZ55"/>
  <c r="EY55"/>
  <c r="EX55"/>
  <c r="EW55"/>
  <c r="EV55"/>
  <c r="EU55"/>
  <c r="ET55"/>
  <c r="ES55"/>
  <c r="ER55"/>
  <c r="EQ55"/>
  <c r="EP55"/>
  <c r="EO55"/>
  <c r="EN55"/>
  <c r="EM55"/>
  <c r="EL55"/>
  <c r="EK55"/>
  <c r="EJ55"/>
  <c r="EI55"/>
  <c r="EH55"/>
  <c r="EG55"/>
  <c r="EF55"/>
  <c r="EE55"/>
  <c r="ED55"/>
  <c r="EC55"/>
  <c r="EB55"/>
  <c r="EA55"/>
  <c r="DZ55"/>
  <c r="DY55"/>
  <c r="DX55"/>
  <c r="DW55"/>
  <c r="DV55"/>
  <c r="DU55"/>
  <c r="DT55"/>
  <c r="DS55"/>
  <c r="DR55"/>
  <c r="DQ55"/>
  <c r="DP55"/>
  <c r="DO55"/>
  <c r="DN55"/>
  <c r="DM55"/>
  <c r="DL55"/>
  <c r="DK55"/>
  <c r="DJ55"/>
  <c r="DI55"/>
  <c r="DH55"/>
  <c r="DG55"/>
  <c r="DF55"/>
  <c r="DE55"/>
  <c r="DD55"/>
  <c r="DC55"/>
  <c r="DB55"/>
  <c r="DA55"/>
  <c r="CZ55"/>
  <c r="CY55"/>
  <c r="CX55"/>
  <c r="CW55"/>
  <c r="CV55"/>
  <c r="CU55"/>
  <c r="CT55"/>
  <c r="CS55"/>
  <c r="CR55"/>
  <c r="CQ55"/>
  <c r="CP55"/>
  <c r="CO55"/>
  <c r="CN55"/>
  <c r="CM55"/>
  <c r="CL55"/>
  <c r="CK55"/>
  <c r="CJ55"/>
  <c r="CI55"/>
  <c r="CH55"/>
  <c r="CG55"/>
  <c r="CF55"/>
  <c r="CE55"/>
  <c r="CD55"/>
  <c r="CC55"/>
  <c r="CB55"/>
  <c r="CA55"/>
  <c r="BZ55"/>
  <c r="BY55"/>
  <c r="BX55"/>
  <c r="BW55"/>
  <c r="BV55"/>
  <c r="BU55"/>
  <c r="BT55"/>
  <c r="BS55"/>
  <c r="BR55"/>
  <c r="BQ55"/>
  <c r="BP55"/>
  <c r="BO55"/>
  <c r="BN55"/>
  <c r="BM55"/>
  <c r="BL55"/>
  <c r="BK55"/>
  <c r="BJ55"/>
  <c r="BI55"/>
  <c r="BH55"/>
  <c r="BG55"/>
  <c r="BF55"/>
  <c r="BE55"/>
  <c r="BD55"/>
  <c r="BC55"/>
  <c r="BB55"/>
  <c r="BA55"/>
  <c r="AZ55"/>
  <c r="AY55"/>
  <c r="AX55"/>
  <c r="AW55"/>
  <c r="AV55"/>
  <c r="AU55"/>
  <c r="AT55"/>
  <c r="AS55"/>
  <c r="AR55"/>
  <c r="AQ55"/>
  <c r="AP55"/>
  <c r="AO55"/>
  <c r="AN55"/>
  <c r="AM55"/>
  <c r="AL55"/>
  <c r="AK55"/>
  <c r="AJ55"/>
  <c r="AI55"/>
  <c r="AH55"/>
  <c r="AG55"/>
  <c r="AF55"/>
  <c r="AE55"/>
  <c r="AD55"/>
  <c r="AC55"/>
  <c r="AB55"/>
  <c r="AA55"/>
  <c r="Z55"/>
  <c r="Y55"/>
  <c r="X55"/>
  <c r="W55"/>
  <c r="V55"/>
  <c r="U55"/>
  <c r="T55"/>
  <c r="S55"/>
  <c r="R55"/>
  <c r="Q55"/>
  <c r="P55"/>
  <c r="O55"/>
  <c r="N55"/>
  <c r="M55"/>
  <c r="L55"/>
  <c r="K55"/>
  <c r="J55"/>
  <c r="I55"/>
  <c r="H55"/>
  <c r="G55"/>
  <c r="F55"/>
  <c r="E55"/>
  <c r="D55"/>
  <c r="C55"/>
  <c r="B55"/>
  <c r="A55"/>
  <c r="IV54"/>
  <c r="IU54"/>
  <c r="IT54"/>
  <c r="IS54"/>
  <c r="IR54"/>
  <c r="IQ54"/>
  <c r="IP54"/>
  <c r="IO54"/>
  <c r="IN54"/>
  <c r="IM54"/>
  <c r="IL54"/>
  <c r="IK54"/>
  <c r="IJ54"/>
  <c r="II54"/>
  <c r="IH54"/>
  <c r="IG54"/>
  <c r="IF54"/>
  <c r="IE54"/>
  <c r="ID54"/>
  <c r="IC54"/>
  <c r="IB54"/>
  <c r="IA54"/>
  <c r="HZ54"/>
  <c r="HY54"/>
  <c r="HX54"/>
  <c r="HW54"/>
  <c r="HV54"/>
  <c r="HU54"/>
  <c r="HT54"/>
  <c r="HS54"/>
  <c r="HR54"/>
  <c r="HQ54"/>
  <c r="HP54"/>
  <c r="HO54"/>
  <c r="HN54"/>
  <c r="HM54"/>
  <c r="HL54"/>
  <c r="HK54"/>
  <c r="HJ54"/>
  <c r="HI54"/>
  <c r="HH54"/>
  <c r="HG54"/>
  <c r="HF54"/>
  <c r="HE54"/>
  <c r="HD54"/>
  <c r="HC54"/>
  <c r="HB54"/>
  <c r="HA54"/>
  <c r="GZ54"/>
  <c r="GY54"/>
  <c r="GX54"/>
  <c r="GW54"/>
  <c r="GV54"/>
  <c r="GU54"/>
  <c r="GT54"/>
  <c r="GS54"/>
  <c r="GR54"/>
  <c r="GQ54"/>
  <c r="GP54"/>
  <c r="GO54"/>
  <c r="GN54"/>
  <c r="GM54"/>
  <c r="GL54"/>
  <c r="GK54"/>
  <c r="GJ54"/>
  <c r="GI54"/>
  <c r="GH54"/>
  <c r="GG54"/>
  <c r="GF54"/>
  <c r="GE54"/>
  <c r="GD54"/>
  <c r="GC54"/>
  <c r="GB54"/>
  <c r="GA54"/>
  <c r="FZ54"/>
  <c r="FY54"/>
  <c r="FX54"/>
  <c r="FW54"/>
  <c r="FV54"/>
  <c r="FU54"/>
  <c r="FT54"/>
  <c r="FS54"/>
  <c r="FR54"/>
  <c r="FQ54"/>
  <c r="FP54"/>
  <c r="FO54"/>
  <c r="FN54"/>
  <c r="FM54"/>
  <c r="FL54"/>
  <c r="FK54"/>
  <c r="FJ54"/>
  <c r="FI54"/>
  <c r="FH54"/>
  <c r="FG54"/>
  <c r="FF54"/>
  <c r="FE54"/>
  <c r="FD54"/>
  <c r="FC54"/>
  <c r="FB54"/>
  <c r="FA54"/>
  <c r="EZ54"/>
  <c r="EY54"/>
  <c r="EX54"/>
  <c r="EW54"/>
  <c r="EV54"/>
  <c r="EU54"/>
  <c r="ET54"/>
  <c r="ES54"/>
  <c r="ER54"/>
  <c r="EQ54"/>
  <c r="EP54"/>
  <c r="EO54"/>
  <c r="EN54"/>
  <c r="EM54"/>
  <c r="EL54"/>
  <c r="EK54"/>
  <c r="EJ54"/>
  <c r="EI54"/>
  <c r="EH54"/>
  <c r="EG54"/>
  <c r="EF54"/>
  <c r="EE54"/>
  <c r="ED54"/>
  <c r="EC54"/>
  <c r="EB54"/>
  <c r="EA54"/>
  <c r="DZ54"/>
  <c r="DY54"/>
  <c r="DX54"/>
  <c r="DW54"/>
  <c r="DV54"/>
  <c r="DU54"/>
  <c r="DT54"/>
  <c r="DS54"/>
  <c r="DR54"/>
  <c r="DQ54"/>
  <c r="DP54"/>
  <c r="DO54"/>
  <c r="DN54"/>
  <c r="DM54"/>
  <c r="DL54"/>
  <c r="DK54"/>
  <c r="DJ54"/>
  <c r="DI54"/>
  <c r="DH54"/>
  <c r="DG54"/>
  <c r="DF54"/>
  <c r="DE54"/>
  <c r="DD54"/>
  <c r="DC54"/>
  <c r="DB54"/>
  <c r="DA54"/>
  <c r="CZ54"/>
  <c r="CY54"/>
  <c r="CX54"/>
  <c r="CW54"/>
  <c r="CV54"/>
  <c r="CU54"/>
  <c r="CT54"/>
  <c r="CS54"/>
  <c r="CR54"/>
  <c r="CQ54"/>
  <c r="CP54"/>
  <c r="CO54"/>
  <c r="CN54"/>
  <c r="CM54"/>
  <c r="CL54"/>
  <c r="CK54"/>
  <c r="CJ54"/>
  <c r="CI54"/>
  <c r="CH54"/>
  <c r="CG54"/>
  <c r="CF54"/>
  <c r="CE54"/>
  <c r="CD54"/>
  <c r="CC54"/>
  <c r="CB54"/>
  <c r="CA54"/>
  <c r="BZ54"/>
  <c r="BY54"/>
  <c r="BX54"/>
  <c r="BW54"/>
  <c r="BV54"/>
  <c r="BU54"/>
  <c r="BT54"/>
  <c r="BS54"/>
  <c r="BR54"/>
  <c r="BQ54"/>
  <c r="BP54"/>
  <c r="BO54"/>
  <c r="BN54"/>
  <c r="BM54"/>
  <c r="BL54"/>
  <c r="BK54"/>
  <c r="BJ54"/>
  <c r="BI54"/>
  <c r="BH54"/>
  <c r="BG54"/>
  <c r="BF54"/>
  <c r="BE54"/>
  <c r="BD54"/>
  <c r="BC54"/>
  <c r="BB54"/>
  <c r="BA54"/>
  <c r="AZ54"/>
  <c r="AY54"/>
  <c r="AX54"/>
  <c r="AW54"/>
  <c r="AV54"/>
  <c r="AU54"/>
  <c r="AT54"/>
  <c r="AS54"/>
  <c r="AR54"/>
  <c r="AQ54"/>
  <c r="AP54"/>
  <c r="AO54"/>
  <c r="AN54"/>
  <c r="AM54"/>
  <c r="AL54"/>
  <c r="AK54"/>
  <c r="AJ54"/>
  <c r="AI54"/>
  <c r="AH54"/>
  <c r="AG54"/>
  <c r="AF54"/>
  <c r="AE54"/>
  <c r="AD54"/>
  <c r="AC54"/>
  <c r="AB54"/>
  <c r="AA54"/>
  <c r="Z54"/>
  <c r="Y54"/>
  <c r="X54"/>
  <c r="W54"/>
  <c r="V54"/>
  <c r="U54"/>
  <c r="T54"/>
  <c r="S54"/>
  <c r="R54"/>
  <c r="Q54"/>
  <c r="P54"/>
  <c r="O54"/>
  <c r="N54"/>
  <c r="M54"/>
  <c r="L54"/>
  <c r="K54"/>
  <c r="J54"/>
  <c r="I54"/>
  <c r="H54"/>
  <c r="G54"/>
  <c r="F54"/>
  <c r="E54"/>
  <c r="D54"/>
  <c r="C54"/>
  <c r="B54"/>
  <c r="A54"/>
  <c r="IV53"/>
  <c r="IU53"/>
  <c r="IT53"/>
  <c r="IS53"/>
  <c r="IR53"/>
  <c r="IQ53"/>
  <c r="IP53"/>
  <c r="IO53"/>
  <c r="IN53"/>
  <c r="IM53"/>
  <c r="IL53"/>
  <c r="IK53"/>
  <c r="IJ53"/>
  <c r="II53"/>
  <c r="IH53"/>
  <c r="IG53"/>
  <c r="IF53"/>
  <c r="IE53"/>
  <c r="ID53"/>
  <c r="IC53"/>
  <c r="IB53"/>
  <c r="IA53"/>
  <c r="HZ53"/>
  <c r="HY53"/>
  <c r="HX53"/>
  <c r="HW53"/>
  <c r="HV53"/>
  <c r="HU53"/>
  <c r="HT53"/>
  <c r="HS53"/>
  <c r="HR53"/>
  <c r="HQ53"/>
  <c r="HP53"/>
  <c r="HO53"/>
  <c r="HN53"/>
  <c r="HM53"/>
  <c r="HL53"/>
  <c r="HK53"/>
  <c r="HJ53"/>
  <c r="HI53"/>
  <c r="HH53"/>
  <c r="HG53"/>
  <c r="HF53"/>
  <c r="HE53"/>
  <c r="HD53"/>
  <c r="HC53"/>
  <c r="HB53"/>
  <c r="HA53"/>
  <c r="GZ53"/>
  <c r="GY53"/>
  <c r="GX53"/>
  <c r="GW53"/>
  <c r="GV53"/>
  <c r="GU53"/>
  <c r="GT53"/>
  <c r="GS53"/>
  <c r="GR53"/>
  <c r="GQ53"/>
  <c r="GP53"/>
  <c r="GO53"/>
  <c r="GN53"/>
  <c r="GM53"/>
  <c r="GL53"/>
  <c r="GK53"/>
  <c r="GJ53"/>
  <c r="GI53"/>
  <c r="GH53"/>
  <c r="GG53"/>
  <c r="GF53"/>
  <c r="GE53"/>
  <c r="GD53"/>
  <c r="GC53"/>
  <c r="GB53"/>
  <c r="GA53"/>
  <c r="FZ53"/>
  <c r="FY53"/>
  <c r="FX53"/>
  <c r="FW53"/>
  <c r="FV53"/>
  <c r="FU53"/>
  <c r="FT53"/>
  <c r="FS53"/>
  <c r="FR53"/>
  <c r="FQ53"/>
  <c r="FP53"/>
  <c r="FO53"/>
  <c r="FN53"/>
  <c r="FM53"/>
  <c r="FL53"/>
  <c r="FK53"/>
  <c r="FJ53"/>
  <c r="FI53"/>
  <c r="FH53"/>
  <c r="FG53"/>
  <c r="FF53"/>
  <c r="FE53"/>
  <c r="FD53"/>
  <c r="FC53"/>
  <c r="FB53"/>
  <c r="FA53"/>
  <c r="EZ53"/>
  <c r="EY53"/>
  <c r="EX53"/>
  <c r="EW53"/>
  <c r="EV53"/>
  <c r="EU53"/>
  <c r="ET53"/>
  <c r="ES53"/>
  <c r="ER53"/>
  <c r="EQ53"/>
  <c r="EP53"/>
  <c r="EO53"/>
  <c r="EN53"/>
  <c r="EM53"/>
  <c r="EL53"/>
  <c r="EK53"/>
  <c r="EJ53"/>
  <c r="EI53"/>
  <c r="EH53"/>
  <c r="EG53"/>
  <c r="EF53"/>
  <c r="EE53"/>
  <c r="ED53"/>
  <c r="EC53"/>
  <c r="EB53"/>
  <c r="EA53"/>
  <c r="DZ53"/>
  <c r="DY53"/>
  <c r="DX53"/>
  <c r="DW53"/>
  <c r="DV53"/>
  <c r="DU53"/>
  <c r="DT53"/>
  <c r="DS53"/>
  <c r="DR53"/>
  <c r="DQ53"/>
  <c r="DP53"/>
  <c r="DO53"/>
  <c r="DN53"/>
  <c r="DM53"/>
  <c r="DL53"/>
  <c r="DK53"/>
  <c r="DJ53"/>
  <c r="DI53"/>
  <c r="DH53"/>
  <c r="DG53"/>
  <c r="DF53"/>
  <c r="DE53"/>
  <c r="DD53"/>
  <c r="DC53"/>
  <c r="DB53"/>
  <c r="DA53"/>
  <c r="CZ53"/>
  <c r="CY53"/>
  <c r="CX53"/>
  <c r="CW53"/>
  <c r="CV53"/>
  <c r="CU53"/>
  <c r="CT53"/>
  <c r="CS53"/>
  <c r="CR53"/>
  <c r="CQ53"/>
  <c r="CP53"/>
  <c r="CO53"/>
  <c r="CN53"/>
  <c r="CM53"/>
  <c r="CL53"/>
  <c r="CK53"/>
  <c r="CJ53"/>
  <c r="CI53"/>
  <c r="CH53"/>
  <c r="CG53"/>
  <c r="CF53"/>
  <c r="CE53"/>
  <c r="CD53"/>
  <c r="CC53"/>
  <c r="CB53"/>
  <c r="CA53"/>
  <c r="BZ53"/>
  <c r="BY53"/>
  <c r="BX53"/>
  <c r="BW53"/>
  <c r="BV53"/>
  <c r="BU53"/>
  <c r="BT53"/>
  <c r="BS53"/>
  <c r="BR53"/>
  <c r="BQ53"/>
  <c r="BP53"/>
  <c r="BO53"/>
  <c r="BN53"/>
  <c r="BM53"/>
  <c r="BL53"/>
  <c r="BK53"/>
  <c r="BJ53"/>
  <c r="BI53"/>
  <c r="BH53"/>
  <c r="BG53"/>
  <c r="BF53"/>
  <c r="BE53"/>
  <c r="BD53"/>
  <c r="BC53"/>
  <c r="BB53"/>
  <c r="BA53"/>
  <c r="AZ53"/>
  <c r="AY53"/>
  <c r="AX53"/>
  <c r="AW53"/>
  <c r="AV53"/>
  <c r="AU53"/>
  <c r="AT53"/>
  <c r="AS53"/>
  <c r="AR53"/>
  <c r="AQ53"/>
  <c r="AP53"/>
  <c r="AO53"/>
  <c r="AN53"/>
  <c r="AM53"/>
  <c r="AL53"/>
  <c r="AK53"/>
  <c r="AJ53"/>
  <c r="AI53"/>
  <c r="AH53"/>
  <c r="AG53"/>
  <c r="AF53"/>
  <c r="AE53"/>
  <c r="AD53"/>
  <c r="AC53"/>
  <c r="AB53"/>
  <c r="AA53"/>
  <c r="Z53"/>
  <c r="Y53"/>
  <c r="X53"/>
  <c r="W53"/>
  <c r="V53"/>
  <c r="U53"/>
  <c r="T53"/>
  <c r="S53"/>
  <c r="R53"/>
  <c r="Q53"/>
  <c r="P53"/>
  <c r="O53"/>
  <c r="N53"/>
  <c r="M53"/>
  <c r="L53"/>
  <c r="K53"/>
  <c r="J53"/>
  <c r="I53"/>
  <c r="H53"/>
  <c r="G53"/>
  <c r="F53"/>
  <c r="E53"/>
  <c r="D53"/>
  <c r="C53"/>
  <c r="B53"/>
  <c r="A53"/>
  <c r="IV52"/>
  <c r="IU52"/>
  <c r="IT52"/>
  <c r="IS52"/>
  <c r="IR52"/>
  <c r="IQ52"/>
  <c r="IP52"/>
  <c r="IO52"/>
  <c r="IN52"/>
  <c r="IM52"/>
  <c r="IL52"/>
  <c r="IK52"/>
  <c r="IJ52"/>
  <c r="II52"/>
  <c r="IH52"/>
  <c r="IG52"/>
  <c r="IF52"/>
  <c r="IE52"/>
  <c r="ID52"/>
  <c r="IC52"/>
  <c r="IB52"/>
  <c r="IA52"/>
  <c r="HZ52"/>
  <c r="HY52"/>
  <c r="HX52"/>
  <c r="HW52"/>
  <c r="HV52"/>
  <c r="HU52"/>
  <c r="HT52"/>
  <c r="HS52"/>
  <c r="HR52"/>
  <c r="HQ52"/>
  <c r="HP52"/>
  <c r="HO52"/>
  <c r="HN52"/>
  <c r="HM52"/>
  <c r="HL52"/>
  <c r="HK52"/>
  <c r="HJ52"/>
  <c r="HI52"/>
  <c r="HH52"/>
  <c r="HG52"/>
  <c r="HF52"/>
  <c r="HE52"/>
  <c r="HD52"/>
  <c r="HC52"/>
  <c r="HB52"/>
  <c r="HA52"/>
  <c r="GZ52"/>
  <c r="GY52"/>
  <c r="GX52"/>
  <c r="GW52"/>
  <c r="GV52"/>
  <c r="GU52"/>
  <c r="GT52"/>
  <c r="GS52"/>
  <c r="GR52"/>
  <c r="GQ52"/>
  <c r="GP52"/>
  <c r="GO52"/>
  <c r="GN52"/>
  <c r="GM52"/>
  <c r="GL52"/>
  <c r="GK52"/>
  <c r="GJ52"/>
  <c r="GI52"/>
  <c r="GH52"/>
  <c r="GG52"/>
  <c r="GF52"/>
  <c r="GE52"/>
  <c r="GD52"/>
  <c r="GC52"/>
  <c r="GB52"/>
  <c r="GA52"/>
  <c r="FZ52"/>
  <c r="FY52"/>
  <c r="FX52"/>
  <c r="FW52"/>
  <c r="FV52"/>
  <c r="FU52"/>
  <c r="FT52"/>
  <c r="FS52"/>
  <c r="FR52"/>
  <c r="FQ52"/>
  <c r="FP52"/>
  <c r="FO52"/>
  <c r="FN52"/>
  <c r="FM52"/>
  <c r="FL52"/>
  <c r="FK52"/>
  <c r="FJ52"/>
  <c r="FI52"/>
  <c r="FH52"/>
  <c r="FG52"/>
  <c r="FF52"/>
  <c r="FE52"/>
  <c r="FD52"/>
  <c r="FC52"/>
  <c r="FB52"/>
  <c r="FA52"/>
  <c r="EZ52"/>
  <c r="EY52"/>
  <c r="EX52"/>
  <c r="EW52"/>
  <c r="EV52"/>
  <c r="EU52"/>
  <c r="ET52"/>
  <c r="ES52"/>
  <c r="ER52"/>
  <c r="EQ52"/>
  <c r="EP52"/>
  <c r="EO52"/>
  <c r="EN52"/>
  <c r="EM52"/>
  <c r="EL52"/>
  <c r="EK52"/>
  <c r="EJ52"/>
  <c r="EI52"/>
  <c r="EH52"/>
  <c r="EG52"/>
  <c r="EF52"/>
  <c r="EE52"/>
  <c r="ED52"/>
  <c r="EC52"/>
  <c r="EB52"/>
  <c r="EA52"/>
  <c r="DZ52"/>
  <c r="DY52"/>
  <c r="DX52"/>
  <c r="DW52"/>
  <c r="DV52"/>
  <c r="DU52"/>
  <c r="DT52"/>
  <c r="DS52"/>
  <c r="DR52"/>
  <c r="DQ52"/>
  <c r="DP52"/>
  <c r="DO52"/>
  <c r="DN52"/>
  <c r="DM52"/>
  <c r="DL52"/>
  <c r="DK52"/>
  <c r="DJ52"/>
  <c r="DI52"/>
  <c r="DH52"/>
  <c r="DG52"/>
  <c r="DF52"/>
  <c r="DE52"/>
  <c r="DD52"/>
  <c r="DC52"/>
  <c r="DB52"/>
  <c r="DA52"/>
  <c r="CZ52"/>
  <c r="CY52"/>
  <c r="CX52"/>
  <c r="CW52"/>
  <c r="CV52"/>
  <c r="CU52"/>
  <c r="CT52"/>
  <c r="CS52"/>
  <c r="CR52"/>
  <c r="CQ52"/>
  <c r="CP52"/>
  <c r="CO52"/>
  <c r="CN52"/>
  <c r="CM52"/>
  <c r="CL52"/>
  <c r="CK52"/>
  <c r="CJ52"/>
  <c r="CI52"/>
  <c r="CH52"/>
  <c r="CG52"/>
  <c r="CF52"/>
  <c r="CE52"/>
  <c r="CD52"/>
  <c r="CC52"/>
  <c r="CB52"/>
  <c r="CA52"/>
  <c r="BZ52"/>
  <c r="BY52"/>
  <c r="BX52"/>
  <c r="BW52"/>
  <c r="BV52"/>
  <c r="BU52"/>
  <c r="BT52"/>
  <c r="BS52"/>
  <c r="BR52"/>
  <c r="BQ52"/>
  <c r="BP52"/>
  <c r="BO52"/>
  <c r="BN52"/>
  <c r="BM52"/>
  <c r="BL52"/>
  <c r="BK52"/>
  <c r="BJ52"/>
  <c r="BI52"/>
  <c r="BH52"/>
  <c r="BG52"/>
  <c r="BF52"/>
  <c r="BE52"/>
  <c r="BD52"/>
  <c r="BC52"/>
  <c r="BB52"/>
  <c r="BA52"/>
  <c r="AZ52"/>
  <c r="AY52"/>
  <c r="AX52"/>
  <c r="AW52"/>
  <c r="AV52"/>
  <c r="AU52"/>
  <c r="AT52"/>
  <c r="AS52"/>
  <c r="AR52"/>
  <c r="AQ52"/>
  <c r="AP52"/>
  <c r="AO52"/>
  <c r="AN52"/>
  <c r="AM52"/>
  <c r="AL52"/>
  <c r="AK52"/>
  <c r="AJ52"/>
  <c r="AI52"/>
  <c r="AH52"/>
  <c r="AG52"/>
  <c r="AF52"/>
  <c r="AE52"/>
  <c r="AD52"/>
  <c r="AC52"/>
  <c r="AB52"/>
  <c r="AA52"/>
  <c r="Z52"/>
  <c r="Y52"/>
  <c r="X52"/>
  <c r="W52"/>
  <c r="V52"/>
  <c r="U52"/>
  <c r="T52"/>
  <c r="S52"/>
  <c r="R52"/>
  <c r="Q52"/>
  <c r="P52"/>
  <c r="O52"/>
  <c r="N52"/>
  <c r="M52"/>
  <c r="L52"/>
  <c r="K52"/>
  <c r="J52"/>
  <c r="I52"/>
  <c r="H52"/>
  <c r="G52"/>
  <c r="F52"/>
  <c r="E52"/>
  <c r="D52"/>
  <c r="C52"/>
  <c r="B52"/>
  <c r="A52"/>
  <c r="IV51"/>
  <c r="IU51"/>
  <c r="IT51"/>
  <c r="IS51"/>
  <c r="IR51"/>
  <c r="IQ51"/>
  <c r="IP51"/>
  <c r="IO51"/>
  <c r="IN51"/>
  <c r="IM51"/>
  <c r="IL51"/>
  <c r="IK51"/>
  <c r="IJ51"/>
  <c r="II51"/>
  <c r="IH51"/>
  <c r="IG51"/>
  <c r="IF51"/>
  <c r="IE51"/>
  <c r="ID51"/>
  <c r="IC51"/>
  <c r="IB51"/>
  <c r="IA51"/>
  <c r="HZ51"/>
  <c r="HY51"/>
  <c r="HX51"/>
  <c r="HW51"/>
  <c r="HV51"/>
  <c r="HU51"/>
  <c r="HT51"/>
  <c r="HS51"/>
  <c r="HR51"/>
  <c r="HQ51"/>
  <c r="HP51"/>
  <c r="HO51"/>
  <c r="HN51"/>
  <c r="HM51"/>
  <c r="HL51"/>
  <c r="HK51"/>
  <c r="HJ51"/>
  <c r="HI51"/>
  <c r="HH51"/>
  <c r="HG51"/>
  <c r="HF51"/>
  <c r="HE51"/>
  <c r="HD51"/>
  <c r="HC51"/>
  <c r="HB51"/>
  <c r="HA51"/>
  <c r="GZ51"/>
  <c r="GY51"/>
  <c r="GX51"/>
  <c r="GW51"/>
  <c r="GV51"/>
  <c r="GU51"/>
  <c r="GT51"/>
  <c r="GS51"/>
  <c r="GR51"/>
  <c r="GQ51"/>
  <c r="GP51"/>
  <c r="GO51"/>
  <c r="GN51"/>
  <c r="GM51"/>
  <c r="GL51"/>
  <c r="GK51"/>
  <c r="GJ51"/>
  <c r="GI51"/>
  <c r="GH51"/>
  <c r="GG51"/>
  <c r="GF51"/>
  <c r="GE51"/>
  <c r="GD51"/>
  <c r="GC51"/>
  <c r="GB51"/>
  <c r="GA51"/>
  <c r="FZ51"/>
  <c r="FY51"/>
  <c r="FX51"/>
  <c r="FW51"/>
  <c r="FV51"/>
  <c r="FU51"/>
  <c r="FT51"/>
  <c r="FS51"/>
  <c r="FR51"/>
  <c r="FQ51"/>
  <c r="FP51"/>
  <c r="FO51"/>
  <c r="FN51"/>
  <c r="FM51"/>
  <c r="FL51"/>
  <c r="FK51"/>
  <c r="FJ51"/>
  <c r="FI51"/>
  <c r="FH51"/>
  <c r="FG51"/>
  <c r="FF51"/>
  <c r="FE51"/>
  <c r="FD51"/>
  <c r="FC51"/>
  <c r="FB51"/>
  <c r="FA51"/>
  <c r="EZ51"/>
  <c r="EY51"/>
  <c r="EX51"/>
  <c r="EW51"/>
  <c r="EV51"/>
  <c r="EU51"/>
  <c r="ET51"/>
  <c r="ES51"/>
  <c r="ER51"/>
  <c r="EQ51"/>
  <c r="EP51"/>
  <c r="EO51"/>
  <c r="EN51"/>
  <c r="EM51"/>
  <c r="EL51"/>
  <c r="EK51"/>
  <c r="EJ51"/>
  <c r="EI51"/>
  <c r="EH51"/>
  <c r="EG51"/>
  <c r="EF51"/>
  <c r="EE51"/>
  <c r="ED51"/>
  <c r="EC51"/>
  <c r="EB51"/>
  <c r="EA51"/>
  <c r="DZ51"/>
  <c r="DY51"/>
  <c r="DX51"/>
  <c r="DW51"/>
  <c r="DV51"/>
  <c r="DU51"/>
  <c r="DT51"/>
  <c r="DS51"/>
  <c r="DR51"/>
  <c r="DQ51"/>
  <c r="DP51"/>
  <c r="DO51"/>
  <c r="DN51"/>
  <c r="DM51"/>
  <c r="DL51"/>
  <c r="DK51"/>
  <c r="DJ51"/>
  <c r="DI51"/>
  <c r="DH51"/>
  <c r="DG51"/>
  <c r="DF51"/>
  <c r="DE51"/>
  <c r="DD51"/>
  <c r="DC51"/>
  <c r="DB51"/>
  <c r="DA51"/>
  <c r="CZ51"/>
  <c r="CY51"/>
  <c r="CX51"/>
  <c r="CW51"/>
  <c r="CV51"/>
  <c r="CU51"/>
  <c r="CT51"/>
  <c r="CS51"/>
  <c r="CR51"/>
  <c r="CQ51"/>
  <c r="CP51"/>
  <c r="CO51"/>
  <c r="CN51"/>
  <c r="CM51"/>
  <c r="CL51"/>
  <c r="CK51"/>
  <c r="CJ51"/>
  <c r="CI51"/>
  <c r="CH51"/>
  <c r="CG51"/>
  <c r="CF51"/>
  <c r="CE51"/>
  <c r="CD51"/>
  <c r="CC51"/>
  <c r="CB51"/>
  <c r="CA51"/>
  <c r="BZ51"/>
  <c r="BY51"/>
  <c r="BX51"/>
  <c r="BW51"/>
  <c r="BV51"/>
  <c r="BU51"/>
  <c r="BT51"/>
  <c r="BS51"/>
  <c r="BR51"/>
  <c r="BQ51"/>
  <c r="BP51"/>
  <c r="BO51"/>
  <c r="BN51"/>
  <c r="BM51"/>
  <c r="BL51"/>
  <c r="BK51"/>
  <c r="BJ51"/>
  <c r="BI51"/>
  <c r="BH51"/>
  <c r="BG51"/>
  <c r="BF51"/>
  <c r="BE51"/>
  <c r="BD51"/>
  <c r="BC51"/>
  <c r="BB51"/>
  <c r="BA51"/>
  <c r="AZ51"/>
  <c r="AY51"/>
  <c r="AX51"/>
  <c r="AW51"/>
  <c r="AV51"/>
  <c r="AU51"/>
  <c r="AT51"/>
  <c r="AS51"/>
  <c r="AR51"/>
  <c r="AQ51"/>
  <c r="AP51"/>
  <c r="AO51"/>
  <c r="AN51"/>
  <c r="AM51"/>
  <c r="AL51"/>
  <c r="AK51"/>
  <c r="AJ51"/>
  <c r="AI51"/>
  <c r="AH51"/>
  <c r="AG51"/>
  <c r="AF51"/>
  <c r="AE51"/>
  <c r="AD51"/>
  <c r="AC51"/>
  <c r="AB51"/>
  <c r="AA51"/>
  <c r="Z51"/>
  <c r="Y51"/>
  <c r="X51"/>
  <c r="W51"/>
  <c r="V51"/>
  <c r="U51"/>
  <c r="T51"/>
  <c r="S51"/>
  <c r="R51"/>
  <c r="Q51"/>
  <c r="P51"/>
  <c r="O51"/>
  <c r="N51"/>
  <c r="M51"/>
  <c r="L51"/>
  <c r="K51"/>
  <c r="J51"/>
  <c r="I51"/>
  <c r="H51"/>
  <c r="G51"/>
  <c r="F51"/>
  <c r="E51"/>
  <c r="D51"/>
  <c r="C51"/>
  <c r="B51"/>
  <c r="A51"/>
  <c r="IV50"/>
  <c r="IU50"/>
  <c r="IT50"/>
  <c r="IS50"/>
  <c r="IR50"/>
  <c r="IQ50"/>
  <c r="IP50"/>
  <c r="IO50"/>
  <c r="IN50"/>
  <c r="IM50"/>
  <c r="IL50"/>
  <c r="IK50"/>
  <c r="IJ50"/>
  <c r="II50"/>
  <c r="IH50"/>
  <c r="IG50"/>
  <c r="IF50"/>
  <c r="IE50"/>
  <c r="ID50"/>
  <c r="IC50"/>
  <c r="IB50"/>
  <c r="IA50"/>
  <c r="HZ50"/>
  <c r="HY50"/>
  <c r="HX50"/>
  <c r="HW50"/>
  <c r="HV50"/>
  <c r="HU50"/>
  <c r="HT50"/>
  <c r="HS50"/>
  <c r="HR50"/>
  <c r="HQ50"/>
  <c r="HP50"/>
  <c r="HO50"/>
  <c r="HN50"/>
  <c r="HM50"/>
  <c r="HL50"/>
  <c r="HK50"/>
  <c r="HJ50"/>
  <c r="HI50"/>
  <c r="HH50"/>
  <c r="HG50"/>
  <c r="HF50"/>
  <c r="HE50"/>
  <c r="HD50"/>
  <c r="HC50"/>
  <c r="HB50"/>
  <c r="HA50"/>
  <c r="GZ50"/>
  <c r="GY50"/>
  <c r="GX50"/>
  <c r="GW50"/>
  <c r="GV50"/>
  <c r="GU50"/>
  <c r="GT50"/>
  <c r="GS50"/>
  <c r="GR50"/>
  <c r="GQ50"/>
  <c r="GP50"/>
  <c r="GO50"/>
  <c r="GN50"/>
  <c r="GM50"/>
  <c r="GL50"/>
  <c r="GK50"/>
  <c r="GJ50"/>
  <c r="GI50"/>
  <c r="GH50"/>
  <c r="GG50"/>
  <c r="GF50"/>
  <c r="GE50"/>
  <c r="GD50"/>
  <c r="GC50"/>
  <c r="GB50"/>
  <c r="GA50"/>
  <c r="FZ50"/>
  <c r="FY50"/>
  <c r="FX50"/>
  <c r="FW50"/>
  <c r="FV50"/>
  <c r="FU50"/>
  <c r="FT50"/>
  <c r="FS50"/>
  <c r="FR50"/>
  <c r="FQ50"/>
  <c r="FP50"/>
  <c r="FO50"/>
  <c r="FN50"/>
  <c r="FM50"/>
  <c r="FL50"/>
  <c r="FK50"/>
  <c r="FJ50"/>
  <c r="FI50"/>
  <c r="FH50"/>
  <c r="FG50"/>
  <c r="FF50"/>
  <c r="FE50"/>
  <c r="FD50"/>
  <c r="FC50"/>
  <c r="FB50"/>
  <c r="FA50"/>
  <c r="EZ50"/>
  <c r="EY50"/>
  <c r="EX50"/>
  <c r="EW50"/>
  <c r="EV50"/>
  <c r="EU50"/>
  <c r="ET50"/>
  <c r="ES50"/>
  <c r="ER50"/>
  <c r="EQ50"/>
  <c r="EP50"/>
  <c r="EO50"/>
  <c r="EN50"/>
  <c r="EM50"/>
  <c r="EL50"/>
  <c r="EK50"/>
  <c r="EJ50"/>
  <c r="EI50"/>
  <c r="EH50"/>
  <c r="EG50"/>
  <c r="EF50"/>
  <c r="EE50"/>
  <c r="ED50"/>
  <c r="EC50"/>
  <c r="EB50"/>
  <c r="EA50"/>
  <c r="DZ50"/>
  <c r="DY50"/>
  <c r="DX50"/>
  <c r="DW50"/>
  <c r="DV50"/>
  <c r="DU50"/>
  <c r="DT50"/>
  <c r="DS50"/>
  <c r="DR50"/>
  <c r="DQ50"/>
  <c r="DP50"/>
  <c r="DO50"/>
  <c r="DN50"/>
  <c r="DM50"/>
  <c r="DL50"/>
  <c r="DK50"/>
  <c r="DJ50"/>
  <c r="DI50"/>
  <c r="DH50"/>
  <c r="DG50"/>
  <c r="DF50"/>
  <c r="DE50"/>
  <c r="DD50"/>
  <c r="DC50"/>
  <c r="DB50"/>
  <c r="DA50"/>
  <c r="CZ50"/>
  <c r="CY50"/>
  <c r="CX50"/>
  <c r="CW50"/>
  <c r="CV50"/>
  <c r="CU50"/>
  <c r="CT50"/>
  <c r="CS50"/>
  <c r="CR50"/>
  <c r="CQ50"/>
  <c r="CP50"/>
  <c r="CO50"/>
  <c r="CN50"/>
  <c r="CM50"/>
  <c r="CL50"/>
  <c r="CK50"/>
  <c r="CJ50"/>
  <c r="CI50"/>
  <c r="CH50"/>
  <c r="CG50"/>
  <c r="CF50"/>
  <c r="CE50"/>
  <c r="CD50"/>
  <c r="CC50"/>
  <c r="CB50"/>
  <c r="CA50"/>
  <c r="BZ50"/>
  <c r="BY50"/>
  <c r="BX50"/>
  <c r="BW50"/>
  <c r="BV50"/>
  <c r="BU50"/>
  <c r="BT50"/>
  <c r="BS50"/>
  <c r="BR50"/>
  <c r="BQ50"/>
  <c r="BP50"/>
  <c r="BO50"/>
  <c r="BN50"/>
  <c r="BM50"/>
  <c r="BL50"/>
  <c r="BK50"/>
  <c r="BJ50"/>
  <c r="BI50"/>
  <c r="BH50"/>
  <c r="BG50"/>
  <c r="BF50"/>
  <c r="BE50"/>
  <c r="BD50"/>
  <c r="BC50"/>
  <c r="BB50"/>
  <c r="BA50"/>
  <c r="AZ50"/>
  <c r="AY50"/>
  <c r="AX50"/>
  <c r="AW50"/>
  <c r="AV50"/>
  <c r="AU50"/>
  <c r="AT50"/>
  <c r="AS50"/>
  <c r="AR50"/>
  <c r="AQ50"/>
  <c r="AP50"/>
  <c r="AO50"/>
  <c r="AN50"/>
  <c r="AM50"/>
  <c r="AL50"/>
  <c r="AK50"/>
  <c r="AJ50"/>
  <c r="AI50"/>
  <c r="AH50"/>
  <c r="AG50"/>
  <c r="AF50"/>
  <c r="AE50"/>
  <c r="AD50"/>
  <c r="AC50"/>
  <c r="AB50"/>
  <c r="AA50"/>
  <c r="Z50"/>
  <c r="Y50"/>
  <c r="X50"/>
  <c r="W50"/>
  <c r="V50"/>
  <c r="U50"/>
  <c r="T50"/>
  <c r="S50"/>
  <c r="R50"/>
  <c r="Q50"/>
  <c r="P50"/>
  <c r="O50"/>
  <c r="N50"/>
  <c r="M50"/>
  <c r="L50"/>
  <c r="K50"/>
  <c r="J50"/>
  <c r="I50"/>
  <c r="H50"/>
  <c r="G50"/>
  <c r="F50"/>
  <c r="E50"/>
  <c r="D50"/>
  <c r="C50"/>
  <c r="B50"/>
  <c r="A50"/>
  <c r="IV49"/>
  <c r="IU49"/>
  <c r="IT49"/>
  <c r="IS49"/>
  <c r="IR49"/>
  <c r="IQ49"/>
  <c r="IP49"/>
  <c r="IO49"/>
  <c r="IN49"/>
  <c r="IM49"/>
  <c r="IL49"/>
  <c r="IK49"/>
  <c r="IJ49"/>
  <c r="II49"/>
  <c r="IH49"/>
  <c r="IG49"/>
  <c r="IF49"/>
  <c r="IE49"/>
  <c r="ID49"/>
  <c r="IC49"/>
  <c r="IB49"/>
  <c r="IA49"/>
  <c r="HZ49"/>
  <c r="HY49"/>
  <c r="HX49"/>
  <c r="HW49"/>
  <c r="HV49"/>
  <c r="HU49"/>
  <c r="HT49"/>
  <c r="HS49"/>
  <c r="HR49"/>
  <c r="HQ49"/>
  <c r="HP49"/>
  <c r="HO49"/>
  <c r="HN49"/>
  <c r="HM49"/>
  <c r="HL49"/>
  <c r="HK49"/>
  <c r="HJ49"/>
  <c r="HI49"/>
  <c r="HH49"/>
  <c r="HG49"/>
  <c r="HF49"/>
  <c r="HE49"/>
  <c r="HD49"/>
  <c r="HC49"/>
  <c r="HB49"/>
  <c r="HA49"/>
  <c r="GZ49"/>
  <c r="GY49"/>
  <c r="GX49"/>
  <c r="GW49"/>
  <c r="GV49"/>
  <c r="GU49"/>
  <c r="GT49"/>
  <c r="GS49"/>
  <c r="GR49"/>
  <c r="GQ49"/>
  <c r="GP49"/>
  <c r="GO49"/>
  <c r="GN49"/>
  <c r="GM49"/>
  <c r="GL49"/>
  <c r="GK49"/>
  <c r="GJ49"/>
  <c r="GI49"/>
  <c r="GH49"/>
  <c r="GG49"/>
  <c r="GF49"/>
  <c r="GE49"/>
  <c r="GD49"/>
  <c r="GC49"/>
  <c r="GB49"/>
  <c r="GA49"/>
  <c r="FZ49"/>
  <c r="FY49"/>
  <c r="FX49"/>
  <c r="FW49"/>
  <c r="FV49"/>
  <c r="FU49"/>
  <c r="FT49"/>
  <c r="FS49"/>
  <c r="FR49"/>
  <c r="FQ49"/>
  <c r="FP49"/>
  <c r="FO49"/>
  <c r="FN49"/>
  <c r="FM49"/>
  <c r="FL49"/>
  <c r="FK49"/>
  <c r="FJ49"/>
  <c r="FI49"/>
  <c r="FH49"/>
  <c r="FG49"/>
  <c r="FF49"/>
  <c r="FE49"/>
  <c r="FD49"/>
  <c r="FC49"/>
  <c r="FB49"/>
  <c r="FA49"/>
  <c r="EZ49"/>
  <c r="EY49"/>
  <c r="EX49"/>
  <c r="EW49"/>
  <c r="EV49"/>
  <c r="EU49"/>
  <c r="ET49"/>
  <c r="ES49"/>
  <c r="ER49"/>
  <c r="EQ49"/>
  <c r="EP49"/>
  <c r="EO49"/>
  <c r="EN49"/>
  <c r="EM49"/>
  <c r="EL49"/>
  <c r="EK49"/>
  <c r="EJ49"/>
  <c r="EI49"/>
  <c r="EH49"/>
  <c r="EG49"/>
  <c r="EF49"/>
  <c r="EE49"/>
  <c r="ED49"/>
  <c r="EC49"/>
  <c r="EB49"/>
  <c r="EA49"/>
  <c r="DZ49"/>
  <c r="DY49"/>
  <c r="DX49"/>
  <c r="DW49"/>
  <c r="DV49"/>
  <c r="DU49"/>
  <c r="DT49"/>
  <c r="DS49"/>
  <c r="DR49"/>
  <c r="DQ49"/>
  <c r="DP49"/>
  <c r="DO49"/>
  <c r="DN49"/>
  <c r="DM49"/>
  <c r="DL49"/>
  <c r="DK49"/>
  <c r="DJ49"/>
  <c r="DI49"/>
  <c r="DH49"/>
  <c r="DG49"/>
  <c r="DF49"/>
  <c r="DE49"/>
  <c r="DD49"/>
  <c r="DC49"/>
  <c r="DB49"/>
  <c r="DA49"/>
  <c r="CZ49"/>
  <c r="CY49"/>
  <c r="CX49"/>
  <c r="CW49"/>
  <c r="CV49"/>
  <c r="CU49"/>
  <c r="CT49"/>
  <c r="CS49"/>
  <c r="CR49"/>
  <c r="CQ49"/>
  <c r="CP49"/>
  <c r="CO49"/>
  <c r="CN49"/>
  <c r="CM49"/>
  <c r="CL49"/>
  <c r="CK49"/>
  <c r="CJ49"/>
  <c r="CI49"/>
  <c r="CH49"/>
  <c r="CG49"/>
  <c r="CF49"/>
  <c r="CE49"/>
  <c r="CD49"/>
  <c r="CC49"/>
  <c r="CB49"/>
  <c r="CA49"/>
  <c r="BZ49"/>
  <c r="BY49"/>
  <c r="BX49"/>
  <c r="BW49"/>
  <c r="BV49"/>
  <c r="BU49"/>
  <c r="BT49"/>
  <c r="BS49"/>
  <c r="BR49"/>
  <c r="BQ49"/>
  <c r="BP49"/>
  <c r="BO49"/>
  <c r="BN49"/>
  <c r="BM49"/>
  <c r="BL49"/>
  <c r="BK49"/>
  <c r="BJ49"/>
  <c r="BI49"/>
  <c r="BH49"/>
  <c r="BG49"/>
  <c r="BF49"/>
  <c r="BE49"/>
  <c r="BD49"/>
  <c r="BC49"/>
  <c r="BB49"/>
  <c r="BA49"/>
  <c r="AZ49"/>
  <c r="AY49"/>
  <c r="AX49"/>
  <c r="AW49"/>
  <c r="AV49"/>
  <c r="AU49"/>
  <c r="AT49"/>
  <c r="AS49"/>
  <c r="AR49"/>
  <c r="AQ49"/>
  <c r="AP49"/>
  <c r="AO49"/>
  <c r="AN49"/>
  <c r="AM49"/>
  <c r="AL49"/>
  <c r="AK49"/>
  <c r="AJ49"/>
  <c r="AI49"/>
  <c r="AH49"/>
  <c r="AG49"/>
  <c r="AF49"/>
  <c r="AE49"/>
  <c r="AD49"/>
  <c r="AC49"/>
  <c r="AB49"/>
  <c r="AA49"/>
  <c r="Z49"/>
  <c r="Y49"/>
  <c r="X49"/>
  <c r="W49"/>
  <c r="V49"/>
  <c r="U49"/>
  <c r="T49"/>
  <c r="S49"/>
  <c r="R49"/>
  <c r="Q49"/>
  <c r="P49"/>
  <c r="O49"/>
  <c r="N49"/>
  <c r="M49"/>
  <c r="L49"/>
  <c r="K49"/>
  <c r="J49"/>
  <c r="I49"/>
  <c r="H49"/>
  <c r="G49"/>
  <c r="F49"/>
  <c r="E49"/>
  <c r="D49"/>
  <c r="C49"/>
  <c r="B49"/>
  <c r="A49"/>
  <c r="IV48"/>
  <c r="IU48"/>
  <c r="IT48"/>
  <c r="IS48"/>
  <c r="IR48"/>
  <c r="IQ48"/>
  <c r="IP48"/>
  <c r="IO48"/>
  <c r="IN48"/>
  <c r="IM48"/>
  <c r="IL48"/>
  <c r="IK48"/>
  <c r="IJ48"/>
  <c r="II48"/>
  <c r="IH48"/>
  <c r="IG48"/>
  <c r="IF48"/>
  <c r="IE48"/>
  <c r="ID48"/>
  <c r="IC48"/>
  <c r="IB48"/>
  <c r="IA48"/>
  <c r="HZ48"/>
  <c r="HY48"/>
  <c r="HX48"/>
  <c r="HW48"/>
  <c r="HV48"/>
  <c r="HU48"/>
  <c r="HT48"/>
  <c r="HS48"/>
  <c r="HR48"/>
  <c r="HQ48"/>
  <c r="HP48"/>
  <c r="HO48"/>
  <c r="HN48"/>
  <c r="HM48"/>
  <c r="HL48"/>
  <c r="HK48"/>
  <c r="HJ48"/>
  <c r="HI48"/>
  <c r="HH48"/>
  <c r="HG48"/>
  <c r="HF48"/>
  <c r="HE48"/>
  <c r="HD48"/>
  <c r="HC48"/>
  <c r="HB48"/>
  <c r="HA48"/>
  <c r="GZ48"/>
  <c r="GY48"/>
  <c r="GX48"/>
  <c r="GW48"/>
  <c r="GV48"/>
  <c r="GU48"/>
  <c r="GT48"/>
  <c r="GS48"/>
  <c r="GR48"/>
  <c r="GQ48"/>
  <c r="GP48"/>
  <c r="GO48"/>
  <c r="GN48"/>
  <c r="GM48"/>
  <c r="GL48"/>
  <c r="GK48"/>
  <c r="GJ48"/>
  <c r="GI48"/>
  <c r="GH48"/>
  <c r="GG48"/>
  <c r="GF48"/>
  <c r="GE48"/>
  <c r="GD48"/>
  <c r="GC48"/>
  <c r="GB48"/>
  <c r="GA48"/>
  <c r="FZ48"/>
  <c r="FY48"/>
  <c r="FX48"/>
  <c r="FW48"/>
  <c r="FV48"/>
  <c r="FU48"/>
  <c r="FT48"/>
  <c r="FS48"/>
  <c r="FR48"/>
  <c r="FQ48"/>
  <c r="FP48"/>
  <c r="FO48"/>
  <c r="FN48"/>
  <c r="FM48"/>
  <c r="FL48"/>
  <c r="FK48"/>
  <c r="FJ48"/>
  <c r="FI48"/>
  <c r="FH48"/>
  <c r="FG48"/>
  <c r="FF48"/>
  <c r="FE48"/>
  <c r="FD48"/>
  <c r="FC48"/>
  <c r="FB48"/>
  <c r="FA48"/>
  <c r="EZ48"/>
  <c r="EY48"/>
  <c r="EX48"/>
  <c r="EW48"/>
  <c r="EV48"/>
  <c r="EU48"/>
  <c r="ET48"/>
  <c r="ES48"/>
  <c r="ER48"/>
  <c r="EQ48"/>
  <c r="EP48"/>
  <c r="EO48"/>
  <c r="EN48"/>
  <c r="EM48"/>
  <c r="EL48"/>
  <c r="EK48"/>
  <c r="EJ48"/>
  <c r="EI48"/>
  <c r="EH48"/>
  <c r="EG48"/>
  <c r="EF48"/>
  <c r="EE48"/>
  <c r="ED48"/>
  <c r="EC48"/>
  <c r="EB48"/>
  <c r="EA48"/>
  <c r="DZ48"/>
  <c r="DY48"/>
  <c r="DX48"/>
  <c r="DW48"/>
  <c r="DV48"/>
  <c r="DU48"/>
  <c r="DT48"/>
  <c r="DS48"/>
  <c r="DR48"/>
  <c r="DQ48"/>
  <c r="DP48"/>
  <c r="DO48"/>
  <c r="DN48"/>
  <c r="DM48"/>
  <c r="DL48"/>
  <c r="DK48"/>
  <c r="DJ48"/>
  <c r="DI48"/>
  <c r="DH48"/>
  <c r="DG48"/>
  <c r="DF48"/>
  <c r="DE48"/>
  <c r="DD48"/>
  <c r="DC48"/>
  <c r="DB48"/>
  <c r="DA48"/>
  <c r="CZ48"/>
  <c r="CY48"/>
  <c r="CX48"/>
  <c r="CW48"/>
  <c r="CV48"/>
  <c r="CU48"/>
  <c r="CT48"/>
  <c r="CS48"/>
  <c r="CR48"/>
  <c r="CQ48"/>
  <c r="CP48"/>
  <c r="CO48"/>
  <c r="CN48"/>
  <c r="CM48"/>
  <c r="CL48"/>
  <c r="CK48"/>
  <c r="CJ48"/>
  <c r="CI48"/>
  <c r="CH48"/>
  <c r="CG48"/>
  <c r="CF48"/>
  <c r="CE48"/>
  <c r="CD48"/>
  <c r="CC48"/>
  <c r="CB48"/>
  <c r="CA48"/>
  <c r="BZ48"/>
  <c r="BY48"/>
  <c r="BX48"/>
  <c r="BW48"/>
  <c r="BV48"/>
  <c r="BU48"/>
  <c r="BT48"/>
  <c r="BS48"/>
  <c r="BR48"/>
  <c r="BQ48"/>
  <c r="BP48"/>
  <c r="BO48"/>
  <c r="BN48"/>
  <c r="BM48"/>
  <c r="BL48"/>
  <c r="BK48"/>
  <c r="BJ48"/>
  <c r="BI48"/>
  <c r="BH48"/>
  <c r="BG48"/>
  <c r="BF48"/>
  <c r="BE48"/>
  <c r="BD48"/>
  <c r="BC48"/>
  <c r="BB48"/>
  <c r="BA48"/>
  <c r="AZ48"/>
  <c r="AY48"/>
  <c r="AX48"/>
  <c r="AW48"/>
  <c r="AV48"/>
  <c r="AU48"/>
  <c r="AT48"/>
  <c r="AS48"/>
  <c r="AR48"/>
  <c r="AQ48"/>
  <c r="AP48"/>
  <c r="AO48"/>
  <c r="AN48"/>
  <c r="AM48"/>
  <c r="AL48"/>
  <c r="AK48"/>
  <c r="AJ48"/>
  <c r="AI48"/>
  <c r="AH48"/>
  <c r="AG48"/>
  <c r="AF48"/>
  <c r="AE48"/>
  <c r="AD48"/>
  <c r="AC48"/>
  <c r="AB48"/>
  <c r="AA48"/>
  <c r="Z48"/>
  <c r="Y48"/>
  <c r="X48"/>
  <c r="W48"/>
  <c r="V48"/>
  <c r="U48"/>
  <c r="T48"/>
  <c r="S48"/>
  <c r="R48"/>
  <c r="Q48"/>
  <c r="P48"/>
  <c r="O48"/>
  <c r="N48"/>
  <c r="M48"/>
  <c r="L48"/>
  <c r="K48"/>
  <c r="J48"/>
  <c r="I48"/>
  <c r="H48"/>
  <c r="G48"/>
  <c r="F48"/>
  <c r="E48"/>
  <c r="D48"/>
  <c r="C48"/>
  <c r="B48"/>
  <c r="A48"/>
  <c r="IV47"/>
  <c r="IU47"/>
  <c r="IT47"/>
  <c r="IS47"/>
  <c r="IR47"/>
  <c r="IQ47"/>
  <c r="IP47"/>
  <c r="IO47"/>
  <c r="IN47"/>
  <c r="IM47"/>
  <c r="IL47"/>
  <c r="IK47"/>
  <c r="IJ47"/>
  <c r="II47"/>
  <c r="IH47"/>
  <c r="IG47"/>
  <c r="IF47"/>
  <c r="IE47"/>
  <c r="ID47"/>
  <c r="IC47"/>
  <c r="IB47"/>
  <c r="IA47"/>
  <c r="HZ47"/>
  <c r="HY47"/>
  <c r="HX47"/>
  <c r="HW47"/>
  <c r="HV47"/>
  <c r="HU47"/>
  <c r="HT47"/>
  <c r="HS47"/>
  <c r="HR47"/>
  <c r="HQ47"/>
  <c r="HP47"/>
  <c r="HO47"/>
  <c r="HN47"/>
  <c r="HM47"/>
  <c r="HL47"/>
  <c r="HK47"/>
  <c r="HJ47"/>
  <c r="HI47"/>
  <c r="HH47"/>
  <c r="HG47"/>
  <c r="HF47"/>
  <c r="HE47"/>
  <c r="HD47"/>
  <c r="HC47"/>
  <c r="HB47"/>
  <c r="HA47"/>
  <c r="GZ47"/>
  <c r="GY47"/>
  <c r="GX47"/>
  <c r="GW47"/>
  <c r="GV47"/>
  <c r="GU47"/>
  <c r="GT47"/>
  <c r="GS47"/>
  <c r="GR47"/>
  <c r="GQ47"/>
  <c r="GP47"/>
  <c r="GO47"/>
  <c r="GN47"/>
  <c r="GM47"/>
  <c r="GL47"/>
  <c r="GK47"/>
  <c r="GJ47"/>
  <c r="GI47"/>
  <c r="GH47"/>
  <c r="GG47"/>
  <c r="GF47"/>
  <c r="GE47"/>
  <c r="GD47"/>
  <c r="GC47"/>
  <c r="GB47"/>
  <c r="GA47"/>
  <c r="FZ47"/>
  <c r="FY47"/>
  <c r="FX47"/>
  <c r="FW47"/>
  <c r="FV47"/>
  <c r="FU47"/>
  <c r="FT47"/>
  <c r="FS47"/>
  <c r="FR47"/>
  <c r="FQ47"/>
  <c r="FP47"/>
  <c r="FO47"/>
  <c r="FN47"/>
  <c r="FM47"/>
  <c r="FL47"/>
  <c r="FK47"/>
  <c r="FJ47"/>
  <c r="FI47"/>
  <c r="FH47"/>
  <c r="FG47"/>
  <c r="FF47"/>
  <c r="FE47"/>
  <c r="FD47"/>
  <c r="FC47"/>
  <c r="FB47"/>
  <c r="FA47"/>
  <c r="EZ47"/>
  <c r="EY47"/>
  <c r="EX47"/>
  <c r="EW47"/>
  <c r="EV47"/>
  <c r="EU47"/>
  <c r="ET47"/>
  <c r="ES47"/>
  <c r="ER47"/>
  <c r="EQ47"/>
  <c r="EP47"/>
  <c r="EO47"/>
  <c r="EN47"/>
  <c r="EM47"/>
  <c r="EL47"/>
  <c r="EK47"/>
  <c r="EJ47"/>
  <c r="EI47"/>
  <c r="EH47"/>
  <c r="EG47"/>
  <c r="EF47"/>
  <c r="EE47"/>
  <c r="ED47"/>
  <c r="EC47"/>
  <c r="EB47"/>
  <c r="EA47"/>
  <c r="DZ47"/>
  <c r="DY47"/>
  <c r="DX47"/>
  <c r="DW47"/>
  <c r="DV47"/>
  <c r="DU47"/>
  <c r="DT47"/>
  <c r="DS47"/>
  <c r="DR47"/>
  <c r="DQ47"/>
  <c r="DP47"/>
  <c r="DO47"/>
  <c r="DN47"/>
  <c r="DM47"/>
  <c r="DL47"/>
  <c r="DK47"/>
  <c r="DJ47"/>
  <c r="DI47"/>
  <c r="DH47"/>
  <c r="DG47"/>
  <c r="DF47"/>
  <c r="DE47"/>
  <c r="DD47"/>
  <c r="DC47"/>
  <c r="DB47"/>
  <c r="DA47"/>
  <c r="CZ47"/>
  <c r="CY47"/>
  <c r="CX47"/>
  <c r="CW47"/>
  <c r="CV47"/>
  <c r="CU47"/>
  <c r="CT47"/>
  <c r="CS47"/>
  <c r="CR47"/>
  <c r="CQ47"/>
  <c r="CP47"/>
  <c r="CO47"/>
  <c r="CN47"/>
  <c r="CM47"/>
  <c r="CL47"/>
  <c r="CK47"/>
  <c r="CJ47"/>
  <c r="CI47"/>
  <c r="CH47"/>
  <c r="CG47"/>
  <c r="CF47"/>
  <c r="CE47"/>
  <c r="CD47"/>
  <c r="CC47"/>
  <c r="CB47"/>
  <c r="CA47"/>
  <c r="BZ47"/>
  <c r="BY47"/>
  <c r="BX47"/>
  <c r="BW47"/>
  <c r="BV47"/>
  <c r="BU47"/>
  <c r="BT47"/>
  <c r="BS47"/>
  <c r="BR47"/>
  <c r="BQ47"/>
  <c r="BP47"/>
  <c r="BO47"/>
  <c r="BN47"/>
  <c r="BM47"/>
  <c r="BL47"/>
  <c r="BK47"/>
  <c r="BJ47"/>
  <c r="BI47"/>
  <c r="BH47"/>
  <c r="BG47"/>
  <c r="BF47"/>
  <c r="BE47"/>
  <c r="BD47"/>
  <c r="BC47"/>
  <c r="BB47"/>
  <c r="BA47"/>
  <c r="AZ47"/>
  <c r="AY47"/>
  <c r="AX47"/>
  <c r="AW47"/>
  <c r="AV47"/>
  <c r="AU47"/>
  <c r="AT47"/>
  <c r="AS47"/>
  <c r="AR47"/>
  <c r="AQ47"/>
  <c r="AP47"/>
  <c r="AO47"/>
  <c r="AN47"/>
  <c r="AM47"/>
  <c r="AL47"/>
  <c r="AK47"/>
  <c r="AJ47"/>
  <c r="AI47"/>
  <c r="AH47"/>
  <c r="AG47"/>
  <c r="AF47"/>
  <c r="AE47"/>
  <c r="AD47"/>
  <c r="AC47"/>
  <c r="AB47"/>
  <c r="AA47"/>
  <c r="Z47"/>
  <c r="Y47"/>
  <c r="X47"/>
  <c r="W47"/>
  <c r="V47"/>
  <c r="U47"/>
  <c r="T47"/>
  <c r="S47"/>
  <c r="R47"/>
  <c r="Q47"/>
  <c r="P47"/>
  <c r="O47"/>
  <c r="N47"/>
  <c r="M47"/>
  <c r="L47"/>
  <c r="K47"/>
  <c r="J47"/>
  <c r="I47"/>
  <c r="H47"/>
  <c r="G47"/>
  <c r="F47"/>
  <c r="E47"/>
  <c r="D47"/>
  <c r="C47"/>
  <c r="B47"/>
  <c r="A47"/>
  <c r="IV46"/>
  <c r="IU46"/>
  <c r="IT46"/>
  <c r="IS46"/>
  <c r="IR46"/>
  <c r="IQ46"/>
  <c r="IP46"/>
  <c r="IO46"/>
  <c r="IN46"/>
  <c r="IM46"/>
  <c r="IL46"/>
  <c r="IK46"/>
  <c r="IJ46"/>
  <c r="II46"/>
  <c r="IH46"/>
  <c r="IG46"/>
  <c r="IF46"/>
  <c r="IE46"/>
  <c r="ID46"/>
  <c r="IC46"/>
  <c r="IB46"/>
  <c r="IA46"/>
  <c r="HZ46"/>
  <c r="HY46"/>
  <c r="HX46"/>
  <c r="HW46"/>
  <c r="HV46"/>
  <c r="HU46"/>
  <c r="HT46"/>
  <c r="HS46"/>
  <c r="HR46"/>
  <c r="HQ46"/>
  <c r="HP46"/>
  <c r="HO46"/>
  <c r="HN46"/>
  <c r="HM46"/>
  <c r="HL46"/>
  <c r="HK46"/>
  <c r="HJ46"/>
  <c r="HI46"/>
  <c r="HH46"/>
  <c r="HG46"/>
  <c r="HF46"/>
  <c r="HE46"/>
  <c r="HD46"/>
  <c r="HC46"/>
  <c r="HB46"/>
  <c r="HA46"/>
  <c r="GZ46"/>
  <c r="GY46"/>
  <c r="GX46"/>
  <c r="GW46"/>
  <c r="GV46"/>
  <c r="GU46"/>
  <c r="GT46"/>
  <c r="GS46"/>
  <c r="GR46"/>
  <c r="GQ46"/>
  <c r="GP46"/>
  <c r="GO46"/>
  <c r="GN46"/>
  <c r="GM46"/>
  <c r="GL46"/>
  <c r="GK46"/>
  <c r="GJ46"/>
  <c r="GI46"/>
  <c r="GH46"/>
  <c r="GG46"/>
  <c r="GF46"/>
  <c r="GE46"/>
  <c r="GD46"/>
  <c r="GC46"/>
  <c r="GB46"/>
  <c r="GA46"/>
  <c r="FZ46"/>
  <c r="FY46"/>
  <c r="FX46"/>
  <c r="FW46"/>
  <c r="FV46"/>
  <c r="FU46"/>
  <c r="FT46"/>
  <c r="FS46"/>
  <c r="FR46"/>
  <c r="FQ46"/>
  <c r="FP46"/>
  <c r="FO46"/>
  <c r="FN46"/>
  <c r="FM46"/>
  <c r="FL46"/>
  <c r="FK46"/>
  <c r="FJ46"/>
  <c r="FI46"/>
  <c r="FH46"/>
  <c r="FG46"/>
  <c r="FF46"/>
  <c r="FE46"/>
  <c r="FD46"/>
  <c r="FC46"/>
  <c r="FB46"/>
  <c r="FA46"/>
  <c r="EZ46"/>
  <c r="EY46"/>
  <c r="EX46"/>
  <c r="EW46"/>
  <c r="EV46"/>
  <c r="EU46"/>
  <c r="ET46"/>
  <c r="ES46"/>
  <c r="ER46"/>
  <c r="EQ46"/>
  <c r="EP46"/>
  <c r="EO46"/>
  <c r="EN46"/>
  <c r="EM46"/>
  <c r="EL46"/>
  <c r="EK46"/>
  <c r="EJ46"/>
  <c r="EI46"/>
  <c r="EH46"/>
  <c r="EG46"/>
  <c r="EF46"/>
  <c r="EE46"/>
  <c r="ED46"/>
  <c r="EC46"/>
  <c r="EB46"/>
  <c r="EA46"/>
  <c r="DZ46"/>
  <c r="DY46"/>
  <c r="DX46"/>
  <c r="DW46"/>
  <c r="DV46"/>
  <c r="DU46"/>
  <c r="DT46"/>
  <c r="DS46"/>
  <c r="DR46"/>
  <c r="DQ46"/>
  <c r="DP46"/>
  <c r="DO46"/>
  <c r="DN46"/>
  <c r="DM46"/>
  <c r="DL46"/>
  <c r="DK46"/>
  <c r="DJ46"/>
  <c r="DI46"/>
  <c r="DH46"/>
  <c r="DG46"/>
  <c r="DF46"/>
  <c r="DE46"/>
  <c r="DD46"/>
  <c r="DC46"/>
  <c r="DB46"/>
  <c r="DA46"/>
  <c r="CZ46"/>
  <c r="CY46"/>
  <c r="CX46"/>
  <c r="CW46"/>
  <c r="CV46"/>
  <c r="CU46"/>
  <c r="CT46"/>
  <c r="CS46"/>
  <c r="CR46"/>
  <c r="CQ46"/>
  <c r="CP46"/>
  <c r="CO46"/>
  <c r="CN46"/>
  <c r="CM46"/>
  <c r="CL46"/>
  <c r="CK46"/>
  <c r="CJ46"/>
  <c r="CI46"/>
  <c r="CH46"/>
  <c r="CG46"/>
  <c r="CF46"/>
  <c r="CE46"/>
  <c r="CD46"/>
  <c r="CC46"/>
  <c r="CB46"/>
  <c r="CA46"/>
  <c r="BZ46"/>
  <c r="BY46"/>
  <c r="BX46"/>
  <c r="BW46"/>
  <c r="BV46"/>
  <c r="BU46"/>
  <c r="BT46"/>
  <c r="BS46"/>
  <c r="BR46"/>
  <c r="BQ46"/>
  <c r="BP46"/>
  <c r="BO46"/>
  <c r="BN46"/>
  <c r="BM46"/>
  <c r="BL46"/>
  <c r="BK46"/>
  <c r="BJ46"/>
  <c r="BI46"/>
  <c r="BH46"/>
  <c r="BG46"/>
  <c r="BF46"/>
  <c r="BE46"/>
  <c r="BD46"/>
  <c r="BC46"/>
  <c r="BB46"/>
  <c r="BA46"/>
  <c r="AZ46"/>
  <c r="AY46"/>
  <c r="AX46"/>
  <c r="AW46"/>
  <c r="AV46"/>
  <c r="AU46"/>
  <c r="AT46"/>
  <c r="AS46"/>
  <c r="AR46"/>
  <c r="AQ46"/>
  <c r="AP46"/>
  <c r="AO46"/>
  <c r="AN46"/>
  <c r="AM46"/>
  <c r="AL46"/>
  <c r="AK46"/>
  <c r="AJ46"/>
  <c r="AI46"/>
  <c r="AH46"/>
  <c r="AG46"/>
  <c r="AF46"/>
  <c r="AE46"/>
  <c r="AD46"/>
  <c r="AC46"/>
  <c r="AB46"/>
  <c r="AA46"/>
  <c r="Z46"/>
  <c r="Y46"/>
  <c r="X46"/>
  <c r="W46"/>
  <c r="V46"/>
  <c r="U46"/>
  <c r="T46"/>
  <c r="S46"/>
  <c r="R46"/>
  <c r="Q46"/>
  <c r="P46"/>
  <c r="O46"/>
  <c r="N46"/>
  <c r="M46"/>
  <c r="L46"/>
  <c r="K46"/>
  <c r="J46"/>
  <c r="I46"/>
  <c r="H46"/>
  <c r="G46"/>
  <c r="F46"/>
  <c r="E46"/>
  <c r="D46"/>
  <c r="C46"/>
  <c r="B46"/>
  <c r="A46"/>
  <c r="IV45"/>
  <c r="IU45"/>
  <c r="IT45"/>
  <c r="IS45"/>
  <c r="IR45"/>
  <c r="IQ45"/>
  <c r="IP45"/>
  <c r="IO45"/>
  <c r="IN45"/>
  <c r="IM45"/>
  <c r="IL45"/>
  <c r="IK45"/>
  <c r="IJ45"/>
  <c r="II45"/>
  <c r="IH45"/>
  <c r="IG45"/>
  <c r="IF45"/>
  <c r="IE45"/>
  <c r="ID45"/>
  <c r="IC45"/>
  <c r="IB45"/>
  <c r="IA45"/>
  <c r="HZ45"/>
  <c r="HY45"/>
  <c r="HX45"/>
  <c r="HW45"/>
  <c r="HV45"/>
  <c r="HU45"/>
  <c r="HT45"/>
  <c r="HS45"/>
  <c r="HR45"/>
  <c r="HQ45"/>
  <c r="HP45"/>
  <c r="HO45"/>
  <c r="HN45"/>
  <c r="HM45"/>
  <c r="HL45"/>
  <c r="HK45"/>
  <c r="HJ45"/>
  <c r="HI45"/>
  <c r="HH45"/>
  <c r="HG45"/>
  <c r="HF45"/>
  <c r="HE45"/>
  <c r="HD45"/>
  <c r="HC45"/>
  <c r="HB45"/>
  <c r="HA45"/>
  <c r="GZ45"/>
  <c r="GY45"/>
  <c r="GX45"/>
  <c r="GW45"/>
  <c r="GV45"/>
  <c r="GU45"/>
  <c r="GT45"/>
  <c r="GS45"/>
  <c r="GR45"/>
  <c r="GQ45"/>
  <c r="GP45"/>
  <c r="GO45"/>
  <c r="GN45"/>
  <c r="GM45"/>
  <c r="GL45"/>
  <c r="GK45"/>
  <c r="GJ45"/>
  <c r="GI45"/>
  <c r="GH45"/>
  <c r="GG45"/>
  <c r="GF45"/>
  <c r="GE45"/>
  <c r="GD45"/>
  <c r="GC45"/>
  <c r="GB45"/>
  <c r="GA45"/>
  <c r="FZ45"/>
  <c r="FY45"/>
  <c r="FX45"/>
  <c r="FW45"/>
  <c r="FV45"/>
  <c r="FU45"/>
  <c r="FT45"/>
  <c r="FS45"/>
  <c r="FR45"/>
  <c r="FQ45"/>
  <c r="FP45"/>
  <c r="FO45"/>
  <c r="FN45"/>
  <c r="FM45"/>
  <c r="FL45"/>
  <c r="FK45"/>
  <c r="FJ45"/>
  <c r="FI45"/>
  <c r="FH45"/>
  <c r="FG45"/>
  <c r="FF45"/>
  <c r="FE45"/>
  <c r="FD45"/>
  <c r="FC45"/>
  <c r="FB45"/>
  <c r="FA45"/>
  <c r="EZ45"/>
  <c r="EY45"/>
  <c r="EX45"/>
  <c r="EW45"/>
  <c r="EV45"/>
  <c r="EU45"/>
  <c r="ET45"/>
  <c r="ES45"/>
  <c r="ER45"/>
  <c r="EQ45"/>
  <c r="EP45"/>
  <c r="EO45"/>
  <c r="EN45"/>
  <c r="EM45"/>
  <c r="EL45"/>
  <c r="EK45"/>
  <c r="EJ45"/>
  <c r="EI45"/>
  <c r="EH45"/>
  <c r="EG45"/>
  <c r="EF45"/>
  <c r="EE45"/>
  <c r="ED45"/>
  <c r="EC45"/>
  <c r="EB45"/>
  <c r="EA45"/>
  <c r="DZ45"/>
  <c r="DY45"/>
  <c r="DX45"/>
  <c r="DW45"/>
  <c r="DV45"/>
  <c r="DU45"/>
  <c r="DT45"/>
  <c r="DS45"/>
  <c r="DR45"/>
  <c r="DQ45"/>
  <c r="DP45"/>
  <c r="DO45"/>
  <c r="DN45"/>
  <c r="DM45"/>
  <c r="DL45"/>
  <c r="DK45"/>
  <c r="DJ45"/>
  <c r="DI45"/>
  <c r="DH45"/>
  <c r="DG45"/>
  <c r="DF45"/>
  <c r="DE45"/>
  <c r="DD45"/>
  <c r="DC45"/>
  <c r="DB45"/>
  <c r="DA45"/>
  <c r="CZ45"/>
  <c r="CY45"/>
  <c r="CX45"/>
  <c r="CW45"/>
  <c r="CV45"/>
  <c r="CU45"/>
  <c r="CT45"/>
  <c r="CS45"/>
  <c r="CR45"/>
  <c r="CQ45"/>
  <c r="CP45"/>
  <c r="CO45"/>
  <c r="CN45"/>
  <c r="CM45"/>
  <c r="CL45"/>
  <c r="CK45"/>
  <c r="CJ45"/>
  <c r="CI45"/>
  <c r="CH45"/>
  <c r="CG45"/>
  <c r="CF45"/>
  <c r="CE45"/>
  <c r="CD45"/>
  <c r="CC45"/>
  <c r="CB45"/>
  <c r="CA45"/>
  <c r="BZ45"/>
  <c r="BY45"/>
  <c r="BX45"/>
  <c r="BW45"/>
  <c r="BV45"/>
  <c r="BU45"/>
  <c r="BT45"/>
  <c r="BS45"/>
  <c r="BR45"/>
  <c r="BQ45"/>
  <c r="BP45"/>
  <c r="BO45"/>
  <c r="BN45"/>
  <c r="BM45"/>
  <c r="BL45"/>
  <c r="BK45"/>
  <c r="BJ45"/>
  <c r="BI45"/>
  <c r="BH45"/>
  <c r="BG45"/>
  <c r="BF45"/>
  <c r="BE45"/>
  <c r="BD45"/>
  <c r="BC45"/>
  <c r="BB45"/>
  <c r="BA45"/>
  <c r="AZ45"/>
  <c r="AY45"/>
  <c r="AX45"/>
  <c r="AW45"/>
  <c r="AV45"/>
  <c r="AU45"/>
  <c r="AT45"/>
  <c r="AS45"/>
  <c r="AR45"/>
  <c r="AQ45"/>
  <c r="AP45"/>
  <c r="AO45"/>
  <c r="AN45"/>
  <c r="AM45"/>
  <c r="AL45"/>
  <c r="AK45"/>
  <c r="AJ45"/>
  <c r="AI45"/>
  <c r="AH45"/>
  <c r="AG45"/>
  <c r="AF45"/>
  <c r="AE45"/>
  <c r="AD45"/>
  <c r="AC45"/>
  <c r="AB45"/>
  <c r="AA45"/>
  <c r="Z45"/>
  <c r="Y45"/>
  <c r="X45"/>
  <c r="W45"/>
  <c r="V45"/>
  <c r="U45"/>
  <c r="T45"/>
  <c r="S45"/>
  <c r="R45"/>
  <c r="Q45"/>
  <c r="P45"/>
  <c r="O45"/>
  <c r="N45"/>
  <c r="M45"/>
  <c r="L45"/>
  <c r="K45"/>
  <c r="J45"/>
  <c r="I45"/>
  <c r="H45"/>
  <c r="G45"/>
  <c r="F45"/>
  <c r="E45"/>
  <c r="D45"/>
  <c r="C45"/>
  <c r="B45"/>
  <c r="A45"/>
  <c r="IV44"/>
  <c r="IU44"/>
  <c r="IT44"/>
  <c r="IS44"/>
  <c r="IR44"/>
  <c r="IQ44"/>
  <c r="IP44"/>
  <c r="IO44"/>
  <c r="IN44"/>
  <c r="IM44"/>
  <c r="IL44"/>
  <c r="IK44"/>
  <c r="IJ44"/>
  <c r="II44"/>
  <c r="IH44"/>
  <c r="IG44"/>
  <c r="IF44"/>
  <c r="IE44"/>
  <c r="ID44"/>
  <c r="IC44"/>
  <c r="IB44"/>
  <c r="IA44"/>
  <c r="HZ44"/>
  <c r="HY44"/>
  <c r="HX44"/>
  <c r="HW44"/>
  <c r="HV44"/>
  <c r="HU44"/>
  <c r="HT44"/>
  <c r="HS44"/>
  <c r="HR44"/>
  <c r="HQ44"/>
  <c r="HP44"/>
  <c r="HO44"/>
  <c r="HN44"/>
  <c r="HM44"/>
  <c r="HL44"/>
  <c r="HK44"/>
  <c r="HJ44"/>
  <c r="HI44"/>
  <c r="HH44"/>
  <c r="HG44"/>
  <c r="HF44"/>
  <c r="HE44"/>
  <c r="HD44"/>
  <c r="HC44"/>
  <c r="HB44"/>
  <c r="HA44"/>
  <c r="GZ44"/>
  <c r="GY44"/>
  <c r="GX44"/>
  <c r="GW44"/>
  <c r="GV44"/>
  <c r="GU44"/>
  <c r="GT44"/>
  <c r="GS44"/>
  <c r="GR44"/>
  <c r="GQ44"/>
  <c r="GP44"/>
  <c r="GO44"/>
  <c r="GN44"/>
  <c r="GM44"/>
  <c r="GL44"/>
  <c r="GK44"/>
  <c r="GJ44"/>
  <c r="GI44"/>
  <c r="GH44"/>
  <c r="GG44"/>
  <c r="GF44"/>
  <c r="GE44"/>
  <c r="GD44"/>
  <c r="GC44"/>
  <c r="GB44"/>
  <c r="GA44"/>
  <c r="FZ44"/>
  <c r="FY44"/>
  <c r="FX44"/>
  <c r="FW44"/>
  <c r="FV44"/>
  <c r="FU44"/>
  <c r="FT44"/>
  <c r="FS44"/>
  <c r="FR44"/>
  <c r="FQ44"/>
  <c r="FP44"/>
  <c r="FO44"/>
  <c r="FN44"/>
  <c r="FM44"/>
  <c r="FL44"/>
  <c r="FK44"/>
  <c r="FJ44"/>
  <c r="FI44"/>
  <c r="FH44"/>
  <c r="FG44"/>
  <c r="FF44"/>
  <c r="FE44"/>
  <c r="FD44"/>
  <c r="FC44"/>
  <c r="FB44"/>
  <c r="FA44"/>
  <c r="EZ44"/>
  <c r="EY44"/>
  <c r="EX44"/>
  <c r="EW44"/>
  <c r="EV44"/>
  <c r="EU44"/>
  <c r="ET44"/>
  <c r="ES44"/>
  <c r="ER44"/>
  <c r="EQ44"/>
  <c r="EP44"/>
  <c r="EO44"/>
  <c r="EN44"/>
  <c r="EM44"/>
  <c r="EL44"/>
  <c r="EK44"/>
  <c r="EJ44"/>
  <c r="EI44"/>
  <c r="EH44"/>
  <c r="EG44"/>
  <c r="EF44"/>
  <c r="EE44"/>
  <c r="ED44"/>
  <c r="EC44"/>
  <c r="EB44"/>
  <c r="EA44"/>
  <c r="DZ44"/>
  <c r="DY44"/>
  <c r="DX44"/>
  <c r="DW44"/>
  <c r="DV44"/>
  <c r="DU44"/>
  <c r="DT44"/>
  <c r="DS44"/>
  <c r="DR44"/>
  <c r="DQ44"/>
  <c r="DP44"/>
  <c r="DO44"/>
  <c r="DN44"/>
  <c r="DM44"/>
  <c r="DL44"/>
  <c r="DK44"/>
  <c r="DJ44"/>
  <c r="DI44"/>
  <c r="DH44"/>
  <c r="DG44"/>
  <c r="DF44"/>
  <c r="DE44"/>
  <c r="DD44"/>
  <c r="DC44"/>
  <c r="DB44"/>
  <c r="DA44"/>
  <c r="CZ44"/>
  <c r="CY44"/>
  <c r="CX44"/>
  <c r="CW44"/>
  <c r="CV44"/>
  <c r="CU44"/>
  <c r="CT44"/>
  <c r="CS44"/>
  <c r="CR44"/>
  <c r="CQ44"/>
  <c r="CP44"/>
  <c r="CO44"/>
  <c r="CN44"/>
  <c r="CM44"/>
  <c r="CL44"/>
  <c r="CK44"/>
  <c r="CJ44"/>
  <c r="CI44"/>
  <c r="CH44"/>
  <c r="CG44"/>
  <c r="CF44"/>
  <c r="CE44"/>
  <c r="CD44"/>
  <c r="CC44"/>
  <c r="CB44"/>
  <c r="CA44"/>
  <c r="BZ44"/>
  <c r="BY44"/>
  <c r="BX44"/>
  <c r="BW44"/>
  <c r="BV44"/>
  <c r="BU44"/>
  <c r="BT44"/>
  <c r="BS44"/>
  <c r="BR44"/>
  <c r="BQ44"/>
  <c r="BP44"/>
  <c r="BO44"/>
  <c r="BN44"/>
  <c r="BM44"/>
  <c r="BL44"/>
  <c r="BK44"/>
  <c r="BJ44"/>
  <c r="BI44"/>
  <c r="BH44"/>
  <c r="BG44"/>
  <c r="BF44"/>
  <c r="BE44"/>
  <c r="BD44"/>
  <c r="BC44"/>
  <c r="BB44"/>
  <c r="BA44"/>
  <c r="AZ44"/>
  <c r="AY44"/>
  <c r="AX44"/>
  <c r="AW44"/>
  <c r="AV44"/>
  <c r="AU44"/>
  <c r="AT44"/>
  <c r="AS44"/>
  <c r="AR44"/>
  <c r="AQ44"/>
  <c r="AP44"/>
  <c r="AO44"/>
  <c r="AN44"/>
  <c r="AM44"/>
  <c r="AL44"/>
  <c r="AK44"/>
  <c r="AJ44"/>
  <c r="AI44"/>
  <c r="AH44"/>
  <c r="AG44"/>
  <c r="AF44"/>
  <c r="AE44"/>
  <c r="AD44"/>
  <c r="AC44"/>
  <c r="AB44"/>
  <c r="AA44"/>
  <c r="Z44"/>
  <c r="Y44"/>
  <c r="X44"/>
  <c r="W44"/>
  <c r="V44"/>
  <c r="U44"/>
  <c r="T44"/>
  <c r="S44"/>
  <c r="R44"/>
  <c r="Q44"/>
  <c r="P44"/>
  <c r="O44"/>
  <c r="N44"/>
  <c r="M44"/>
  <c r="L44"/>
  <c r="K44"/>
  <c r="J44"/>
  <c r="I44"/>
  <c r="H44"/>
  <c r="G44"/>
  <c r="F44"/>
  <c r="E44"/>
  <c r="D44"/>
  <c r="C44"/>
  <c r="B44"/>
  <c r="A44"/>
  <c r="IV43"/>
  <c r="IU43"/>
  <c r="IT43"/>
  <c r="IS43"/>
  <c r="IR43"/>
  <c r="IQ43"/>
  <c r="IP43"/>
  <c r="IO43"/>
  <c r="IN43"/>
  <c r="IM43"/>
  <c r="IL43"/>
  <c r="IK43"/>
  <c r="IJ43"/>
  <c r="II43"/>
  <c r="IH43"/>
  <c r="IG43"/>
  <c r="IF43"/>
  <c r="IE43"/>
  <c r="ID43"/>
  <c r="IC43"/>
  <c r="IB43"/>
  <c r="IA43"/>
  <c r="HZ43"/>
  <c r="HY43"/>
  <c r="HX43"/>
  <c r="HW43"/>
  <c r="HV43"/>
  <c r="HU43"/>
  <c r="HT43"/>
  <c r="HS43"/>
  <c r="HR43"/>
  <c r="HQ43"/>
  <c r="HP43"/>
  <c r="HO43"/>
  <c r="HN43"/>
  <c r="HM43"/>
  <c r="HL43"/>
  <c r="HK43"/>
  <c r="HJ43"/>
  <c r="HI43"/>
  <c r="HH43"/>
  <c r="HG43"/>
  <c r="HF43"/>
  <c r="HE43"/>
  <c r="HD43"/>
  <c r="HC43"/>
  <c r="HB43"/>
  <c r="HA43"/>
  <c r="GZ43"/>
  <c r="GY43"/>
  <c r="GX43"/>
  <c r="GW43"/>
  <c r="GV43"/>
  <c r="GU43"/>
  <c r="GT43"/>
  <c r="GS43"/>
  <c r="GR43"/>
  <c r="GQ43"/>
  <c r="GP43"/>
  <c r="GO43"/>
  <c r="GN43"/>
  <c r="GM43"/>
  <c r="GL43"/>
  <c r="GK43"/>
  <c r="GJ43"/>
  <c r="GI43"/>
  <c r="GH43"/>
  <c r="GG43"/>
  <c r="GF43"/>
  <c r="GE43"/>
  <c r="GD43"/>
  <c r="GC43"/>
  <c r="GB43"/>
  <c r="GA43"/>
  <c r="FZ43"/>
  <c r="FY43"/>
  <c r="FX43"/>
  <c r="FW43"/>
  <c r="FV43"/>
  <c r="FU43"/>
  <c r="FT43"/>
  <c r="FS43"/>
  <c r="FR43"/>
  <c r="FQ43"/>
  <c r="FP43"/>
  <c r="FO43"/>
  <c r="FN43"/>
  <c r="FM43"/>
  <c r="FL43"/>
  <c r="FK43"/>
  <c r="FJ43"/>
  <c r="FI43"/>
  <c r="FH43"/>
  <c r="FG43"/>
  <c r="FF43"/>
  <c r="FE43"/>
  <c r="FD43"/>
  <c r="FC43"/>
  <c r="FB43"/>
  <c r="FA43"/>
  <c r="EZ43"/>
  <c r="EY43"/>
  <c r="EX43"/>
  <c r="EW43"/>
  <c r="EV43"/>
  <c r="EU43"/>
  <c r="ET43"/>
  <c r="ES43"/>
  <c r="ER43"/>
  <c r="EQ43"/>
  <c r="EP43"/>
  <c r="EO43"/>
  <c r="EN43"/>
  <c r="EM43"/>
  <c r="EL43"/>
  <c r="EK43"/>
  <c r="EJ43"/>
  <c r="EI43"/>
  <c r="EH43"/>
  <c r="EG43"/>
  <c r="EF43"/>
  <c r="EE43"/>
  <c r="ED43"/>
  <c r="EC43"/>
  <c r="EB43"/>
  <c r="EA43"/>
  <c r="DZ43"/>
  <c r="DY43"/>
  <c r="DX43"/>
  <c r="DW43"/>
  <c r="DV43"/>
  <c r="DU43"/>
  <c r="DT43"/>
  <c r="DS43"/>
  <c r="DR43"/>
  <c r="DQ43"/>
  <c r="DP43"/>
  <c r="DO43"/>
  <c r="DN43"/>
  <c r="DM43"/>
  <c r="DL43"/>
  <c r="DK43"/>
  <c r="DJ43"/>
  <c r="DI43"/>
  <c r="DH43"/>
  <c r="DG43"/>
  <c r="DF43"/>
  <c r="DE43"/>
  <c r="DD43"/>
  <c r="DC43"/>
  <c r="DB43"/>
  <c r="DA43"/>
  <c r="CZ43"/>
  <c r="CY43"/>
  <c r="CX43"/>
  <c r="CW43"/>
  <c r="CV43"/>
  <c r="CU43"/>
  <c r="CT43"/>
  <c r="CS43"/>
  <c r="CR43"/>
  <c r="CQ43"/>
  <c r="CP43"/>
  <c r="CO43"/>
  <c r="CN43"/>
  <c r="CM43"/>
  <c r="CL43"/>
  <c r="CK43"/>
  <c r="CJ43"/>
  <c r="CI43"/>
  <c r="CH43"/>
  <c r="CG43"/>
  <c r="CF43"/>
  <c r="CE43"/>
  <c r="CD43"/>
  <c r="CC43"/>
  <c r="CB43"/>
  <c r="CA43"/>
  <c r="BZ43"/>
  <c r="BY43"/>
  <c r="BX43"/>
  <c r="BW43"/>
  <c r="BV43"/>
  <c r="BU43"/>
  <c r="BT43"/>
  <c r="BS43"/>
  <c r="BR43"/>
  <c r="BQ43"/>
  <c r="BP43"/>
  <c r="BO43"/>
  <c r="BN43"/>
  <c r="BM43"/>
  <c r="BL43"/>
  <c r="BK43"/>
  <c r="BJ43"/>
  <c r="BI43"/>
  <c r="BH43"/>
  <c r="BG43"/>
  <c r="BF43"/>
  <c r="BE43"/>
  <c r="BD43"/>
  <c r="BC43"/>
  <c r="BB43"/>
  <c r="BA43"/>
  <c r="AZ43"/>
  <c r="AY43"/>
  <c r="AX43"/>
  <c r="AW43"/>
  <c r="AV43"/>
  <c r="AU43"/>
  <c r="AT43"/>
  <c r="AS43"/>
  <c r="AR43"/>
  <c r="AQ43"/>
  <c r="AP43"/>
  <c r="AO43"/>
  <c r="AN43"/>
  <c r="AM43"/>
  <c r="AL43"/>
  <c r="AK43"/>
  <c r="AJ43"/>
  <c r="AI43"/>
  <c r="AH43"/>
  <c r="AG43"/>
  <c r="AF43"/>
  <c r="AE43"/>
  <c r="AD43"/>
  <c r="AC43"/>
  <c r="AB43"/>
  <c r="AA43"/>
  <c r="Z43"/>
  <c r="Y43"/>
  <c r="X43"/>
  <c r="W43"/>
  <c r="V43"/>
  <c r="U43"/>
  <c r="T43"/>
  <c r="S43"/>
  <c r="R43"/>
  <c r="Q43"/>
  <c r="P43"/>
  <c r="O43"/>
  <c r="N43"/>
  <c r="M43"/>
  <c r="L43"/>
  <c r="K43"/>
  <c r="J43"/>
  <c r="I43"/>
  <c r="H43"/>
  <c r="G43"/>
  <c r="F43"/>
  <c r="E43"/>
  <c r="D43"/>
  <c r="C43"/>
  <c r="B43"/>
  <c r="A43"/>
  <c r="IV42"/>
  <c r="IU42"/>
  <c r="IT42"/>
  <c r="IS42"/>
  <c r="IR42"/>
  <c r="IQ42"/>
  <c r="IP42"/>
  <c r="IO42"/>
  <c r="IN42"/>
  <c r="IM42"/>
  <c r="IL42"/>
  <c r="IK42"/>
  <c r="IJ42"/>
  <c r="II42"/>
  <c r="IH42"/>
  <c r="IG42"/>
  <c r="IF42"/>
  <c r="IE42"/>
  <c r="ID42"/>
  <c r="IC42"/>
  <c r="IB42"/>
  <c r="IA42"/>
  <c r="HZ42"/>
  <c r="HY42"/>
  <c r="HX42"/>
  <c r="HW42"/>
  <c r="HV42"/>
  <c r="HU42"/>
  <c r="HT42"/>
  <c r="HS42"/>
  <c r="HR42"/>
  <c r="HQ42"/>
  <c r="HP42"/>
  <c r="HO42"/>
  <c r="HN42"/>
  <c r="HM42"/>
  <c r="HL42"/>
  <c r="HK42"/>
  <c r="HJ42"/>
  <c r="HI42"/>
  <c r="HH42"/>
  <c r="HG42"/>
  <c r="HF42"/>
  <c r="HE42"/>
  <c r="HD42"/>
  <c r="HC42"/>
  <c r="HB42"/>
  <c r="HA42"/>
  <c r="GZ42"/>
  <c r="GY42"/>
  <c r="GX42"/>
  <c r="GW42"/>
  <c r="GV42"/>
  <c r="GU42"/>
  <c r="GT42"/>
  <c r="GS42"/>
  <c r="GR42"/>
  <c r="GQ42"/>
  <c r="GP42"/>
  <c r="GO42"/>
  <c r="GN42"/>
  <c r="GM42"/>
  <c r="GL42"/>
  <c r="GK42"/>
  <c r="GJ42"/>
  <c r="GI42"/>
  <c r="GH42"/>
  <c r="GG42"/>
  <c r="GF42"/>
  <c r="GE42"/>
  <c r="GD42"/>
  <c r="GC42"/>
  <c r="GB42"/>
  <c r="GA42"/>
  <c r="FZ42"/>
  <c r="FY42"/>
  <c r="FX42"/>
  <c r="FW42"/>
  <c r="FV42"/>
  <c r="FU42"/>
  <c r="FT42"/>
  <c r="FS42"/>
  <c r="FR42"/>
  <c r="FQ42"/>
  <c r="FP42"/>
  <c r="FO42"/>
  <c r="FN42"/>
  <c r="FM42"/>
  <c r="FL42"/>
  <c r="FK42"/>
  <c r="FJ42"/>
  <c r="FI42"/>
  <c r="FH42"/>
  <c r="FG42"/>
  <c r="FF42"/>
  <c r="FE42"/>
  <c r="FD42"/>
  <c r="FC42"/>
  <c r="FB42"/>
  <c r="FA42"/>
  <c r="EZ42"/>
  <c r="EY42"/>
  <c r="EX42"/>
  <c r="EW42"/>
  <c r="EV42"/>
  <c r="EU42"/>
  <c r="ET42"/>
  <c r="ES42"/>
  <c r="ER42"/>
  <c r="EQ42"/>
  <c r="EP42"/>
  <c r="EO42"/>
  <c r="EN42"/>
  <c r="EM42"/>
  <c r="EL42"/>
  <c r="EK42"/>
  <c r="EJ42"/>
  <c r="EI42"/>
  <c r="EH42"/>
  <c r="EG42"/>
  <c r="EF42"/>
  <c r="EE42"/>
  <c r="ED42"/>
  <c r="EC42"/>
  <c r="EB42"/>
  <c r="EA42"/>
  <c r="DZ42"/>
  <c r="DY42"/>
  <c r="DX42"/>
  <c r="DW42"/>
  <c r="DV42"/>
  <c r="DU42"/>
  <c r="DT42"/>
  <c r="DS42"/>
  <c r="DR42"/>
  <c r="DQ42"/>
  <c r="DP42"/>
  <c r="DO42"/>
  <c r="DN42"/>
  <c r="DM42"/>
  <c r="DL42"/>
  <c r="DK42"/>
  <c r="DJ42"/>
  <c r="DI42"/>
  <c r="DH42"/>
  <c r="DG42"/>
  <c r="DF42"/>
  <c r="DE42"/>
  <c r="DD42"/>
  <c r="DC42"/>
  <c r="DB42"/>
  <c r="DA42"/>
  <c r="CZ42"/>
  <c r="CY42"/>
  <c r="CX42"/>
  <c r="CW42"/>
  <c r="CV42"/>
  <c r="CU42"/>
  <c r="CT42"/>
  <c r="CS42"/>
  <c r="CR42"/>
  <c r="CQ42"/>
  <c r="CP42"/>
  <c r="CO42"/>
  <c r="CN42"/>
  <c r="CM42"/>
  <c r="CL42"/>
  <c r="CK42"/>
  <c r="CJ42"/>
  <c r="CI42"/>
  <c r="CH42"/>
  <c r="CG42"/>
  <c r="CF42"/>
  <c r="CE42"/>
  <c r="CD42"/>
  <c r="CC42"/>
  <c r="CB42"/>
  <c r="CA42"/>
  <c r="BZ42"/>
  <c r="BY42"/>
  <c r="BX42"/>
  <c r="BW42"/>
  <c r="BV42"/>
  <c r="BU42"/>
  <c r="BT42"/>
  <c r="BS42"/>
  <c r="BR42"/>
  <c r="BQ42"/>
  <c r="BP42"/>
  <c r="BO42"/>
  <c r="BN42"/>
  <c r="BM42"/>
  <c r="BL42"/>
  <c r="BK42"/>
  <c r="BJ42"/>
  <c r="BI42"/>
  <c r="BH42"/>
  <c r="BG42"/>
  <c r="BF42"/>
  <c r="BE42"/>
  <c r="BD42"/>
  <c r="BC42"/>
  <c r="BB42"/>
  <c r="BA42"/>
  <c r="AZ42"/>
  <c r="AY42"/>
  <c r="AX42"/>
  <c r="AW42"/>
  <c r="AV42"/>
  <c r="AU42"/>
  <c r="AT42"/>
  <c r="AS42"/>
  <c r="AR42"/>
  <c r="AQ42"/>
  <c r="AP42"/>
  <c r="AO42"/>
  <c r="AN42"/>
  <c r="AM42"/>
  <c r="AL42"/>
  <c r="AK42"/>
  <c r="AJ42"/>
  <c r="AI42"/>
  <c r="AH42"/>
  <c r="AG42"/>
  <c r="AF42"/>
  <c r="AE42"/>
  <c r="AD42"/>
  <c r="AC42"/>
  <c r="AB42"/>
  <c r="AA42"/>
  <c r="Z42"/>
  <c r="Y42"/>
  <c r="X42"/>
  <c r="W42"/>
  <c r="V42"/>
  <c r="U42"/>
  <c r="T42"/>
  <c r="S42"/>
  <c r="R42"/>
  <c r="Q42"/>
  <c r="P42"/>
  <c r="O42"/>
  <c r="N42"/>
  <c r="M42"/>
  <c r="L42"/>
  <c r="K42"/>
  <c r="J42"/>
  <c r="I42"/>
  <c r="H42"/>
  <c r="G42"/>
  <c r="F42"/>
  <c r="E42"/>
  <c r="D42"/>
  <c r="C42"/>
  <c r="B42"/>
  <c r="A42"/>
  <c r="IV41"/>
  <c r="IU41"/>
  <c r="IT41"/>
  <c r="IS41"/>
  <c r="IR41"/>
  <c r="IQ41"/>
  <c r="IP41"/>
  <c r="IO41"/>
  <c r="IN41"/>
  <c r="IM41"/>
  <c r="IL41"/>
  <c r="IK41"/>
  <c r="IJ41"/>
  <c r="II41"/>
  <c r="IH41"/>
  <c r="IG41"/>
  <c r="IF41"/>
  <c r="IE41"/>
  <c r="ID41"/>
  <c r="IC41"/>
  <c r="IB41"/>
  <c r="IA41"/>
  <c r="HZ41"/>
  <c r="HY41"/>
  <c r="HX41"/>
  <c r="HW41"/>
  <c r="HV41"/>
  <c r="HU41"/>
  <c r="HT41"/>
  <c r="HS41"/>
  <c r="HR41"/>
  <c r="HQ41"/>
  <c r="HP41"/>
  <c r="HO41"/>
  <c r="HN41"/>
  <c r="HM41"/>
  <c r="HL41"/>
  <c r="HK41"/>
  <c r="HJ41"/>
  <c r="HI41"/>
  <c r="HH41"/>
  <c r="HG41"/>
  <c r="HF41"/>
  <c r="HE41"/>
  <c r="HD41"/>
  <c r="HC41"/>
  <c r="HB41"/>
  <c r="HA41"/>
  <c r="GZ41"/>
  <c r="GY41"/>
  <c r="GX41"/>
  <c r="GW41"/>
  <c r="GV41"/>
  <c r="GU41"/>
  <c r="GT41"/>
  <c r="GS41"/>
  <c r="GR41"/>
  <c r="GQ41"/>
  <c r="GP41"/>
  <c r="GO41"/>
  <c r="GN41"/>
  <c r="GM41"/>
  <c r="GL41"/>
  <c r="GK41"/>
  <c r="GJ41"/>
  <c r="GI41"/>
  <c r="GH41"/>
  <c r="GG41"/>
  <c r="GF41"/>
  <c r="GE41"/>
  <c r="GD41"/>
  <c r="GC41"/>
  <c r="GB41"/>
  <c r="GA41"/>
  <c r="FZ41"/>
  <c r="FY41"/>
  <c r="FX41"/>
  <c r="FW41"/>
  <c r="FV41"/>
  <c r="FU41"/>
  <c r="FT41"/>
  <c r="FS41"/>
  <c r="FR41"/>
  <c r="FQ41"/>
  <c r="FP41"/>
  <c r="FO41"/>
  <c r="FN41"/>
  <c r="FM41"/>
  <c r="FL41"/>
  <c r="FK41"/>
  <c r="FJ41"/>
  <c r="FI41"/>
  <c r="FH41"/>
  <c r="FG41"/>
  <c r="FF41"/>
  <c r="FE41"/>
  <c r="FD41"/>
  <c r="FC41"/>
  <c r="FB41"/>
  <c r="FA41"/>
  <c r="EZ41"/>
  <c r="EY41"/>
  <c r="EX41"/>
  <c r="EW41"/>
  <c r="EV41"/>
  <c r="EU41"/>
  <c r="ET41"/>
  <c r="ES41"/>
  <c r="ER41"/>
  <c r="EQ41"/>
  <c r="EP41"/>
  <c r="EO41"/>
  <c r="EN41"/>
  <c r="EM41"/>
  <c r="EL41"/>
  <c r="EK41"/>
  <c r="EJ41"/>
  <c r="EI41"/>
  <c r="EH41"/>
  <c r="EG41"/>
  <c r="EF41"/>
  <c r="EE41"/>
  <c r="ED41"/>
  <c r="EC41"/>
  <c r="EB41"/>
  <c r="EA41"/>
  <c r="DZ41"/>
  <c r="DY41"/>
  <c r="DX41"/>
  <c r="DW41"/>
  <c r="DV41"/>
  <c r="DU41"/>
  <c r="DT41"/>
  <c r="DS41"/>
  <c r="DR41"/>
  <c r="DQ41"/>
  <c r="DP41"/>
  <c r="DO41"/>
  <c r="DN41"/>
  <c r="DM41"/>
  <c r="DL41"/>
  <c r="DK41"/>
  <c r="DJ41"/>
  <c r="DI41"/>
  <c r="DH41"/>
  <c r="DG41"/>
  <c r="DF41"/>
  <c r="DE41"/>
  <c r="DD41"/>
  <c r="DC41"/>
  <c r="DB41"/>
  <c r="DA41"/>
  <c r="CZ41"/>
  <c r="CY41"/>
  <c r="CX41"/>
  <c r="CW41"/>
  <c r="CV41"/>
  <c r="CU41"/>
  <c r="CT41"/>
  <c r="CS41"/>
  <c r="CR41"/>
  <c r="CQ41"/>
  <c r="CP41"/>
  <c r="CO41"/>
  <c r="CN41"/>
  <c r="CM41"/>
  <c r="CL41"/>
  <c r="CK41"/>
  <c r="CJ41"/>
  <c r="CI41"/>
  <c r="CH41"/>
  <c r="CG41"/>
  <c r="CF41"/>
  <c r="CE41"/>
  <c r="CD41"/>
  <c r="CC41"/>
  <c r="CB41"/>
  <c r="CA41"/>
  <c r="BZ41"/>
  <c r="BY41"/>
  <c r="BX41"/>
  <c r="BW41"/>
  <c r="BV41"/>
  <c r="BU41"/>
  <c r="BT41"/>
  <c r="BS41"/>
  <c r="BR41"/>
  <c r="BQ41"/>
  <c r="BP41"/>
  <c r="BO41"/>
  <c r="BN41"/>
  <c r="BM41"/>
  <c r="BL41"/>
  <c r="BK41"/>
  <c r="BJ41"/>
  <c r="BI41"/>
  <c r="BH41"/>
  <c r="BG41"/>
  <c r="BF41"/>
  <c r="BE41"/>
  <c r="BD41"/>
  <c r="BC41"/>
  <c r="BB41"/>
  <c r="BA41"/>
  <c r="AZ41"/>
  <c r="AY41"/>
  <c r="AX41"/>
  <c r="AW41"/>
  <c r="AV41"/>
  <c r="AU41"/>
  <c r="AT41"/>
  <c r="AS41"/>
  <c r="AR41"/>
  <c r="AQ41"/>
  <c r="AP41"/>
  <c r="AO41"/>
  <c r="AN41"/>
  <c r="AM41"/>
  <c r="AL41"/>
  <c r="AK41"/>
  <c r="AJ41"/>
  <c r="AI41"/>
  <c r="AH41"/>
  <c r="AG41"/>
  <c r="AF41"/>
  <c r="AE41"/>
  <c r="AD41"/>
  <c r="AC41"/>
  <c r="AB41"/>
  <c r="AA41"/>
  <c r="Z41"/>
  <c r="Y41"/>
  <c r="X41"/>
  <c r="W41"/>
  <c r="V41"/>
  <c r="U41"/>
  <c r="T41"/>
  <c r="S41"/>
  <c r="R41"/>
  <c r="Q41"/>
  <c r="P41"/>
  <c r="O41"/>
  <c r="N41"/>
  <c r="M41"/>
  <c r="L41"/>
  <c r="K41"/>
  <c r="J41"/>
  <c r="I41"/>
  <c r="H41"/>
  <c r="G41"/>
  <c r="F41"/>
  <c r="E41"/>
  <c r="D41"/>
  <c r="C41"/>
  <c r="B41"/>
  <c r="A41"/>
  <c r="IV40"/>
  <c r="IU40"/>
  <c r="IT40"/>
  <c r="IS40"/>
  <c r="IR40"/>
  <c r="IQ40"/>
  <c r="IP40"/>
  <c r="IO40"/>
  <c r="IN40"/>
  <c r="IM40"/>
  <c r="IL40"/>
  <c r="IK40"/>
  <c r="IJ40"/>
  <c r="II40"/>
  <c r="IH40"/>
  <c r="IG40"/>
  <c r="IF40"/>
  <c r="IE40"/>
  <c r="ID40"/>
  <c r="IC40"/>
  <c r="IB40"/>
  <c r="IA40"/>
  <c r="HZ40"/>
  <c r="HY40"/>
  <c r="HX40"/>
  <c r="HW40"/>
  <c r="HV40"/>
  <c r="HU40"/>
  <c r="HT40"/>
  <c r="HS40"/>
  <c r="HR40"/>
  <c r="HQ40"/>
  <c r="HP40"/>
  <c r="HO40"/>
  <c r="HN40"/>
  <c r="HM40"/>
  <c r="HL40"/>
  <c r="HK40"/>
  <c r="HJ40"/>
  <c r="HI40"/>
  <c r="HH40"/>
  <c r="HG40"/>
  <c r="HF40"/>
  <c r="HE40"/>
  <c r="HD40"/>
  <c r="HC40"/>
  <c r="HB40"/>
  <c r="HA40"/>
  <c r="GZ40"/>
  <c r="GY40"/>
  <c r="GX40"/>
  <c r="GW40"/>
  <c r="GV40"/>
  <c r="GU40"/>
  <c r="GT40"/>
  <c r="GS40"/>
  <c r="GR40"/>
  <c r="GQ40"/>
  <c r="GP40"/>
  <c r="GO40"/>
  <c r="GN40"/>
  <c r="GM40"/>
  <c r="GL40"/>
  <c r="GK40"/>
  <c r="GJ40"/>
  <c r="GI40"/>
  <c r="GH40"/>
  <c r="GG40"/>
  <c r="GF40"/>
  <c r="GE40"/>
  <c r="GD40"/>
  <c r="GC40"/>
  <c r="GB40"/>
  <c r="GA40"/>
  <c r="FZ40"/>
  <c r="FY40"/>
  <c r="FX40"/>
  <c r="FW40"/>
  <c r="FV40"/>
  <c r="FU40"/>
  <c r="FT40"/>
  <c r="FS40"/>
  <c r="FR40"/>
  <c r="FQ40"/>
  <c r="FP40"/>
  <c r="FO40"/>
  <c r="FN40"/>
  <c r="FM40"/>
  <c r="FL40"/>
  <c r="FK40"/>
  <c r="FJ40"/>
  <c r="FI40"/>
  <c r="FH40"/>
  <c r="FG40"/>
  <c r="FF40"/>
  <c r="FE40"/>
  <c r="FD40"/>
  <c r="FC40"/>
  <c r="FB40"/>
  <c r="FA40"/>
  <c r="EZ40"/>
  <c r="EY40"/>
  <c r="EX40"/>
  <c r="EW40"/>
  <c r="EV40"/>
  <c r="EU40"/>
  <c r="ET40"/>
  <c r="ES40"/>
  <c r="ER40"/>
  <c r="EQ40"/>
  <c r="EP40"/>
  <c r="EO40"/>
  <c r="EN40"/>
  <c r="EM40"/>
  <c r="EL40"/>
  <c r="EK40"/>
  <c r="EJ40"/>
  <c r="EI40"/>
  <c r="EH40"/>
  <c r="EG40"/>
  <c r="EF40"/>
  <c r="EE40"/>
  <c r="ED40"/>
  <c r="EC40"/>
  <c r="EB40"/>
  <c r="EA40"/>
  <c r="DZ40"/>
  <c r="DY40"/>
  <c r="DX40"/>
  <c r="DW40"/>
  <c r="DV40"/>
  <c r="DU40"/>
  <c r="DT40"/>
  <c r="DS40"/>
  <c r="DR40"/>
  <c r="DQ40"/>
  <c r="DP40"/>
  <c r="DO40"/>
  <c r="DN40"/>
  <c r="DM40"/>
  <c r="DL40"/>
  <c r="DK40"/>
  <c r="DJ40"/>
  <c r="DI40"/>
  <c r="DH40"/>
  <c r="DG40"/>
  <c r="DF40"/>
  <c r="DE40"/>
  <c r="DD40"/>
  <c r="DC40"/>
  <c r="DB40"/>
  <c r="DA40"/>
  <c r="CZ40"/>
  <c r="CY40"/>
  <c r="CX40"/>
  <c r="CW40"/>
  <c r="CV40"/>
  <c r="CU40"/>
  <c r="CT40"/>
  <c r="CS40"/>
  <c r="CR40"/>
  <c r="CQ40"/>
  <c r="CP40"/>
  <c r="CO40"/>
  <c r="CN40"/>
  <c r="CM40"/>
  <c r="CL40"/>
  <c r="CK40"/>
  <c r="CJ40"/>
  <c r="CI40"/>
  <c r="CH40"/>
  <c r="CG40"/>
  <c r="CF40"/>
  <c r="CE40"/>
  <c r="CD40"/>
  <c r="CC40"/>
  <c r="CB40"/>
  <c r="CA40"/>
  <c r="BZ40"/>
  <c r="BY40"/>
  <c r="BX40"/>
  <c r="BW40"/>
  <c r="BV40"/>
  <c r="BU40"/>
  <c r="BT40"/>
  <c r="BS40"/>
  <c r="BR40"/>
  <c r="BQ40"/>
  <c r="BP40"/>
  <c r="BO40"/>
  <c r="BN40"/>
  <c r="BM40"/>
  <c r="BL40"/>
  <c r="BK40"/>
  <c r="BJ40"/>
  <c r="BI40"/>
  <c r="BH40"/>
  <c r="BG40"/>
  <c r="BF40"/>
  <c r="BE40"/>
  <c r="BD40"/>
  <c r="BC40"/>
  <c r="BB40"/>
  <c r="BA40"/>
  <c r="AZ40"/>
  <c r="AY40"/>
  <c r="AX40"/>
  <c r="AW40"/>
  <c r="AV40"/>
  <c r="AU40"/>
  <c r="AT40"/>
  <c r="AS40"/>
  <c r="AR40"/>
  <c r="AQ40"/>
  <c r="AP40"/>
  <c r="AO40"/>
  <c r="AN40"/>
  <c r="AM40"/>
  <c r="AL40"/>
  <c r="AK40"/>
  <c r="AJ40"/>
  <c r="AI40"/>
  <c r="AH40"/>
  <c r="AG40"/>
  <c r="AF40"/>
  <c r="AE40"/>
  <c r="AD40"/>
  <c r="AC40"/>
  <c r="AB40"/>
  <c r="AA40"/>
  <c r="Z40"/>
  <c r="Y40"/>
  <c r="X40"/>
  <c r="W40"/>
  <c r="V40"/>
  <c r="U40"/>
  <c r="T40"/>
  <c r="S40"/>
  <c r="R40"/>
  <c r="Q40"/>
  <c r="P40"/>
  <c r="O40"/>
  <c r="N40"/>
  <c r="M40"/>
  <c r="L40"/>
  <c r="K40"/>
  <c r="J40"/>
  <c r="I40"/>
  <c r="H40"/>
  <c r="G40"/>
  <c r="F40"/>
  <c r="E40"/>
  <c r="D40"/>
  <c r="C40"/>
  <c r="B40"/>
  <c r="A40"/>
  <c r="IV39"/>
  <c r="IU39"/>
  <c r="IT39"/>
  <c r="IS39"/>
  <c r="IR39"/>
  <c r="IQ39"/>
  <c r="IP39"/>
  <c r="IO39"/>
  <c r="IN39"/>
  <c r="IM39"/>
  <c r="IL39"/>
  <c r="IK39"/>
  <c r="IJ39"/>
  <c r="II39"/>
  <c r="IH39"/>
  <c r="IG39"/>
  <c r="IF39"/>
  <c r="IE39"/>
  <c r="ID39"/>
  <c r="IC39"/>
  <c r="IB39"/>
  <c r="IA39"/>
  <c r="HZ39"/>
  <c r="HY39"/>
  <c r="HX39"/>
  <c r="HW39"/>
  <c r="HV39"/>
  <c r="HU39"/>
  <c r="HT39"/>
  <c r="HS39"/>
  <c r="HR39"/>
  <c r="HQ39"/>
  <c r="HP39"/>
  <c r="HO39"/>
  <c r="HN39"/>
  <c r="HM39"/>
  <c r="HL39"/>
  <c r="HK39"/>
  <c r="HJ39"/>
  <c r="HI39"/>
  <c r="HH39"/>
  <c r="HG39"/>
  <c r="HF39"/>
  <c r="HE39"/>
  <c r="HD39"/>
  <c r="HC39"/>
  <c r="HB39"/>
  <c r="HA39"/>
  <c r="GZ39"/>
  <c r="GY39"/>
  <c r="GX39"/>
  <c r="GW39"/>
  <c r="GV39"/>
  <c r="GU39"/>
  <c r="GT39"/>
  <c r="GS39"/>
  <c r="GR39"/>
  <c r="GQ39"/>
  <c r="GP39"/>
  <c r="GO39"/>
  <c r="GN39"/>
  <c r="GM39"/>
  <c r="GL39"/>
  <c r="GK39"/>
  <c r="GJ39"/>
  <c r="GI39"/>
  <c r="GH39"/>
  <c r="GG39"/>
  <c r="GF39"/>
  <c r="GE39"/>
  <c r="GD39"/>
  <c r="GC39"/>
  <c r="GB39"/>
  <c r="GA39"/>
  <c r="FZ39"/>
  <c r="FY39"/>
  <c r="FX39"/>
  <c r="FW39"/>
  <c r="FV39"/>
  <c r="FU39"/>
  <c r="FT39"/>
  <c r="FS39"/>
  <c r="FR39"/>
  <c r="FQ39"/>
  <c r="FP39"/>
  <c r="FO39"/>
  <c r="FN39"/>
  <c r="FM39"/>
  <c r="FL39"/>
  <c r="FK39"/>
  <c r="FJ39"/>
  <c r="FI39"/>
  <c r="FH39"/>
  <c r="FG39"/>
  <c r="FF39"/>
  <c r="FE39"/>
  <c r="FD39"/>
  <c r="FC39"/>
  <c r="FB39"/>
  <c r="FA39"/>
  <c r="EZ39"/>
  <c r="EY39"/>
  <c r="EX39"/>
  <c r="EW39"/>
  <c r="EV39"/>
  <c r="EU39"/>
  <c r="ET39"/>
  <c r="ES39"/>
  <c r="ER39"/>
  <c r="EQ39"/>
  <c r="EP39"/>
  <c r="EO39"/>
  <c r="EN39"/>
  <c r="EM39"/>
  <c r="EL39"/>
  <c r="EK39"/>
  <c r="EJ39"/>
  <c r="EI39"/>
  <c r="EH39"/>
  <c r="EG39"/>
  <c r="EF39"/>
  <c r="EE39"/>
  <c r="ED39"/>
  <c r="EC39"/>
  <c r="EB39"/>
  <c r="EA39"/>
  <c r="DZ39"/>
  <c r="DY39"/>
  <c r="DX39"/>
  <c r="DW39"/>
  <c r="DV39"/>
  <c r="DU39"/>
  <c r="DT39"/>
  <c r="DS39"/>
  <c r="DR39"/>
  <c r="DQ39"/>
  <c r="DP39"/>
  <c r="DO39"/>
  <c r="DN39"/>
  <c r="DM39"/>
  <c r="DL39"/>
  <c r="DK39"/>
  <c r="DJ39"/>
  <c r="DI39"/>
  <c r="DH39"/>
  <c r="DG39"/>
  <c r="DF39"/>
  <c r="DE39"/>
  <c r="DD39"/>
  <c r="DC39"/>
  <c r="DB39"/>
  <c r="DA39"/>
  <c r="CZ39"/>
  <c r="CY39"/>
  <c r="CX39"/>
  <c r="CW39"/>
  <c r="CV39"/>
  <c r="CU39"/>
  <c r="CT39"/>
  <c r="CS39"/>
  <c r="CR39"/>
  <c r="CQ39"/>
  <c r="CP39"/>
  <c r="CO39"/>
  <c r="CN39"/>
  <c r="CM39"/>
  <c r="CL39"/>
  <c r="CK39"/>
  <c r="CJ39"/>
  <c r="CI39"/>
  <c r="CH39"/>
  <c r="CG39"/>
  <c r="CF39"/>
  <c r="CE39"/>
  <c r="CD39"/>
  <c r="CC39"/>
  <c r="CB39"/>
  <c r="CA39"/>
  <c r="BZ39"/>
  <c r="BY39"/>
  <c r="BX39"/>
  <c r="BW39"/>
  <c r="BV39"/>
  <c r="BU39"/>
  <c r="BT39"/>
  <c r="BS39"/>
  <c r="BR39"/>
  <c r="BQ39"/>
  <c r="BP39"/>
  <c r="BO39"/>
  <c r="BN39"/>
  <c r="BM39"/>
  <c r="BL39"/>
  <c r="BK39"/>
  <c r="BJ39"/>
  <c r="BI39"/>
  <c r="BH39"/>
  <c r="BG39"/>
  <c r="BF39"/>
  <c r="BE39"/>
  <c r="BD39"/>
  <c r="BC39"/>
  <c r="BB39"/>
  <c r="BA39"/>
  <c r="AZ39"/>
  <c r="AY39"/>
  <c r="AX39"/>
  <c r="AW39"/>
  <c r="AV39"/>
  <c r="AU39"/>
  <c r="AT39"/>
  <c r="AS39"/>
  <c r="AR39"/>
  <c r="AQ39"/>
  <c r="AP39"/>
  <c r="AO39"/>
  <c r="AN39"/>
  <c r="AM39"/>
  <c r="AL39"/>
  <c r="AK39"/>
  <c r="AJ39"/>
  <c r="AI39"/>
  <c r="AH39"/>
  <c r="AG39"/>
  <c r="AF39"/>
  <c r="AE39"/>
  <c r="AD39"/>
  <c r="AC39"/>
  <c r="AB39"/>
  <c r="AA39"/>
  <c r="Z39"/>
  <c r="Y39"/>
  <c r="X39"/>
  <c r="W39"/>
  <c r="V39"/>
  <c r="U39"/>
  <c r="T39"/>
  <c r="S39"/>
  <c r="R39"/>
  <c r="Q39"/>
  <c r="P39"/>
  <c r="O39"/>
  <c r="N39"/>
  <c r="M39"/>
  <c r="L39"/>
  <c r="K39"/>
  <c r="J39"/>
  <c r="I39"/>
  <c r="H39"/>
  <c r="G39"/>
  <c r="F39"/>
  <c r="E39"/>
  <c r="D39"/>
  <c r="C39"/>
  <c r="B39"/>
  <c r="A39"/>
  <c r="IV38"/>
  <c r="IU38"/>
  <c r="IT38"/>
  <c r="IS38"/>
  <c r="IR38"/>
  <c r="IQ38"/>
  <c r="IP38"/>
  <c r="IO38"/>
  <c r="IN38"/>
  <c r="IM38"/>
  <c r="IL38"/>
  <c r="IK38"/>
  <c r="IJ38"/>
  <c r="II38"/>
  <c r="IH38"/>
  <c r="IG38"/>
  <c r="IF38"/>
  <c r="IE38"/>
  <c r="ID38"/>
  <c r="IC38"/>
  <c r="IB38"/>
  <c r="IA38"/>
  <c r="HZ38"/>
  <c r="HY38"/>
  <c r="HX38"/>
  <c r="HW38"/>
  <c r="HV38"/>
  <c r="HU38"/>
  <c r="HT38"/>
  <c r="HS38"/>
  <c r="HR38"/>
  <c r="HQ38"/>
  <c r="HP38"/>
  <c r="HO38"/>
  <c r="HN38"/>
  <c r="HM38"/>
  <c r="HL38"/>
  <c r="HK38"/>
  <c r="HJ38"/>
  <c r="HI38"/>
  <c r="HH38"/>
  <c r="HG38"/>
  <c r="HF38"/>
  <c r="HE38"/>
  <c r="HD38"/>
  <c r="HC38"/>
  <c r="HB38"/>
  <c r="HA38"/>
  <c r="GZ38"/>
  <c r="GY38"/>
  <c r="GX38"/>
  <c r="GW38"/>
  <c r="GV38"/>
  <c r="GU38"/>
  <c r="GT38"/>
  <c r="GS38"/>
  <c r="GR38"/>
  <c r="GQ38"/>
  <c r="GP38"/>
  <c r="GO38"/>
  <c r="GN38"/>
  <c r="GM38"/>
  <c r="GL38"/>
  <c r="GK38"/>
  <c r="GJ38"/>
  <c r="GI38"/>
  <c r="GH38"/>
  <c r="GG38"/>
  <c r="GF38"/>
  <c r="GE38"/>
  <c r="GD38"/>
  <c r="GC38"/>
  <c r="GB38"/>
  <c r="GA38"/>
  <c r="FZ38"/>
  <c r="FY38"/>
  <c r="FX38"/>
  <c r="FW38"/>
  <c r="FV38"/>
  <c r="FU38"/>
  <c r="FT38"/>
  <c r="FS38"/>
  <c r="FR38"/>
  <c r="FQ38"/>
  <c r="FP38"/>
  <c r="FO38"/>
  <c r="FN38"/>
  <c r="FM38"/>
  <c r="FL38"/>
  <c r="FK38"/>
  <c r="FJ38"/>
  <c r="FI38"/>
  <c r="FH38"/>
  <c r="FG38"/>
  <c r="FF38"/>
  <c r="FE38"/>
  <c r="FD38"/>
  <c r="FC38"/>
  <c r="FB38"/>
  <c r="FA38"/>
  <c r="EZ38"/>
  <c r="EY38"/>
  <c r="EX38"/>
  <c r="EW38"/>
  <c r="EV38"/>
  <c r="EU38"/>
  <c r="ET38"/>
  <c r="ES38"/>
  <c r="ER38"/>
  <c r="EQ38"/>
  <c r="EP38"/>
  <c r="EO38"/>
  <c r="EN38"/>
  <c r="EM38"/>
  <c r="EL38"/>
  <c r="EK38"/>
  <c r="EJ38"/>
  <c r="EI38"/>
  <c r="EH38"/>
  <c r="EG38"/>
  <c r="EF38"/>
  <c r="EE38"/>
  <c r="ED38"/>
  <c r="EC38"/>
  <c r="EB38"/>
  <c r="EA38"/>
  <c r="DZ38"/>
  <c r="DY38"/>
  <c r="DX38"/>
  <c r="DW38"/>
  <c r="DV38"/>
  <c r="DU38"/>
  <c r="DT38"/>
  <c r="DS38"/>
  <c r="DR38"/>
  <c r="DQ38"/>
  <c r="DP38"/>
  <c r="DO38"/>
  <c r="DN38"/>
  <c r="DM38"/>
  <c r="DL38"/>
  <c r="DK38"/>
  <c r="DJ38"/>
  <c r="DI38"/>
  <c r="DH38"/>
  <c r="DG38"/>
  <c r="DF38"/>
  <c r="DE38"/>
  <c r="DD38"/>
  <c r="DC38"/>
  <c r="DB38"/>
  <c r="DA38"/>
  <c r="CZ38"/>
  <c r="CY38"/>
  <c r="CX38"/>
  <c r="CW38"/>
  <c r="CV38"/>
  <c r="CU38"/>
  <c r="CT38"/>
  <c r="CS38"/>
  <c r="CR38"/>
  <c r="CQ38"/>
  <c r="CP38"/>
  <c r="CO38"/>
  <c r="CN38"/>
  <c r="CM38"/>
  <c r="CL38"/>
  <c r="CK38"/>
  <c r="CJ38"/>
  <c r="CI38"/>
  <c r="CH38"/>
  <c r="CG38"/>
  <c r="CF38"/>
  <c r="CE38"/>
  <c r="CD38"/>
  <c r="CC38"/>
  <c r="CB38"/>
  <c r="CA38"/>
  <c r="BZ38"/>
  <c r="BY38"/>
  <c r="BX38"/>
  <c r="BW38"/>
  <c r="BV38"/>
  <c r="BU38"/>
  <c r="BT38"/>
  <c r="BS38"/>
  <c r="BR38"/>
  <c r="BQ38"/>
  <c r="BP38"/>
  <c r="BO38"/>
  <c r="BN38"/>
  <c r="BM38"/>
  <c r="BL38"/>
  <c r="BK38"/>
  <c r="BJ38"/>
  <c r="BI38"/>
  <c r="BH38"/>
  <c r="BG38"/>
  <c r="BF38"/>
  <c r="BE38"/>
  <c r="BD38"/>
  <c r="BC38"/>
  <c r="BB38"/>
  <c r="BA38"/>
  <c r="AZ38"/>
  <c r="AY38"/>
  <c r="AX38"/>
  <c r="AW38"/>
  <c r="AV38"/>
  <c r="AU38"/>
  <c r="AT38"/>
  <c r="AS38"/>
  <c r="AR38"/>
  <c r="AQ38"/>
  <c r="AP38"/>
  <c r="AO38"/>
  <c r="AN38"/>
  <c r="AM38"/>
  <c r="AL38"/>
  <c r="AK38"/>
  <c r="AJ38"/>
  <c r="AI38"/>
  <c r="AH38"/>
  <c r="AG38"/>
  <c r="AF38"/>
  <c r="AE38"/>
  <c r="AD38"/>
  <c r="AC38"/>
  <c r="AB38"/>
  <c r="AA38"/>
  <c r="Z38"/>
  <c r="Y38"/>
  <c r="X38"/>
  <c r="W38"/>
  <c r="V38"/>
  <c r="U38"/>
  <c r="T38"/>
  <c r="S38"/>
  <c r="R38"/>
  <c r="Q38"/>
  <c r="P38"/>
  <c r="O38"/>
  <c r="N38"/>
  <c r="M38"/>
  <c r="L38"/>
  <c r="K38"/>
  <c r="J38"/>
  <c r="I38"/>
  <c r="H38"/>
  <c r="G38"/>
  <c r="F38"/>
  <c r="E38"/>
  <c r="D38"/>
  <c r="C38"/>
  <c r="B38"/>
  <c r="A38"/>
  <c r="IV37"/>
  <c r="IU37"/>
  <c r="IT37"/>
  <c r="IS37"/>
  <c r="IR37"/>
  <c r="IQ37"/>
  <c r="IP37"/>
  <c r="IO37"/>
  <c r="IN37"/>
  <c r="IM37"/>
  <c r="IL37"/>
  <c r="IK37"/>
  <c r="IJ37"/>
  <c r="II37"/>
  <c r="IH37"/>
  <c r="IG37"/>
  <c r="IF37"/>
  <c r="IE37"/>
  <c r="ID37"/>
  <c r="IC37"/>
  <c r="IB37"/>
  <c r="IA37"/>
  <c r="HZ37"/>
  <c r="HY37"/>
  <c r="HX37"/>
  <c r="HW37"/>
  <c r="HV37"/>
  <c r="HU37"/>
  <c r="HT37"/>
  <c r="HS37"/>
  <c r="HR37"/>
  <c r="HQ37"/>
  <c r="HP37"/>
  <c r="HO37"/>
  <c r="HN37"/>
  <c r="HM37"/>
  <c r="HL37"/>
  <c r="HK37"/>
  <c r="HJ37"/>
  <c r="HI37"/>
  <c r="HH37"/>
  <c r="HG37"/>
  <c r="HF37"/>
  <c r="HE37"/>
  <c r="HD37"/>
  <c r="HC37"/>
  <c r="HB37"/>
  <c r="HA37"/>
  <c r="GZ37"/>
  <c r="GY37"/>
  <c r="GX37"/>
  <c r="GW37"/>
  <c r="GV37"/>
  <c r="GU37"/>
  <c r="GT37"/>
  <c r="GS37"/>
  <c r="GR37"/>
  <c r="GQ37"/>
  <c r="GP37"/>
  <c r="GO37"/>
  <c r="GN37"/>
  <c r="GM37"/>
  <c r="GL37"/>
  <c r="GK37"/>
  <c r="GJ37"/>
  <c r="GI37"/>
  <c r="GH37"/>
  <c r="GG37"/>
  <c r="GF37"/>
  <c r="GE37"/>
  <c r="GD37"/>
  <c r="GC37"/>
  <c r="GB37"/>
  <c r="GA37"/>
  <c r="FZ37"/>
  <c r="FY37"/>
  <c r="FX37"/>
  <c r="FW37"/>
  <c r="FV37"/>
  <c r="FU37"/>
  <c r="FT37"/>
  <c r="FS37"/>
  <c r="FR37"/>
  <c r="FQ37"/>
  <c r="FP37"/>
  <c r="FO37"/>
  <c r="FN37"/>
  <c r="FM37"/>
  <c r="FL37"/>
  <c r="FK37"/>
  <c r="FJ37"/>
  <c r="FI37"/>
  <c r="FH37"/>
  <c r="FG37"/>
  <c r="FF37"/>
  <c r="FE37"/>
  <c r="FD37"/>
  <c r="FC37"/>
  <c r="FB37"/>
  <c r="FA37"/>
  <c r="EZ37"/>
  <c r="EY37"/>
  <c r="EX37"/>
  <c r="EW37"/>
  <c r="EV37"/>
  <c r="EU37"/>
  <c r="ET37"/>
  <c r="ES37"/>
  <c r="ER37"/>
  <c r="EQ37"/>
  <c r="EP37"/>
  <c r="EO37"/>
  <c r="EN37"/>
  <c r="EM37"/>
  <c r="EL37"/>
  <c r="EK37"/>
  <c r="EJ37"/>
  <c r="EI37"/>
  <c r="EH37"/>
  <c r="EG37"/>
  <c r="EF37"/>
  <c r="EE37"/>
  <c r="ED37"/>
  <c r="EC37"/>
  <c r="EB37"/>
  <c r="EA37"/>
  <c r="DZ37"/>
  <c r="DY37"/>
  <c r="DX37"/>
  <c r="DW37"/>
  <c r="DV37"/>
  <c r="DU37"/>
  <c r="DT37"/>
  <c r="DS37"/>
  <c r="DR37"/>
  <c r="DQ37"/>
  <c r="DP37"/>
  <c r="DO37"/>
  <c r="DN37"/>
  <c r="DM37"/>
  <c r="DL37"/>
  <c r="DK37"/>
  <c r="DJ37"/>
  <c r="DI37"/>
  <c r="DH37"/>
  <c r="DG37"/>
  <c r="DF37"/>
  <c r="DE37"/>
  <c r="DD37"/>
  <c r="DC37"/>
  <c r="DB37"/>
  <c r="DA37"/>
  <c r="CZ37"/>
  <c r="CY37"/>
  <c r="CX37"/>
  <c r="CW37"/>
  <c r="CV37"/>
  <c r="CU37"/>
  <c r="CT37"/>
  <c r="CS37"/>
  <c r="CR37"/>
  <c r="CQ37"/>
  <c r="CP37"/>
  <c r="CO37"/>
  <c r="CN37"/>
  <c r="CM37"/>
  <c r="CL37"/>
  <c r="CK37"/>
  <c r="CJ37"/>
  <c r="CI37"/>
  <c r="CH37"/>
  <c r="CG37"/>
  <c r="CF37"/>
  <c r="CE37"/>
  <c r="CD37"/>
  <c r="CC37"/>
  <c r="CB37"/>
  <c r="CA37"/>
  <c r="BZ37"/>
  <c r="BY37"/>
  <c r="BX37"/>
  <c r="BW37"/>
  <c r="BV37"/>
  <c r="BU37"/>
  <c r="BT37"/>
  <c r="BS37"/>
  <c r="BR37"/>
  <c r="BQ37"/>
  <c r="BP37"/>
  <c r="BO37"/>
  <c r="BN37"/>
  <c r="BM37"/>
  <c r="BL37"/>
  <c r="BK37"/>
  <c r="BJ37"/>
  <c r="BI37"/>
  <c r="BH37"/>
  <c r="BG37"/>
  <c r="BF37"/>
  <c r="BE37"/>
  <c r="BD37"/>
  <c r="BC37"/>
  <c r="BB37"/>
  <c r="BA37"/>
  <c r="AZ37"/>
  <c r="AY37"/>
  <c r="AX37"/>
  <c r="AW37"/>
  <c r="AV37"/>
  <c r="AU37"/>
  <c r="AT37"/>
  <c r="AS37"/>
  <c r="AR37"/>
  <c r="AQ37"/>
  <c r="AP37"/>
  <c r="AO37"/>
  <c r="AN37"/>
  <c r="AM37"/>
  <c r="AL37"/>
  <c r="AK37"/>
  <c r="AJ37"/>
  <c r="AI37"/>
  <c r="AH37"/>
  <c r="AG37"/>
  <c r="AF37"/>
  <c r="AE37"/>
  <c r="AD37"/>
  <c r="AC37"/>
  <c r="AB37"/>
  <c r="AA37"/>
  <c r="Z37"/>
  <c r="Y37"/>
  <c r="X37"/>
  <c r="W37"/>
  <c r="V37"/>
  <c r="U37"/>
  <c r="T37"/>
  <c r="S37"/>
  <c r="R37"/>
  <c r="Q37"/>
  <c r="P37"/>
  <c r="O37"/>
  <c r="N37"/>
  <c r="M37"/>
  <c r="L37"/>
  <c r="K37"/>
  <c r="J37"/>
  <c r="I37"/>
  <c r="H37"/>
  <c r="G37"/>
  <c r="F37"/>
  <c r="E37"/>
  <c r="D37"/>
  <c r="C37"/>
  <c r="B37"/>
  <c r="A37"/>
  <c r="IV36"/>
  <c r="IU36"/>
  <c r="IT36"/>
  <c r="IS36"/>
  <c r="IR36"/>
  <c r="IQ36"/>
  <c r="IP36"/>
  <c r="IO36"/>
  <c r="IN36"/>
  <c r="IM36"/>
  <c r="IL36"/>
  <c r="IK36"/>
  <c r="IJ36"/>
  <c r="II36"/>
  <c r="IH36"/>
  <c r="IG36"/>
  <c r="IF36"/>
  <c r="IE36"/>
  <c r="ID36"/>
  <c r="IC36"/>
  <c r="IB36"/>
  <c r="IA36"/>
  <c r="HZ36"/>
  <c r="HY36"/>
  <c r="HX36"/>
  <c r="HW36"/>
  <c r="HV36"/>
  <c r="HU36"/>
  <c r="HT36"/>
  <c r="HS36"/>
  <c r="HR36"/>
  <c r="HQ36"/>
  <c r="HP36"/>
  <c r="HO36"/>
  <c r="HN36"/>
  <c r="HM36"/>
  <c r="HL36"/>
  <c r="HK36"/>
  <c r="HJ36"/>
  <c r="HI36"/>
  <c r="HH36"/>
  <c r="HG36"/>
  <c r="HF36"/>
  <c r="HE36"/>
  <c r="HD36"/>
  <c r="HC36"/>
  <c r="HB36"/>
  <c r="HA36"/>
  <c r="GZ36"/>
  <c r="GY36"/>
  <c r="GX36"/>
  <c r="GW36"/>
  <c r="GV36"/>
  <c r="GU36"/>
  <c r="GT36"/>
  <c r="GS36"/>
  <c r="GR36"/>
  <c r="GQ36"/>
  <c r="GP36"/>
  <c r="GO36"/>
  <c r="GN36"/>
  <c r="GM36"/>
  <c r="GL36"/>
  <c r="GK36"/>
  <c r="GJ36"/>
  <c r="GI36"/>
  <c r="GH36"/>
  <c r="GG36"/>
  <c r="GF36"/>
  <c r="GE36"/>
  <c r="GD36"/>
  <c r="GC36"/>
  <c r="GB36"/>
  <c r="GA36"/>
  <c r="FZ36"/>
  <c r="FY36"/>
  <c r="FX36"/>
  <c r="FW36"/>
  <c r="FV36"/>
  <c r="FU36"/>
  <c r="FT36"/>
  <c r="FS36"/>
  <c r="FR36"/>
  <c r="FQ36"/>
  <c r="FP36"/>
  <c r="FO36"/>
  <c r="FN36"/>
  <c r="FM36"/>
  <c r="FL36"/>
  <c r="FK36"/>
  <c r="FJ36"/>
  <c r="FI36"/>
  <c r="FH36"/>
  <c r="FG36"/>
  <c r="FF36"/>
  <c r="FE36"/>
  <c r="FD36"/>
  <c r="FC36"/>
  <c r="FB36"/>
  <c r="FA36"/>
  <c r="EZ36"/>
  <c r="EY36"/>
  <c r="EX36"/>
  <c r="EW36"/>
  <c r="EV36"/>
  <c r="EU36"/>
  <c r="ET36"/>
  <c r="ES36"/>
  <c r="ER36"/>
  <c r="EQ36"/>
  <c r="EP36"/>
  <c r="EO36"/>
  <c r="EN36"/>
  <c r="EM36"/>
  <c r="EL36"/>
  <c r="EK36"/>
  <c r="EJ36"/>
  <c r="EI36"/>
  <c r="EH36"/>
  <c r="EG36"/>
  <c r="EF36"/>
  <c r="EE36"/>
  <c r="ED36"/>
  <c r="EC36"/>
  <c r="EB36"/>
  <c r="EA36"/>
  <c r="DZ36"/>
  <c r="DY36"/>
  <c r="DX36"/>
  <c r="DW36"/>
  <c r="DV36"/>
  <c r="DU36"/>
  <c r="DT36"/>
  <c r="DS36"/>
  <c r="DR36"/>
  <c r="DQ36"/>
  <c r="DP36"/>
  <c r="DO36"/>
  <c r="DN36"/>
  <c r="DM36"/>
  <c r="DL36"/>
  <c r="DK36"/>
  <c r="DJ36"/>
  <c r="DI36"/>
  <c r="DH36"/>
  <c r="DG36"/>
  <c r="DF36"/>
  <c r="DE36"/>
  <c r="DD36"/>
  <c r="DC36"/>
  <c r="DB36"/>
  <c r="DA36"/>
  <c r="CZ36"/>
  <c r="CY36"/>
  <c r="CX36"/>
  <c r="CW36"/>
  <c r="CV36"/>
  <c r="CU36"/>
  <c r="CT36"/>
  <c r="CS36"/>
  <c r="CR36"/>
  <c r="CQ36"/>
  <c r="CP36"/>
  <c r="CO36"/>
  <c r="CN36"/>
  <c r="CM36"/>
  <c r="CL36"/>
  <c r="CK36"/>
  <c r="CJ36"/>
  <c r="CI36"/>
  <c r="CH36"/>
  <c r="CG36"/>
  <c r="CF36"/>
  <c r="CE36"/>
  <c r="CD36"/>
  <c r="CC36"/>
  <c r="CB36"/>
  <c r="CA36"/>
  <c r="BZ36"/>
  <c r="BY36"/>
  <c r="BX36"/>
  <c r="BW36"/>
  <c r="BV36"/>
  <c r="BU36"/>
  <c r="BT36"/>
  <c r="BS36"/>
  <c r="BR36"/>
  <c r="BQ36"/>
  <c r="BP36"/>
  <c r="BO36"/>
  <c r="BN36"/>
  <c r="BM36"/>
  <c r="BL36"/>
  <c r="BK36"/>
  <c r="BJ36"/>
  <c r="BI36"/>
  <c r="BH36"/>
  <c r="BG36"/>
  <c r="BF36"/>
  <c r="BE36"/>
  <c r="BD36"/>
  <c r="BC36"/>
  <c r="BB36"/>
  <c r="BA36"/>
  <c r="AZ36"/>
  <c r="AY36"/>
  <c r="AX36"/>
  <c r="AW36"/>
  <c r="AV36"/>
  <c r="AU36"/>
  <c r="AT36"/>
  <c r="AS36"/>
  <c r="AR36"/>
  <c r="AQ36"/>
  <c r="AP36"/>
  <c r="AO36"/>
  <c r="AN36"/>
  <c r="AM36"/>
  <c r="AL36"/>
  <c r="AK36"/>
  <c r="AJ36"/>
  <c r="AI36"/>
  <c r="AH36"/>
  <c r="AG36"/>
  <c r="AF36"/>
  <c r="AE36"/>
  <c r="AD36"/>
  <c r="AC36"/>
  <c r="AB36"/>
  <c r="AA36"/>
  <c r="Z36"/>
  <c r="Y36"/>
  <c r="X36"/>
  <c r="W36"/>
  <c r="V36"/>
  <c r="U36"/>
  <c r="T36"/>
  <c r="S36"/>
  <c r="R36"/>
  <c r="Q36"/>
  <c r="P36"/>
  <c r="O36"/>
  <c r="N36"/>
  <c r="M36"/>
  <c r="L36"/>
  <c r="K36"/>
  <c r="J36"/>
  <c r="I36"/>
  <c r="H36"/>
  <c r="G36"/>
  <c r="F36"/>
  <c r="E36"/>
  <c r="D36"/>
  <c r="C36"/>
  <c r="B36"/>
  <c r="A36"/>
  <c r="IV35"/>
  <c r="IU35"/>
  <c r="IT35"/>
  <c r="IS35"/>
  <c r="IR35"/>
  <c r="IQ35"/>
  <c r="IP35"/>
  <c r="IO35"/>
  <c r="IN35"/>
  <c r="IM35"/>
  <c r="IL35"/>
  <c r="IK35"/>
  <c r="IJ35"/>
  <c r="II35"/>
  <c r="IH35"/>
  <c r="IG35"/>
  <c r="IF35"/>
  <c r="IE35"/>
  <c r="ID35"/>
  <c r="IC35"/>
  <c r="IB35"/>
  <c r="IA35"/>
  <c r="HZ35"/>
  <c r="HY35"/>
  <c r="HX35"/>
  <c r="HW35"/>
  <c r="HV35"/>
  <c r="HU35"/>
  <c r="HT35"/>
  <c r="HS35"/>
  <c r="HR35"/>
  <c r="HQ35"/>
  <c r="HP35"/>
  <c r="HO35"/>
  <c r="HN35"/>
  <c r="HM35"/>
  <c r="HL35"/>
  <c r="HK35"/>
  <c r="HJ35"/>
  <c r="HI35"/>
  <c r="HH35"/>
  <c r="HG35"/>
  <c r="HF35"/>
  <c r="HE35"/>
  <c r="HD35"/>
  <c r="HC35"/>
  <c r="HB35"/>
  <c r="HA35"/>
  <c r="GZ35"/>
  <c r="GY35"/>
  <c r="GX35"/>
  <c r="GW35"/>
  <c r="GV35"/>
  <c r="GU35"/>
  <c r="GT35"/>
  <c r="GS35"/>
  <c r="GR35"/>
  <c r="GQ35"/>
  <c r="GP35"/>
  <c r="GO35"/>
  <c r="GN35"/>
  <c r="GM35"/>
  <c r="GL35"/>
  <c r="GK35"/>
  <c r="GJ35"/>
  <c r="GI35"/>
  <c r="GH35"/>
  <c r="GG35"/>
  <c r="GF35"/>
  <c r="GE35"/>
  <c r="GD35"/>
  <c r="GC35"/>
  <c r="GB35"/>
  <c r="GA35"/>
  <c r="FZ35"/>
  <c r="FY35"/>
  <c r="FX35"/>
  <c r="FW35"/>
  <c r="FV35"/>
  <c r="FU35"/>
  <c r="FT35"/>
  <c r="FS35"/>
  <c r="FR35"/>
  <c r="FQ35"/>
  <c r="FP35"/>
  <c r="FO35"/>
  <c r="FN35"/>
  <c r="FM35"/>
  <c r="FL35"/>
  <c r="FK35"/>
  <c r="FJ35"/>
  <c r="FI35"/>
  <c r="FH35"/>
  <c r="FG35"/>
  <c r="FF35"/>
  <c r="FE35"/>
  <c r="FD35"/>
  <c r="FC35"/>
  <c r="FB35"/>
  <c r="FA35"/>
  <c r="EZ35"/>
  <c r="EY35"/>
  <c r="EX35"/>
  <c r="EW35"/>
  <c r="EV35"/>
  <c r="EU35"/>
  <c r="ET35"/>
  <c r="ES35"/>
  <c r="ER35"/>
  <c r="EQ35"/>
  <c r="EP35"/>
  <c r="EO35"/>
  <c r="EN35"/>
  <c r="EM35"/>
  <c r="EL35"/>
  <c r="EK35"/>
  <c r="EJ35"/>
  <c r="EI35"/>
  <c r="EH35"/>
  <c r="EG35"/>
  <c r="EF35"/>
  <c r="EE35"/>
  <c r="ED35"/>
  <c r="EC35"/>
  <c r="EB35"/>
  <c r="EA35"/>
  <c r="DZ35"/>
  <c r="DY35"/>
  <c r="DX35"/>
  <c r="DW35"/>
  <c r="DV35"/>
  <c r="DU35"/>
  <c r="DT35"/>
  <c r="DS35"/>
  <c r="DR35"/>
  <c r="DQ35"/>
  <c r="DP35"/>
  <c r="DO35"/>
  <c r="DN35"/>
  <c r="DM35"/>
  <c r="DL35"/>
  <c r="DK35"/>
  <c r="DJ35"/>
  <c r="DI35"/>
  <c r="DH35"/>
  <c r="DG35"/>
  <c r="DF35"/>
  <c r="DE35"/>
  <c r="DD35"/>
  <c r="DC35"/>
  <c r="DB35"/>
  <c r="DA35"/>
  <c r="CZ35"/>
  <c r="CY35"/>
  <c r="CX35"/>
  <c r="CW35"/>
  <c r="CV35"/>
  <c r="CU35"/>
  <c r="CT35"/>
  <c r="CS35"/>
  <c r="CR35"/>
  <c r="CQ35"/>
  <c r="CP35"/>
  <c r="CO35"/>
  <c r="CN35"/>
  <c r="CM35"/>
  <c r="CL35"/>
  <c r="CK35"/>
  <c r="CJ35"/>
  <c r="CI35"/>
  <c r="CH35"/>
  <c r="CG35"/>
  <c r="CF35"/>
  <c r="CE35"/>
  <c r="CD35"/>
  <c r="CC35"/>
  <c r="CB35"/>
  <c r="CA35"/>
  <c r="BZ35"/>
  <c r="BY35"/>
  <c r="BX35"/>
  <c r="BW35"/>
  <c r="BV35"/>
  <c r="BU35"/>
  <c r="BT35"/>
  <c r="BS35"/>
  <c r="BR35"/>
  <c r="BQ35"/>
  <c r="BP35"/>
  <c r="BO35"/>
  <c r="BN35"/>
  <c r="BM35"/>
  <c r="BL35"/>
  <c r="BK35"/>
  <c r="BJ35"/>
  <c r="BI35"/>
  <c r="BH35"/>
  <c r="BG35"/>
  <c r="BF35"/>
  <c r="BE35"/>
  <c r="BD35"/>
  <c r="BC35"/>
  <c r="BB35"/>
  <c r="BA35"/>
  <c r="AZ35"/>
  <c r="AY35"/>
  <c r="AX35"/>
  <c r="AW35"/>
  <c r="AV35"/>
  <c r="AU35"/>
  <c r="AT35"/>
  <c r="AS35"/>
  <c r="AR35"/>
  <c r="AQ35"/>
  <c r="AP35"/>
  <c r="AO35"/>
  <c r="AN35"/>
  <c r="AM35"/>
  <c r="AL35"/>
  <c r="AK35"/>
  <c r="AJ35"/>
  <c r="AI35"/>
  <c r="AH35"/>
  <c r="AG35"/>
  <c r="AF35"/>
  <c r="AE35"/>
  <c r="AD35"/>
  <c r="AC35"/>
  <c r="AB35"/>
  <c r="AA35"/>
  <c r="Z35"/>
  <c r="Y35"/>
  <c r="X35"/>
  <c r="W35"/>
  <c r="V35"/>
  <c r="U35"/>
  <c r="T35"/>
  <c r="S35"/>
  <c r="R35"/>
  <c r="Q35"/>
  <c r="P35"/>
  <c r="O35"/>
  <c r="N35"/>
  <c r="M35"/>
  <c r="L35"/>
  <c r="K35"/>
  <c r="J35"/>
  <c r="I35"/>
  <c r="H35"/>
  <c r="G35"/>
  <c r="F35"/>
  <c r="E35"/>
  <c r="D35"/>
  <c r="C35"/>
  <c r="B35"/>
  <c r="A35"/>
  <c r="IV34"/>
  <c r="IU34"/>
  <c r="IT34"/>
  <c r="IS34"/>
  <c r="IR34"/>
  <c r="IQ34"/>
  <c r="IP34"/>
  <c r="IO34"/>
  <c r="IN34"/>
  <c r="IM34"/>
  <c r="IL34"/>
  <c r="IK34"/>
  <c r="IJ34"/>
  <c r="II34"/>
  <c r="IH34"/>
  <c r="IG34"/>
  <c r="IF34"/>
  <c r="IE34"/>
  <c r="ID34"/>
  <c r="IC34"/>
  <c r="IB34"/>
  <c r="IA34"/>
  <c r="HZ34"/>
  <c r="HY34"/>
  <c r="HX34"/>
  <c r="HW34"/>
  <c r="HV34"/>
  <c r="HU34"/>
  <c r="HT34"/>
  <c r="HS34"/>
  <c r="HR34"/>
  <c r="HQ34"/>
  <c r="HP34"/>
  <c r="HO34"/>
  <c r="HN34"/>
  <c r="HM34"/>
  <c r="HL34"/>
  <c r="HK34"/>
  <c r="HJ34"/>
  <c r="HI34"/>
  <c r="HH34"/>
  <c r="HG34"/>
  <c r="HF34"/>
  <c r="HE34"/>
  <c r="HD34"/>
  <c r="HC34"/>
  <c r="HB34"/>
  <c r="HA34"/>
  <c r="GZ34"/>
  <c r="GY34"/>
  <c r="GX34"/>
  <c r="GW34"/>
  <c r="GV34"/>
  <c r="GU34"/>
  <c r="GT34"/>
  <c r="GS34"/>
  <c r="GR34"/>
  <c r="GQ34"/>
  <c r="GP34"/>
  <c r="GO34"/>
  <c r="GN34"/>
  <c r="GM34"/>
  <c r="GL34"/>
  <c r="GK34"/>
  <c r="GJ34"/>
  <c r="GI34"/>
  <c r="GH34"/>
  <c r="GG34"/>
  <c r="GF34"/>
  <c r="GE34"/>
  <c r="GD34"/>
  <c r="GC34"/>
  <c r="GB34"/>
  <c r="GA34"/>
  <c r="FZ34"/>
  <c r="FY34"/>
  <c r="FX34"/>
  <c r="FW34"/>
  <c r="FV34"/>
  <c r="FU34"/>
  <c r="FT34"/>
  <c r="FS34"/>
  <c r="FR34"/>
  <c r="FQ34"/>
  <c r="FP34"/>
  <c r="FO34"/>
  <c r="FN34"/>
  <c r="FM34"/>
  <c r="FL34"/>
  <c r="FK34"/>
  <c r="FJ34"/>
  <c r="FI34"/>
  <c r="FH34"/>
  <c r="FG34"/>
  <c r="FF34"/>
  <c r="FE34"/>
  <c r="FD34"/>
  <c r="FC34"/>
  <c r="FB34"/>
  <c r="FA34"/>
  <c r="EZ34"/>
  <c r="EY34"/>
  <c r="EX34"/>
  <c r="EW34"/>
  <c r="EV34"/>
  <c r="EU34"/>
  <c r="ET34"/>
  <c r="ES34"/>
  <c r="ER34"/>
  <c r="EQ34"/>
  <c r="EP34"/>
  <c r="EO34"/>
  <c r="EN34"/>
  <c r="EM34"/>
  <c r="EL34"/>
  <c r="EK34"/>
  <c r="EJ34"/>
  <c r="EI34"/>
  <c r="EH34"/>
  <c r="EG34"/>
  <c r="EF34"/>
  <c r="EE34"/>
  <c r="ED34"/>
  <c r="EC34"/>
  <c r="EB34"/>
  <c r="EA34"/>
  <c r="DZ34"/>
  <c r="DY34"/>
  <c r="DX34"/>
  <c r="DW34"/>
  <c r="DV34"/>
  <c r="DU34"/>
  <c r="DT34"/>
  <c r="DS34"/>
  <c r="DR34"/>
  <c r="DQ34"/>
  <c r="DP34"/>
  <c r="DO34"/>
  <c r="DN34"/>
  <c r="DM34"/>
  <c r="DL34"/>
  <c r="DK34"/>
  <c r="DJ34"/>
  <c r="DI34"/>
  <c r="DH34"/>
  <c r="DG34"/>
  <c r="DF34"/>
  <c r="DE34"/>
  <c r="DD34"/>
  <c r="DC34"/>
  <c r="DB34"/>
  <c r="DA34"/>
  <c r="CZ34"/>
  <c r="CY34"/>
  <c r="CX34"/>
  <c r="CW34"/>
  <c r="CV34"/>
  <c r="CU34"/>
  <c r="CT34"/>
  <c r="CS34"/>
  <c r="CR34"/>
  <c r="CQ34"/>
  <c r="CP34"/>
  <c r="CO34"/>
  <c r="CN34"/>
  <c r="CM34"/>
  <c r="CL34"/>
  <c r="CK34"/>
  <c r="CJ34"/>
  <c r="CI34"/>
  <c r="CH34"/>
  <c r="CG34"/>
  <c r="CF34"/>
  <c r="CE34"/>
  <c r="CD34"/>
  <c r="CC34"/>
  <c r="CB34"/>
  <c r="CA34"/>
  <c r="BZ34"/>
  <c r="BY34"/>
  <c r="BX34"/>
  <c r="BW34"/>
  <c r="BV34"/>
  <c r="BU34"/>
  <c r="BT34"/>
  <c r="BS34"/>
  <c r="BR34"/>
  <c r="BQ34"/>
  <c r="BP34"/>
  <c r="BO34"/>
  <c r="BN34"/>
  <c r="BM34"/>
  <c r="BL34"/>
  <c r="BK34"/>
  <c r="BJ34"/>
  <c r="BI34"/>
  <c r="BH34"/>
  <c r="BG34"/>
  <c r="BF34"/>
  <c r="BE34"/>
  <c r="BD34"/>
  <c r="BC34"/>
  <c r="BB34"/>
  <c r="BA34"/>
  <c r="AZ34"/>
  <c r="AY34"/>
  <c r="AX34"/>
  <c r="AW34"/>
  <c r="AV34"/>
  <c r="AU34"/>
  <c r="AT34"/>
  <c r="AS34"/>
  <c r="AR34"/>
  <c r="AQ34"/>
  <c r="AP34"/>
  <c r="AO34"/>
  <c r="AN34"/>
  <c r="AM34"/>
  <c r="AL34"/>
  <c r="AK34"/>
  <c r="AJ34"/>
  <c r="AI34"/>
  <c r="AH34"/>
  <c r="AG34"/>
  <c r="AF34"/>
  <c r="AE34"/>
  <c r="AD34"/>
  <c r="AC34"/>
  <c r="AB34"/>
  <c r="AA34"/>
  <c r="Z34"/>
  <c r="Y34"/>
  <c r="X34"/>
  <c r="W34"/>
  <c r="V34"/>
  <c r="U34"/>
  <c r="T34"/>
  <c r="S34"/>
  <c r="R34"/>
  <c r="Q34"/>
  <c r="P34"/>
  <c r="O34"/>
  <c r="N34"/>
  <c r="M34"/>
  <c r="L34"/>
  <c r="K34"/>
  <c r="J34"/>
  <c r="I34"/>
  <c r="H34"/>
  <c r="G34"/>
  <c r="F34"/>
  <c r="E34"/>
  <c r="D34"/>
  <c r="C34"/>
  <c r="B34"/>
  <c r="A34"/>
  <c r="IV33"/>
  <c r="IU33"/>
  <c r="IT33"/>
  <c r="IS33"/>
  <c r="IR33"/>
  <c r="IQ33"/>
  <c r="IP33"/>
  <c r="IO33"/>
  <c r="IN33"/>
  <c r="IM33"/>
  <c r="IL33"/>
  <c r="IK33"/>
  <c r="IJ33"/>
  <c r="II33"/>
  <c r="IH33"/>
  <c r="IG33"/>
  <c r="IF33"/>
  <c r="IE33"/>
  <c r="ID33"/>
  <c r="IC33"/>
  <c r="IB33"/>
  <c r="IA33"/>
  <c r="HZ33"/>
  <c r="HY33"/>
  <c r="HX33"/>
  <c r="HW33"/>
  <c r="HV33"/>
  <c r="HU33"/>
  <c r="HT33"/>
  <c r="HS33"/>
  <c r="HR33"/>
  <c r="HQ33"/>
  <c r="HP33"/>
  <c r="HO33"/>
  <c r="HN33"/>
  <c r="HM33"/>
  <c r="HL33"/>
  <c r="HK33"/>
  <c r="HJ33"/>
  <c r="HI33"/>
  <c r="HH33"/>
  <c r="HG33"/>
  <c r="HF33"/>
  <c r="HE33"/>
  <c r="HD33"/>
  <c r="HC33"/>
  <c r="HB33"/>
  <c r="HA33"/>
  <c r="GZ33"/>
  <c r="GY33"/>
  <c r="GX33"/>
  <c r="GW33"/>
  <c r="GV33"/>
  <c r="GU33"/>
  <c r="GT33"/>
  <c r="GS33"/>
  <c r="GR33"/>
  <c r="GQ33"/>
  <c r="GP33"/>
  <c r="GO33"/>
  <c r="GN33"/>
  <c r="GM33"/>
  <c r="GL33"/>
  <c r="GK33"/>
  <c r="GJ33"/>
  <c r="GI33"/>
  <c r="GH33"/>
  <c r="GG33"/>
  <c r="GF33"/>
  <c r="GE33"/>
  <c r="GD33"/>
  <c r="GC33"/>
  <c r="GB33"/>
  <c r="GA33"/>
  <c r="FZ33"/>
  <c r="FY33"/>
  <c r="FX33"/>
  <c r="FW33"/>
  <c r="FV33"/>
  <c r="FU33"/>
  <c r="FT33"/>
  <c r="FS33"/>
  <c r="FR33"/>
  <c r="FQ33"/>
  <c r="FP33"/>
  <c r="FO33"/>
  <c r="FN33"/>
  <c r="FM33"/>
  <c r="FL33"/>
  <c r="FK33"/>
  <c r="FJ33"/>
  <c r="FI33"/>
  <c r="FH33"/>
  <c r="FG33"/>
  <c r="FF33"/>
  <c r="FE33"/>
  <c r="FD33"/>
  <c r="FC33"/>
  <c r="FB33"/>
  <c r="FA33"/>
  <c r="EZ33"/>
  <c r="EY33"/>
  <c r="EX33"/>
  <c r="EW33"/>
  <c r="EV33"/>
  <c r="EU33"/>
  <c r="ET33"/>
  <c r="ES33"/>
  <c r="ER33"/>
  <c r="EQ33"/>
  <c r="EP33"/>
  <c r="EO33"/>
  <c r="EN33"/>
  <c r="EM33"/>
  <c r="EL33"/>
  <c r="EK33"/>
  <c r="EJ33"/>
  <c r="EI33"/>
  <c r="EH33"/>
  <c r="EG33"/>
  <c r="EF33"/>
  <c r="EE33"/>
  <c r="ED33"/>
  <c r="EC33"/>
  <c r="EB33"/>
  <c r="EA33"/>
  <c r="DZ33"/>
  <c r="DY33"/>
  <c r="DX33"/>
  <c r="DW33"/>
  <c r="DV33"/>
  <c r="DU33"/>
  <c r="DT33"/>
  <c r="DS33"/>
  <c r="DR33"/>
  <c r="DQ33"/>
  <c r="DP33"/>
  <c r="DO33"/>
  <c r="DN33"/>
  <c r="DM33"/>
  <c r="DL33"/>
  <c r="DK33"/>
  <c r="DJ33"/>
  <c r="DI33"/>
  <c r="DH33"/>
  <c r="DG33"/>
  <c r="DF33"/>
  <c r="DE33"/>
  <c r="DD33"/>
  <c r="DC33"/>
  <c r="DB33"/>
  <c r="DA33"/>
  <c r="CZ33"/>
  <c r="CY33"/>
  <c r="CX33"/>
  <c r="CW33"/>
  <c r="CV33"/>
  <c r="CU33"/>
  <c r="CT33"/>
  <c r="CS33"/>
  <c r="CR33"/>
  <c r="CQ33"/>
  <c r="CP33"/>
  <c r="CO33"/>
  <c r="CN33"/>
  <c r="CM33"/>
  <c r="CL33"/>
  <c r="CK33"/>
  <c r="CJ33"/>
  <c r="CI33"/>
  <c r="CH33"/>
  <c r="CG33"/>
  <c r="CF33"/>
  <c r="CE33"/>
  <c r="CD33"/>
  <c r="CC33"/>
  <c r="CB33"/>
  <c r="CA33"/>
  <c r="BZ33"/>
  <c r="BY33"/>
  <c r="BX33"/>
  <c r="BW33"/>
  <c r="BV33"/>
  <c r="BU33"/>
  <c r="BT33"/>
  <c r="BS33"/>
  <c r="BR33"/>
  <c r="BQ33"/>
  <c r="BP33"/>
  <c r="BO33"/>
  <c r="BN33"/>
  <c r="BM33"/>
  <c r="BL33"/>
  <c r="BK33"/>
  <c r="BJ33"/>
  <c r="BI33"/>
  <c r="BH33"/>
  <c r="BG33"/>
  <c r="BF33"/>
  <c r="BE33"/>
  <c r="BD33"/>
  <c r="BC33"/>
  <c r="BB33"/>
  <c r="BA33"/>
  <c r="AZ33"/>
  <c r="AY33"/>
  <c r="AX33"/>
  <c r="AW33"/>
  <c r="AV33"/>
  <c r="AU33"/>
  <c r="AT33"/>
  <c r="AS33"/>
  <c r="AR33"/>
  <c r="AQ33"/>
  <c r="AP33"/>
  <c r="AO33"/>
  <c r="AN33"/>
  <c r="AM33"/>
  <c r="AL33"/>
  <c r="AK33"/>
  <c r="AJ33"/>
  <c r="AI33"/>
  <c r="AH33"/>
  <c r="AG33"/>
  <c r="AF33"/>
  <c r="AE33"/>
  <c r="AD33"/>
  <c r="AC33"/>
  <c r="AB33"/>
  <c r="AA33"/>
  <c r="Z33"/>
  <c r="Y33"/>
  <c r="X33"/>
  <c r="W33"/>
  <c r="V33"/>
  <c r="U33"/>
  <c r="T33"/>
  <c r="S33"/>
  <c r="R33"/>
  <c r="Q33"/>
  <c r="P33"/>
  <c r="O33"/>
  <c r="N33"/>
  <c r="M33"/>
  <c r="L33"/>
  <c r="K33"/>
  <c r="J33"/>
  <c r="I33"/>
  <c r="H33"/>
  <c r="G33"/>
  <c r="F33"/>
  <c r="E33"/>
  <c r="D33"/>
  <c r="C33"/>
  <c r="B33"/>
  <c r="A33"/>
  <c r="IV32"/>
  <c r="IU32"/>
  <c r="IT32"/>
  <c r="IS32"/>
  <c r="IR32"/>
  <c r="IQ32"/>
  <c r="IP32"/>
  <c r="IO32"/>
  <c r="IN32"/>
  <c r="IM32"/>
  <c r="IL32"/>
  <c r="IK32"/>
  <c r="IJ32"/>
  <c r="II32"/>
  <c r="IH32"/>
  <c r="IG32"/>
  <c r="IF32"/>
  <c r="IE32"/>
  <c r="ID32"/>
  <c r="IC32"/>
  <c r="IB32"/>
  <c r="IA32"/>
  <c r="HZ32"/>
  <c r="HY32"/>
  <c r="HX32"/>
  <c r="HW32"/>
  <c r="HV32"/>
  <c r="HU32"/>
  <c r="HT32"/>
  <c r="HS32"/>
  <c r="HR32"/>
  <c r="HQ32"/>
  <c r="HP32"/>
  <c r="HO32"/>
  <c r="HN32"/>
  <c r="HM32"/>
  <c r="HL32"/>
  <c r="HK32"/>
  <c r="HJ32"/>
  <c r="HI32"/>
  <c r="HH32"/>
  <c r="HG32"/>
  <c r="HF32"/>
  <c r="HE32"/>
  <c r="HD32"/>
  <c r="HC32"/>
  <c r="HB32"/>
  <c r="HA32"/>
  <c r="GZ32"/>
  <c r="GY32"/>
  <c r="GX32"/>
  <c r="GW32"/>
  <c r="GV32"/>
  <c r="GU32"/>
  <c r="GT32"/>
  <c r="GS32"/>
  <c r="GR32"/>
  <c r="GQ32"/>
  <c r="GP32"/>
  <c r="GO32"/>
  <c r="GN32"/>
  <c r="GM32"/>
  <c r="GL32"/>
  <c r="GK32"/>
  <c r="GJ32"/>
  <c r="GI32"/>
  <c r="GH32"/>
  <c r="GG32"/>
  <c r="GF32"/>
  <c r="GE32"/>
  <c r="GD32"/>
  <c r="GC32"/>
  <c r="GB32"/>
  <c r="GA32"/>
  <c r="FZ32"/>
  <c r="FY32"/>
  <c r="FX32"/>
  <c r="FW32"/>
  <c r="FV32"/>
  <c r="FU32"/>
  <c r="FT32"/>
  <c r="FS32"/>
  <c r="FR32"/>
  <c r="FQ32"/>
  <c r="FP32"/>
  <c r="FO32"/>
  <c r="FN32"/>
  <c r="FM32"/>
  <c r="FL32"/>
  <c r="FK32"/>
  <c r="FJ32"/>
  <c r="FI32"/>
  <c r="FH32"/>
  <c r="FG32"/>
  <c r="FF32"/>
  <c r="FE32"/>
  <c r="FD32"/>
  <c r="FC32"/>
  <c r="FB32"/>
  <c r="FA32"/>
  <c r="EZ32"/>
  <c r="EY32"/>
  <c r="EX32"/>
  <c r="EW32"/>
  <c r="EV32"/>
  <c r="EU32"/>
  <c r="ET32"/>
  <c r="ES32"/>
  <c r="ER32"/>
  <c r="EQ32"/>
  <c r="EP32"/>
  <c r="EO32"/>
  <c r="EN32"/>
  <c r="EM32"/>
  <c r="EL32"/>
  <c r="EK32"/>
  <c r="EJ32"/>
  <c r="EI32"/>
  <c r="EH32"/>
  <c r="EG32"/>
  <c r="EF32"/>
  <c r="EE32"/>
  <c r="ED32"/>
  <c r="EC32"/>
  <c r="EB32"/>
  <c r="EA32"/>
  <c r="DZ32"/>
  <c r="DY32"/>
  <c r="DX32"/>
  <c r="DW32"/>
  <c r="DV32"/>
  <c r="DU32"/>
  <c r="DT32"/>
  <c r="DS32"/>
  <c r="DR32"/>
  <c r="DQ32"/>
  <c r="DP32"/>
  <c r="DO32"/>
  <c r="DN32"/>
  <c r="DM32"/>
  <c r="DL32"/>
  <c r="DK32"/>
  <c r="DJ32"/>
  <c r="DI32"/>
  <c r="DH32"/>
  <c r="DG32"/>
  <c r="DF32"/>
  <c r="DE32"/>
  <c r="DD32"/>
  <c r="DC32"/>
  <c r="DB32"/>
  <c r="DA32"/>
  <c r="CZ32"/>
  <c r="CY32"/>
  <c r="CX32"/>
  <c r="CW32"/>
  <c r="CV32"/>
  <c r="CU32"/>
  <c r="CT32"/>
  <c r="CS32"/>
  <c r="CR32"/>
  <c r="CQ32"/>
  <c r="CP32"/>
  <c r="CO32"/>
  <c r="CN32"/>
  <c r="CM32"/>
  <c r="CL32"/>
  <c r="CK32"/>
  <c r="CJ32"/>
  <c r="CI32"/>
  <c r="CH32"/>
  <c r="CG32"/>
  <c r="CF32"/>
  <c r="CE32"/>
  <c r="CD32"/>
  <c r="CC32"/>
  <c r="CB32"/>
  <c r="CA32"/>
  <c r="BZ32"/>
  <c r="BY32"/>
  <c r="BX32"/>
  <c r="BW32"/>
  <c r="BV32"/>
  <c r="BU32"/>
  <c r="BT32"/>
  <c r="BS32"/>
  <c r="BR32"/>
  <c r="BQ32"/>
  <c r="BP32"/>
  <c r="BO32"/>
  <c r="BN32"/>
  <c r="BM32"/>
  <c r="BL32"/>
  <c r="BK32"/>
  <c r="BJ32"/>
  <c r="BI32"/>
  <c r="BH32"/>
  <c r="BG32"/>
  <c r="BF32"/>
  <c r="BE32"/>
  <c r="BD32"/>
  <c r="BC32"/>
  <c r="BB32"/>
  <c r="BA32"/>
  <c r="AZ32"/>
  <c r="AY32"/>
  <c r="AX32"/>
  <c r="AW32"/>
  <c r="AV32"/>
  <c r="AU32"/>
  <c r="AT32"/>
  <c r="AS32"/>
  <c r="AR32"/>
  <c r="AQ32"/>
  <c r="AP32"/>
  <c r="AO32"/>
  <c r="AN32"/>
  <c r="AM32"/>
  <c r="AL32"/>
  <c r="AK32"/>
  <c r="AJ32"/>
  <c r="AI32"/>
  <c r="AH32"/>
  <c r="AG32"/>
  <c r="AF32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B32"/>
  <c r="A32"/>
  <c r="IV31"/>
  <c r="IU31"/>
  <c r="IT31"/>
  <c r="IS31"/>
  <c r="IR31"/>
  <c r="IQ31"/>
  <c r="IP31"/>
  <c r="IO31"/>
  <c r="IN31"/>
  <c r="IM31"/>
  <c r="IL31"/>
  <c r="IK31"/>
  <c r="IJ31"/>
  <c r="II31"/>
  <c r="IH31"/>
  <c r="IG31"/>
  <c r="IF31"/>
  <c r="IE31"/>
  <c r="ID31"/>
  <c r="IC31"/>
  <c r="IB31"/>
  <c r="IA31"/>
  <c r="HZ31"/>
  <c r="HY31"/>
  <c r="HX31"/>
  <c r="HW31"/>
  <c r="HV31"/>
  <c r="HU31"/>
  <c r="HT31"/>
  <c r="HS31"/>
  <c r="HR31"/>
  <c r="HQ31"/>
  <c r="HP31"/>
  <c r="HO31"/>
  <c r="HN31"/>
  <c r="HM31"/>
  <c r="HL31"/>
  <c r="HK31"/>
  <c r="HJ31"/>
  <c r="HI31"/>
  <c r="HH31"/>
  <c r="HG31"/>
  <c r="HF31"/>
  <c r="HE31"/>
  <c r="HD31"/>
  <c r="HC31"/>
  <c r="HB31"/>
  <c r="HA31"/>
  <c r="GZ31"/>
  <c r="GY31"/>
  <c r="GX31"/>
  <c r="GW31"/>
  <c r="GV31"/>
  <c r="GU31"/>
  <c r="GT31"/>
  <c r="GS31"/>
  <c r="GR31"/>
  <c r="GQ31"/>
  <c r="GP31"/>
  <c r="GO31"/>
  <c r="GN31"/>
  <c r="GM31"/>
  <c r="GL31"/>
  <c r="GK31"/>
  <c r="GJ31"/>
  <c r="GI31"/>
  <c r="GH31"/>
  <c r="GG31"/>
  <c r="GF31"/>
  <c r="GE31"/>
  <c r="GD31"/>
  <c r="GC31"/>
  <c r="GB31"/>
  <c r="GA31"/>
  <c r="FZ31"/>
  <c r="FY31"/>
  <c r="FX31"/>
  <c r="FW31"/>
  <c r="FV31"/>
  <c r="FU31"/>
  <c r="FT31"/>
  <c r="FS31"/>
  <c r="FR31"/>
  <c r="FQ31"/>
  <c r="FP31"/>
  <c r="FO31"/>
  <c r="FN31"/>
  <c r="FM31"/>
  <c r="FL31"/>
  <c r="FK31"/>
  <c r="FJ31"/>
  <c r="FI31"/>
  <c r="FH31"/>
  <c r="FG31"/>
  <c r="FF31"/>
  <c r="FE31"/>
  <c r="FD31"/>
  <c r="FC31"/>
  <c r="FB31"/>
  <c r="FA31"/>
  <c r="EZ31"/>
  <c r="EY31"/>
  <c r="EX31"/>
  <c r="EW31"/>
  <c r="EV31"/>
  <c r="EU31"/>
  <c r="ET31"/>
  <c r="ES31"/>
  <c r="ER31"/>
  <c r="EQ31"/>
  <c r="EP31"/>
  <c r="EO31"/>
  <c r="EN31"/>
  <c r="EM31"/>
  <c r="EL31"/>
  <c r="EK31"/>
  <c r="EJ31"/>
  <c r="EI31"/>
  <c r="EH31"/>
  <c r="EG31"/>
  <c r="EF31"/>
  <c r="EE31"/>
  <c r="ED31"/>
  <c r="EC31"/>
  <c r="EB31"/>
  <c r="EA31"/>
  <c r="DZ31"/>
  <c r="DY31"/>
  <c r="DX31"/>
  <c r="DW31"/>
  <c r="DV31"/>
  <c r="DU31"/>
  <c r="DT31"/>
  <c r="DS31"/>
  <c r="DR31"/>
  <c r="DQ31"/>
  <c r="DP31"/>
  <c r="DO31"/>
  <c r="DN31"/>
  <c r="DM31"/>
  <c r="DL31"/>
  <c r="DK31"/>
  <c r="DJ31"/>
  <c r="DI31"/>
  <c r="DH31"/>
  <c r="DG31"/>
  <c r="DF31"/>
  <c r="DE31"/>
  <c r="DD31"/>
  <c r="DC31"/>
  <c r="DB31"/>
  <c r="DA31"/>
  <c r="CZ31"/>
  <c r="CY31"/>
  <c r="CX31"/>
  <c r="CW31"/>
  <c r="CV31"/>
  <c r="CU31"/>
  <c r="CT31"/>
  <c r="CS31"/>
  <c r="CR31"/>
  <c r="CQ31"/>
  <c r="CP31"/>
  <c r="CO31"/>
  <c r="CN31"/>
  <c r="CM31"/>
  <c r="CL31"/>
  <c r="CK31"/>
  <c r="CJ31"/>
  <c r="CI31"/>
  <c r="CH31"/>
  <c r="CG31"/>
  <c r="CF31"/>
  <c r="CE31"/>
  <c r="CD31"/>
  <c r="CC31"/>
  <c r="CB31"/>
  <c r="CA31"/>
  <c r="BZ31"/>
  <c r="BY31"/>
  <c r="BX31"/>
  <c r="BW31"/>
  <c r="BV31"/>
  <c r="BU31"/>
  <c r="BT31"/>
  <c r="BS31"/>
  <c r="BR31"/>
  <c r="BQ31"/>
  <c r="BP31"/>
  <c r="BO31"/>
  <c r="BN31"/>
  <c r="BM31"/>
  <c r="BL31"/>
  <c r="BK31"/>
  <c r="BJ31"/>
  <c r="BI31"/>
  <c r="BH31"/>
  <c r="BG31"/>
  <c r="BF31"/>
  <c r="BE31"/>
  <c r="BD31"/>
  <c r="BC31"/>
  <c r="BB31"/>
  <c r="BA31"/>
  <c r="AZ31"/>
  <c r="AY31"/>
  <c r="AX31"/>
  <c r="AW31"/>
  <c r="AV31"/>
  <c r="AU31"/>
  <c r="AT31"/>
  <c r="AS31"/>
  <c r="AR31"/>
  <c r="AQ31"/>
  <c r="AP31"/>
  <c r="AO31"/>
  <c r="AN31"/>
  <c r="AM31"/>
  <c r="AL31"/>
  <c r="AK31"/>
  <c r="AJ31"/>
  <c r="AI31"/>
  <c r="AH31"/>
  <c r="AG31"/>
  <c r="AF31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B31"/>
  <c r="A31"/>
  <c r="IV30"/>
  <c r="IU30"/>
  <c r="IT30"/>
  <c r="IS30"/>
  <c r="IR30"/>
  <c r="IQ30"/>
  <c r="IP30"/>
  <c r="IO30"/>
  <c r="IN30"/>
  <c r="IM30"/>
  <c r="IL30"/>
  <c r="IK30"/>
  <c r="IJ30"/>
  <c r="II30"/>
  <c r="IH30"/>
  <c r="IG30"/>
  <c r="IF30"/>
  <c r="IE30"/>
  <c r="ID30"/>
  <c r="IC30"/>
  <c r="IB30"/>
  <c r="IA30"/>
  <c r="HZ30"/>
  <c r="HY30"/>
  <c r="HX30"/>
  <c r="HW30"/>
  <c r="HV30"/>
  <c r="HU30"/>
  <c r="HT30"/>
  <c r="HS30"/>
  <c r="HR30"/>
  <c r="HQ30"/>
  <c r="HP30"/>
  <c r="HO30"/>
  <c r="HN30"/>
  <c r="HM30"/>
  <c r="HL30"/>
  <c r="HK30"/>
  <c r="HJ30"/>
  <c r="HI30"/>
  <c r="HH30"/>
  <c r="HG30"/>
  <c r="HF30"/>
  <c r="HE30"/>
  <c r="HD30"/>
  <c r="HC30"/>
  <c r="HB30"/>
  <c r="HA30"/>
  <c r="GZ30"/>
  <c r="GY30"/>
  <c r="GX30"/>
  <c r="GW30"/>
  <c r="GV30"/>
  <c r="GU30"/>
  <c r="GT30"/>
  <c r="GS30"/>
  <c r="GR30"/>
  <c r="GQ30"/>
  <c r="GP30"/>
  <c r="GO30"/>
  <c r="GN30"/>
  <c r="GM30"/>
  <c r="GL30"/>
  <c r="GK30"/>
  <c r="GJ30"/>
  <c r="GI30"/>
  <c r="GH30"/>
  <c r="GG30"/>
  <c r="GF30"/>
  <c r="GE30"/>
  <c r="GD30"/>
  <c r="GC30"/>
  <c r="GB30"/>
  <c r="GA30"/>
  <c r="FZ30"/>
  <c r="FY30"/>
  <c r="FX30"/>
  <c r="FW30"/>
  <c r="FV30"/>
  <c r="FU30"/>
  <c r="FT30"/>
  <c r="FS30"/>
  <c r="FR30"/>
  <c r="FQ30"/>
  <c r="FP30"/>
  <c r="FO30"/>
  <c r="FN30"/>
  <c r="FM30"/>
  <c r="FL30"/>
  <c r="FK30"/>
  <c r="FJ30"/>
  <c r="FI30"/>
  <c r="FH30"/>
  <c r="FG30"/>
  <c r="FF30"/>
  <c r="FE30"/>
  <c r="FD30"/>
  <c r="FC30"/>
  <c r="FB30"/>
  <c r="FA30"/>
  <c r="EZ30"/>
  <c r="EY30"/>
  <c r="EX30"/>
  <c r="EW30"/>
  <c r="EV30"/>
  <c r="EU30"/>
  <c r="ET30"/>
  <c r="ES30"/>
  <c r="ER30"/>
  <c r="EQ30"/>
  <c r="EP30"/>
  <c r="EO30"/>
  <c r="EN30"/>
  <c r="EM30"/>
  <c r="EL30"/>
  <c r="EK30"/>
  <c r="EJ30"/>
  <c r="EI30"/>
  <c r="EH30"/>
  <c r="EG30"/>
  <c r="EF30"/>
  <c r="EE30"/>
  <c r="ED30"/>
  <c r="EC30"/>
  <c r="EB30"/>
  <c r="EA30"/>
  <c r="DZ30"/>
  <c r="DY30"/>
  <c r="DX30"/>
  <c r="DW30"/>
  <c r="DV30"/>
  <c r="DU30"/>
  <c r="DT30"/>
  <c r="DS30"/>
  <c r="DR30"/>
  <c r="DQ30"/>
  <c r="DP30"/>
  <c r="DO30"/>
  <c r="DN30"/>
  <c r="DM30"/>
  <c r="DL30"/>
  <c r="DK30"/>
  <c r="DJ30"/>
  <c r="DI30"/>
  <c r="DH30"/>
  <c r="DG30"/>
  <c r="DF30"/>
  <c r="DE30"/>
  <c r="DD30"/>
  <c r="DC30"/>
  <c r="DB30"/>
  <c r="DA30"/>
  <c r="CZ30"/>
  <c r="CY30"/>
  <c r="CX30"/>
  <c r="CW30"/>
  <c r="CV30"/>
  <c r="CU30"/>
  <c r="CT30"/>
  <c r="CS30"/>
  <c r="CR30"/>
  <c r="CQ30"/>
  <c r="CP30"/>
  <c r="CO30"/>
  <c r="CN30"/>
  <c r="CM30"/>
  <c r="CL30"/>
  <c r="CK30"/>
  <c r="CJ30"/>
  <c r="CI30"/>
  <c r="CH30"/>
  <c r="CG30"/>
  <c r="CF30"/>
  <c r="CE30"/>
  <c r="CD30"/>
  <c r="CC30"/>
  <c r="CB30"/>
  <c r="CA30"/>
  <c r="BZ30"/>
  <c r="BY30"/>
  <c r="BX30"/>
  <c r="BW30"/>
  <c r="BV30"/>
  <c r="BU30"/>
  <c r="BT30"/>
  <c r="BS30"/>
  <c r="BR30"/>
  <c r="BQ30"/>
  <c r="BP30"/>
  <c r="BO30"/>
  <c r="BN30"/>
  <c r="BM30"/>
  <c r="BL30"/>
  <c r="BK30"/>
  <c r="BJ30"/>
  <c r="BI30"/>
  <c r="BH30"/>
  <c r="BG30"/>
  <c r="BF30"/>
  <c r="BE30"/>
  <c r="BD30"/>
  <c r="BC30"/>
  <c r="BB30"/>
  <c r="BA30"/>
  <c r="AZ30"/>
  <c r="AY30"/>
  <c r="AX30"/>
  <c r="AW30"/>
  <c r="AV30"/>
  <c r="AU30"/>
  <c r="AT30"/>
  <c r="AS30"/>
  <c r="AR30"/>
  <c r="AQ30"/>
  <c r="AP30"/>
  <c r="AO30"/>
  <c r="AN30"/>
  <c r="AM30"/>
  <c r="AL30"/>
  <c r="AK30"/>
  <c r="AJ30"/>
  <c r="AI30"/>
  <c r="AH30"/>
  <c r="AG30"/>
  <c r="AF30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B30"/>
  <c r="A30"/>
  <c r="IV29"/>
  <c r="IU29"/>
  <c r="IT29"/>
  <c r="IS29"/>
  <c r="IR29"/>
  <c r="IQ29"/>
  <c r="IP29"/>
  <c r="IO29"/>
  <c r="IN29"/>
  <c r="IM29"/>
  <c r="IL29"/>
  <c r="IK29"/>
  <c r="IJ29"/>
  <c r="II29"/>
  <c r="IH29"/>
  <c r="IG29"/>
  <c r="IF29"/>
  <c r="IE29"/>
  <c r="ID29"/>
  <c r="IC29"/>
  <c r="IB29"/>
  <c r="IA29"/>
  <c r="HZ29"/>
  <c r="HY29"/>
  <c r="HX29"/>
  <c r="HW29"/>
  <c r="HV29"/>
  <c r="HU29"/>
  <c r="HT29"/>
  <c r="HS29"/>
  <c r="HR29"/>
  <c r="HQ29"/>
  <c r="HP29"/>
  <c r="HO29"/>
  <c r="HN29"/>
  <c r="HM29"/>
  <c r="HL29"/>
  <c r="HK29"/>
  <c r="HJ29"/>
  <c r="HI29"/>
  <c r="HH29"/>
  <c r="HG29"/>
  <c r="HF29"/>
  <c r="HE29"/>
  <c r="HD29"/>
  <c r="HC29"/>
  <c r="HB29"/>
  <c r="HA29"/>
  <c r="GZ29"/>
  <c r="GY29"/>
  <c r="GX29"/>
  <c r="GW29"/>
  <c r="GV29"/>
  <c r="GU29"/>
  <c r="GT29"/>
  <c r="GS29"/>
  <c r="GR29"/>
  <c r="GQ29"/>
  <c r="GP29"/>
  <c r="GO29"/>
  <c r="GN29"/>
  <c r="GM29"/>
  <c r="GL29"/>
  <c r="GK29"/>
  <c r="GJ29"/>
  <c r="GI29"/>
  <c r="GH29"/>
  <c r="GG29"/>
  <c r="GF29"/>
  <c r="GE29"/>
  <c r="GD29"/>
  <c r="GC29"/>
  <c r="GB29"/>
  <c r="GA29"/>
  <c r="FZ29"/>
  <c r="FY29"/>
  <c r="FX29"/>
  <c r="FW29"/>
  <c r="FV29"/>
  <c r="FU29"/>
  <c r="FT29"/>
  <c r="FS29"/>
  <c r="FR29"/>
  <c r="FQ29"/>
  <c r="FP29"/>
  <c r="FO29"/>
  <c r="FN29"/>
  <c r="FM29"/>
  <c r="FL29"/>
  <c r="FK29"/>
  <c r="FJ29"/>
  <c r="FI29"/>
  <c r="FH29"/>
  <c r="FG29"/>
  <c r="FF29"/>
  <c r="FE29"/>
  <c r="FD29"/>
  <c r="FC29"/>
  <c r="FB29"/>
  <c r="FA29"/>
  <c r="EZ29"/>
  <c r="EY29"/>
  <c r="EX29"/>
  <c r="EW29"/>
  <c r="EV29"/>
  <c r="EU29"/>
  <c r="ET29"/>
  <c r="ES29"/>
  <c r="ER29"/>
  <c r="EQ29"/>
  <c r="EP29"/>
  <c r="EO29"/>
  <c r="EN29"/>
  <c r="EM29"/>
  <c r="EL29"/>
  <c r="EK29"/>
  <c r="EJ29"/>
  <c r="EI29"/>
  <c r="EH29"/>
  <c r="EG29"/>
  <c r="EF29"/>
  <c r="EE29"/>
  <c r="ED29"/>
  <c r="EC29"/>
  <c r="EB29"/>
  <c r="EA29"/>
  <c r="DZ29"/>
  <c r="DY29"/>
  <c r="DX29"/>
  <c r="DW29"/>
  <c r="DV29"/>
  <c r="DU29"/>
  <c r="DT29"/>
  <c r="DS29"/>
  <c r="DR29"/>
  <c r="DQ29"/>
  <c r="DP29"/>
  <c r="DO29"/>
  <c r="DN29"/>
  <c r="DM29"/>
  <c r="DL29"/>
  <c r="DK29"/>
  <c r="DJ29"/>
  <c r="DI29"/>
  <c r="DH29"/>
  <c r="DG29"/>
  <c r="DF29"/>
  <c r="DE29"/>
  <c r="DD29"/>
  <c r="DC29"/>
  <c r="DB29"/>
  <c r="DA29"/>
  <c r="CZ29"/>
  <c r="CY29"/>
  <c r="CX29"/>
  <c r="CW29"/>
  <c r="CV29"/>
  <c r="CU29"/>
  <c r="CT29"/>
  <c r="CS29"/>
  <c r="CR29"/>
  <c r="CQ29"/>
  <c r="CP29"/>
  <c r="CO29"/>
  <c r="CN29"/>
  <c r="CM29"/>
  <c r="CL29"/>
  <c r="CK29"/>
  <c r="CJ29"/>
  <c r="CI29"/>
  <c r="CH29"/>
  <c r="CG29"/>
  <c r="CF29"/>
  <c r="CE29"/>
  <c r="CD29"/>
  <c r="CC29"/>
  <c r="CB29"/>
  <c r="CA29"/>
  <c r="BZ29"/>
  <c r="BY29"/>
  <c r="BX29"/>
  <c r="BW29"/>
  <c r="BV29"/>
  <c r="BU29"/>
  <c r="BT29"/>
  <c r="BS29"/>
  <c r="BR29"/>
  <c r="BQ29"/>
  <c r="BP29"/>
  <c r="BO29"/>
  <c r="BN29"/>
  <c r="BM29"/>
  <c r="BL29"/>
  <c r="BK29"/>
  <c r="BJ29"/>
  <c r="BI29"/>
  <c r="BH29"/>
  <c r="BG29"/>
  <c r="BF29"/>
  <c r="BE29"/>
  <c r="BD29"/>
  <c r="BC29"/>
  <c r="BB29"/>
  <c r="BA29"/>
  <c r="AZ29"/>
  <c r="AY29"/>
  <c r="AX29"/>
  <c r="AW29"/>
  <c r="AV29"/>
  <c r="AU29"/>
  <c r="AT29"/>
  <c r="AS29"/>
  <c r="AR29"/>
  <c r="AQ29"/>
  <c r="AP29"/>
  <c r="AO29"/>
  <c r="AN29"/>
  <c r="AM29"/>
  <c r="AL29"/>
  <c r="AK29"/>
  <c r="AJ29"/>
  <c r="AI29"/>
  <c r="AH29"/>
  <c r="AG29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B29"/>
  <c r="A29"/>
  <c r="IV28"/>
  <c r="IU28"/>
  <c r="IT28"/>
  <c r="IS28"/>
  <c r="IR28"/>
  <c r="IQ28"/>
  <c r="IP28"/>
  <c r="IO28"/>
  <c r="IN28"/>
  <c r="IM28"/>
  <c r="IL28"/>
  <c r="IK28"/>
  <c r="IJ28"/>
  <c r="II28"/>
  <c r="IH28"/>
  <c r="IG28"/>
  <c r="IF28"/>
  <c r="IE28"/>
  <c r="ID28"/>
  <c r="IC28"/>
  <c r="IB28"/>
  <c r="IA28"/>
  <c r="HZ28"/>
  <c r="HY28"/>
  <c r="HX28"/>
  <c r="HW28"/>
  <c r="HV28"/>
  <c r="HU28"/>
  <c r="HT28"/>
  <c r="HS28"/>
  <c r="HR28"/>
  <c r="HQ28"/>
  <c r="HP28"/>
  <c r="HO28"/>
  <c r="HN28"/>
  <c r="HM28"/>
  <c r="HL28"/>
  <c r="HK28"/>
  <c r="HJ28"/>
  <c r="HI28"/>
  <c r="HH28"/>
  <c r="HG28"/>
  <c r="HF28"/>
  <c r="HE28"/>
  <c r="HD28"/>
  <c r="HC28"/>
  <c r="HB28"/>
  <c r="HA28"/>
  <c r="GZ28"/>
  <c r="GY28"/>
  <c r="GX28"/>
  <c r="GW28"/>
  <c r="GV28"/>
  <c r="GU28"/>
  <c r="GT28"/>
  <c r="GS28"/>
  <c r="GR28"/>
  <c r="GQ28"/>
  <c r="GP28"/>
  <c r="GO28"/>
  <c r="GN28"/>
  <c r="GM28"/>
  <c r="GL28"/>
  <c r="GK28"/>
  <c r="GJ28"/>
  <c r="GI28"/>
  <c r="GH28"/>
  <c r="GG28"/>
  <c r="GF28"/>
  <c r="GE28"/>
  <c r="GD28"/>
  <c r="GC28"/>
  <c r="GB28"/>
  <c r="GA28"/>
  <c r="FZ28"/>
  <c r="FY28"/>
  <c r="FX28"/>
  <c r="FW28"/>
  <c r="FV28"/>
  <c r="FU28"/>
  <c r="FT28"/>
  <c r="FS28"/>
  <c r="FR28"/>
  <c r="FQ28"/>
  <c r="FP28"/>
  <c r="FO28"/>
  <c r="FN28"/>
  <c r="FM28"/>
  <c r="FL28"/>
  <c r="FK28"/>
  <c r="FJ28"/>
  <c r="FI28"/>
  <c r="FH28"/>
  <c r="FG28"/>
  <c r="FF28"/>
  <c r="FE28"/>
  <c r="FD28"/>
  <c r="FC28"/>
  <c r="FB28"/>
  <c r="FA28"/>
  <c r="EZ28"/>
  <c r="EY28"/>
  <c r="EX28"/>
  <c r="EW28"/>
  <c r="EV28"/>
  <c r="EU28"/>
  <c r="ET28"/>
  <c r="ES28"/>
  <c r="ER28"/>
  <c r="EQ28"/>
  <c r="EP28"/>
  <c r="EO28"/>
  <c r="EN28"/>
  <c r="EM28"/>
  <c r="EL28"/>
  <c r="EK28"/>
  <c r="EJ28"/>
  <c r="EI28"/>
  <c r="EH28"/>
  <c r="EG28"/>
  <c r="EF28"/>
  <c r="EE28"/>
  <c r="ED28"/>
  <c r="EC28"/>
  <c r="EB28"/>
  <c r="EA28"/>
  <c r="DZ28"/>
  <c r="DY28"/>
  <c r="DX28"/>
  <c r="DW28"/>
  <c r="DV28"/>
  <c r="DU28"/>
  <c r="DT28"/>
  <c r="DS28"/>
  <c r="DR28"/>
  <c r="DQ28"/>
  <c r="DP28"/>
  <c r="DO28"/>
  <c r="DN28"/>
  <c r="DM28"/>
  <c r="DL28"/>
  <c r="DK28"/>
  <c r="DJ28"/>
  <c r="DI28"/>
  <c r="DH28"/>
  <c r="DG28"/>
  <c r="DF28"/>
  <c r="DE28"/>
  <c r="DD28"/>
  <c r="DC28"/>
  <c r="DB28"/>
  <c r="DA28"/>
  <c r="CZ28"/>
  <c r="CY28"/>
  <c r="CX28"/>
  <c r="CW28"/>
  <c r="CV28"/>
  <c r="CU28"/>
  <c r="CT28"/>
  <c r="CS28"/>
  <c r="CR28"/>
  <c r="CQ28"/>
  <c r="CP28"/>
  <c r="CO28"/>
  <c r="CN28"/>
  <c r="CM28"/>
  <c r="CL28"/>
  <c r="CK28"/>
  <c r="CJ28"/>
  <c r="CI28"/>
  <c r="CH28"/>
  <c r="CG28"/>
  <c r="CF28"/>
  <c r="CE28"/>
  <c r="CD28"/>
  <c r="CC28"/>
  <c r="CB28"/>
  <c r="CA28"/>
  <c r="BZ28"/>
  <c r="BY28"/>
  <c r="BX28"/>
  <c r="BW28"/>
  <c r="BV28"/>
  <c r="BU28"/>
  <c r="BT28"/>
  <c r="BS28"/>
  <c r="BR28"/>
  <c r="BQ28"/>
  <c r="BP28"/>
  <c r="BO28"/>
  <c r="BN28"/>
  <c r="BM28"/>
  <c r="BL28"/>
  <c r="BK28"/>
  <c r="BJ28"/>
  <c r="BI28"/>
  <c r="BH28"/>
  <c r="BG28"/>
  <c r="BF28"/>
  <c r="BE28"/>
  <c r="BD28"/>
  <c r="BC28"/>
  <c r="BB28"/>
  <c r="BA28"/>
  <c r="AZ28"/>
  <c r="AY28"/>
  <c r="AX28"/>
  <c r="AW28"/>
  <c r="AV28"/>
  <c r="AU28"/>
  <c r="AT28"/>
  <c r="AS28"/>
  <c r="AR28"/>
  <c r="AQ28"/>
  <c r="AP28"/>
  <c r="AO28"/>
  <c r="AN28"/>
  <c r="AM28"/>
  <c r="AL28"/>
  <c r="AK28"/>
  <c r="AJ28"/>
  <c r="AI28"/>
  <c r="AH28"/>
  <c r="AG28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B28"/>
  <c r="A28"/>
  <c r="IV27"/>
  <c r="IU27"/>
  <c r="IT27"/>
  <c r="IS27"/>
  <c r="IR27"/>
  <c r="IQ27"/>
  <c r="IP27"/>
  <c r="IO27"/>
  <c r="IN27"/>
  <c r="IM27"/>
  <c r="IL27"/>
  <c r="IK27"/>
  <c r="IJ27"/>
  <c r="II27"/>
  <c r="IH27"/>
  <c r="IG27"/>
  <c r="IF27"/>
  <c r="IE27"/>
  <c r="ID27"/>
  <c r="IC27"/>
  <c r="IB27"/>
  <c r="IA27"/>
  <c r="HZ27"/>
  <c r="HY27"/>
  <c r="HX27"/>
  <c r="HW27"/>
  <c r="HV27"/>
  <c r="HU27"/>
  <c r="HT27"/>
  <c r="HS27"/>
  <c r="HR27"/>
  <c r="HQ27"/>
  <c r="HP27"/>
  <c r="HO27"/>
  <c r="HN27"/>
  <c r="HM27"/>
  <c r="HL27"/>
  <c r="HK27"/>
  <c r="HJ27"/>
  <c r="HI27"/>
  <c r="HH27"/>
  <c r="HG27"/>
  <c r="HF27"/>
  <c r="HE27"/>
  <c r="HD27"/>
  <c r="HC27"/>
  <c r="HB27"/>
  <c r="HA27"/>
  <c r="GZ27"/>
  <c r="GY27"/>
  <c r="GX27"/>
  <c r="GW27"/>
  <c r="GV27"/>
  <c r="GU27"/>
  <c r="GT27"/>
  <c r="GS27"/>
  <c r="GR27"/>
  <c r="GQ27"/>
  <c r="GP27"/>
  <c r="GO27"/>
  <c r="GN27"/>
  <c r="GM27"/>
  <c r="GL27"/>
  <c r="GK27"/>
  <c r="GJ27"/>
  <c r="GI27"/>
  <c r="GH27"/>
  <c r="GG27"/>
  <c r="GF27"/>
  <c r="GE27"/>
  <c r="GD27"/>
  <c r="GC27"/>
  <c r="GB27"/>
  <c r="GA27"/>
  <c r="FZ27"/>
  <c r="FY27"/>
  <c r="FX27"/>
  <c r="FW27"/>
  <c r="FV27"/>
  <c r="FU27"/>
  <c r="FT27"/>
  <c r="FS27"/>
  <c r="FR27"/>
  <c r="FQ27"/>
  <c r="FP27"/>
  <c r="FO27"/>
  <c r="FN27"/>
  <c r="FM27"/>
  <c r="FL27"/>
  <c r="FK27"/>
  <c r="FJ27"/>
  <c r="FI27"/>
  <c r="FH27"/>
  <c r="FG27"/>
  <c r="FF27"/>
  <c r="FE27"/>
  <c r="FD27"/>
  <c r="FC27"/>
  <c r="FB27"/>
  <c r="FA27"/>
  <c r="EZ27"/>
  <c r="EY27"/>
  <c r="EX27"/>
  <c r="EW27"/>
  <c r="EV27"/>
  <c r="EU27"/>
  <c r="ET27"/>
  <c r="ES27"/>
  <c r="ER27"/>
  <c r="EQ27"/>
  <c r="EP27"/>
  <c r="EO27"/>
  <c r="EN27"/>
  <c r="EM27"/>
  <c r="EL27"/>
  <c r="EK27"/>
  <c r="EJ27"/>
  <c r="EI27"/>
  <c r="EH27"/>
  <c r="EG27"/>
  <c r="EF27"/>
  <c r="EE27"/>
  <c r="ED27"/>
  <c r="EC27"/>
  <c r="EB27"/>
  <c r="EA27"/>
  <c r="DZ27"/>
  <c r="DY27"/>
  <c r="DX27"/>
  <c r="DW27"/>
  <c r="DV27"/>
  <c r="DU27"/>
  <c r="DT27"/>
  <c r="DS27"/>
  <c r="DR27"/>
  <c r="DQ27"/>
  <c r="DP27"/>
  <c r="DO27"/>
  <c r="DN27"/>
  <c r="DM27"/>
  <c r="DL27"/>
  <c r="DK27"/>
  <c r="DJ27"/>
  <c r="DI27"/>
  <c r="DH27"/>
  <c r="DG27"/>
  <c r="DF27"/>
  <c r="DE27"/>
  <c r="DD27"/>
  <c r="DC27"/>
  <c r="DB27"/>
  <c r="DA27"/>
  <c r="CZ27"/>
  <c r="CY27"/>
  <c r="CX27"/>
  <c r="CW27"/>
  <c r="CV27"/>
  <c r="CU27"/>
  <c r="CT27"/>
  <c r="CS27"/>
  <c r="CR27"/>
  <c r="CQ27"/>
  <c r="CP27"/>
  <c r="CO27"/>
  <c r="CN27"/>
  <c r="CM27"/>
  <c r="CL27"/>
  <c r="CK27"/>
  <c r="CJ27"/>
  <c r="CI27"/>
  <c r="CH27"/>
  <c r="CG27"/>
  <c r="CF27"/>
  <c r="CE27"/>
  <c r="CD27"/>
  <c r="CC27"/>
  <c r="CB27"/>
  <c r="CA27"/>
  <c r="BZ27"/>
  <c r="BY27"/>
  <c r="BX27"/>
  <c r="BW27"/>
  <c r="BV27"/>
  <c r="BU27"/>
  <c r="BT27"/>
  <c r="BS27"/>
  <c r="BR27"/>
  <c r="BQ27"/>
  <c r="BP27"/>
  <c r="BO27"/>
  <c r="BN27"/>
  <c r="BM27"/>
  <c r="BL27"/>
  <c r="BK27"/>
  <c r="BJ27"/>
  <c r="BI27"/>
  <c r="BH27"/>
  <c r="BG27"/>
  <c r="BF27"/>
  <c r="BE27"/>
  <c r="BD27"/>
  <c r="BC27"/>
  <c r="BB27"/>
  <c r="BA27"/>
  <c r="AZ27"/>
  <c r="AY27"/>
  <c r="AX27"/>
  <c r="AW27"/>
  <c r="AV27"/>
  <c r="AU27"/>
  <c r="AT27"/>
  <c r="AS27"/>
  <c r="AR27"/>
  <c r="AQ27"/>
  <c r="AP27"/>
  <c r="AO27"/>
  <c r="AN27"/>
  <c r="AM27"/>
  <c r="AL27"/>
  <c r="AK27"/>
  <c r="AJ27"/>
  <c r="AI27"/>
  <c r="AH27"/>
  <c r="AG27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B27"/>
  <c r="A27"/>
  <c r="IV26"/>
  <c r="IU26"/>
  <c r="IT26"/>
  <c r="IS26"/>
  <c r="IR26"/>
  <c r="IQ26"/>
  <c r="IP26"/>
  <c r="IO26"/>
  <c r="IN26"/>
  <c r="IM26"/>
  <c r="IL26"/>
  <c r="IK26"/>
  <c r="IJ26"/>
  <c r="II26"/>
  <c r="IH26"/>
  <c r="IG26"/>
  <c r="IF26"/>
  <c r="IE26"/>
  <c r="ID26"/>
  <c r="IC26"/>
  <c r="IB26"/>
  <c r="IA26"/>
  <c r="HZ26"/>
  <c r="HY26"/>
  <c r="HX26"/>
  <c r="HW26"/>
  <c r="HV26"/>
  <c r="HU26"/>
  <c r="HT26"/>
  <c r="HS26"/>
  <c r="HR26"/>
  <c r="HQ26"/>
  <c r="HP26"/>
  <c r="HO26"/>
  <c r="HN26"/>
  <c r="HM26"/>
  <c r="HL26"/>
  <c r="HK26"/>
  <c r="HJ26"/>
  <c r="HI26"/>
  <c r="HH26"/>
  <c r="HG26"/>
  <c r="HF26"/>
  <c r="HE26"/>
  <c r="HD26"/>
  <c r="HC26"/>
  <c r="HB26"/>
  <c r="HA26"/>
  <c r="GZ26"/>
  <c r="GY26"/>
  <c r="GX26"/>
  <c r="GW26"/>
  <c r="GV26"/>
  <c r="GU26"/>
  <c r="GT26"/>
  <c r="GS26"/>
  <c r="GR26"/>
  <c r="GQ26"/>
  <c r="GP26"/>
  <c r="GO26"/>
  <c r="GN26"/>
  <c r="GM26"/>
  <c r="GL26"/>
  <c r="GK26"/>
  <c r="GJ26"/>
  <c r="GI26"/>
  <c r="GH26"/>
  <c r="GG26"/>
  <c r="GF26"/>
  <c r="GE26"/>
  <c r="GD26"/>
  <c r="GC26"/>
  <c r="GB26"/>
  <c r="GA26"/>
  <c r="FZ26"/>
  <c r="FY26"/>
  <c r="FX26"/>
  <c r="FW26"/>
  <c r="FV26"/>
  <c r="FU26"/>
  <c r="FT26"/>
  <c r="FS26"/>
  <c r="FR26"/>
  <c r="FQ26"/>
  <c r="FP26"/>
  <c r="FO26"/>
  <c r="FN26"/>
  <c r="FM26"/>
  <c r="FL26"/>
  <c r="FK26"/>
  <c r="FJ26"/>
  <c r="FI26"/>
  <c r="FH26"/>
  <c r="FG26"/>
  <c r="FF26"/>
  <c r="FE26"/>
  <c r="FD26"/>
  <c r="FC26"/>
  <c r="FB26"/>
  <c r="FA26"/>
  <c r="EZ26"/>
  <c r="EY26"/>
  <c r="EX26"/>
  <c r="EW26"/>
  <c r="EV26"/>
  <c r="EU26"/>
  <c r="ET26"/>
  <c r="ES26"/>
  <c r="ER26"/>
  <c r="EQ26"/>
  <c r="EP26"/>
  <c r="EO26"/>
  <c r="EN26"/>
  <c r="EM26"/>
  <c r="EL26"/>
  <c r="EK26"/>
  <c r="EJ26"/>
  <c r="EI26"/>
  <c r="EH26"/>
  <c r="EG26"/>
  <c r="EF26"/>
  <c r="EE26"/>
  <c r="ED26"/>
  <c r="EC26"/>
  <c r="EB26"/>
  <c r="EA26"/>
  <c r="DZ26"/>
  <c r="DY26"/>
  <c r="DX26"/>
  <c r="DW26"/>
  <c r="DV26"/>
  <c r="DU26"/>
  <c r="DT26"/>
  <c r="DS26"/>
  <c r="DR26"/>
  <c r="DQ26"/>
  <c r="DP26"/>
  <c r="DO26"/>
  <c r="DN26"/>
  <c r="DM26"/>
  <c r="DL26"/>
  <c r="DK26"/>
  <c r="DJ26"/>
  <c r="DI26"/>
  <c r="DH26"/>
  <c r="DG26"/>
  <c r="DF26"/>
  <c r="DE26"/>
  <c r="DD26"/>
  <c r="DC26"/>
  <c r="DB26"/>
  <c r="DA26"/>
  <c r="CZ26"/>
  <c r="CY26"/>
  <c r="CX26"/>
  <c r="CW26"/>
  <c r="CV26"/>
  <c r="CU26"/>
  <c r="CT26"/>
  <c r="CS26"/>
  <c r="CR26"/>
  <c r="CQ26"/>
  <c r="CP26"/>
  <c r="CO26"/>
  <c r="CN26"/>
  <c r="CM26"/>
  <c r="CL26"/>
  <c r="CK26"/>
  <c r="CJ26"/>
  <c r="CI26"/>
  <c r="CH26"/>
  <c r="CG26"/>
  <c r="CF26"/>
  <c r="CE26"/>
  <c r="CD26"/>
  <c r="CC26"/>
  <c r="CB26"/>
  <c r="CA26"/>
  <c r="BZ26"/>
  <c r="BY26"/>
  <c r="BX26"/>
  <c r="BW26"/>
  <c r="BV26"/>
  <c r="BU26"/>
  <c r="BT26"/>
  <c r="BS26"/>
  <c r="BR26"/>
  <c r="BQ26"/>
  <c r="BP26"/>
  <c r="BO26"/>
  <c r="BN26"/>
  <c r="BM26"/>
  <c r="BL26"/>
  <c r="BK26"/>
  <c r="BJ26"/>
  <c r="BI26"/>
  <c r="BH26"/>
  <c r="BG26"/>
  <c r="BF26"/>
  <c r="BE26"/>
  <c r="BD26"/>
  <c r="BC26"/>
  <c r="BB26"/>
  <c r="BA26"/>
  <c r="AZ26"/>
  <c r="AY26"/>
  <c r="AX26"/>
  <c r="AW26"/>
  <c r="AV26"/>
  <c r="AU26"/>
  <c r="AT26"/>
  <c r="AS26"/>
  <c r="AR26"/>
  <c r="AQ26"/>
  <c r="AP26"/>
  <c r="AO26"/>
  <c r="AN26"/>
  <c r="AM26"/>
  <c r="AL26"/>
  <c r="AK26"/>
  <c r="AJ26"/>
  <c r="AI26"/>
  <c r="AH26"/>
  <c r="AG26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B26"/>
  <c r="A26"/>
  <c r="IV25"/>
  <c r="IU25"/>
  <c r="IT25"/>
  <c r="IS25"/>
  <c r="IR25"/>
  <c r="IQ25"/>
  <c r="IP25"/>
  <c r="IO25"/>
  <c r="IN25"/>
  <c r="IM25"/>
  <c r="IL25"/>
  <c r="IK25"/>
  <c r="IJ25"/>
  <c r="II25"/>
  <c r="IH25"/>
  <c r="IG25"/>
  <c r="IF25"/>
  <c r="IE25"/>
  <c r="ID25"/>
  <c r="IC25"/>
  <c r="IB25"/>
  <c r="IA25"/>
  <c r="HZ25"/>
  <c r="HY25"/>
  <c r="HX25"/>
  <c r="HW25"/>
  <c r="HV25"/>
  <c r="HU25"/>
  <c r="HT25"/>
  <c r="HS25"/>
  <c r="HR25"/>
  <c r="HQ25"/>
  <c r="HP25"/>
  <c r="HO25"/>
  <c r="HN25"/>
  <c r="HM25"/>
  <c r="HL25"/>
  <c r="HK25"/>
  <c r="HJ25"/>
  <c r="HI25"/>
  <c r="HH25"/>
  <c r="HG25"/>
  <c r="HF25"/>
  <c r="HE25"/>
  <c r="HD25"/>
  <c r="HC25"/>
  <c r="HB25"/>
  <c r="HA25"/>
  <c r="GZ25"/>
  <c r="GY25"/>
  <c r="GX25"/>
  <c r="GW25"/>
  <c r="GV25"/>
  <c r="GU25"/>
  <c r="GT25"/>
  <c r="GS25"/>
  <c r="GR25"/>
  <c r="GQ25"/>
  <c r="GP25"/>
  <c r="GO25"/>
  <c r="GN25"/>
  <c r="GM25"/>
  <c r="GL25"/>
  <c r="GK25"/>
  <c r="GJ25"/>
  <c r="GI25"/>
  <c r="GH25"/>
  <c r="GG25"/>
  <c r="GF25"/>
  <c r="GE25"/>
  <c r="GD25"/>
  <c r="GC25"/>
  <c r="GB25"/>
  <c r="GA25"/>
  <c r="FZ25"/>
  <c r="FY25"/>
  <c r="FX25"/>
  <c r="FW25"/>
  <c r="FV25"/>
  <c r="FU25"/>
  <c r="FT25"/>
  <c r="FS25"/>
  <c r="FR25"/>
  <c r="FQ25"/>
  <c r="FP25"/>
  <c r="FO25"/>
  <c r="FN25"/>
  <c r="FM25"/>
  <c r="FL25"/>
  <c r="FK25"/>
  <c r="FJ25"/>
  <c r="FI25"/>
  <c r="FH25"/>
  <c r="FG25"/>
  <c r="FF25"/>
  <c r="FE25"/>
  <c r="FD25"/>
  <c r="FC25"/>
  <c r="FB25"/>
  <c r="FA25"/>
  <c r="EZ25"/>
  <c r="EY25"/>
  <c r="EX25"/>
  <c r="EW25"/>
  <c r="EV25"/>
  <c r="EU25"/>
  <c r="ET25"/>
  <c r="ES25"/>
  <c r="ER25"/>
  <c r="EQ25"/>
  <c r="EP25"/>
  <c r="EO25"/>
  <c r="EN25"/>
  <c r="EM25"/>
  <c r="EL25"/>
  <c r="EK25"/>
  <c r="EJ25"/>
  <c r="EI25"/>
  <c r="EH25"/>
  <c r="EG25"/>
  <c r="EF25"/>
  <c r="EE25"/>
  <c r="ED25"/>
  <c r="EC25"/>
  <c r="EB25"/>
  <c r="EA25"/>
  <c r="DZ25"/>
  <c r="DY25"/>
  <c r="DX25"/>
  <c r="DW25"/>
  <c r="DV25"/>
  <c r="DU25"/>
  <c r="DT25"/>
  <c r="DS25"/>
  <c r="DR25"/>
  <c r="DQ25"/>
  <c r="DP25"/>
  <c r="DO25"/>
  <c r="DN25"/>
  <c r="DM25"/>
  <c r="DL25"/>
  <c r="DK25"/>
  <c r="DJ25"/>
  <c r="DI25"/>
  <c r="DH25"/>
  <c r="DG25"/>
  <c r="DF25"/>
  <c r="DE25"/>
  <c r="DD25"/>
  <c r="DC25"/>
  <c r="DB25"/>
  <c r="DA25"/>
  <c r="CZ25"/>
  <c r="CY25"/>
  <c r="CX25"/>
  <c r="CW25"/>
  <c r="CV25"/>
  <c r="CU25"/>
  <c r="CT25"/>
  <c r="CS25"/>
  <c r="CR25"/>
  <c r="CQ25"/>
  <c r="CP25"/>
  <c r="CO25"/>
  <c r="CN25"/>
  <c r="CM25"/>
  <c r="CL25"/>
  <c r="CK25"/>
  <c r="CJ25"/>
  <c r="CI25"/>
  <c r="CH25"/>
  <c r="CG25"/>
  <c r="CF25"/>
  <c r="CE25"/>
  <c r="CD25"/>
  <c r="CC25"/>
  <c r="CB25"/>
  <c r="CA25"/>
  <c r="BZ25"/>
  <c r="BY25"/>
  <c r="BX25"/>
  <c r="BW25"/>
  <c r="BV25"/>
  <c r="BU25"/>
  <c r="BT25"/>
  <c r="BS25"/>
  <c r="BR25"/>
  <c r="BQ25"/>
  <c r="BP25"/>
  <c r="BO25"/>
  <c r="BN25"/>
  <c r="BM25"/>
  <c r="BL25"/>
  <c r="BK25"/>
  <c r="BJ25"/>
  <c r="BI25"/>
  <c r="BH25"/>
  <c r="BG25"/>
  <c r="BF25"/>
  <c r="BE25"/>
  <c r="BD25"/>
  <c r="BC25"/>
  <c r="BB25"/>
  <c r="BA25"/>
  <c r="AZ25"/>
  <c r="AY25"/>
  <c r="AX25"/>
  <c r="AW25"/>
  <c r="AV25"/>
  <c r="AU25"/>
  <c r="AT25"/>
  <c r="AS25"/>
  <c r="AR25"/>
  <c r="AQ25"/>
  <c r="AP25"/>
  <c r="AO25"/>
  <c r="AN25"/>
  <c r="AM25"/>
  <c r="AL25"/>
  <c r="AK25"/>
  <c r="AJ25"/>
  <c r="AI25"/>
  <c r="AH25"/>
  <c r="AG25"/>
  <c r="AF25"/>
  <c r="AE25"/>
  <c r="AD25"/>
  <c r="AC25"/>
  <c r="AB25"/>
  <c r="AA25"/>
  <c r="Z25"/>
  <c r="Y25"/>
  <c r="X25"/>
  <c r="W25"/>
  <c r="V25"/>
  <c r="U25"/>
  <c r="T25"/>
  <c r="S25"/>
  <c r="R25"/>
  <c r="Q25"/>
  <c r="O25"/>
  <c r="N25"/>
  <c r="M25"/>
  <c r="L25"/>
  <c r="K25"/>
  <c r="J25"/>
  <c r="I25"/>
  <c r="H25"/>
  <c r="G25"/>
  <c r="F25"/>
  <c r="E25"/>
  <c r="D25"/>
  <c r="C25"/>
  <c r="B25"/>
  <c r="A25"/>
  <c r="IV24"/>
  <c r="IU24"/>
  <c r="IT24"/>
  <c r="IS24"/>
  <c r="IR24"/>
  <c r="IQ24"/>
  <c r="IP24"/>
  <c r="IO24"/>
  <c r="IN24"/>
  <c r="IM24"/>
  <c r="IL24"/>
  <c r="IK24"/>
  <c r="IJ24"/>
  <c r="II24"/>
  <c r="IH24"/>
  <c r="IG24"/>
  <c r="IF24"/>
  <c r="IE24"/>
  <c r="ID24"/>
  <c r="IC24"/>
  <c r="IB24"/>
  <c r="IA24"/>
  <c r="HZ24"/>
  <c r="HY24"/>
  <c r="HX24"/>
  <c r="HW24"/>
  <c r="HV24"/>
  <c r="HU24"/>
  <c r="HT24"/>
  <c r="HS24"/>
  <c r="HR24"/>
  <c r="HQ24"/>
  <c r="HP24"/>
  <c r="HO24"/>
  <c r="HN24"/>
  <c r="HM24"/>
  <c r="HL24"/>
  <c r="HK24"/>
  <c r="HJ24"/>
  <c r="HI24"/>
  <c r="HH24"/>
  <c r="HG24"/>
  <c r="HF24"/>
  <c r="HE24"/>
  <c r="HD24"/>
  <c r="HC24"/>
  <c r="HB24"/>
  <c r="HA24"/>
  <c r="GZ24"/>
  <c r="GY24"/>
  <c r="GX24"/>
  <c r="GW24"/>
  <c r="GV24"/>
  <c r="GU24"/>
  <c r="GT24"/>
  <c r="GS24"/>
  <c r="GR24"/>
  <c r="GQ24"/>
  <c r="GP24"/>
  <c r="GO24"/>
  <c r="GN24"/>
  <c r="GM24"/>
  <c r="GL24"/>
  <c r="GK24"/>
  <c r="GJ24"/>
  <c r="GI24"/>
  <c r="GH24"/>
  <c r="GG24"/>
  <c r="GF24"/>
  <c r="GE24"/>
  <c r="GD24"/>
  <c r="GC24"/>
  <c r="GB24"/>
  <c r="GA24"/>
  <c r="FZ24"/>
  <c r="FY24"/>
  <c r="FX24"/>
  <c r="FW24"/>
  <c r="FV24"/>
  <c r="FU24"/>
  <c r="FT24"/>
  <c r="FS24"/>
  <c r="FR24"/>
  <c r="FQ24"/>
  <c r="FP24"/>
  <c r="FO24"/>
  <c r="FN24"/>
  <c r="FM24"/>
  <c r="FL24"/>
  <c r="FK24"/>
  <c r="FJ24"/>
  <c r="FI24"/>
  <c r="FH24"/>
  <c r="FG24"/>
  <c r="FF24"/>
  <c r="FE24"/>
  <c r="FD24"/>
  <c r="FC24"/>
  <c r="FB24"/>
  <c r="FA24"/>
  <c r="EZ24"/>
  <c r="EY24"/>
  <c r="EX24"/>
  <c r="EW24"/>
  <c r="EV24"/>
  <c r="EU24"/>
  <c r="ET24"/>
  <c r="ES24"/>
  <c r="ER24"/>
  <c r="EQ24"/>
  <c r="EP24"/>
  <c r="EO24"/>
  <c r="EN24"/>
  <c r="EM24"/>
  <c r="EL24"/>
  <c r="EK24"/>
  <c r="EJ24"/>
  <c r="EI24"/>
  <c r="EH24"/>
  <c r="EG24"/>
  <c r="EF24"/>
  <c r="EE24"/>
  <c r="ED24"/>
  <c r="EC24"/>
  <c r="EB24"/>
  <c r="EA24"/>
  <c r="DZ24"/>
  <c r="DY24"/>
  <c r="DX24"/>
  <c r="DW24"/>
  <c r="DV24"/>
  <c r="DU24"/>
  <c r="DT24"/>
  <c r="DS24"/>
  <c r="DR24"/>
  <c r="DQ24"/>
  <c r="DP24"/>
  <c r="DO24"/>
  <c r="DN24"/>
  <c r="DM24"/>
  <c r="DL24"/>
  <c r="DK24"/>
  <c r="DJ24"/>
  <c r="DI24"/>
  <c r="DH24"/>
  <c r="DG24"/>
  <c r="DF24"/>
  <c r="DE24"/>
  <c r="DD24"/>
  <c r="DC24"/>
  <c r="DB24"/>
  <c r="DA24"/>
  <c r="CZ24"/>
  <c r="CY24"/>
  <c r="CX24"/>
  <c r="CW24"/>
  <c r="CV24"/>
  <c r="CU24"/>
  <c r="CT24"/>
  <c r="CS24"/>
  <c r="CR24"/>
  <c r="CQ24"/>
  <c r="CP24"/>
  <c r="CO24"/>
  <c r="CN24"/>
  <c r="CM24"/>
  <c r="CL24"/>
  <c r="CK24"/>
  <c r="CJ24"/>
  <c r="CI24"/>
  <c r="CH24"/>
  <c r="CG24"/>
  <c r="CF24"/>
  <c r="CE24"/>
  <c r="CD24"/>
  <c r="CC24"/>
  <c r="CB24"/>
  <c r="CA24"/>
  <c r="BZ24"/>
  <c r="BY24"/>
  <c r="BX24"/>
  <c r="BW24"/>
  <c r="BV24"/>
  <c r="BU24"/>
  <c r="BT24"/>
  <c r="BS24"/>
  <c r="BR24"/>
  <c r="BQ24"/>
  <c r="BP24"/>
  <c r="BO24"/>
  <c r="BN24"/>
  <c r="BM24"/>
  <c r="BL24"/>
  <c r="BK24"/>
  <c r="BJ24"/>
  <c r="BI24"/>
  <c r="BH24"/>
  <c r="BG24"/>
  <c r="BF24"/>
  <c r="BE24"/>
  <c r="BD24"/>
  <c r="BC24"/>
  <c r="BB24"/>
  <c r="BA24"/>
  <c r="AZ24"/>
  <c r="AY24"/>
  <c r="AX24"/>
  <c r="AW24"/>
  <c r="AV24"/>
  <c r="AU24"/>
  <c r="AT24"/>
  <c r="AS24"/>
  <c r="AR24"/>
  <c r="AQ24"/>
  <c r="AP24"/>
  <c r="AO24"/>
  <c r="AN24"/>
  <c r="AM24"/>
  <c r="AL24"/>
  <c r="AK24"/>
  <c r="AJ24"/>
  <c r="AI24"/>
  <c r="AH24"/>
  <c r="AG24"/>
  <c r="AF24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B24"/>
  <c r="A24"/>
  <c r="IV23"/>
  <c r="IU23"/>
  <c r="IT23"/>
  <c r="IS23"/>
  <c r="IR23"/>
  <c r="IQ23"/>
  <c r="IP23"/>
  <c r="IO23"/>
  <c r="IN23"/>
  <c r="IM23"/>
  <c r="IL23"/>
  <c r="IK23"/>
  <c r="IJ23"/>
  <c r="II23"/>
  <c r="IH23"/>
  <c r="IG23"/>
  <c r="IF23"/>
  <c r="IE23"/>
  <c r="ID23"/>
  <c r="IC23"/>
  <c r="IB23"/>
  <c r="IA23"/>
  <c r="HZ23"/>
  <c r="HY23"/>
  <c r="HX23"/>
  <c r="HW23"/>
  <c r="HV23"/>
  <c r="HU23"/>
  <c r="HT23"/>
  <c r="HS23"/>
  <c r="HR23"/>
  <c r="HQ23"/>
  <c r="HP23"/>
  <c r="HO23"/>
  <c r="HN23"/>
  <c r="HM23"/>
  <c r="HL23"/>
  <c r="HK23"/>
  <c r="HJ23"/>
  <c r="HI23"/>
  <c r="HH23"/>
  <c r="HG23"/>
  <c r="HF23"/>
  <c r="HE23"/>
  <c r="HD23"/>
  <c r="HC23"/>
  <c r="HB23"/>
  <c r="HA23"/>
  <c r="GZ23"/>
  <c r="GY23"/>
  <c r="GX23"/>
  <c r="GW23"/>
  <c r="GV23"/>
  <c r="GU23"/>
  <c r="GT23"/>
  <c r="GS23"/>
  <c r="GR23"/>
  <c r="GQ23"/>
  <c r="GP23"/>
  <c r="GO23"/>
  <c r="GN23"/>
  <c r="GM23"/>
  <c r="GL23"/>
  <c r="GK23"/>
  <c r="GJ23"/>
  <c r="GI23"/>
  <c r="GH23"/>
  <c r="GG23"/>
  <c r="GF23"/>
  <c r="GE23"/>
  <c r="GD23"/>
  <c r="GC23"/>
  <c r="GB23"/>
  <c r="GA23"/>
  <c r="FZ23"/>
  <c r="FY23"/>
  <c r="FX23"/>
  <c r="FW23"/>
  <c r="FV23"/>
  <c r="FU23"/>
  <c r="FT23"/>
  <c r="FS23"/>
  <c r="FR23"/>
  <c r="FQ23"/>
  <c r="FP23"/>
  <c r="FO23"/>
  <c r="FN23"/>
  <c r="FM23"/>
  <c r="FL23"/>
  <c r="FK23"/>
  <c r="FJ23"/>
  <c r="FI23"/>
  <c r="FH23"/>
  <c r="FG23"/>
  <c r="FF23"/>
  <c r="FE23"/>
  <c r="FD23"/>
  <c r="FC23"/>
  <c r="FB23"/>
  <c r="FA23"/>
  <c r="EZ23"/>
  <c r="EY23"/>
  <c r="EX23"/>
  <c r="EW23"/>
  <c r="EV23"/>
  <c r="EU23"/>
  <c r="ET23"/>
  <c r="ES23"/>
  <c r="ER23"/>
  <c r="EQ23"/>
  <c r="EP23"/>
  <c r="EO23"/>
  <c r="EN23"/>
  <c r="EM23"/>
  <c r="EL23"/>
  <c r="EK23"/>
  <c r="EJ23"/>
  <c r="EI23"/>
  <c r="EH23"/>
  <c r="EG23"/>
  <c r="EF23"/>
  <c r="EE23"/>
  <c r="ED23"/>
  <c r="EC23"/>
  <c r="EB23"/>
  <c r="EA23"/>
  <c r="DZ23"/>
  <c r="DY23"/>
  <c r="DX23"/>
  <c r="DW23"/>
  <c r="DV23"/>
  <c r="DU23"/>
  <c r="DT23"/>
  <c r="DS23"/>
  <c r="DR23"/>
  <c r="DQ23"/>
  <c r="DP23"/>
  <c r="DO23"/>
  <c r="DN23"/>
  <c r="DM23"/>
  <c r="DL23"/>
  <c r="DK23"/>
  <c r="DJ23"/>
  <c r="DI23"/>
  <c r="DH23"/>
  <c r="DG23"/>
  <c r="DF23"/>
  <c r="DE23"/>
  <c r="DD23"/>
  <c r="DC23"/>
  <c r="DB23"/>
  <c r="DA23"/>
  <c r="CZ23"/>
  <c r="CY23"/>
  <c r="CX23"/>
  <c r="CW23"/>
  <c r="CV23"/>
  <c r="CU23"/>
  <c r="CT23"/>
  <c r="CS23"/>
  <c r="CR23"/>
  <c r="CQ23"/>
  <c r="CP23"/>
  <c r="CO23"/>
  <c r="CN23"/>
  <c r="CM23"/>
  <c r="CL23"/>
  <c r="CK23"/>
  <c r="CJ23"/>
  <c r="CI23"/>
  <c r="CH23"/>
  <c r="CG23"/>
  <c r="CF23"/>
  <c r="CE23"/>
  <c r="CD23"/>
  <c r="CC23"/>
  <c r="CB23"/>
  <c r="CA23"/>
  <c r="BZ23"/>
  <c r="BY23"/>
  <c r="BX23"/>
  <c r="BW23"/>
  <c r="BV23"/>
  <c r="BU23"/>
  <c r="BT23"/>
  <c r="BS23"/>
  <c r="BR23"/>
  <c r="BQ23"/>
  <c r="BP23"/>
  <c r="BO23"/>
  <c r="BN23"/>
  <c r="BM23"/>
  <c r="BL23"/>
  <c r="BK23"/>
  <c r="BJ23"/>
  <c r="BI23"/>
  <c r="BH23"/>
  <c r="BG23"/>
  <c r="BF23"/>
  <c r="BE23"/>
  <c r="BD23"/>
  <c r="BC23"/>
  <c r="BB23"/>
  <c r="BA23"/>
  <c r="AZ23"/>
  <c r="AY23"/>
  <c r="AX23"/>
  <c r="AW23"/>
  <c r="AV23"/>
  <c r="AU23"/>
  <c r="AT23"/>
  <c r="AS23"/>
  <c r="AR23"/>
  <c r="AQ23"/>
  <c r="AP23"/>
  <c r="AO23"/>
  <c r="AN23"/>
  <c r="AM23"/>
  <c r="AL23"/>
  <c r="AK23"/>
  <c r="AJ23"/>
  <c r="AI23"/>
  <c r="AH23"/>
  <c r="AG23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B23"/>
  <c r="A23"/>
  <c r="IV22"/>
  <c r="IU22"/>
  <c r="IT22"/>
  <c r="IS22"/>
  <c r="IR22"/>
  <c r="IQ22"/>
  <c r="IP22"/>
  <c r="IO22"/>
  <c r="IN22"/>
  <c r="IM22"/>
  <c r="IL22"/>
  <c r="IK22"/>
  <c r="IJ22"/>
  <c r="II22"/>
  <c r="IH22"/>
  <c r="IG22"/>
  <c r="IF22"/>
  <c r="IE22"/>
  <c r="ID22"/>
  <c r="IC22"/>
  <c r="IB22"/>
  <c r="IA22"/>
  <c r="HZ22"/>
  <c r="HY22"/>
  <c r="HX22"/>
  <c r="HW22"/>
  <c r="HV22"/>
  <c r="HU22"/>
  <c r="HT22"/>
  <c r="HS22"/>
  <c r="HR22"/>
  <c r="HQ22"/>
  <c r="HP22"/>
  <c r="HO22"/>
  <c r="HN22"/>
  <c r="HM22"/>
  <c r="HL22"/>
  <c r="HK22"/>
  <c r="HJ22"/>
  <c r="HI22"/>
  <c r="HH22"/>
  <c r="HG22"/>
  <c r="HF22"/>
  <c r="HE22"/>
  <c r="HD22"/>
  <c r="HC22"/>
  <c r="HB22"/>
  <c r="HA22"/>
  <c r="GZ22"/>
  <c r="GY22"/>
  <c r="GX22"/>
  <c r="GW22"/>
  <c r="GV22"/>
  <c r="GU22"/>
  <c r="GT22"/>
  <c r="GS22"/>
  <c r="GR22"/>
  <c r="GQ22"/>
  <c r="GP22"/>
  <c r="GO22"/>
  <c r="GN22"/>
  <c r="GM22"/>
  <c r="GL22"/>
  <c r="GK22"/>
  <c r="GJ22"/>
  <c r="GI22"/>
  <c r="GH22"/>
  <c r="GG22"/>
  <c r="GF22"/>
  <c r="GE22"/>
  <c r="GD22"/>
  <c r="GC22"/>
  <c r="GB22"/>
  <c r="GA22"/>
  <c r="FZ22"/>
  <c r="FY22"/>
  <c r="FX22"/>
  <c r="FW22"/>
  <c r="FV22"/>
  <c r="FU22"/>
  <c r="FT22"/>
  <c r="FS22"/>
  <c r="FR22"/>
  <c r="FQ22"/>
  <c r="FP22"/>
  <c r="FO22"/>
  <c r="FN22"/>
  <c r="FM22"/>
  <c r="FL22"/>
  <c r="FK22"/>
  <c r="FJ22"/>
  <c r="FI22"/>
  <c r="FH22"/>
  <c r="FG22"/>
  <c r="FF22"/>
  <c r="FE22"/>
  <c r="FD22"/>
  <c r="FC22"/>
  <c r="FB22"/>
  <c r="FA22"/>
  <c r="EZ22"/>
  <c r="EY22"/>
  <c r="EX22"/>
  <c r="EW22"/>
  <c r="EV22"/>
  <c r="EU22"/>
  <c r="ET22"/>
  <c r="ES22"/>
  <c r="ER22"/>
  <c r="EQ22"/>
  <c r="EP22"/>
  <c r="EO22"/>
  <c r="EN22"/>
  <c r="EM22"/>
  <c r="EL22"/>
  <c r="EK22"/>
  <c r="EJ22"/>
  <c r="EI22"/>
  <c r="EH22"/>
  <c r="EG22"/>
  <c r="EF22"/>
  <c r="EE22"/>
  <c r="ED22"/>
  <c r="EC22"/>
  <c r="EB22"/>
  <c r="EA22"/>
  <c r="DZ22"/>
  <c r="DY22"/>
  <c r="DX22"/>
  <c r="DW22"/>
  <c r="DV22"/>
  <c r="DU22"/>
  <c r="DT22"/>
  <c r="DS22"/>
  <c r="DR22"/>
  <c r="DQ22"/>
  <c r="DP22"/>
  <c r="DO22"/>
  <c r="DN22"/>
  <c r="DM22"/>
  <c r="DL22"/>
  <c r="DK22"/>
  <c r="DJ22"/>
  <c r="DI22"/>
  <c r="DH22"/>
  <c r="DG22"/>
  <c r="DF22"/>
  <c r="DE22"/>
  <c r="DD22"/>
  <c r="DC22"/>
  <c r="DB22"/>
  <c r="DA22"/>
  <c r="CZ22"/>
  <c r="CY22"/>
  <c r="CX22"/>
  <c r="CW22"/>
  <c r="CV22"/>
  <c r="CU22"/>
  <c r="CT22"/>
  <c r="CS22"/>
  <c r="CR22"/>
  <c r="CQ22"/>
  <c r="CP22"/>
  <c r="CO22"/>
  <c r="CN22"/>
  <c r="CM22"/>
  <c r="CL22"/>
  <c r="CK22"/>
  <c r="CJ22"/>
  <c r="CI22"/>
  <c r="CH22"/>
  <c r="CG22"/>
  <c r="CF22"/>
  <c r="CE22"/>
  <c r="CD22"/>
  <c r="CC22"/>
  <c r="CB22"/>
  <c r="CA22"/>
  <c r="BZ22"/>
  <c r="BY22"/>
  <c r="BX22"/>
  <c r="BW22"/>
  <c r="BV22"/>
  <c r="BU22"/>
  <c r="BT22"/>
  <c r="BS22"/>
  <c r="BR22"/>
  <c r="BQ22"/>
  <c r="BP22"/>
  <c r="BO22"/>
  <c r="BN22"/>
  <c r="BM22"/>
  <c r="BL22"/>
  <c r="BK22"/>
  <c r="BJ22"/>
  <c r="BI22"/>
  <c r="BH22"/>
  <c r="BG22"/>
  <c r="BF22"/>
  <c r="BE22"/>
  <c r="BD22"/>
  <c r="BC22"/>
  <c r="BB22"/>
  <c r="BA22"/>
  <c r="AZ22"/>
  <c r="AY22"/>
  <c r="AX22"/>
  <c r="AW22"/>
  <c r="AV22"/>
  <c r="AU22"/>
  <c r="AT22"/>
  <c r="AS22"/>
  <c r="AR22"/>
  <c r="AQ22"/>
  <c r="AP22"/>
  <c r="AO22"/>
  <c r="AN22"/>
  <c r="AM22"/>
  <c r="AL22"/>
  <c r="AK22"/>
  <c r="AJ22"/>
  <c r="AI22"/>
  <c r="AH22"/>
  <c r="AG22"/>
  <c r="AF22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B22"/>
  <c r="A22"/>
  <c r="IV21"/>
  <c r="IU21"/>
  <c r="IT21"/>
  <c r="IS21"/>
  <c r="IR21"/>
  <c r="IQ21"/>
  <c r="IP21"/>
  <c r="IO21"/>
  <c r="IN21"/>
  <c r="IM21"/>
  <c r="IL21"/>
  <c r="IK21"/>
  <c r="IJ21"/>
  <c r="II21"/>
  <c r="IH21"/>
  <c r="IG21"/>
  <c r="IF21"/>
  <c r="IE21"/>
  <c r="ID21"/>
  <c r="IC21"/>
  <c r="IB21"/>
  <c r="IA21"/>
  <c r="HZ21"/>
  <c r="HY21"/>
  <c r="HX21"/>
  <c r="HW21"/>
  <c r="HV21"/>
  <c r="HU21"/>
  <c r="HT21"/>
  <c r="HS21"/>
  <c r="HR21"/>
  <c r="HQ21"/>
  <c r="HP21"/>
  <c r="HO21"/>
  <c r="HN21"/>
  <c r="HM21"/>
  <c r="HL21"/>
  <c r="HK21"/>
  <c r="HJ21"/>
  <c r="HI21"/>
  <c r="HH21"/>
  <c r="HG21"/>
  <c r="HF21"/>
  <c r="HE21"/>
  <c r="HD21"/>
  <c r="HC21"/>
  <c r="HB21"/>
  <c r="HA21"/>
  <c r="GZ21"/>
  <c r="GY21"/>
  <c r="GX21"/>
  <c r="GW21"/>
  <c r="GV21"/>
  <c r="GU21"/>
  <c r="GT21"/>
  <c r="GS21"/>
  <c r="GR21"/>
  <c r="GQ21"/>
  <c r="GP21"/>
  <c r="GO21"/>
  <c r="GN21"/>
  <c r="GM21"/>
  <c r="GL21"/>
  <c r="GK21"/>
  <c r="GJ21"/>
  <c r="GI21"/>
  <c r="GH21"/>
  <c r="GG21"/>
  <c r="GF21"/>
  <c r="GE21"/>
  <c r="GD21"/>
  <c r="GC21"/>
  <c r="GB21"/>
  <c r="GA21"/>
  <c r="FZ21"/>
  <c r="FY21"/>
  <c r="FX21"/>
  <c r="FW21"/>
  <c r="FV21"/>
  <c r="FU21"/>
  <c r="FT21"/>
  <c r="FS21"/>
  <c r="FR21"/>
  <c r="FQ21"/>
  <c r="FP21"/>
  <c r="FO21"/>
  <c r="FN21"/>
  <c r="FM21"/>
  <c r="FL21"/>
  <c r="FK21"/>
  <c r="FJ21"/>
  <c r="FI21"/>
  <c r="FH21"/>
  <c r="FG21"/>
  <c r="FF21"/>
  <c r="FE21"/>
  <c r="FD21"/>
  <c r="FC21"/>
  <c r="FB21"/>
  <c r="FA21"/>
  <c r="EZ21"/>
  <c r="EY21"/>
  <c r="EX21"/>
  <c r="EW21"/>
  <c r="EV21"/>
  <c r="EU21"/>
  <c r="ET21"/>
  <c r="ES21"/>
  <c r="ER21"/>
  <c r="EQ21"/>
  <c r="EP21"/>
  <c r="EO21"/>
  <c r="EN21"/>
  <c r="EM21"/>
  <c r="EL21"/>
  <c r="EK21"/>
  <c r="EJ21"/>
  <c r="EI21"/>
  <c r="EH21"/>
  <c r="EG21"/>
  <c r="EF21"/>
  <c r="EE21"/>
  <c r="ED21"/>
  <c r="EC21"/>
  <c r="EB21"/>
  <c r="EA21"/>
  <c r="DZ21"/>
  <c r="DY21"/>
  <c r="DX21"/>
  <c r="DW21"/>
  <c r="DV21"/>
  <c r="DU21"/>
  <c r="DT21"/>
  <c r="DS21"/>
  <c r="DR21"/>
  <c r="DQ21"/>
  <c r="DP21"/>
  <c r="DO21"/>
  <c r="DN21"/>
  <c r="DM21"/>
  <c r="DL21"/>
  <c r="DK21"/>
  <c r="DJ21"/>
  <c r="DI21"/>
  <c r="DH21"/>
  <c r="DG21"/>
  <c r="DF21"/>
  <c r="DE21"/>
  <c r="DD21"/>
  <c r="DC21"/>
  <c r="DB21"/>
  <c r="DA21"/>
  <c r="CZ21"/>
  <c r="CY21"/>
  <c r="CX21"/>
  <c r="CW21"/>
  <c r="CV21"/>
  <c r="CU21"/>
  <c r="CT21"/>
  <c r="CS21"/>
  <c r="CR21"/>
  <c r="CQ21"/>
  <c r="CP21"/>
  <c r="CO21"/>
  <c r="CN21"/>
  <c r="CM21"/>
  <c r="CL21"/>
  <c r="CK21"/>
  <c r="CJ21"/>
  <c r="CI21"/>
  <c r="CH21"/>
  <c r="CG21"/>
  <c r="CF21"/>
  <c r="CE21"/>
  <c r="CD21"/>
  <c r="CC21"/>
  <c r="CB21"/>
  <c r="CA21"/>
  <c r="BZ21"/>
  <c r="BY21"/>
  <c r="BX21"/>
  <c r="BW21"/>
  <c r="BV21"/>
  <c r="BU21"/>
  <c r="BT21"/>
  <c r="BS21"/>
  <c r="BR21"/>
  <c r="BQ21"/>
  <c r="BP21"/>
  <c r="BO21"/>
  <c r="BN21"/>
  <c r="BM21"/>
  <c r="BL21"/>
  <c r="BK21"/>
  <c r="BJ21"/>
  <c r="BI21"/>
  <c r="BH21"/>
  <c r="BG21"/>
  <c r="BF21"/>
  <c r="BE21"/>
  <c r="BD21"/>
  <c r="BC21"/>
  <c r="BB21"/>
  <c r="BA21"/>
  <c r="AZ21"/>
  <c r="AY21"/>
  <c r="AX21"/>
  <c r="AW21"/>
  <c r="AV21"/>
  <c r="AU21"/>
  <c r="AT21"/>
  <c r="AS21"/>
  <c r="AR21"/>
  <c r="AQ21"/>
  <c r="AP21"/>
  <c r="AO21"/>
  <c r="AN21"/>
  <c r="AM21"/>
  <c r="AL21"/>
  <c r="AK21"/>
  <c r="AJ21"/>
  <c r="AI21"/>
  <c r="AH21"/>
  <c r="AG21"/>
  <c r="AF21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B21"/>
  <c r="A21"/>
  <c r="IV20"/>
  <c r="IU20"/>
  <c r="IT20"/>
  <c r="IS20"/>
  <c r="IR20"/>
  <c r="IQ20"/>
  <c r="IP20"/>
  <c r="IO20"/>
  <c r="IN20"/>
  <c r="IM20"/>
  <c r="IL20"/>
  <c r="IK20"/>
  <c r="IJ20"/>
  <c r="II20"/>
  <c r="IH20"/>
  <c r="IG20"/>
  <c r="IF20"/>
  <c r="IE20"/>
  <c r="ID20"/>
  <c r="IC20"/>
  <c r="IB20"/>
  <c r="IA20"/>
  <c r="HZ20"/>
  <c r="HY20"/>
  <c r="HX20"/>
  <c r="HW20"/>
  <c r="HV20"/>
  <c r="HU20"/>
  <c r="HT20"/>
  <c r="HS20"/>
  <c r="HR20"/>
  <c r="HQ20"/>
  <c r="HP20"/>
  <c r="HO20"/>
  <c r="HN20"/>
  <c r="HM20"/>
  <c r="HL20"/>
  <c r="HK20"/>
  <c r="HJ20"/>
  <c r="HI20"/>
  <c r="HH20"/>
  <c r="HG20"/>
  <c r="HF20"/>
  <c r="HE20"/>
  <c r="HD20"/>
  <c r="HC20"/>
  <c r="HB20"/>
  <c r="HA20"/>
  <c r="GZ20"/>
  <c r="GY20"/>
  <c r="GX20"/>
  <c r="GW20"/>
  <c r="GV20"/>
  <c r="GU20"/>
  <c r="GT20"/>
  <c r="GS20"/>
  <c r="GR20"/>
  <c r="GQ20"/>
  <c r="GP20"/>
  <c r="GO20"/>
  <c r="GN20"/>
  <c r="GM20"/>
  <c r="GL20"/>
  <c r="GK20"/>
  <c r="GJ20"/>
  <c r="GI20"/>
  <c r="GH20"/>
  <c r="GG20"/>
  <c r="GF20"/>
  <c r="GE20"/>
  <c r="GD20"/>
  <c r="GC20"/>
  <c r="GB20"/>
  <c r="GA20"/>
  <c r="FZ20"/>
  <c r="FY20"/>
  <c r="FX20"/>
  <c r="FW20"/>
  <c r="FV20"/>
  <c r="FU20"/>
  <c r="FT20"/>
  <c r="FS20"/>
  <c r="FR20"/>
  <c r="FQ20"/>
  <c r="FP20"/>
  <c r="FO20"/>
  <c r="FN20"/>
  <c r="FM20"/>
  <c r="FL20"/>
  <c r="FK20"/>
  <c r="FJ20"/>
  <c r="FI20"/>
  <c r="FH20"/>
  <c r="FG20"/>
  <c r="FF20"/>
  <c r="FE20"/>
  <c r="FD20"/>
  <c r="FC20"/>
  <c r="FB20"/>
  <c r="FA20"/>
  <c r="EZ20"/>
  <c r="EY20"/>
  <c r="EX20"/>
  <c r="EW20"/>
  <c r="EV20"/>
  <c r="EU20"/>
  <c r="ET20"/>
  <c r="ES20"/>
  <c r="ER20"/>
  <c r="EQ20"/>
  <c r="EP20"/>
  <c r="EO20"/>
  <c r="EN20"/>
  <c r="EM20"/>
  <c r="EL20"/>
  <c r="EK20"/>
  <c r="EJ20"/>
  <c r="EI20"/>
  <c r="EH20"/>
  <c r="EG20"/>
  <c r="EF20"/>
  <c r="EE20"/>
  <c r="ED20"/>
  <c r="EC20"/>
  <c r="EB20"/>
  <c r="EA20"/>
  <c r="DZ20"/>
  <c r="DY20"/>
  <c r="DX20"/>
  <c r="DW20"/>
  <c r="DV20"/>
  <c r="DU20"/>
  <c r="DT20"/>
  <c r="DS20"/>
  <c r="DR20"/>
  <c r="DQ20"/>
  <c r="DP20"/>
  <c r="DO20"/>
  <c r="DN20"/>
  <c r="DM20"/>
  <c r="DL20"/>
  <c r="DK20"/>
  <c r="DJ20"/>
  <c r="DI20"/>
  <c r="DH20"/>
  <c r="DG20"/>
  <c r="DF20"/>
  <c r="DE20"/>
  <c r="DD20"/>
  <c r="DC20"/>
  <c r="DB20"/>
  <c r="DA20"/>
  <c r="CZ20"/>
  <c r="CY20"/>
  <c r="CX20"/>
  <c r="CW20"/>
  <c r="CV20"/>
  <c r="CU20"/>
  <c r="CT20"/>
  <c r="CS20"/>
  <c r="CR20"/>
  <c r="CQ20"/>
  <c r="CP20"/>
  <c r="CO20"/>
  <c r="CN20"/>
  <c r="CM20"/>
  <c r="CL20"/>
  <c r="CK20"/>
  <c r="CJ20"/>
  <c r="CI20"/>
  <c r="CH20"/>
  <c r="CG20"/>
  <c r="CF20"/>
  <c r="CE20"/>
  <c r="CD20"/>
  <c r="CC20"/>
  <c r="CB20"/>
  <c r="CA20"/>
  <c r="BZ20"/>
  <c r="BY20"/>
  <c r="BX20"/>
  <c r="BW20"/>
  <c r="BV20"/>
  <c r="BU20"/>
  <c r="BT20"/>
  <c r="BS20"/>
  <c r="BR20"/>
  <c r="BQ20"/>
  <c r="BP20"/>
  <c r="BO20"/>
  <c r="BN20"/>
  <c r="BM20"/>
  <c r="BL20"/>
  <c r="BK20"/>
  <c r="BJ20"/>
  <c r="BI20"/>
  <c r="BH20"/>
  <c r="BG20"/>
  <c r="BF20"/>
  <c r="BE20"/>
  <c r="BD20"/>
  <c r="BC20"/>
  <c r="BB20"/>
  <c r="BA20"/>
  <c r="AZ20"/>
  <c r="AY20"/>
  <c r="AX20"/>
  <c r="AW20"/>
  <c r="AV20"/>
  <c r="AU20"/>
  <c r="AT20"/>
  <c r="AS20"/>
  <c r="AR20"/>
  <c r="AQ20"/>
  <c r="AP20"/>
  <c r="AO20"/>
  <c r="AN20"/>
  <c r="AM20"/>
  <c r="AL20"/>
  <c r="AK20"/>
  <c r="AJ20"/>
  <c r="AI20"/>
  <c r="AH20"/>
  <c r="AG20"/>
  <c r="AF20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B20"/>
  <c r="A20"/>
  <c r="IV19"/>
  <c r="IU19"/>
  <c r="IT19"/>
  <c r="IS19"/>
  <c r="IR19"/>
  <c r="IQ19"/>
  <c r="IP19"/>
  <c r="IO19"/>
  <c r="IN19"/>
  <c r="IM19"/>
  <c r="IL19"/>
  <c r="IK19"/>
  <c r="IJ19"/>
  <c r="II19"/>
  <c r="IH19"/>
  <c r="IG19"/>
  <c r="IF19"/>
  <c r="IE19"/>
  <c r="ID19"/>
  <c r="IC19"/>
  <c r="IB19"/>
  <c r="IA19"/>
  <c r="HZ19"/>
  <c r="HY19"/>
  <c r="HX19"/>
  <c r="HW19"/>
  <c r="HV19"/>
  <c r="HU19"/>
  <c r="HT19"/>
  <c r="HS19"/>
  <c r="HR19"/>
  <c r="HQ19"/>
  <c r="HP19"/>
  <c r="HO19"/>
  <c r="HN19"/>
  <c r="HM19"/>
  <c r="HL19"/>
  <c r="HK19"/>
  <c r="HJ19"/>
  <c r="HI19"/>
  <c r="HH19"/>
  <c r="HG19"/>
  <c r="HF19"/>
  <c r="HE19"/>
  <c r="HD19"/>
  <c r="HC19"/>
  <c r="HB19"/>
  <c r="HA19"/>
  <c r="GZ19"/>
  <c r="GY19"/>
  <c r="GX19"/>
  <c r="GW19"/>
  <c r="GV19"/>
  <c r="GU19"/>
  <c r="GT19"/>
  <c r="GS19"/>
  <c r="GR19"/>
  <c r="GQ19"/>
  <c r="GP19"/>
  <c r="GO19"/>
  <c r="GN19"/>
  <c r="GM19"/>
  <c r="GL19"/>
  <c r="GK19"/>
  <c r="GJ19"/>
  <c r="GI19"/>
  <c r="GH19"/>
  <c r="GG19"/>
  <c r="GF19"/>
  <c r="GE19"/>
  <c r="GD19"/>
  <c r="GC19"/>
  <c r="GB19"/>
  <c r="GA19"/>
  <c r="FZ19"/>
  <c r="FY19"/>
  <c r="FX19"/>
  <c r="FW19"/>
  <c r="FV19"/>
  <c r="FU19"/>
  <c r="FT19"/>
  <c r="FS19"/>
  <c r="FR19"/>
  <c r="FQ19"/>
  <c r="FP19"/>
  <c r="FO19"/>
  <c r="FN19"/>
  <c r="FM19"/>
  <c r="FL19"/>
  <c r="FK19"/>
  <c r="FJ19"/>
  <c r="FI19"/>
  <c r="FH19"/>
  <c r="FG19"/>
  <c r="FF19"/>
  <c r="FE19"/>
  <c r="FD19"/>
  <c r="FC19"/>
  <c r="FB19"/>
  <c r="FA19"/>
  <c r="EZ19"/>
  <c r="EY19"/>
  <c r="EX19"/>
  <c r="EW19"/>
  <c r="EV19"/>
  <c r="EU19"/>
  <c r="ET19"/>
  <c r="ES19"/>
  <c r="ER19"/>
  <c r="EQ19"/>
  <c r="EP19"/>
  <c r="EO19"/>
  <c r="EN19"/>
  <c r="EM19"/>
  <c r="EL19"/>
  <c r="EK19"/>
  <c r="EJ19"/>
  <c r="EI19"/>
  <c r="EH19"/>
  <c r="EG19"/>
  <c r="EF19"/>
  <c r="EE19"/>
  <c r="ED19"/>
  <c r="EC19"/>
  <c r="EB19"/>
  <c r="EA19"/>
  <c r="DZ19"/>
  <c r="DY19"/>
  <c r="DX19"/>
  <c r="DW19"/>
  <c r="DV19"/>
  <c r="DU19"/>
  <c r="DT19"/>
  <c r="DS19"/>
  <c r="DR19"/>
  <c r="DQ19"/>
  <c r="DP19"/>
  <c r="DO19"/>
  <c r="DN19"/>
  <c r="DM19"/>
  <c r="DL19"/>
  <c r="DK19"/>
  <c r="DJ19"/>
  <c r="DI19"/>
  <c r="DH19"/>
  <c r="DG19"/>
  <c r="DF19"/>
  <c r="DE19"/>
  <c r="DD19"/>
  <c r="DC19"/>
  <c r="DB19"/>
  <c r="DA19"/>
  <c r="CZ19"/>
  <c r="CY19"/>
  <c r="CX19"/>
  <c r="CW19"/>
  <c r="CV19"/>
  <c r="CU19"/>
  <c r="CT19"/>
  <c r="CS19"/>
  <c r="CR19"/>
  <c r="CQ19"/>
  <c r="CP19"/>
  <c r="CO19"/>
  <c r="CN19"/>
  <c r="CM19"/>
  <c r="CL19"/>
  <c r="CK19"/>
  <c r="CJ19"/>
  <c r="CI19"/>
  <c r="CH19"/>
  <c r="CG19"/>
  <c r="CF19"/>
  <c r="CE19"/>
  <c r="CD19"/>
  <c r="CC19"/>
  <c r="CB19"/>
  <c r="CA19"/>
  <c r="BZ19"/>
  <c r="BY19"/>
  <c r="BX19"/>
  <c r="BW19"/>
  <c r="BV19"/>
  <c r="BU19"/>
  <c r="BT19"/>
  <c r="BS19"/>
  <c r="BR19"/>
  <c r="BQ19"/>
  <c r="BP19"/>
  <c r="BO19"/>
  <c r="BN19"/>
  <c r="BM19"/>
  <c r="BL19"/>
  <c r="BK19"/>
  <c r="BJ19"/>
  <c r="BI19"/>
  <c r="BH19"/>
  <c r="BG19"/>
  <c r="BF19"/>
  <c r="BE19"/>
  <c r="BD19"/>
  <c r="BC19"/>
  <c r="BB19"/>
  <c r="BA19"/>
  <c r="AZ19"/>
  <c r="AY19"/>
  <c r="AX19"/>
  <c r="AW19"/>
  <c r="AV19"/>
  <c r="AU19"/>
  <c r="AT19"/>
  <c r="AS19"/>
  <c r="AR19"/>
  <c r="AQ19"/>
  <c r="AP19"/>
  <c r="AO19"/>
  <c r="AN19"/>
  <c r="AM19"/>
  <c r="AL19"/>
  <c r="AK19"/>
  <c r="AJ19"/>
  <c r="AI19"/>
  <c r="AH19"/>
  <c r="AG19"/>
  <c r="AF19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B19"/>
  <c r="A19"/>
  <c r="IV18"/>
  <c r="IU18"/>
  <c r="IT18"/>
  <c r="IS18"/>
  <c r="IR18"/>
  <c r="IQ18"/>
  <c r="IP18"/>
  <c r="IO18"/>
  <c r="IN18"/>
  <c r="IM18"/>
  <c r="IL18"/>
  <c r="IK18"/>
  <c r="IJ18"/>
  <c r="II18"/>
  <c r="IH18"/>
  <c r="IG18"/>
  <c r="IF18"/>
  <c r="IE18"/>
  <c r="ID18"/>
  <c r="IC18"/>
  <c r="IB18"/>
  <c r="IA18"/>
  <c r="HZ18"/>
  <c r="HY18"/>
  <c r="HX18"/>
  <c r="HW18"/>
  <c r="HV18"/>
  <c r="HU18"/>
  <c r="HT18"/>
  <c r="HS18"/>
  <c r="HR18"/>
  <c r="HQ18"/>
  <c r="HP18"/>
  <c r="HO18"/>
  <c r="HN18"/>
  <c r="HM18"/>
  <c r="HL18"/>
  <c r="HK18"/>
  <c r="HJ18"/>
  <c r="HI18"/>
  <c r="HH18"/>
  <c r="HG18"/>
  <c r="HF18"/>
  <c r="HE18"/>
  <c r="HD18"/>
  <c r="HC18"/>
  <c r="HB18"/>
  <c r="HA18"/>
  <c r="GZ18"/>
  <c r="GY18"/>
  <c r="GX18"/>
  <c r="GW18"/>
  <c r="GV18"/>
  <c r="GU18"/>
  <c r="GT18"/>
  <c r="GS18"/>
  <c r="GR18"/>
  <c r="GQ18"/>
  <c r="GP18"/>
  <c r="GO18"/>
  <c r="GN18"/>
  <c r="GM18"/>
  <c r="GL18"/>
  <c r="GK18"/>
  <c r="GJ18"/>
  <c r="GI18"/>
  <c r="GH18"/>
  <c r="GG18"/>
  <c r="GF18"/>
  <c r="GE18"/>
  <c r="GD18"/>
  <c r="GC18"/>
  <c r="GB18"/>
  <c r="GA18"/>
  <c r="FZ18"/>
  <c r="FY18"/>
  <c r="FX18"/>
  <c r="FW18"/>
  <c r="FV18"/>
  <c r="FU18"/>
  <c r="FT18"/>
  <c r="FS18"/>
  <c r="FR18"/>
  <c r="FQ18"/>
  <c r="FP18"/>
  <c r="FO18"/>
  <c r="FN18"/>
  <c r="FM18"/>
  <c r="FL18"/>
  <c r="FK18"/>
  <c r="FJ18"/>
  <c r="FI18"/>
  <c r="FH18"/>
  <c r="FG18"/>
  <c r="FF18"/>
  <c r="FE18"/>
  <c r="FD18"/>
  <c r="FC18"/>
  <c r="FB18"/>
  <c r="FA18"/>
  <c r="EZ18"/>
  <c r="EY18"/>
  <c r="EX18"/>
  <c r="EW18"/>
  <c r="EV18"/>
  <c r="EU18"/>
  <c r="ET18"/>
  <c r="ES18"/>
  <c r="ER18"/>
  <c r="EQ18"/>
  <c r="EP18"/>
  <c r="EO18"/>
  <c r="EN18"/>
  <c r="EM18"/>
  <c r="EL18"/>
  <c r="EK18"/>
  <c r="EJ18"/>
  <c r="EI18"/>
  <c r="EH18"/>
  <c r="EG18"/>
  <c r="EF18"/>
  <c r="EE18"/>
  <c r="ED18"/>
  <c r="EC18"/>
  <c r="EB18"/>
  <c r="EA18"/>
  <c r="DZ18"/>
  <c r="DY18"/>
  <c r="DX18"/>
  <c r="DW18"/>
  <c r="DV18"/>
  <c r="DU18"/>
  <c r="DT18"/>
  <c r="DS18"/>
  <c r="DR18"/>
  <c r="DQ18"/>
  <c r="DP18"/>
  <c r="DO18"/>
  <c r="DN18"/>
  <c r="DM18"/>
  <c r="DL18"/>
  <c r="DK18"/>
  <c r="DJ18"/>
  <c r="DI18"/>
  <c r="DH18"/>
  <c r="DG18"/>
  <c r="DF18"/>
  <c r="DE18"/>
  <c r="DD18"/>
  <c r="DC18"/>
  <c r="DB18"/>
  <c r="DA18"/>
  <c r="CZ18"/>
  <c r="CY18"/>
  <c r="CX18"/>
  <c r="CW18"/>
  <c r="CV18"/>
  <c r="CU18"/>
  <c r="CT18"/>
  <c r="CS18"/>
  <c r="CR18"/>
  <c r="CQ18"/>
  <c r="CP18"/>
  <c r="CO18"/>
  <c r="CN18"/>
  <c r="CM18"/>
  <c r="CL18"/>
  <c r="CK18"/>
  <c r="CJ18"/>
  <c r="CI18"/>
  <c r="CH18"/>
  <c r="CG18"/>
  <c r="CF18"/>
  <c r="CE18"/>
  <c r="CD18"/>
  <c r="CC18"/>
  <c r="CB18"/>
  <c r="CA18"/>
  <c r="BZ18"/>
  <c r="BY18"/>
  <c r="BX18"/>
  <c r="BW18"/>
  <c r="BV18"/>
  <c r="BU18"/>
  <c r="BT18"/>
  <c r="BS18"/>
  <c r="BR18"/>
  <c r="BQ18"/>
  <c r="BP18"/>
  <c r="BO18"/>
  <c r="BN18"/>
  <c r="BM18"/>
  <c r="BL18"/>
  <c r="BK18"/>
  <c r="BJ18"/>
  <c r="BI18"/>
  <c r="BH18"/>
  <c r="BG18"/>
  <c r="BF18"/>
  <c r="BE18"/>
  <c r="BD18"/>
  <c r="BC18"/>
  <c r="BB18"/>
  <c r="BA18"/>
  <c r="AZ18"/>
  <c r="AY18"/>
  <c r="AX18"/>
  <c r="AW18"/>
  <c r="AV18"/>
  <c r="AU18"/>
  <c r="AT18"/>
  <c r="AS18"/>
  <c r="AR18"/>
  <c r="AQ18"/>
  <c r="AP18"/>
  <c r="AO18"/>
  <c r="AN18"/>
  <c r="AM18"/>
  <c r="AL18"/>
  <c r="AK18"/>
  <c r="AJ18"/>
  <c r="AI18"/>
  <c r="AH18"/>
  <c r="AG18"/>
  <c r="AF18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B18"/>
  <c r="A18"/>
  <c r="IV17"/>
  <c r="IU17"/>
  <c r="IT17"/>
  <c r="IS17"/>
  <c r="IR17"/>
  <c r="IQ17"/>
  <c r="IP17"/>
  <c r="IO17"/>
  <c r="IN17"/>
  <c r="IM17"/>
  <c r="IL17"/>
  <c r="IK17"/>
  <c r="IJ17"/>
  <c r="II17"/>
  <c r="IH17"/>
  <c r="IG17"/>
  <c r="IF17"/>
  <c r="IE17"/>
  <c r="ID17"/>
  <c r="IC17"/>
  <c r="IB17"/>
  <c r="IA17"/>
  <c r="HZ17"/>
  <c r="HY17"/>
  <c r="HX17"/>
  <c r="HW17"/>
  <c r="HV17"/>
  <c r="HU17"/>
  <c r="HT17"/>
  <c r="HS17"/>
  <c r="HR17"/>
  <c r="HQ17"/>
  <c r="HP17"/>
  <c r="HO17"/>
  <c r="HN17"/>
  <c r="HM17"/>
  <c r="HL17"/>
  <c r="HK17"/>
  <c r="HJ17"/>
  <c r="HI17"/>
  <c r="HH17"/>
  <c r="HG17"/>
  <c r="HF17"/>
  <c r="HE17"/>
  <c r="HD17"/>
  <c r="HC17"/>
  <c r="HB17"/>
  <c r="HA17"/>
  <c r="GZ17"/>
  <c r="GY17"/>
  <c r="GX17"/>
  <c r="GW17"/>
  <c r="GV17"/>
  <c r="GU17"/>
  <c r="GT17"/>
  <c r="GS17"/>
  <c r="GR17"/>
  <c r="GQ17"/>
  <c r="GP17"/>
  <c r="GO17"/>
  <c r="GN17"/>
  <c r="GM17"/>
  <c r="GL17"/>
  <c r="GK17"/>
  <c r="GJ17"/>
  <c r="GI17"/>
  <c r="GH17"/>
  <c r="GG17"/>
  <c r="GF17"/>
  <c r="GE17"/>
  <c r="GD17"/>
  <c r="GC17"/>
  <c r="GB17"/>
  <c r="GA17"/>
  <c r="FZ17"/>
  <c r="FY17"/>
  <c r="FX17"/>
  <c r="FW17"/>
  <c r="FV17"/>
  <c r="FU17"/>
  <c r="FT17"/>
  <c r="FS17"/>
  <c r="FR17"/>
  <c r="FQ17"/>
  <c r="FP17"/>
  <c r="FO17"/>
  <c r="FN17"/>
  <c r="FM17"/>
  <c r="FL17"/>
  <c r="FK17"/>
  <c r="FJ17"/>
  <c r="FI17"/>
  <c r="FH17"/>
  <c r="FG17"/>
  <c r="FF17"/>
  <c r="FE17"/>
  <c r="FD17"/>
  <c r="FC17"/>
  <c r="FB17"/>
  <c r="FA17"/>
  <c r="EZ17"/>
  <c r="EY17"/>
  <c r="EX17"/>
  <c r="EW17"/>
  <c r="EV17"/>
  <c r="EU17"/>
  <c r="ET17"/>
  <c r="ES17"/>
  <c r="ER17"/>
  <c r="EQ17"/>
  <c r="EP17"/>
  <c r="EO17"/>
  <c r="EN17"/>
  <c r="EM17"/>
  <c r="EL17"/>
  <c r="EK17"/>
  <c r="EJ17"/>
  <c r="EI17"/>
  <c r="EH17"/>
  <c r="EG17"/>
  <c r="EF17"/>
  <c r="EE17"/>
  <c r="ED17"/>
  <c r="EC17"/>
  <c r="EB17"/>
  <c r="EA17"/>
  <c r="DZ17"/>
  <c r="DY17"/>
  <c r="DX17"/>
  <c r="DW17"/>
  <c r="DV17"/>
  <c r="DU17"/>
  <c r="DT17"/>
  <c r="DS17"/>
  <c r="DR17"/>
  <c r="DQ17"/>
  <c r="DP17"/>
  <c r="DO17"/>
  <c r="DN17"/>
  <c r="DM17"/>
  <c r="DL17"/>
  <c r="DK17"/>
  <c r="DJ17"/>
  <c r="DI17"/>
  <c r="DH17"/>
  <c r="DG17"/>
  <c r="DF17"/>
  <c r="DE17"/>
  <c r="DD17"/>
  <c r="DC17"/>
  <c r="DB17"/>
  <c r="DA17"/>
  <c r="CZ17"/>
  <c r="CY17"/>
  <c r="CX17"/>
  <c r="CW17"/>
  <c r="CV17"/>
  <c r="CU17"/>
  <c r="CT17"/>
  <c r="CS17"/>
  <c r="CR17"/>
  <c r="CQ17"/>
  <c r="CP17"/>
  <c r="CO17"/>
  <c r="CN17"/>
  <c r="CM17"/>
  <c r="CL17"/>
  <c r="CK17"/>
  <c r="CJ17"/>
  <c r="CI17"/>
  <c r="CH17"/>
  <c r="CG17"/>
  <c r="CF17"/>
  <c r="CE17"/>
  <c r="CD17"/>
  <c r="CC17"/>
  <c r="CB17"/>
  <c r="CA17"/>
  <c r="BZ17"/>
  <c r="BY17"/>
  <c r="BX17"/>
  <c r="BW17"/>
  <c r="BV17"/>
  <c r="BU17"/>
  <c r="BT17"/>
  <c r="BS17"/>
  <c r="BR17"/>
  <c r="BQ17"/>
  <c r="BP17"/>
  <c r="BO17"/>
  <c r="BN17"/>
  <c r="BM17"/>
  <c r="BL17"/>
  <c r="BK17"/>
  <c r="BJ17"/>
  <c r="BI17"/>
  <c r="BH17"/>
  <c r="BG17"/>
  <c r="BF17"/>
  <c r="BE17"/>
  <c r="BD17"/>
  <c r="BC17"/>
  <c r="BB17"/>
  <c r="BA17"/>
  <c r="AZ17"/>
  <c r="AY17"/>
  <c r="AX17"/>
  <c r="AW17"/>
  <c r="AV17"/>
  <c r="AU17"/>
  <c r="AT17"/>
  <c r="AS17"/>
  <c r="AR17"/>
  <c r="AQ17"/>
  <c r="AP17"/>
  <c r="AO17"/>
  <c r="AN17"/>
  <c r="AM17"/>
  <c r="AL17"/>
  <c r="AK17"/>
  <c r="AJ17"/>
  <c r="AI17"/>
  <c r="AH17"/>
  <c r="AG17"/>
  <c r="AF17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B17"/>
  <c r="A17"/>
  <c r="IV16"/>
  <c r="IU16"/>
  <c r="IT16"/>
  <c r="IS16"/>
  <c r="IR16"/>
  <c r="IQ16"/>
  <c r="IP16"/>
  <c r="IO16"/>
  <c r="IN16"/>
  <c r="IM16"/>
  <c r="IL16"/>
  <c r="IK16"/>
  <c r="IJ16"/>
  <c r="II16"/>
  <c r="IH16"/>
  <c r="IG16"/>
  <c r="IF16"/>
  <c r="IE16"/>
  <c r="ID16"/>
  <c r="IC16"/>
  <c r="IB16"/>
  <c r="IA16"/>
  <c r="HZ16"/>
  <c r="HY16"/>
  <c r="HX16"/>
  <c r="HW16"/>
  <c r="HV16"/>
  <c r="HU16"/>
  <c r="HT16"/>
  <c r="HS16"/>
  <c r="HR16"/>
  <c r="HQ16"/>
  <c r="HP16"/>
  <c r="HO16"/>
  <c r="HN16"/>
  <c r="HM16"/>
  <c r="HL16"/>
  <c r="HK16"/>
  <c r="HJ16"/>
  <c r="HI16"/>
  <c r="HH16"/>
  <c r="HG16"/>
  <c r="HF16"/>
  <c r="HE16"/>
  <c r="HD16"/>
  <c r="HC16"/>
  <c r="HB16"/>
  <c r="HA16"/>
  <c r="GZ16"/>
  <c r="GY16"/>
  <c r="GX16"/>
  <c r="GW16"/>
  <c r="GV16"/>
  <c r="GU16"/>
  <c r="GT16"/>
  <c r="GS16"/>
  <c r="GR16"/>
  <c r="GQ16"/>
  <c r="GP16"/>
  <c r="GO16"/>
  <c r="GN16"/>
  <c r="GM16"/>
  <c r="GL16"/>
  <c r="GK16"/>
  <c r="GJ16"/>
  <c r="GI16"/>
  <c r="GH16"/>
  <c r="GG16"/>
  <c r="GF16"/>
  <c r="GE16"/>
  <c r="GD16"/>
  <c r="GC16"/>
  <c r="GB16"/>
  <c r="GA16"/>
  <c r="FZ16"/>
  <c r="FY16"/>
  <c r="FX16"/>
  <c r="FW16"/>
  <c r="FV16"/>
  <c r="FU16"/>
  <c r="FT16"/>
  <c r="FS16"/>
  <c r="FR16"/>
  <c r="FQ16"/>
  <c r="FP16"/>
  <c r="FO16"/>
  <c r="FN16"/>
  <c r="FM16"/>
  <c r="FL16"/>
  <c r="FK16"/>
  <c r="FJ16"/>
  <c r="FI16"/>
  <c r="FH16"/>
  <c r="FG16"/>
  <c r="FF16"/>
  <c r="FE16"/>
  <c r="FD16"/>
  <c r="FC16"/>
  <c r="FB16"/>
  <c r="FA16"/>
  <c r="EZ16"/>
  <c r="EY16"/>
  <c r="EX16"/>
  <c r="EW16"/>
  <c r="EV16"/>
  <c r="EU16"/>
  <c r="ET16"/>
  <c r="ES16"/>
  <c r="ER16"/>
  <c r="EQ16"/>
  <c r="EP16"/>
  <c r="EO16"/>
  <c r="EN16"/>
  <c r="EM16"/>
  <c r="EL16"/>
  <c r="EK16"/>
  <c r="EJ16"/>
  <c r="EI16"/>
  <c r="EH16"/>
  <c r="EG16"/>
  <c r="EF16"/>
  <c r="EE16"/>
  <c r="ED16"/>
  <c r="EC16"/>
  <c r="EB16"/>
  <c r="EA16"/>
  <c r="DZ16"/>
  <c r="DY16"/>
  <c r="DX16"/>
  <c r="DW16"/>
  <c r="DV16"/>
  <c r="DU16"/>
  <c r="DT16"/>
  <c r="DS16"/>
  <c r="DR16"/>
  <c r="DQ16"/>
  <c r="DP16"/>
  <c r="DO16"/>
  <c r="DN16"/>
  <c r="DM16"/>
  <c r="DL16"/>
  <c r="DK16"/>
  <c r="DJ16"/>
  <c r="DI16"/>
  <c r="DH16"/>
  <c r="DG16"/>
  <c r="DF16"/>
  <c r="DE16"/>
  <c r="DD16"/>
  <c r="DC16"/>
  <c r="DB16"/>
  <c r="DA16"/>
  <c r="CZ16"/>
  <c r="CY16"/>
  <c r="CX16"/>
  <c r="CW16"/>
  <c r="CV16"/>
  <c r="CU16"/>
  <c r="CT16"/>
  <c r="CS16"/>
  <c r="CR16"/>
  <c r="CQ16"/>
  <c r="CP16"/>
  <c r="CO16"/>
  <c r="CN16"/>
  <c r="CM16"/>
  <c r="CL16"/>
  <c r="CK16"/>
  <c r="CJ16"/>
  <c r="CI16"/>
  <c r="CH16"/>
  <c r="CG16"/>
  <c r="CF16"/>
  <c r="CE16"/>
  <c r="CD16"/>
  <c r="CC16"/>
  <c r="CB16"/>
  <c r="CA16"/>
  <c r="BZ16"/>
  <c r="BY16"/>
  <c r="BX16"/>
  <c r="BW16"/>
  <c r="BV16"/>
  <c r="BU16"/>
  <c r="BT16"/>
  <c r="BS16"/>
  <c r="BR16"/>
  <c r="BQ16"/>
  <c r="BP16"/>
  <c r="BO16"/>
  <c r="BN16"/>
  <c r="BM16"/>
  <c r="BL16"/>
  <c r="BK16"/>
  <c r="BJ16"/>
  <c r="BI16"/>
  <c r="BH16"/>
  <c r="BG16"/>
  <c r="BF16"/>
  <c r="BE16"/>
  <c r="BD16"/>
  <c r="BC16"/>
  <c r="BB16"/>
  <c r="BA16"/>
  <c r="AZ16"/>
  <c r="AY16"/>
  <c r="AX16"/>
  <c r="AW16"/>
  <c r="AV16"/>
  <c r="AU16"/>
  <c r="AT16"/>
  <c r="AS16"/>
  <c r="AR16"/>
  <c r="AQ16"/>
  <c r="AP16"/>
  <c r="AO16"/>
  <c r="AN16"/>
  <c r="AM16"/>
  <c r="AL16"/>
  <c r="AK16"/>
  <c r="AJ16"/>
  <c r="AI16"/>
  <c r="AH16"/>
  <c r="AG16"/>
  <c r="AF16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B16"/>
  <c r="A16"/>
  <c r="IV15"/>
  <c r="IU15"/>
  <c r="IT15"/>
  <c r="IS15"/>
  <c r="IR15"/>
  <c r="IQ15"/>
  <c r="IP15"/>
  <c r="IO15"/>
  <c r="IN15"/>
  <c r="IM15"/>
  <c r="IL15"/>
  <c r="IK15"/>
  <c r="IJ15"/>
  <c r="II15"/>
  <c r="IH15"/>
  <c r="IG15"/>
  <c r="IF15"/>
  <c r="IE15"/>
  <c r="ID15"/>
  <c r="IC15"/>
  <c r="IB15"/>
  <c r="IA15"/>
  <c r="HZ15"/>
  <c r="HY15"/>
  <c r="HX15"/>
  <c r="HW15"/>
  <c r="HV15"/>
  <c r="HU15"/>
  <c r="HT15"/>
  <c r="HS15"/>
  <c r="HR15"/>
  <c r="HQ15"/>
  <c r="HP15"/>
  <c r="HO15"/>
  <c r="HN15"/>
  <c r="HM15"/>
  <c r="HL15"/>
  <c r="HK15"/>
  <c r="HJ15"/>
  <c r="HI15"/>
  <c r="HH15"/>
  <c r="HG15"/>
  <c r="HF15"/>
  <c r="HE15"/>
  <c r="HD15"/>
  <c r="HC15"/>
  <c r="HB15"/>
  <c r="HA15"/>
  <c r="GZ15"/>
  <c r="GY15"/>
  <c r="GX15"/>
  <c r="GW15"/>
  <c r="GV15"/>
  <c r="GU15"/>
  <c r="GT15"/>
  <c r="GS15"/>
  <c r="GR15"/>
  <c r="GQ15"/>
  <c r="GP15"/>
  <c r="GO15"/>
  <c r="GN15"/>
  <c r="GM15"/>
  <c r="GL15"/>
  <c r="GK15"/>
  <c r="GJ15"/>
  <c r="GI15"/>
  <c r="GH15"/>
  <c r="GG15"/>
  <c r="GF15"/>
  <c r="GE15"/>
  <c r="GD15"/>
  <c r="GC15"/>
  <c r="GB15"/>
  <c r="GA15"/>
  <c r="FZ15"/>
  <c r="FY15"/>
  <c r="FX15"/>
  <c r="FW15"/>
  <c r="FV15"/>
  <c r="FU15"/>
  <c r="FT15"/>
  <c r="FS15"/>
  <c r="FR15"/>
  <c r="FQ15"/>
  <c r="FP15"/>
  <c r="FO15"/>
  <c r="FN15"/>
  <c r="FM15"/>
  <c r="FL15"/>
  <c r="FK15"/>
  <c r="FJ15"/>
  <c r="FI15"/>
  <c r="FH15"/>
  <c r="FG15"/>
  <c r="FF15"/>
  <c r="FE15"/>
  <c r="FD15"/>
  <c r="FC15"/>
  <c r="FB15"/>
  <c r="FA15"/>
  <c r="EZ15"/>
  <c r="EY15"/>
  <c r="EX15"/>
  <c r="EW15"/>
  <c r="EV15"/>
  <c r="EU15"/>
  <c r="ET15"/>
  <c r="ES15"/>
  <c r="ER15"/>
  <c r="EQ15"/>
  <c r="EP15"/>
  <c r="EO15"/>
  <c r="EN15"/>
  <c r="EM15"/>
  <c r="EL15"/>
  <c r="EK15"/>
  <c r="EJ15"/>
  <c r="EI15"/>
  <c r="EH15"/>
  <c r="EG15"/>
  <c r="EF15"/>
  <c r="EE15"/>
  <c r="ED15"/>
  <c r="EC15"/>
  <c r="EB15"/>
  <c r="EA15"/>
  <c r="DZ15"/>
  <c r="DY15"/>
  <c r="DX15"/>
  <c r="DW15"/>
  <c r="DV15"/>
  <c r="DU15"/>
  <c r="DT15"/>
  <c r="DS15"/>
  <c r="DR15"/>
  <c r="DQ15"/>
  <c r="DP15"/>
  <c r="DO15"/>
  <c r="DN15"/>
  <c r="DM15"/>
  <c r="DL15"/>
  <c r="DK15"/>
  <c r="DJ15"/>
  <c r="DI15"/>
  <c r="DH15"/>
  <c r="DG15"/>
  <c r="DF15"/>
  <c r="DE15"/>
  <c r="DD15"/>
  <c r="DC15"/>
  <c r="DB15"/>
  <c r="DA15"/>
  <c r="CZ15"/>
  <c r="CY15"/>
  <c r="CX15"/>
  <c r="CW15"/>
  <c r="CV15"/>
  <c r="CU15"/>
  <c r="CT15"/>
  <c r="CS15"/>
  <c r="CR15"/>
  <c r="CQ15"/>
  <c r="CP15"/>
  <c r="CO15"/>
  <c r="CN15"/>
  <c r="CM15"/>
  <c r="CL15"/>
  <c r="CK15"/>
  <c r="CJ15"/>
  <c r="CI15"/>
  <c r="CH15"/>
  <c r="CG15"/>
  <c r="CF15"/>
  <c r="CE15"/>
  <c r="CD15"/>
  <c r="CC15"/>
  <c r="CB15"/>
  <c r="CA15"/>
  <c r="BZ15"/>
  <c r="BY15"/>
  <c r="BX15"/>
  <c r="BW15"/>
  <c r="BV15"/>
  <c r="BU15"/>
  <c r="BT15"/>
  <c r="BS15"/>
  <c r="BR15"/>
  <c r="BQ15"/>
  <c r="BP15"/>
  <c r="BO15"/>
  <c r="BN15"/>
  <c r="BM15"/>
  <c r="BL15"/>
  <c r="BK15"/>
  <c r="BJ15"/>
  <c r="BI15"/>
  <c r="BH15"/>
  <c r="BG15"/>
  <c r="BF15"/>
  <c r="BE15"/>
  <c r="BD15"/>
  <c r="BC15"/>
  <c r="BB15"/>
  <c r="BA15"/>
  <c r="AZ15"/>
  <c r="AY15"/>
  <c r="AX15"/>
  <c r="AW15"/>
  <c r="AV15"/>
  <c r="AU15"/>
  <c r="AT15"/>
  <c r="AS15"/>
  <c r="AR15"/>
  <c r="AQ15"/>
  <c r="AP15"/>
  <c r="AO15"/>
  <c r="AN15"/>
  <c r="AM15"/>
  <c r="AL15"/>
  <c r="AK15"/>
  <c r="AJ15"/>
  <c r="AI15"/>
  <c r="AH15"/>
  <c r="AG15"/>
  <c r="AF15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B15"/>
  <c r="A15"/>
  <c r="IV14"/>
  <c r="IU14"/>
  <c r="IT14"/>
  <c r="IS14"/>
  <c r="IR14"/>
  <c r="IQ14"/>
  <c r="IP14"/>
  <c r="IO14"/>
  <c r="IN14"/>
  <c r="IM14"/>
  <c r="IL14"/>
  <c r="IK14"/>
  <c r="IJ14"/>
  <c r="II14"/>
  <c r="IH14"/>
  <c r="IG14"/>
  <c r="IF14"/>
  <c r="IE14"/>
  <c r="ID14"/>
  <c r="IC14"/>
  <c r="IB14"/>
  <c r="IA14"/>
  <c r="HZ14"/>
  <c r="HY14"/>
  <c r="HX14"/>
  <c r="HW14"/>
  <c r="HV14"/>
  <c r="HU14"/>
  <c r="HT14"/>
  <c r="HS14"/>
  <c r="HR14"/>
  <c r="HQ14"/>
  <c r="HP14"/>
  <c r="HO14"/>
  <c r="HN14"/>
  <c r="HM14"/>
  <c r="HL14"/>
  <c r="HK14"/>
  <c r="HJ14"/>
  <c r="HI14"/>
  <c r="HH14"/>
  <c r="HG14"/>
  <c r="HF14"/>
  <c r="HE14"/>
  <c r="HD14"/>
  <c r="HC14"/>
  <c r="HB14"/>
  <c r="HA14"/>
  <c r="GZ14"/>
  <c r="GY14"/>
  <c r="GX14"/>
  <c r="GW14"/>
  <c r="GV14"/>
  <c r="GU14"/>
  <c r="GT14"/>
  <c r="GS14"/>
  <c r="GR14"/>
  <c r="GQ14"/>
  <c r="GP14"/>
  <c r="GO14"/>
  <c r="GN14"/>
  <c r="GM14"/>
  <c r="GL14"/>
  <c r="GK14"/>
  <c r="GJ14"/>
  <c r="GI14"/>
  <c r="GH14"/>
  <c r="GG14"/>
  <c r="GF14"/>
  <c r="GE14"/>
  <c r="GD14"/>
  <c r="GC14"/>
  <c r="GB14"/>
  <c r="GA14"/>
  <c r="FZ14"/>
  <c r="FY14"/>
  <c r="FX14"/>
  <c r="FW14"/>
  <c r="FV14"/>
  <c r="FU14"/>
  <c r="FT14"/>
  <c r="FS14"/>
  <c r="FR14"/>
  <c r="FQ14"/>
  <c r="FP14"/>
  <c r="FO14"/>
  <c r="FN14"/>
  <c r="FM14"/>
  <c r="FL14"/>
  <c r="FK14"/>
  <c r="FJ14"/>
  <c r="FI14"/>
  <c r="FH14"/>
  <c r="FG14"/>
  <c r="FF14"/>
  <c r="FE14"/>
  <c r="FD14"/>
  <c r="FC14"/>
  <c r="FB14"/>
  <c r="FA14"/>
  <c r="EZ14"/>
  <c r="EY14"/>
  <c r="EX14"/>
  <c r="EW14"/>
  <c r="EV14"/>
  <c r="EU14"/>
  <c r="ET14"/>
  <c r="ES14"/>
  <c r="ER14"/>
  <c r="EQ14"/>
  <c r="EP14"/>
  <c r="EO14"/>
  <c r="EN14"/>
  <c r="EM14"/>
  <c r="EL14"/>
  <c r="EK14"/>
  <c r="EJ14"/>
  <c r="EI14"/>
  <c r="EH14"/>
  <c r="EG14"/>
  <c r="EF14"/>
  <c r="EE14"/>
  <c r="ED14"/>
  <c r="EC14"/>
  <c r="EB14"/>
  <c r="EA14"/>
  <c r="DZ14"/>
  <c r="DY14"/>
  <c r="DX14"/>
  <c r="DW14"/>
  <c r="DV14"/>
  <c r="DU14"/>
  <c r="DT14"/>
  <c r="DS14"/>
  <c r="DR14"/>
  <c r="DQ14"/>
  <c r="DP14"/>
  <c r="DO14"/>
  <c r="DN14"/>
  <c r="DM14"/>
  <c r="DL14"/>
  <c r="DK14"/>
  <c r="DJ14"/>
  <c r="DI14"/>
  <c r="DH14"/>
  <c r="DG14"/>
  <c r="DF14"/>
  <c r="DE14"/>
  <c r="DD14"/>
  <c r="DC14"/>
  <c r="DB14"/>
  <c r="DA14"/>
  <c r="CZ14"/>
  <c r="CY14"/>
  <c r="CX14"/>
  <c r="CW14"/>
  <c r="CV14"/>
  <c r="CU14"/>
  <c r="CT14"/>
  <c r="CS14"/>
  <c r="CR14"/>
  <c r="CQ14"/>
  <c r="CP14"/>
  <c r="CO14"/>
  <c r="CN14"/>
  <c r="CM14"/>
  <c r="CL14"/>
  <c r="CK14"/>
  <c r="CJ14"/>
  <c r="CI14"/>
  <c r="CH14"/>
  <c r="CG14"/>
  <c r="CF14"/>
  <c r="CE14"/>
  <c r="CD14"/>
  <c r="CC14"/>
  <c r="CB14"/>
  <c r="CA14"/>
  <c r="BZ14"/>
  <c r="BY14"/>
  <c r="BX14"/>
  <c r="BW14"/>
  <c r="BV14"/>
  <c r="BU14"/>
  <c r="BT14"/>
  <c r="BS14"/>
  <c r="BR14"/>
  <c r="BQ14"/>
  <c r="BP14"/>
  <c r="BO14"/>
  <c r="BN14"/>
  <c r="BM14"/>
  <c r="BL14"/>
  <c r="BK14"/>
  <c r="BJ14"/>
  <c r="BI14"/>
  <c r="BH14"/>
  <c r="BG14"/>
  <c r="BF14"/>
  <c r="BE14"/>
  <c r="BD14"/>
  <c r="BC14"/>
  <c r="BB14"/>
  <c r="BA14"/>
  <c r="AZ14"/>
  <c r="AY14"/>
  <c r="AX14"/>
  <c r="AW14"/>
  <c r="AV14"/>
  <c r="AU14"/>
  <c r="AT14"/>
  <c r="AS14"/>
  <c r="AR14"/>
  <c r="AQ14"/>
  <c r="AP14"/>
  <c r="AO14"/>
  <c r="AN14"/>
  <c r="AM14"/>
  <c r="AL14"/>
  <c r="AK14"/>
  <c r="AJ14"/>
  <c r="AI14"/>
  <c r="AH14"/>
  <c r="AG14"/>
  <c r="AF14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B14"/>
  <c r="A14"/>
  <c r="IV13"/>
  <c r="IU13"/>
  <c r="IT13"/>
  <c r="IS13"/>
  <c r="IR13"/>
  <c r="IQ13"/>
  <c r="IP13"/>
  <c r="IO13"/>
  <c r="IN13"/>
  <c r="IM13"/>
  <c r="IL13"/>
  <c r="IK13"/>
  <c r="IJ13"/>
  <c r="II13"/>
  <c r="IH13"/>
  <c r="IG13"/>
  <c r="IF13"/>
  <c r="IE13"/>
  <c r="ID13"/>
  <c r="IC13"/>
  <c r="IB13"/>
  <c r="IA13"/>
  <c r="HZ13"/>
  <c r="HY13"/>
  <c r="HX13"/>
  <c r="HW13"/>
  <c r="HV13"/>
  <c r="HU13"/>
  <c r="HT13"/>
  <c r="HS13"/>
  <c r="HR13"/>
  <c r="HQ13"/>
  <c r="HP13"/>
  <c r="HO13"/>
  <c r="HN13"/>
  <c r="HM13"/>
  <c r="HL13"/>
  <c r="HK13"/>
  <c r="HJ13"/>
  <c r="HI13"/>
  <c r="HH13"/>
  <c r="HG13"/>
  <c r="HF13"/>
  <c r="HE13"/>
  <c r="HD13"/>
  <c r="HC13"/>
  <c r="HB13"/>
  <c r="HA13"/>
  <c r="GZ13"/>
  <c r="GY13"/>
  <c r="GX13"/>
  <c r="GW13"/>
  <c r="GV13"/>
  <c r="GU13"/>
  <c r="GT13"/>
  <c r="GS13"/>
  <c r="GR13"/>
  <c r="GQ13"/>
  <c r="GP13"/>
  <c r="GO13"/>
  <c r="GN13"/>
  <c r="GM13"/>
  <c r="GL13"/>
  <c r="GK13"/>
  <c r="GJ13"/>
  <c r="GI13"/>
  <c r="GH13"/>
  <c r="GG13"/>
  <c r="GF13"/>
  <c r="GE13"/>
  <c r="GD13"/>
  <c r="GC13"/>
  <c r="GB13"/>
  <c r="GA13"/>
  <c r="FZ13"/>
  <c r="FY13"/>
  <c r="FX13"/>
  <c r="FW13"/>
  <c r="FV13"/>
  <c r="FU13"/>
  <c r="FT13"/>
  <c r="FS13"/>
  <c r="FR13"/>
  <c r="FQ13"/>
  <c r="FP13"/>
  <c r="FO13"/>
  <c r="FN13"/>
  <c r="FM13"/>
  <c r="FL13"/>
  <c r="FK13"/>
  <c r="FJ13"/>
  <c r="FI13"/>
  <c r="FH13"/>
  <c r="FG13"/>
  <c r="FF13"/>
  <c r="FE13"/>
  <c r="FD13"/>
  <c r="FC13"/>
  <c r="FB13"/>
  <c r="FA13"/>
  <c r="EZ13"/>
  <c r="EY13"/>
  <c r="EX13"/>
  <c r="EW13"/>
  <c r="EV13"/>
  <c r="EU13"/>
  <c r="ET13"/>
  <c r="ES13"/>
  <c r="ER13"/>
  <c r="EQ13"/>
  <c r="EP13"/>
  <c r="EO13"/>
  <c r="EN13"/>
  <c r="EM13"/>
  <c r="EL13"/>
  <c r="EK13"/>
  <c r="EJ13"/>
  <c r="EI13"/>
  <c r="EH13"/>
  <c r="EG13"/>
  <c r="EF13"/>
  <c r="EE13"/>
  <c r="ED13"/>
  <c r="EC13"/>
  <c r="EB13"/>
  <c r="EA13"/>
  <c r="DZ13"/>
  <c r="DY13"/>
  <c r="DX13"/>
  <c r="DW13"/>
  <c r="DV13"/>
  <c r="DU13"/>
  <c r="DT13"/>
  <c r="DS13"/>
  <c r="DR13"/>
  <c r="DQ13"/>
  <c r="DP13"/>
  <c r="DO13"/>
  <c r="DN13"/>
  <c r="DM13"/>
  <c r="DL13"/>
  <c r="DK13"/>
  <c r="DJ13"/>
  <c r="DI13"/>
  <c r="DH13"/>
  <c r="DG13"/>
  <c r="DF13"/>
  <c r="DE13"/>
  <c r="DD13"/>
  <c r="DC13"/>
  <c r="DB13"/>
  <c r="DA13"/>
  <c r="CZ13"/>
  <c r="CY13"/>
  <c r="CX13"/>
  <c r="CW13"/>
  <c r="CV13"/>
  <c r="CU13"/>
  <c r="CT13"/>
  <c r="CS13"/>
  <c r="CR13"/>
  <c r="CQ13"/>
  <c r="CP13"/>
  <c r="CO13"/>
  <c r="CN13"/>
  <c r="CM13"/>
  <c r="CL13"/>
  <c r="CK13"/>
  <c r="CJ13"/>
  <c r="CI13"/>
  <c r="CH13"/>
  <c r="CG13"/>
  <c r="CF13"/>
  <c r="CE13"/>
  <c r="CD13"/>
  <c r="CC13"/>
  <c r="CB13"/>
  <c r="CA13"/>
  <c r="BZ13"/>
  <c r="BY13"/>
  <c r="BX13"/>
  <c r="BW13"/>
  <c r="BV13"/>
  <c r="BU13"/>
  <c r="BT13"/>
  <c r="BS13"/>
  <c r="BR13"/>
  <c r="BQ13"/>
  <c r="BP13"/>
  <c r="BO13"/>
  <c r="BN13"/>
  <c r="BM13"/>
  <c r="BL13"/>
  <c r="BK13"/>
  <c r="BJ13"/>
  <c r="BI13"/>
  <c r="BH13"/>
  <c r="BG13"/>
  <c r="BF13"/>
  <c r="BE13"/>
  <c r="BD13"/>
  <c r="BC13"/>
  <c r="BB13"/>
  <c r="BA13"/>
  <c r="AZ13"/>
  <c r="AY13"/>
  <c r="AX13"/>
  <c r="AW13"/>
  <c r="AV13"/>
  <c r="AU13"/>
  <c r="AT13"/>
  <c r="AS13"/>
  <c r="AR13"/>
  <c r="AQ13"/>
  <c r="AP13"/>
  <c r="AO13"/>
  <c r="AN13"/>
  <c r="AM13"/>
  <c r="AL13"/>
  <c r="AK13"/>
  <c r="AJ13"/>
  <c r="AI13"/>
  <c r="AH13"/>
  <c r="AG13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B13"/>
  <c r="A13"/>
  <c r="IV12"/>
  <c r="IU12"/>
  <c r="IT12"/>
  <c r="IS12"/>
  <c r="IR12"/>
  <c r="IQ12"/>
  <c r="IP12"/>
  <c r="IO12"/>
  <c r="IN12"/>
  <c r="IM12"/>
  <c r="IL12"/>
  <c r="IK12"/>
  <c r="IJ12"/>
  <c r="II12"/>
  <c r="IH12"/>
  <c r="IG12"/>
  <c r="IF12"/>
  <c r="IE12"/>
  <c r="ID12"/>
  <c r="IC12"/>
  <c r="IB12"/>
  <c r="IA12"/>
  <c r="HZ12"/>
  <c r="HY12"/>
  <c r="HX12"/>
  <c r="HW12"/>
  <c r="HV12"/>
  <c r="HU12"/>
  <c r="HT12"/>
  <c r="HS12"/>
  <c r="HR12"/>
  <c r="HQ12"/>
  <c r="HP12"/>
  <c r="HO12"/>
  <c r="HN12"/>
  <c r="HM12"/>
  <c r="HL12"/>
  <c r="HK12"/>
  <c r="HJ12"/>
  <c r="HI12"/>
  <c r="HH12"/>
  <c r="HG12"/>
  <c r="HF12"/>
  <c r="HE12"/>
  <c r="HD12"/>
  <c r="HC12"/>
  <c r="HB12"/>
  <c r="HA12"/>
  <c r="GZ12"/>
  <c r="GY12"/>
  <c r="GX12"/>
  <c r="GW12"/>
  <c r="GV12"/>
  <c r="GU12"/>
  <c r="GT12"/>
  <c r="GS12"/>
  <c r="GR12"/>
  <c r="GQ12"/>
  <c r="GP12"/>
  <c r="GO12"/>
  <c r="GN12"/>
  <c r="GM12"/>
  <c r="GL12"/>
  <c r="GK12"/>
  <c r="GJ12"/>
  <c r="GI12"/>
  <c r="GH12"/>
  <c r="GG12"/>
  <c r="GF12"/>
  <c r="GE12"/>
  <c r="GD12"/>
  <c r="GC12"/>
  <c r="GB12"/>
  <c r="GA12"/>
  <c r="FZ12"/>
  <c r="FY12"/>
  <c r="FX12"/>
  <c r="FW12"/>
  <c r="FV12"/>
  <c r="FU12"/>
  <c r="FT12"/>
  <c r="FS12"/>
  <c r="FR12"/>
  <c r="FQ12"/>
  <c r="FP12"/>
  <c r="FO12"/>
  <c r="FN12"/>
  <c r="FM12"/>
  <c r="FL12"/>
  <c r="FK12"/>
  <c r="FJ12"/>
  <c r="FI12"/>
  <c r="FH12"/>
  <c r="FG12"/>
  <c r="FF12"/>
  <c r="FE12"/>
  <c r="FD12"/>
  <c r="FC12"/>
  <c r="FB12"/>
  <c r="FA12"/>
  <c r="EZ12"/>
  <c r="EY12"/>
  <c r="EX12"/>
  <c r="EW12"/>
  <c r="EV12"/>
  <c r="EU12"/>
  <c r="ET12"/>
  <c r="ES12"/>
  <c r="ER12"/>
  <c r="EQ12"/>
  <c r="EP12"/>
  <c r="EO12"/>
  <c r="EN12"/>
  <c r="EM12"/>
  <c r="EL12"/>
  <c r="EK12"/>
  <c r="EJ12"/>
  <c r="EI12"/>
  <c r="EH12"/>
  <c r="EG12"/>
  <c r="EF12"/>
  <c r="EE12"/>
  <c r="ED12"/>
  <c r="EC12"/>
  <c r="EB12"/>
  <c r="EA12"/>
  <c r="DZ12"/>
  <c r="DY12"/>
  <c r="DX12"/>
  <c r="DW12"/>
  <c r="DV12"/>
  <c r="DU12"/>
  <c r="DT12"/>
  <c r="DS12"/>
  <c r="DR12"/>
  <c r="DQ12"/>
  <c r="DP12"/>
  <c r="DO12"/>
  <c r="DN12"/>
  <c r="DM12"/>
  <c r="DL12"/>
  <c r="DK12"/>
  <c r="DJ12"/>
  <c r="DI12"/>
  <c r="DH12"/>
  <c r="DG12"/>
  <c r="DF12"/>
  <c r="DE12"/>
  <c r="DD12"/>
  <c r="DC12"/>
  <c r="DB12"/>
  <c r="DA12"/>
  <c r="CZ12"/>
  <c r="CY12"/>
  <c r="CX12"/>
  <c r="CW12"/>
  <c r="CV12"/>
  <c r="CU12"/>
  <c r="CT12"/>
  <c r="CS12"/>
  <c r="CR12"/>
  <c r="CQ12"/>
  <c r="CP12"/>
  <c r="CO12"/>
  <c r="CN12"/>
  <c r="CM12"/>
  <c r="CL12"/>
  <c r="CK12"/>
  <c r="CJ12"/>
  <c r="CI12"/>
  <c r="CH12"/>
  <c r="CG12"/>
  <c r="CF12"/>
  <c r="CE12"/>
  <c r="CD12"/>
  <c r="CC12"/>
  <c r="CB12"/>
  <c r="CA12"/>
  <c r="BZ12"/>
  <c r="BY12"/>
  <c r="BX12"/>
  <c r="BW12"/>
  <c r="BV12"/>
  <c r="BU12"/>
  <c r="BT12"/>
  <c r="BS12"/>
  <c r="BR12"/>
  <c r="BQ12"/>
  <c r="BP12"/>
  <c r="BO12"/>
  <c r="BN12"/>
  <c r="BM12"/>
  <c r="BL12"/>
  <c r="BK12"/>
  <c r="BJ12"/>
  <c r="BI12"/>
  <c r="BH12"/>
  <c r="BG12"/>
  <c r="BF12"/>
  <c r="BE12"/>
  <c r="BD12"/>
  <c r="BC12"/>
  <c r="BB12"/>
  <c r="BA12"/>
  <c r="AZ12"/>
  <c r="AY12"/>
  <c r="AX12"/>
  <c r="AW12"/>
  <c r="AV12"/>
  <c r="AU12"/>
  <c r="AT12"/>
  <c r="AS12"/>
  <c r="AR12"/>
  <c r="AQ12"/>
  <c r="AP12"/>
  <c r="AO12"/>
  <c r="AN12"/>
  <c r="AM12"/>
  <c r="AL12"/>
  <c r="AK12"/>
  <c r="AJ12"/>
  <c r="AI12"/>
  <c r="AH12"/>
  <c r="AG12"/>
  <c r="AF12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B12"/>
  <c r="A12"/>
  <c r="IV11"/>
  <c r="IU11"/>
  <c r="IT11"/>
  <c r="IS11"/>
  <c r="IR11"/>
  <c r="IQ11"/>
  <c r="IP11"/>
  <c r="IO11"/>
  <c r="IN11"/>
  <c r="IM11"/>
  <c r="IL11"/>
  <c r="IK11"/>
  <c r="IJ11"/>
  <c r="II11"/>
  <c r="IH11"/>
  <c r="IG11"/>
  <c r="IF11"/>
  <c r="IE11"/>
  <c r="ID11"/>
  <c r="IC11"/>
  <c r="IB11"/>
  <c r="IA11"/>
  <c r="HZ11"/>
  <c r="HY11"/>
  <c r="HX11"/>
  <c r="HW11"/>
  <c r="HV11"/>
  <c r="HU11"/>
  <c r="HT11"/>
  <c r="HS11"/>
  <c r="HR11"/>
  <c r="HQ11"/>
  <c r="HP11"/>
  <c r="HO11"/>
  <c r="HN11"/>
  <c r="HM11"/>
  <c r="HL11"/>
  <c r="HK11"/>
  <c r="HJ11"/>
  <c r="HI11"/>
  <c r="HH11"/>
  <c r="HG11"/>
  <c r="HF11"/>
  <c r="HE11"/>
  <c r="HD11"/>
  <c r="HC11"/>
  <c r="HB11"/>
  <c r="HA11"/>
  <c r="GZ11"/>
  <c r="GY11"/>
  <c r="GX11"/>
  <c r="GW11"/>
  <c r="GV11"/>
  <c r="GU11"/>
  <c r="GT11"/>
  <c r="GS11"/>
  <c r="GR11"/>
  <c r="GQ11"/>
  <c r="GP11"/>
  <c r="GO11"/>
  <c r="GN11"/>
  <c r="GM11"/>
  <c r="GL11"/>
  <c r="GK11"/>
  <c r="GJ11"/>
  <c r="GI11"/>
  <c r="GH11"/>
  <c r="GG11"/>
  <c r="GF11"/>
  <c r="GE11"/>
  <c r="GD11"/>
  <c r="GC11"/>
  <c r="GB11"/>
  <c r="GA11"/>
  <c r="FZ11"/>
  <c r="FY11"/>
  <c r="FX11"/>
  <c r="FW11"/>
  <c r="FV11"/>
  <c r="FU11"/>
  <c r="FT11"/>
  <c r="FS11"/>
  <c r="FR11"/>
  <c r="FQ11"/>
  <c r="FP11"/>
  <c r="FO11"/>
  <c r="FN11"/>
  <c r="FM11"/>
  <c r="FL11"/>
  <c r="FK11"/>
  <c r="FJ11"/>
  <c r="FI11"/>
  <c r="FH11"/>
  <c r="FG11"/>
  <c r="FF11"/>
  <c r="FE11"/>
  <c r="FD11"/>
  <c r="FC11"/>
  <c r="FB11"/>
  <c r="FA11"/>
  <c r="EZ11"/>
  <c r="EY11"/>
  <c r="EX11"/>
  <c r="EW11"/>
  <c r="EV11"/>
  <c r="EU11"/>
  <c r="ET11"/>
  <c r="ES11"/>
  <c r="ER11"/>
  <c r="EQ11"/>
  <c r="EP11"/>
  <c r="EO11"/>
  <c r="EN11"/>
  <c r="EM11"/>
  <c r="EL11"/>
  <c r="EK11"/>
  <c r="EJ11"/>
  <c r="EI11"/>
  <c r="EH11"/>
  <c r="EG11"/>
  <c r="EF11"/>
  <c r="EE11"/>
  <c r="ED11"/>
  <c r="EC11"/>
  <c r="EB11"/>
  <c r="EA11"/>
  <c r="DZ11"/>
  <c r="DY11"/>
  <c r="DX11"/>
  <c r="DW11"/>
  <c r="DV11"/>
  <c r="DU11"/>
  <c r="DT11"/>
  <c r="DS11"/>
  <c r="DR11"/>
  <c r="DQ11"/>
  <c r="DP11"/>
  <c r="DO11"/>
  <c r="DN11"/>
  <c r="DM11"/>
  <c r="DL11"/>
  <c r="DK11"/>
  <c r="DJ11"/>
  <c r="DI11"/>
  <c r="DH11"/>
  <c r="DG11"/>
  <c r="DF11"/>
  <c r="DE11"/>
  <c r="DD11"/>
  <c r="DC11"/>
  <c r="DB11"/>
  <c r="DA11"/>
  <c r="CZ11"/>
  <c r="CY11"/>
  <c r="CX11"/>
  <c r="CW11"/>
  <c r="CV11"/>
  <c r="CU11"/>
  <c r="CT11"/>
  <c r="CS11"/>
  <c r="CR11"/>
  <c r="CQ11"/>
  <c r="CP11"/>
  <c r="CO11"/>
  <c r="CN11"/>
  <c r="CM11"/>
  <c r="CL11"/>
  <c r="CK11"/>
  <c r="CJ11"/>
  <c r="CI11"/>
  <c r="CH11"/>
  <c r="CG11"/>
  <c r="CF11"/>
  <c r="CE11"/>
  <c r="CD11"/>
  <c r="CC11"/>
  <c r="CB11"/>
  <c r="CA11"/>
  <c r="BZ11"/>
  <c r="BY11"/>
  <c r="BX11"/>
  <c r="BW11"/>
  <c r="BV11"/>
  <c r="BU11"/>
  <c r="BT11"/>
  <c r="BS11"/>
  <c r="BR11"/>
  <c r="BQ11"/>
  <c r="BP11"/>
  <c r="BO11"/>
  <c r="BN11"/>
  <c r="BM11"/>
  <c r="BL11"/>
  <c r="BK11"/>
  <c r="BJ11"/>
  <c r="BI11"/>
  <c r="BH11"/>
  <c r="BG11"/>
  <c r="BF11"/>
  <c r="BE11"/>
  <c r="BD11"/>
  <c r="BC11"/>
  <c r="BB11"/>
  <c r="BA11"/>
  <c r="AZ11"/>
  <c r="AY11"/>
  <c r="AX11"/>
  <c r="AW11"/>
  <c r="AV11"/>
  <c r="AU11"/>
  <c r="AT11"/>
  <c r="AS11"/>
  <c r="AR11"/>
  <c r="AQ11"/>
  <c r="AP11"/>
  <c r="AO11"/>
  <c r="AN11"/>
  <c r="AM11"/>
  <c r="AL11"/>
  <c r="AK11"/>
  <c r="AJ11"/>
  <c r="AI11"/>
  <c r="AH11"/>
  <c r="AG11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11"/>
  <c r="IV10"/>
  <c r="IU10"/>
  <c r="IT10"/>
  <c r="IS10"/>
  <c r="IR10"/>
  <c r="IQ10"/>
  <c r="IP10"/>
  <c r="IO10"/>
  <c r="IN10"/>
  <c r="IM10"/>
  <c r="IL10"/>
  <c r="IK10"/>
  <c r="IJ10"/>
  <c r="II10"/>
  <c r="IH10"/>
  <c r="IG10"/>
  <c r="IF10"/>
  <c r="IE10"/>
  <c r="ID10"/>
  <c r="IC10"/>
  <c r="IB10"/>
  <c r="IA10"/>
  <c r="HZ10"/>
  <c r="HY10"/>
  <c r="HX10"/>
  <c r="HW10"/>
  <c r="HV10"/>
  <c r="HU10"/>
  <c r="HT10"/>
  <c r="HS10"/>
  <c r="HR10"/>
  <c r="HQ10"/>
  <c r="HP10"/>
  <c r="HO10"/>
  <c r="HN10"/>
  <c r="HM10"/>
  <c r="HL10"/>
  <c r="HK10"/>
  <c r="HJ10"/>
  <c r="HI10"/>
  <c r="HH10"/>
  <c r="HG10"/>
  <c r="HF10"/>
  <c r="HE10"/>
  <c r="HD10"/>
  <c r="HC10"/>
  <c r="HB10"/>
  <c r="HA10"/>
  <c r="GZ10"/>
  <c r="GY10"/>
  <c r="GX10"/>
  <c r="GW10"/>
  <c r="GV10"/>
  <c r="GU10"/>
  <c r="GT10"/>
  <c r="GS10"/>
  <c r="GR10"/>
  <c r="GQ10"/>
  <c r="GP10"/>
  <c r="GO10"/>
  <c r="GN10"/>
  <c r="GM10"/>
  <c r="GL10"/>
  <c r="GK10"/>
  <c r="GJ10"/>
  <c r="GI10"/>
  <c r="GH10"/>
  <c r="GG10"/>
  <c r="GF10"/>
  <c r="GE10"/>
  <c r="GD10"/>
  <c r="GC10"/>
  <c r="GB10"/>
  <c r="GA10"/>
  <c r="FZ10"/>
  <c r="FY10"/>
  <c r="FX10"/>
  <c r="FW10"/>
  <c r="FV10"/>
  <c r="FU10"/>
  <c r="FT10"/>
  <c r="FS10"/>
  <c r="FR10"/>
  <c r="FQ10"/>
  <c r="FP10"/>
  <c r="FO10"/>
  <c r="FN10"/>
  <c r="FM10"/>
  <c r="FL10"/>
  <c r="FK10"/>
  <c r="FJ10"/>
  <c r="FI10"/>
  <c r="FH10"/>
  <c r="FG10"/>
  <c r="FF10"/>
  <c r="FE10"/>
  <c r="FD10"/>
  <c r="FC10"/>
  <c r="FB10"/>
  <c r="FA10"/>
  <c r="EZ10"/>
  <c r="EY10"/>
  <c r="EX10"/>
  <c r="EW10"/>
  <c r="EV10"/>
  <c r="EU10"/>
  <c r="ET10"/>
  <c r="ES10"/>
  <c r="ER10"/>
  <c r="EQ10"/>
  <c r="EP10"/>
  <c r="EO10"/>
  <c r="EN10"/>
  <c r="EM10"/>
  <c r="EL10"/>
  <c r="EK10"/>
  <c r="EJ10"/>
  <c r="EI10"/>
  <c r="EH10"/>
  <c r="EG10"/>
  <c r="EF10"/>
  <c r="EE10"/>
  <c r="ED10"/>
  <c r="EC10"/>
  <c r="EB10"/>
  <c r="EA10"/>
  <c r="DZ10"/>
  <c r="DY10"/>
  <c r="DX10"/>
  <c r="DW10"/>
  <c r="DV10"/>
  <c r="DU10"/>
  <c r="DT10"/>
  <c r="DS10"/>
  <c r="DR10"/>
  <c r="DQ10"/>
  <c r="DP10"/>
  <c r="DO10"/>
  <c r="DN10"/>
  <c r="DM10"/>
  <c r="DL10"/>
  <c r="DK10"/>
  <c r="DJ10"/>
  <c r="DI10"/>
  <c r="DH10"/>
  <c r="DG10"/>
  <c r="DF10"/>
  <c r="DE10"/>
  <c r="DD10"/>
  <c r="DC10"/>
  <c r="DB10"/>
  <c r="DA10"/>
  <c r="CZ10"/>
  <c r="CY10"/>
  <c r="CX10"/>
  <c r="CW10"/>
  <c r="CV10"/>
  <c r="CU10"/>
  <c r="CT10"/>
  <c r="CS10"/>
  <c r="CR10"/>
  <c r="CQ10"/>
  <c r="CP10"/>
  <c r="CO10"/>
  <c r="CN10"/>
  <c r="CM10"/>
  <c r="CL10"/>
  <c r="CK10"/>
  <c r="CJ10"/>
  <c r="CI10"/>
  <c r="CH10"/>
  <c r="CG10"/>
  <c r="CF10"/>
  <c r="CE10"/>
  <c r="CD10"/>
  <c r="CC10"/>
  <c r="CB10"/>
  <c r="CA10"/>
  <c r="BZ10"/>
  <c r="BY10"/>
  <c r="BX10"/>
  <c r="BW10"/>
  <c r="BV10"/>
  <c r="BU10"/>
  <c r="BT10"/>
  <c r="BS10"/>
  <c r="BR10"/>
  <c r="BQ10"/>
  <c r="BP10"/>
  <c r="BO10"/>
  <c r="BN10"/>
  <c r="BM10"/>
  <c r="BL10"/>
  <c r="BK10"/>
  <c r="BJ10"/>
  <c r="BI10"/>
  <c r="BH10"/>
  <c r="BG10"/>
  <c r="BF10"/>
  <c r="BE10"/>
  <c r="BD10"/>
  <c r="BC10"/>
  <c r="BB10"/>
  <c r="BA10"/>
  <c r="AZ10"/>
  <c r="AY10"/>
  <c r="AX10"/>
  <c r="AW10"/>
  <c r="AV10"/>
  <c r="AU10"/>
  <c r="AT10"/>
  <c r="AS10"/>
  <c r="AR10"/>
  <c r="AQ10"/>
  <c r="AP10"/>
  <c r="AO10"/>
  <c r="AN10"/>
  <c r="AM10"/>
  <c r="AL10"/>
  <c r="AK10"/>
  <c r="AJ10"/>
  <c r="AI10"/>
  <c r="AH10"/>
  <c r="AG10"/>
  <c r="AF10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A10"/>
  <c r="IV9"/>
  <c r="IU9"/>
  <c r="IT9"/>
  <c r="IS9"/>
  <c r="IR9"/>
  <c r="IQ9"/>
  <c r="IP9"/>
  <c r="IO9"/>
  <c r="IN9"/>
  <c r="IM9"/>
  <c r="IL9"/>
  <c r="IK9"/>
  <c r="IJ9"/>
  <c r="II9"/>
  <c r="IH9"/>
  <c r="IG9"/>
  <c r="IF9"/>
  <c r="IE9"/>
  <c r="ID9"/>
  <c r="IC9"/>
  <c r="IB9"/>
  <c r="IA9"/>
  <c r="HZ9"/>
  <c r="HY9"/>
  <c r="HX9"/>
  <c r="HW9"/>
  <c r="HV9"/>
  <c r="HU9"/>
  <c r="HT9"/>
  <c r="HS9"/>
  <c r="HR9"/>
  <c r="HQ9"/>
  <c r="HP9"/>
  <c r="HO9"/>
  <c r="HN9"/>
  <c r="HM9"/>
  <c r="HL9"/>
  <c r="HK9"/>
  <c r="HJ9"/>
  <c r="HI9"/>
  <c r="HH9"/>
  <c r="HG9"/>
  <c r="HF9"/>
  <c r="HE9"/>
  <c r="HD9"/>
  <c r="HC9"/>
  <c r="HB9"/>
  <c r="HA9"/>
  <c r="GZ9"/>
  <c r="GY9"/>
  <c r="GX9"/>
  <c r="GW9"/>
  <c r="GV9"/>
  <c r="GU9"/>
  <c r="GT9"/>
  <c r="GS9"/>
  <c r="GR9"/>
  <c r="GQ9"/>
  <c r="GP9"/>
  <c r="GO9"/>
  <c r="GN9"/>
  <c r="GM9"/>
  <c r="GL9"/>
  <c r="GK9"/>
  <c r="GJ9"/>
  <c r="GI9"/>
  <c r="GH9"/>
  <c r="GG9"/>
  <c r="GF9"/>
  <c r="GE9"/>
  <c r="GD9"/>
  <c r="GC9"/>
  <c r="GB9"/>
  <c r="GA9"/>
  <c r="FZ9"/>
  <c r="FY9"/>
  <c r="FX9"/>
  <c r="FW9"/>
  <c r="FV9"/>
  <c r="FU9"/>
  <c r="FT9"/>
  <c r="FS9"/>
  <c r="FR9"/>
  <c r="FQ9"/>
  <c r="FP9"/>
  <c r="FO9"/>
  <c r="FN9"/>
  <c r="FM9"/>
  <c r="FL9"/>
  <c r="FK9"/>
  <c r="FJ9"/>
  <c r="FI9"/>
  <c r="FH9"/>
  <c r="FG9"/>
  <c r="FF9"/>
  <c r="FE9"/>
  <c r="FD9"/>
  <c r="FC9"/>
  <c r="FB9"/>
  <c r="FA9"/>
  <c r="EZ9"/>
  <c r="EY9"/>
  <c r="EX9"/>
  <c r="EW9"/>
  <c r="EV9"/>
  <c r="EU9"/>
  <c r="ET9"/>
  <c r="ES9"/>
  <c r="ER9"/>
  <c r="EQ9"/>
  <c r="EP9"/>
  <c r="EO9"/>
  <c r="EN9"/>
  <c r="EM9"/>
  <c r="EL9"/>
  <c r="EK9"/>
  <c r="EJ9"/>
  <c r="EI9"/>
  <c r="EH9"/>
  <c r="EG9"/>
  <c r="EF9"/>
  <c r="EE9"/>
  <c r="ED9"/>
  <c r="EC9"/>
  <c r="EB9"/>
  <c r="EA9"/>
  <c r="DZ9"/>
  <c r="DY9"/>
  <c r="DX9"/>
  <c r="DW9"/>
  <c r="DV9"/>
  <c r="DU9"/>
  <c r="DT9"/>
  <c r="DS9"/>
  <c r="DR9"/>
  <c r="DQ9"/>
  <c r="DP9"/>
  <c r="DO9"/>
  <c r="DN9"/>
  <c r="DM9"/>
  <c r="DL9"/>
  <c r="DK9"/>
  <c r="DJ9"/>
  <c r="DI9"/>
  <c r="DH9"/>
  <c r="DG9"/>
  <c r="DF9"/>
  <c r="DE9"/>
  <c r="DD9"/>
  <c r="DC9"/>
  <c r="DB9"/>
  <c r="DA9"/>
  <c r="CZ9"/>
  <c r="CY9"/>
  <c r="CX9"/>
  <c r="CW9"/>
  <c r="CV9"/>
  <c r="CU9"/>
  <c r="CT9"/>
  <c r="CS9"/>
  <c r="CR9"/>
  <c r="CQ9"/>
  <c r="CP9"/>
  <c r="CO9"/>
  <c r="CN9"/>
  <c r="CM9"/>
  <c r="CL9"/>
  <c r="CK9"/>
  <c r="CJ9"/>
  <c r="CI9"/>
  <c r="CH9"/>
  <c r="CG9"/>
  <c r="CF9"/>
  <c r="CE9"/>
  <c r="CD9"/>
  <c r="CC9"/>
  <c r="CB9"/>
  <c r="CA9"/>
  <c r="BZ9"/>
  <c r="BY9"/>
  <c r="BX9"/>
  <c r="BW9"/>
  <c r="BV9"/>
  <c r="BU9"/>
  <c r="BT9"/>
  <c r="BS9"/>
  <c r="BR9"/>
  <c r="BQ9"/>
  <c r="BP9"/>
  <c r="BO9"/>
  <c r="BN9"/>
  <c r="BM9"/>
  <c r="BL9"/>
  <c r="BK9"/>
  <c r="BJ9"/>
  <c r="BI9"/>
  <c r="BH9"/>
  <c r="BG9"/>
  <c r="BF9"/>
  <c r="BE9"/>
  <c r="BD9"/>
  <c r="BC9"/>
  <c r="BB9"/>
  <c r="BA9"/>
  <c r="AZ9"/>
  <c r="AY9"/>
  <c r="AX9"/>
  <c r="AW9"/>
  <c r="AV9"/>
  <c r="AU9"/>
  <c r="AT9"/>
  <c r="AS9"/>
  <c r="AR9"/>
  <c r="AQ9"/>
  <c r="AP9"/>
  <c r="AO9"/>
  <c r="AN9"/>
  <c r="AM9"/>
  <c r="AL9"/>
  <c r="AK9"/>
  <c r="AJ9"/>
  <c r="AI9"/>
  <c r="AH9"/>
  <c r="AG9"/>
  <c r="AF9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B9"/>
  <c r="A9"/>
  <c r="IV8"/>
  <c r="IU8"/>
  <c r="IT8"/>
  <c r="IS8"/>
  <c r="IR8"/>
  <c r="IQ8"/>
  <c r="IP8"/>
  <c r="IO8"/>
  <c r="IN8"/>
  <c r="IM8"/>
  <c r="IL8"/>
  <c r="IK8"/>
  <c r="IJ8"/>
  <c r="II8"/>
  <c r="IH8"/>
  <c r="IG8"/>
  <c r="IF8"/>
  <c r="IE8"/>
  <c r="ID8"/>
  <c r="IC8"/>
  <c r="IB8"/>
  <c r="IA8"/>
  <c r="HZ8"/>
  <c r="HY8"/>
  <c r="HX8"/>
  <c r="HW8"/>
  <c r="HV8"/>
  <c r="HU8"/>
  <c r="HT8"/>
  <c r="HS8"/>
  <c r="HR8"/>
  <c r="HQ8"/>
  <c r="HP8"/>
  <c r="HO8"/>
  <c r="HN8"/>
  <c r="HM8"/>
  <c r="HL8"/>
  <c r="HK8"/>
  <c r="HJ8"/>
  <c r="HI8"/>
  <c r="HH8"/>
  <c r="HG8"/>
  <c r="HF8"/>
  <c r="HE8"/>
  <c r="HD8"/>
  <c r="HC8"/>
  <c r="HB8"/>
  <c r="HA8"/>
  <c r="GZ8"/>
  <c r="GY8"/>
  <c r="GX8"/>
  <c r="GW8"/>
  <c r="GV8"/>
  <c r="GU8"/>
  <c r="GT8"/>
  <c r="GS8"/>
  <c r="GR8"/>
  <c r="GQ8"/>
  <c r="GP8"/>
  <c r="GO8"/>
  <c r="GN8"/>
  <c r="GM8"/>
  <c r="GL8"/>
  <c r="GK8"/>
  <c r="GJ8"/>
  <c r="GI8"/>
  <c r="GH8"/>
  <c r="GG8"/>
  <c r="GF8"/>
  <c r="GE8"/>
  <c r="GD8"/>
  <c r="GC8"/>
  <c r="GB8"/>
  <c r="GA8"/>
  <c r="FZ8"/>
  <c r="FY8"/>
  <c r="FX8"/>
  <c r="FW8"/>
  <c r="FV8"/>
  <c r="FU8"/>
  <c r="FT8"/>
  <c r="FS8"/>
  <c r="FR8"/>
  <c r="FQ8"/>
  <c r="FP8"/>
  <c r="FO8"/>
  <c r="FN8"/>
  <c r="FM8"/>
  <c r="FL8"/>
  <c r="FK8"/>
  <c r="FJ8"/>
  <c r="FI8"/>
  <c r="FH8"/>
  <c r="FG8"/>
  <c r="FF8"/>
  <c r="FE8"/>
  <c r="FD8"/>
  <c r="FC8"/>
  <c r="FB8"/>
  <c r="FA8"/>
  <c r="EZ8"/>
  <c r="EY8"/>
  <c r="EX8"/>
  <c r="EW8"/>
  <c r="EV8"/>
  <c r="EU8"/>
  <c r="ET8"/>
  <c r="ES8"/>
  <c r="ER8"/>
  <c r="EQ8"/>
  <c r="EP8"/>
  <c r="EO8"/>
  <c r="EN8"/>
  <c r="EM8"/>
  <c r="EL8"/>
  <c r="EK8"/>
  <c r="EJ8"/>
  <c r="EI8"/>
  <c r="EH8"/>
  <c r="EG8"/>
  <c r="EF8"/>
  <c r="EE8"/>
  <c r="ED8"/>
  <c r="EC8"/>
  <c r="EB8"/>
  <c r="EA8"/>
  <c r="DZ8"/>
  <c r="DY8"/>
  <c r="DX8"/>
  <c r="DW8"/>
  <c r="DV8"/>
  <c r="DU8"/>
  <c r="DT8"/>
  <c r="DS8"/>
  <c r="DR8"/>
  <c r="DQ8"/>
  <c r="DP8"/>
  <c r="DO8"/>
  <c r="DN8"/>
  <c r="DM8"/>
  <c r="DL8"/>
  <c r="DK8"/>
  <c r="DJ8"/>
  <c r="DI8"/>
  <c r="DH8"/>
  <c r="DG8"/>
  <c r="DF8"/>
  <c r="DE8"/>
  <c r="DD8"/>
  <c r="DC8"/>
  <c r="DB8"/>
  <c r="DA8"/>
  <c r="CZ8"/>
  <c r="CY8"/>
  <c r="CX8"/>
  <c r="CW8"/>
  <c r="CV8"/>
  <c r="CU8"/>
  <c r="CT8"/>
  <c r="CS8"/>
  <c r="CR8"/>
  <c r="CQ8"/>
  <c r="CP8"/>
  <c r="CO8"/>
  <c r="CN8"/>
  <c r="CM8"/>
  <c r="CL8"/>
  <c r="CK8"/>
  <c r="CJ8"/>
  <c r="CI8"/>
  <c r="CH8"/>
  <c r="CG8"/>
  <c r="CF8"/>
  <c r="CE8"/>
  <c r="CD8"/>
  <c r="CC8"/>
  <c r="CB8"/>
  <c r="CA8"/>
  <c r="BZ8"/>
  <c r="BY8"/>
  <c r="BX8"/>
  <c r="BW8"/>
  <c r="BV8"/>
  <c r="BU8"/>
  <c r="BT8"/>
  <c r="BS8"/>
  <c r="BR8"/>
  <c r="BQ8"/>
  <c r="BP8"/>
  <c r="BO8"/>
  <c r="BN8"/>
  <c r="BM8"/>
  <c r="BL8"/>
  <c r="BK8"/>
  <c r="BJ8"/>
  <c r="BI8"/>
  <c r="BH8"/>
  <c r="BG8"/>
  <c r="BF8"/>
  <c r="BE8"/>
  <c r="BD8"/>
  <c r="BC8"/>
  <c r="BB8"/>
  <c r="BA8"/>
  <c r="AZ8"/>
  <c r="AY8"/>
  <c r="AX8"/>
  <c r="AW8"/>
  <c r="AV8"/>
  <c r="AU8"/>
  <c r="AT8"/>
  <c r="AS8"/>
  <c r="AR8"/>
  <c r="AQ8"/>
  <c r="AP8"/>
  <c r="AO8"/>
  <c r="AN8"/>
  <c r="AM8"/>
  <c r="AL8"/>
  <c r="AK8"/>
  <c r="AJ8"/>
  <c r="AI8"/>
  <c r="AH8"/>
  <c r="AG8"/>
  <c r="AF8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C8"/>
  <c r="B8"/>
  <c r="A8"/>
  <c r="IV7"/>
  <c r="IU7"/>
  <c r="IT7"/>
  <c r="IS7"/>
  <c r="IR7"/>
  <c r="IQ7"/>
  <c r="IP7"/>
  <c r="IO7"/>
  <c r="IN7"/>
  <c r="IM7"/>
  <c r="IL7"/>
  <c r="IK7"/>
  <c r="IJ7"/>
  <c r="II7"/>
  <c r="IH7"/>
  <c r="IG7"/>
  <c r="IF7"/>
  <c r="IE7"/>
  <c r="ID7"/>
  <c r="IC7"/>
  <c r="IB7"/>
  <c r="IA7"/>
  <c r="HZ7"/>
  <c r="HY7"/>
  <c r="HX7"/>
  <c r="HW7"/>
  <c r="HV7"/>
  <c r="HU7"/>
  <c r="HT7"/>
  <c r="HS7"/>
  <c r="HR7"/>
  <c r="HQ7"/>
  <c r="HP7"/>
  <c r="HO7"/>
  <c r="HN7"/>
  <c r="HM7"/>
  <c r="HL7"/>
  <c r="HK7"/>
  <c r="HJ7"/>
  <c r="HI7"/>
  <c r="HH7"/>
  <c r="HG7"/>
  <c r="HF7"/>
  <c r="HE7"/>
  <c r="HD7"/>
  <c r="HC7"/>
  <c r="HB7"/>
  <c r="HA7"/>
  <c r="GZ7"/>
  <c r="GY7"/>
  <c r="GX7"/>
  <c r="GW7"/>
  <c r="GV7"/>
  <c r="GU7"/>
  <c r="GT7"/>
  <c r="GS7"/>
  <c r="GR7"/>
  <c r="GQ7"/>
  <c r="GP7"/>
  <c r="GO7"/>
  <c r="GN7"/>
  <c r="GM7"/>
  <c r="GL7"/>
  <c r="GK7"/>
  <c r="GJ7"/>
  <c r="GI7"/>
  <c r="GH7"/>
  <c r="GG7"/>
  <c r="GF7"/>
  <c r="GE7"/>
  <c r="GD7"/>
  <c r="GC7"/>
  <c r="GB7"/>
  <c r="GA7"/>
  <c r="FZ7"/>
  <c r="FY7"/>
  <c r="FX7"/>
  <c r="FW7"/>
  <c r="FV7"/>
  <c r="FU7"/>
  <c r="FT7"/>
  <c r="FS7"/>
  <c r="FR7"/>
  <c r="FQ7"/>
  <c r="FP7"/>
  <c r="FO7"/>
  <c r="FN7"/>
  <c r="FM7"/>
  <c r="FL7"/>
  <c r="FK7"/>
  <c r="FJ7"/>
  <c r="FI7"/>
  <c r="FH7"/>
  <c r="FG7"/>
  <c r="FF7"/>
  <c r="FE7"/>
  <c r="FD7"/>
  <c r="FC7"/>
  <c r="FB7"/>
  <c r="FA7"/>
  <c r="EZ7"/>
  <c r="EY7"/>
  <c r="EX7"/>
  <c r="EW7"/>
  <c r="EV7"/>
  <c r="EU7"/>
  <c r="ET7"/>
  <c r="ES7"/>
  <c r="ER7"/>
  <c r="EQ7"/>
  <c r="EP7"/>
  <c r="EO7"/>
  <c r="EN7"/>
  <c r="EM7"/>
  <c r="EL7"/>
  <c r="EK7"/>
  <c r="EJ7"/>
  <c r="EI7"/>
  <c r="EH7"/>
  <c r="EG7"/>
  <c r="EF7"/>
  <c r="EE7"/>
  <c r="ED7"/>
  <c r="EC7"/>
  <c r="EB7"/>
  <c r="EA7"/>
  <c r="DZ7"/>
  <c r="DY7"/>
  <c r="DX7"/>
  <c r="DW7"/>
  <c r="DV7"/>
  <c r="DU7"/>
  <c r="DT7"/>
  <c r="DS7"/>
  <c r="DR7"/>
  <c r="DQ7"/>
  <c r="DP7"/>
  <c r="DO7"/>
  <c r="DN7"/>
  <c r="DM7"/>
  <c r="DL7"/>
  <c r="DK7"/>
  <c r="DJ7"/>
  <c r="DI7"/>
  <c r="DH7"/>
  <c r="DG7"/>
  <c r="DF7"/>
  <c r="DE7"/>
  <c r="DD7"/>
  <c r="DC7"/>
  <c r="DB7"/>
  <c r="DA7"/>
  <c r="CZ7"/>
  <c r="CY7"/>
  <c r="CX7"/>
  <c r="CW7"/>
  <c r="CV7"/>
  <c r="CU7"/>
  <c r="CT7"/>
  <c r="CS7"/>
  <c r="CR7"/>
  <c r="CQ7"/>
  <c r="CP7"/>
  <c r="CO7"/>
  <c r="CN7"/>
  <c r="CM7"/>
  <c r="CL7"/>
  <c r="CK7"/>
  <c r="CJ7"/>
  <c r="CI7"/>
  <c r="CH7"/>
  <c r="CG7"/>
  <c r="CF7"/>
  <c r="CE7"/>
  <c r="CD7"/>
  <c r="CC7"/>
  <c r="CB7"/>
  <c r="CA7"/>
  <c r="BZ7"/>
  <c r="BY7"/>
  <c r="BX7"/>
  <c r="BW7"/>
  <c r="BV7"/>
  <c r="BU7"/>
  <c r="BT7"/>
  <c r="BS7"/>
  <c r="BR7"/>
  <c r="BQ7"/>
  <c r="BP7"/>
  <c r="BO7"/>
  <c r="BN7"/>
  <c r="BM7"/>
  <c r="BL7"/>
  <c r="BK7"/>
  <c r="BJ7"/>
  <c r="BI7"/>
  <c r="BH7"/>
  <c r="BG7"/>
  <c r="BF7"/>
  <c r="BE7"/>
  <c r="BD7"/>
  <c r="BC7"/>
  <c r="BB7"/>
  <c r="BA7"/>
  <c r="AZ7"/>
  <c r="AY7"/>
  <c r="AX7"/>
  <c r="AW7"/>
  <c r="AV7"/>
  <c r="AU7"/>
  <c r="AT7"/>
  <c r="AS7"/>
  <c r="AR7"/>
  <c r="AQ7"/>
  <c r="AP7"/>
  <c r="AO7"/>
  <c r="AN7"/>
  <c r="AM7"/>
  <c r="AL7"/>
  <c r="AK7"/>
  <c r="AJ7"/>
  <c r="AI7"/>
  <c r="AH7"/>
  <c r="AG7"/>
  <c r="AF7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B7"/>
  <c r="A7"/>
  <c r="IV6"/>
  <c r="IU6"/>
  <c r="IT6"/>
  <c r="IS6"/>
  <c r="IR6"/>
  <c r="IQ6"/>
  <c r="IP6"/>
  <c r="IO6"/>
  <c r="IN6"/>
  <c r="IM6"/>
  <c r="IL6"/>
  <c r="IK6"/>
  <c r="IJ6"/>
  <c r="II6"/>
  <c r="IH6"/>
  <c r="IG6"/>
  <c r="IF6"/>
  <c r="IE6"/>
  <c r="ID6"/>
  <c r="IC6"/>
  <c r="IB6"/>
  <c r="IA6"/>
  <c r="HZ6"/>
  <c r="HY6"/>
  <c r="HX6"/>
  <c r="HW6"/>
  <c r="HV6"/>
  <c r="HU6"/>
  <c r="HT6"/>
  <c r="HS6"/>
  <c r="HR6"/>
  <c r="HQ6"/>
  <c r="HP6"/>
  <c r="HO6"/>
  <c r="HN6"/>
  <c r="HM6"/>
  <c r="HL6"/>
  <c r="HK6"/>
  <c r="HJ6"/>
  <c r="HI6"/>
  <c r="HH6"/>
  <c r="HG6"/>
  <c r="HF6"/>
  <c r="HE6"/>
  <c r="HD6"/>
  <c r="HC6"/>
  <c r="HB6"/>
  <c r="HA6"/>
  <c r="GZ6"/>
  <c r="GY6"/>
  <c r="GX6"/>
  <c r="GW6"/>
  <c r="GV6"/>
  <c r="GU6"/>
  <c r="GT6"/>
  <c r="GS6"/>
  <c r="GR6"/>
  <c r="GQ6"/>
  <c r="GP6"/>
  <c r="GO6"/>
  <c r="GN6"/>
  <c r="GM6"/>
  <c r="GL6"/>
  <c r="GK6"/>
  <c r="GJ6"/>
  <c r="GI6"/>
  <c r="GH6"/>
  <c r="GG6"/>
  <c r="GF6"/>
  <c r="GE6"/>
  <c r="GD6"/>
  <c r="GC6"/>
  <c r="GB6"/>
  <c r="GA6"/>
  <c r="FZ6"/>
  <c r="FY6"/>
  <c r="FX6"/>
  <c r="FW6"/>
  <c r="FV6"/>
  <c r="FU6"/>
  <c r="FT6"/>
  <c r="FS6"/>
  <c r="FR6"/>
  <c r="FQ6"/>
  <c r="FP6"/>
  <c r="FO6"/>
  <c r="FN6"/>
  <c r="FM6"/>
  <c r="FL6"/>
  <c r="FK6"/>
  <c r="FJ6"/>
  <c r="FI6"/>
  <c r="FH6"/>
  <c r="FG6"/>
  <c r="FF6"/>
  <c r="FE6"/>
  <c r="FD6"/>
  <c r="FC6"/>
  <c r="FB6"/>
  <c r="FA6"/>
  <c r="EZ6"/>
  <c r="EY6"/>
  <c r="EX6"/>
  <c r="EW6"/>
  <c r="EV6"/>
  <c r="EU6"/>
  <c r="ET6"/>
  <c r="ES6"/>
  <c r="ER6"/>
  <c r="EQ6"/>
  <c r="EP6"/>
  <c r="EO6"/>
  <c r="EN6"/>
  <c r="EM6"/>
  <c r="EL6"/>
  <c r="EK6"/>
  <c r="EJ6"/>
  <c r="EI6"/>
  <c r="EH6"/>
  <c r="EG6"/>
  <c r="EF6"/>
  <c r="EE6"/>
  <c r="ED6"/>
  <c r="EC6"/>
  <c r="EB6"/>
  <c r="EA6"/>
  <c r="DZ6"/>
  <c r="DY6"/>
  <c r="DX6"/>
  <c r="DW6"/>
  <c r="DV6"/>
  <c r="DU6"/>
  <c r="DT6"/>
  <c r="DS6"/>
  <c r="DR6"/>
  <c r="DQ6"/>
  <c r="DP6"/>
  <c r="DO6"/>
  <c r="DN6"/>
  <c r="DM6"/>
  <c r="DL6"/>
  <c r="DK6"/>
  <c r="DJ6"/>
  <c r="DI6"/>
  <c r="DH6"/>
  <c r="DG6"/>
  <c r="DF6"/>
  <c r="DE6"/>
  <c r="DD6"/>
  <c r="DC6"/>
  <c r="DB6"/>
  <c r="DA6"/>
  <c r="CZ6"/>
  <c r="CY6"/>
  <c r="CX6"/>
  <c r="CW6"/>
  <c r="CV6"/>
  <c r="CU6"/>
  <c r="CT6"/>
  <c r="CS6"/>
  <c r="CR6"/>
  <c r="CQ6"/>
  <c r="CP6"/>
  <c r="CO6"/>
  <c r="CN6"/>
  <c r="CM6"/>
  <c r="CL6"/>
  <c r="CK6"/>
  <c r="CJ6"/>
  <c r="CI6"/>
  <c r="CH6"/>
  <c r="CG6"/>
  <c r="CF6"/>
  <c r="CE6"/>
  <c r="CD6"/>
  <c r="CC6"/>
  <c r="CB6"/>
  <c r="CA6"/>
  <c r="BZ6"/>
  <c r="BY6"/>
  <c r="BX6"/>
  <c r="BW6"/>
  <c r="BV6"/>
  <c r="BU6"/>
  <c r="BT6"/>
  <c r="BS6"/>
  <c r="BR6"/>
  <c r="BQ6"/>
  <c r="BP6"/>
  <c r="BO6"/>
  <c r="BN6"/>
  <c r="BM6"/>
  <c r="BL6"/>
  <c r="BK6"/>
  <c r="BJ6"/>
  <c r="BI6"/>
  <c r="BH6"/>
  <c r="BG6"/>
  <c r="BF6"/>
  <c r="BE6"/>
  <c r="BD6"/>
  <c r="BC6"/>
  <c r="BB6"/>
  <c r="BA6"/>
  <c r="AZ6"/>
  <c r="AY6"/>
  <c r="AX6"/>
  <c r="AW6"/>
  <c r="AV6"/>
  <c r="AU6"/>
  <c r="AT6"/>
  <c r="AS6"/>
  <c r="AR6"/>
  <c r="AQ6"/>
  <c r="AP6"/>
  <c r="AO6"/>
  <c r="AN6"/>
  <c r="AM6"/>
  <c r="AL6"/>
  <c r="AK6"/>
  <c r="AJ6"/>
  <c r="AI6"/>
  <c r="AH6"/>
  <c r="AG6"/>
  <c r="AF6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B6"/>
  <c r="A6"/>
  <c r="IV5"/>
  <c r="IU5"/>
  <c r="IT5"/>
  <c r="IS5"/>
  <c r="IR5"/>
  <c r="IQ5"/>
  <c r="IP5"/>
  <c r="IO5"/>
  <c r="IN5"/>
  <c r="IM5"/>
  <c r="IL5"/>
  <c r="IK5"/>
  <c r="IJ5"/>
  <c r="II5"/>
  <c r="IH5"/>
  <c r="IG5"/>
  <c r="IF5"/>
  <c r="IE5"/>
  <c r="ID5"/>
  <c r="IC5"/>
  <c r="IB5"/>
  <c r="IA5"/>
  <c r="HZ5"/>
  <c r="HY5"/>
  <c r="HX5"/>
  <c r="HW5"/>
  <c r="HV5"/>
  <c r="HU5"/>
  <c r="HT5"/>
  <c r="HS5"/>
  <c r="HR5"/>
  <c r="HQ5"/>
  <c r="HP5"/>
  <c r="HO5"/>
  <c r="HN5"/>
  <c r="HM5"/>
  <c r="HL5"/>
  <c r="HK5"/>
  <c r="HJ5"/>
  <c r="HI5"/>
  <c r="HH5"/>
  <c r="HG5"/>
  <c r="HF5"/>
  <c r="HE5"/>
  <c r="HD5"/>
  <c r="HC5"/>
  <c r="HB5"/>
  <c r="HA5"/>
  <c r="GZ5"/>
  <c r="GY5"/>
  <c r="GX5"/>
  <c r="GW5"/>
  <c r="GV5"/>
  <c r="GU5"/>
  <c r="GT5"/>
  <c r="GS5"/>
  <c r="GR5"/>
  <c r="GQ5"/>
  <c r="GP5"/>
  <c r="GO5"/>
  <c r="GN5"/>
  <c r="GM5"/>
  <c r="GL5"/>
  <c r="GK5"/>
  <c r="GJ5"/>
  <c r="GI5"/>
  <c r="GH5"/>
  <c r="GG5"/>
  <c r="GF5"/>
  <c r="GE5"/>
  <c r="GD5"/>
  <c r="GC5"/>
  <c r="GB5"/>
  <c r="GA5"/>
  <c r="FZ5"/>
  <c r="FY5"/>
  <c r="FX5"/>
  <c r="FW5"/>
  <c r="FV5"/>
  <c r="FU5"/>
  <c r="FT5"/>
  <c r="FS5"/>
  <c r="FR5"/>
  <c r="FQ5"/>
  <c r="FP5"/>
  <c r="FO5"/>
  <c r="FN5"/>
  <c r="FM5"/>
  <c r="FL5"/>
  <c r="FK5"/>
  <c r="FJ5"/>
  <c r="FI5"/>
  <c r="FH5"/>
  <c r="FG5"/>
  <c r="FF5"/>
  <c r="FE5"/>
  <c r="FD5"/>
  <c r="FC5"/>
  <c r="FB5"/>
  <c r="FA5"/>
  <c r="EZ5"/>
  <c r="EY5"/>
  <c r="EX5"/>
  <c r="EW5"/>
  <c r="EV5"/>
  <c r="EU5"/>
  <c r="ET5"/>
  <c r="ES5"/>
  <c r="ER5"/>
  <c r="EQ5"/>
  <c r="EP5"/>
  <c r="EO5"/>
  <c r="EN5"/>
  <c r="EM5"/>
  <c r="EL5"/>
  <c r="EK5"/>
  <c r="EJ5"/>
  <c r="EI5"/>
  <c r="EH5"/>
  <c r="EG5"/>
  <c r="EF5"/>
  <c r="EE5"/>
  <c r="ED5"/>
  <c r="EC5"/>
  <c r="EB5"/>
  <c r="EA5"/>
  <c r="DZ5"/>
  <c r="DY5"/>
  <c r="DX5"/>
  <c r="DW5"/>
  <c r="DV5"/>
  <c r="DU5"/>
  <c r="DT5"/>
  <c r="DS5"/>
  <c r="DR5"/>
  <c r="DQ5"/>
  <c r="DP5"/>
  <c r="DO5"/>
  <c r="DN5"/>
  <c r="DM5"/>
  <c r="DL5"/>
  <c r="DK5"/>
  <c r="DJ5"/>
  <c r="DI5"/>
  <c r="DH5"/>
  <c r="DG5"/>
  <c r="DF5"/>
  <c r="DE5"/>
  <c r="DD5"/>
  <c r="DC5"/>
  <c r="DB5"/>
  <c r="DA5"/>
  <c r="CZ5"/>
  <c r="CY5"/>
  <c r="CX5"/>
  <c r="CW5"/>
  <c r="CV5"/>
  <c r="CU5"/>
  <c r="CT5"/>
  <c r="CS5"/>
  <c r="CR5"/>
  <c r="CQ5"/>
  <c r="CP5"/>
  <c r="CO5"/>
  <c r="CN5"/>
  <c r="CM5"/>
  <c r="CL5"/>
  <c r="CK5"/>
  <c r="CJ5"/>
  <c r="CI5"/>
  <c r="CH5"/>
  <c r="CG5"/>
  <c r="CF5"/>
  <c r="CE5"/>
  <c r="CD5"/>
  <c r="CC5"/>
  <c r="CB5"/>
  <c r="CA5"/>
  <c r="BZ5"/>
  <c r="BY5"/>
  <c r="BX5"/>
  <c r="BW5"/>
  <c r="BV5"/>
  <c r="BU5"/>
  <c r="BT5"/>
  <c r="BS5"/>
  <c r="BR5"/>
  <c r="BQ5"/>
  <c r="BP5"/>
  <c r="BO5"/>
  <c r="BN5"/>
  <c r="BM5"/>
  <c r="BL5"/>
  <c r="BK5"/>
  <c r="BJ5"/>
  <c r="BI5"/>
  <c r="BH5"/>
  <c r="BG5"/>
  <c r="BF5"/>
  <c r="BE5"/>
  <c r="BD5"/>
  <c r="BC5"/>
  <c r="BB5"/>
  <c r="BA5"/>
  <c r="AZ5"/>
  <c r="AY5"/>
  <c r="AX5"/>
  <c r="AW5"/>
  <c r="AV5"/>
  <c r="AU5"/>
  <c r="AT5"/>
  <c r="AS5"/>
  <c r="AR5"/>
  <c r="AQ5"/>
  <c r="AP5"/>
  <c r="AO5"/>
  <c r="AN5"/>
  <c r="AM5"/>
  <c r="AL5"/>
  <c r="AK5"/>
  <c r="AJ5"/>
  <c r="AI5"/>
  <c r="AH5"/>
  <c r="AG5"/>
  <c r="AF5"/>
  <c r="AE5"/>
  <c r="AD5"/>
  <c r="AC5"/>
  <c r="AB5"/>
  <c r="AA5"/>
  <c r="Z5"/>
  <c r="Y5"/>
  <c r="X5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  <c r="C5"/>
  <c r="B5"/>
  <c r="A5"/>
  <c r="IV4"/>
  <c r="IU4"/>
  <c r="IT4"/>
  <c r="IS4"/>
  <c r="IR4"/>
  <c r="IQ4"/>
  <c r="IP4"/>
  <c r="IO4"/>
  <c r="IN4"/>
  <c r="IM4"/>
  <c r="IL4"/>
  <c r="IK4"/>
  <c r="IJ4"/>
  <c r="II4"/>
  <c r="IH4"/>
  <c r="IG4"/>
  <c r="IF4"/>
  <c r="IE4"/>
  <c r="ID4"/>
  <c r="IC4"/>
  <c r="IB4"/>
  <c r="IA4"/>
  <c r="HZ4"/>
  <c r="HY4"/>
  <c r="HX4"/>
  <c r="HW4"/>
  <c r="HV4"/>
  <c r="HU4"/>
  <c r="HT4"/>
  <c r="HS4"/>
  <c r="HR4"/>
  <c r="HQ4"/>
  <c r="HP4"/>
  <c r="HO4"/>
  <c r="HN4"/>
  <c r="HM4"/>
  <c r="HL4"/>
  <c r="HK4"/>
  <c r="HJ4"/>
  <c r="HI4"/>
  <c r="HH4"/>
  <c r="HG4"/>
  <c r="HF4"/>
  <c r="HE4"/>
  <c r="HD4"/>
  <c r="HC4"/>
  <c r="HB4"/>
  <c r="HA4"/>
  <c r="GZ4"/>
  <c r="GY4"/>
  <c r="GX4"/>
  <c r="GW4"/>
  <c r="GV4"/>
  <c r="GU4"/>
  <c r="GT4"/>
  <c r="GS4"/>
  <c r="GR4"/>
  <c r="GQ4"/>
  <c r="GP4"/>
  <c r="GO4"/>
  <c r="GN4"/>
  <c r="GM4"/>
  <c r="GL4"/>
  <c r="GK4"/>
  <c r="GJ4"/>
  <c r="GI4"/>
  <c r="GH4"/>
  <c r="GG4"/>
  <c r="GF4"/>
  <c r="GE4"/>
  <c r="GD4"/>
  <c r="GC4"/>
  <c r="GB4"/>
  <c r="GA4"/>
  <c r="FZ4"/>
  <c r="FY4"/>
  <c r="FX4"/>
  <c r="FW4"/>
  <c r="FV4"/>
  <c r="FU4"/>
  <c r="FT4"/>
  <c r="FS4"/>
  <c r="FR4"/>
  <c r="FQ4"/>
  <c r="FP4"/>
  <c r="FO4"/>
  <c r="FN4"/>
  <c r="FM4"/>
  <c r="FL4"/>
  <c r="FK4"/>
  <c r="FJ4"/>
  <c r="FI4"/>
  <c r="FH4"/>
  <c r="FG4"/>
  <c r="FF4"/>
  <c r="FE4"/>
  <c r="FD4"/>
  <c r="FC4"/>
  <c r="FB4"/>
  <c r="FA4"/>
  <c r="EZ4"/>
  <c r="EY4"/>
  <c r="EX4"/>
  <c r="EW4"/>
  <c r="EV4"/>
  <c r="EU4"/>
  <c r="ET4"/>
  <c r="ES4"/>
  <c r="ER4"/>
  <c r="EQ4"/>
  <c r="EP4"/>
  <c r="EO4"/>
  <c r="EN4"/>
  <c r="EM4"/>
  <c r="EL4"/>
  <c r="EK4"/>
  <c r="EJ4"/>
  <c r="EI4"/>
  <c r="EH4"/>
  <c r="EG4"/>
  <c r="EF4"/>
  <c r="EE4"/>
  <c r="ED4"/>
  <c r="EC4"/>
  <c r="EB4"/>
  <c r="EA4"/>
  <c r="DZ4"/>
  <c r="DY4"/>
  <c r="DX4"/>
  <c r="DW4"/>
  <c r="DV4"/>
  <c r="DU4"/>
  <c r="DT4"/>
  <c r="DS4"/>
  <c r="DR4"/>
  <c r="DQ4"/>
  <c r="DP4"/>
  <c r="DO4"/>
  <c r="DN4"/>
  <c r="DM4"/>
  <c r="DL4"/>
  <c r="DK4"/>
  <c r="DJ4"/>
  <c r="DI4"/>
  <c r="DH4"/>
  <c r="DG4"/>
  <c r="DF4"/>
  <c r="DE4"/>
  <c r="DD4"/>
  <c r="DC4"/>
  <c r="DB4"/>
  <c r="DA4"/>
  <c r="CZ4"/>
  <c r="CY4"/>
  <c r="CX4"/>
  <c r="CW4"/>
  <c r="CV4"/>
  <c r="CU4"/>
  <c r="CT4"/>
  <c r="CS4"/>
  <c r="CR4"/>
  <c r="CQ4"/>
  <c r="CP4"/>
  <c r="CO4"/>
  <c r="CN4"/>
  <c r="CM4"/>
  <c r="CL4"/>
  <c r="CK4"/>
  <c r="CJ4"/>
  <c r="CI4"/>
  <c r="CH4"/>
  <c r="CG4"/>
  <c r="CF4"/>
  <c r="CE4"/>
  <c r="CD4"/>
  <c r="CC4"/>
  <c r="CB4"/>
  <c r="CA4"/>
  <c r="BZ4"/>
  <c r="BY4"/>
  <c r="BX4"/>
  <c r="BW4"/>
  <c r="BV4"/>
  <c r="BU4"/>
  <c r="BT4"/>
  <c r="BS4"/>
  <c r="BR4"/>
  <c r="BQ4"/>
  <c r="BP4"/>
  <c r="BO4"/>
  <c r="BN4"/>
  <c r="BM4"/>
  <c r="BL4"/>
  <c r="BK4"/>
  <c r="BJ4"/>
  <c r="BI4"/>
  <c r="BH4"/>
  <c r="BG4"/>
  <c r="BF4"/>
  <c r="BE4"/>
  <c r="BD4"/>
  <c r="BC4"/>
  <c r="BB4"/>
  <c r="BA4"/>
  <c r="AZ4"/>
  <c r="AY4"/>
  <c r="AX4"/>
  <c r="AW4"/>
  <c r="AV4"/>
  <c r="AU4"/>
  <c r="AT4"/>
  <c r="AS4"/>
  <c r="AR4"/>
  <c r="AQ4"/>
  <c r="AP4"/>
  <c r="AO4"/>
  <c r="AN4"/>
  <c r="AM4"/>
  <c r="AL4"/>
  <c r="AK4"/>
  <c r="AJ4"/>
  <c r="AI4"/>
  <c r="AH4"/>
  <c r="AG4"/>
  <c r="AF4"/>
  <c r="AE4"/>
  <c r="AD4"/>
  <c r="AC4"/>
  <c r="AB4"/>
  <c r="AA4"/>
  <c r="Z4"/>
  <c r="Y4"/>
  <c r="X4"/>
  <c r="W4"/>
  <c r="V4"/>
  <c r="U4"/>
  <c r="T4"/>
  <c r="S4"/>
  <c r="R4"/>
  <c r="Q4"/>
  <c r="P4"/>
  <c r="O4"/>
  <c r="N4"/>
  <c r="M4"/>
  <c r="L4"/>
  <c r="K4"/>
  <c r="J4"/>
  <c r="I4"/>
  <c r="H4"/>
  <c r="G4"/>
  <c r="F4"/>
  <c r="E4"/>
  <c r="D4"/>
  <c r="C4"/>
  <c r="B4"/>
  <c r="A4"/>
  <c r="IV3"/>
  <c r="IU3"/>
  <c r="IT3"/>
  <c r="IS3"/>
  <c r="IR3"/>
  <c r="IQ3"/>
  <c r="IP3"/>
  <c r="IO3"/>
  <c r="IN3"/>
  <c r="IM3"/>
  <c r="IL3"/>
  <c r="IK3"/>
  <c r="IJ3"/>
  <c r="II3"/>
  <c r="IH3"/>
  <c r="IG3"/>
  <c r="IF3"/>
  <c r="IE3"/>
  <c r="ID3"/>
  <c r="IC3"/>
  <c r="IB3"/>
  <c r="IA3"/>
  <c r="HZ3"/>
  <c r="HY3"/>
  <c r="HX3"/>
  <c r="HW3"/>
  <c r="HV3"/>
  <c r="HU3"/>
  <c r="HT3"/>
  <c r="HS3"/>
  <c r="HR3"/>
  <c r="HQ3"/>
  <c r="HP3"/>
  <c r="HO3"/>
  <c r="HN3"/>
  <c r="HM3"/>
  <c r="HL3"/>
  <c r="HK3"/>
  <c r="HJ3"/>
  <c r="HI3"/>
  <c r="HH3"/>
  <c r="HG3"/>
  <c r="HF3"/>
  <c r="HE3"/>
  <c r="HD3"/>
  <c r="HC3"/>
  <c r="HB3"/>
  <c r="HA3"/>
  <c r="GZ3"/>
  <c r="GY3"/>
  <c r="GX3"/>
  <c r="GW3"/>
  <c r="GV3"/>
  <c r="GU3"/>
  <c r="GT3"/>
  <c r="GS3"/>
  <c r="GR3"/>
  <c r="GQ3"/>
  <c r="GP3"/>
  <c r="GO3"/>
  <c r="GN3"/>
  <c r="GM3"/>
  <c r="GL3"/>
  <c r="GK3"/>
  <c r="GJ3"/>
  <c r="GI3"/>
  <c r="GH3"/>
  <c r="GG3"/>
  <c r="GF3"/>
  <c r="GE3"/>
  <c r="GD3"/>
  <c r="GC3"/>
  <c r="GB3"/>
  <c r="GA3"/>
  <c r="FZ3"/>
  <c r="FY3"/>
  <c r="FX3"/>
  <c r="FW3"/>
  <c r="FV3"/>
  <c r="FU3"/>
  <c r="FT3"/>
  <c r="FS3"/>
  <c r="FR3"/>
  <c r="FQ3"/>
  <c r="FP3"/>
  <c r="FO3"/>
  <c r="FN3"/>
  <c r="FM3"/>
  <c r="FL3"/>
  <c r="FK3"/>
  <c r="FJ3"/>
  <c r="FI3"/>
  <c r="FH3"/>
  <c r="FG3"/>
  <c r="FF3"/>
  <c r="FE3"/>
  <c r="FD3"/>
  <c r="FC3"/>
  <c r="FB3"/>
  <c r="FA3"/>
  <c r="EZ3"/>
  <c r="EY3"/>
  <c r="EX3"/>
  <c r="EW3"/>
  <c r="EV3"/>
  <c r="EU3"/>
  <c r="ET3"/>
  <c r="ES3"/>
  <c r="ER3"/>
  <c r="EQ3"/>
  <c r="EP3"/>
  <c r="EO3"/>
  <c r="EN3"/>
  <c r="EM3"/>
  <c r="EL3"/>
  <c r="EK3"/>
  <c r="EJ3"/>
  <c r="EI3"/>
  <c r="EH3"/>
  <c r="EG3"/>
  <c r="EF3"/>
  <c r="EE3"/>
  <c r="ED3"/>
  <c r="EC3"/>
  <c r="EB3"/>
  <c r="EA3"/>
  <c r="DZ3"/>
  <c r="DY3"/>
  <c r="DX3"/>
  <c r="DW3"/>
  <c r="DV3"/>
  <c r="DU3"/>
  <c r="DT3"/>
  <c r="DS3"/>
  <c r="DR3"/>
  <c r="DQ3"/>
  <c r="DP3"/>
  <c r="DO3"/>
  <c r="DN3"/>
  <c r="DM3"/>
  <c r="DL3"/>
  <c r="DK3"/>
  <c r="DJ3"/>
  <c r="DI3"/>
  <c r="DH3"/>
  <c r="DG3"/>
  <c r="DF3"/>
  <c r="DE3"/>
  <c r="DD3"/>
  <c r="DC3"/>
  <c r="DB3"/>
  <c r="DA3"/>
  <c r="CZ3"/>
  <c r="CY3"/>
  <c r="CX3"/>
  <c r="CW3"/>
  <c r="CV3"/>
  <c r="CU3"/>
  <c r="CT3"/>
  <c r="CS3"/>
  <c r="CR3"/>
  <c r="CQ3"/>
  <c r="CP3"/>
  <c r="CO3"/>
  <c r="CN3"/>
  <c r="CM3"/>
  <c r="CL3"/>
  <c r="CK3"/>
  <c r="CJ3"/>
  <c r="CI3"/>
  <c r="CH3"/>
  <c r="CG3"/>
  <c r="CF3"/>
  <c r="CE3"/>
  <c r="CD3"/>
  <c r="CC3"/>
  <c r="CB3"/>
  <c r="CA3"/>
  <c r="BZ3"/>
  <c r="BY3"/>
  <c r="BX3"/>
  <c r="BW3"/>
  <c r="BV3"/>
  <c r="BU3"/>
  <c r="BT3"/>
  <c r="BS3"/>
  <c r="BR3"/>
  <c r="BQ3"/>
  <c r="BP3"/>
  <c r="BO3"/>
  <c r="BN3"/>
  <c r="BM3"/>
  <c r="BL3"/>
  <c r="BK3"/>
  <c r="BJ3"/>
  <c r="BI3"/>
  <c r="BH3"/>
  <c r="BG3"/>
  <c r="BF3"/>
  <c r="BE3"/>
  <c r="BD3"/>
  <c r="BC3"/>
  <c r="BB3"/>
  <c r="BA3"/>
  <c r="AZ3"/>
  <c r="AY3"/>
  <c r="AX3"/>
  <c r="AW3"/>
  <c r="AV3"/>
  <c r="AU3"/>
  <c r="AT3"/>
  <c r="AS3"/>
  <c r="AR3"/>
  <c r="AQ3"/>
  <c r="AP3"/>
  <c r="AO3"/>
  <c r="AN3"/>
  <c r="AM3"/>
  <c r="AL3"/>
  <c r="AK3"/>
  <c r="AJ3"/>
  <c r="AI3"/>
  <c r="AH3"/>
  <c r="AG3"/>
  <c r="AF3"/>
  <c r="AE3"/>
  <c r="AD3"/>
  <c r="AC3"/>
  <c r="AB3"/>
  <c r="AA3"/>
  <c r="Z3"/>
  <c r="Y3"/>
  <c r="X3"/>
  <c r="W3"/>
  <c r="V3"/>
  <c r="U3"/>
  <c r="T3"/>
  <c r="S3"/>
  <c r="R3"/>
  <c r="Q3"/>
  <c r="P3"/>
  <c r="O3"/>
  <c r="N3"/>
  <c r="M3"/>
  <c r="L3"/>
  <c r="K3"/>
  <c r="J3"/>
  <c r="I3"/>
  <c r="H3"/>
  <c r="G3"/>
  <c r="F3"/>
  <c r="E3"/>
  <c r="D3"/>
  <c r="C3"/>
  <c r="B3"/>
  <c r="A3"/>
  <c r="IV2"/>
  <c r="IU2"/>
  <c r="IT2"/>
  <c r="IS2"/>
  <c r="IR2"/>
  <c r="IQ2"/>
  <c r="IP2"/>
  <c r="IO2"/>
  <c r="IN2"/>
  <c r="IM2"/>
  <c r="IL2"/>
  <c r="IK2"/>
  <c r="IJ2"/>
  <c r="II2"/>
  <c r="IH2"/>
  <c r="IG2"/>
  <c r="IF2"/>
  <c r="IE2"/>
  <c r="ID2"/>
  <c r="IC2"/>
  <c r="IB2"/>
  <c r="IA2"/>
  <c r="HZ2"/>
  <c r="HY2"/>
  <c r="HX2"/>
  <c r="HW2"/>
  <c r="HV2"/>
  <c r="HU2"/>
  <c r="HT2"/>
  <c r="HS2"/>
  <c r="HR2"/>
  <c r="HQ2"/>
  <c r="HP2"/>
  <c r="HO2"/>
  <c r="HN2"/>
  <c r="HM2"/>
  <c r="HL2"/>
  <c r="HK2"/>
  <c r="HJ2"/>
  <c r="HI2"/>
  <c r="HH2"/>
  <c r="HG2"/>
  <c r="HF2"/>
  <c r="HE2"/>
  <c r="HD2"/>
  <c r="HC2"/>
  <c r="HB2"/>
  <c r="HA2"/>
  <c r="GZ2"/>
  <c r="GY2"/>
  <c r="GX2"/>
  <c r="GW2"/>
  <c r="GV2"/>
  <c r="GU2"/>
  <c r="GT2"/>
  <c r="GS2"/>
  <c r="GR2"/>
  <c r="GQ2"/>
  <c r="GP2"/>
  <c r="GO2"/>
  <c r="GN2"/>
  <c r="GM2"/>
  <c r="GL2"/>
  <c r="GK2"/>
  <c r="GJ2"/>
  <c r="GI2"/>
  <c r="GH2"/>
  <c r="GG2"/>
  <c r="GF2"/>
  <c r="GE2"/>
  <c r="GD2"/>
  <c r="GC2"/>
  <c r="GB2"/>
  <c r="GA2"/>
  <c r="FZ2"/>
  <c r="FY2"/>
  <c r="FX2"/>
  <c r="FW2"/>
  <c r="FV2"/>
  <c r="FU2"/>
  <c r="FT2"/>
  <c r="FS2"/>
  <c r="FR2"/>
  <c r="FQ2"/>
  <c r="FP2"/>
  <c r="FO2"/>
  <c r="FN2"/>
  <c r="FM2"/>
  <c r="FL2"/>
  <c r="FK2"/>
  <c r="FJ2"/>
  <c r="FI2"/>
  <c r="FH2"/>
  <c r="FG2"/>
  <c r="FF2"/>
  <c r="FE2"/>
  <c r="FD2"/>
  <c r="FC2"/>
  <c r="FB2"/>
  <c r="FA2"/>
  <c r="EZ2"/>
  <c r="EY2"/>
  <c r="EX2"/>
  <c r="EW2"/>
  <c r="EV2"/>
  <c r="EU2"/>
  <c r="ET2"/>
  <c r="ES2"/>
  <c r="ER2"/>
  <c r="EQ2"/>
  <c r="EP2"/>
  <c r="EO2"/>
  <c r="EN2"/>
  <c r="EM2"/>
  <c r="EL2"/>
  <c r="EK2"/>
  <c r="EJ2"/>
  <c r="EI2"/>
  <c r="EH2"/>
  <c r="EG2"/>
  <c r="EF2"/>
  <c r="EE2"/>
  <c r="ED2"/>
  <c r="EC2"/>
  <c r="EB2"/>
  <c r="EA2"/>
  <c r="DZ2"/>
  <c r="DY2"/>
  <c r="DX2"/>
  <c r="DW2"/>
  <c r="DV2"/>
  <c r="DU2"/>
  <c r="DT2"/>
  <c r="DS2"/>
  <c r="DR2"/>
  <c r="DQ2"/>
  <c r="DP2"/>
  <c r="DO2"/>
  <c r="DN2"/>
  <c r="DM2"/>
  <c r="DL2"/>
  <c r="DK2"/>
  <c r="DJ2"/>
  <c r="DI2"/>
  <c r="DH2"/>
  <c r="DG2"/>
  <c r="DF2"/>
  <c r="DE2"/>
  <c r="DD2"/>
  <c r="DC2"/>
  <c r="DB2"/>
  <c r="DA2"/>
  <c r="CZ2"/>
  <c r="CY2"/>
  <c r="CX2"/>
  <c r="CW2"/>
  <c r="CV2"/>
  <c r="CU2"/>
  <c r="CT2"/>
  <c r="CS2"/>
  <c r="CR2"/>
  <c r="CQ2"/>
  <c r="CP2"/>
  <c r="CO2"/>
  <c r="CN2"/>
  <c r="CM2"/>
  <c r="CL2"/>
  <c r="CK2"/>
  <c r="CJ2"/>
  <c r="CI2"/>
  <c r="CH2"/>
  <c r="CG2"/>
  <c r="CF2"/>
  <c r="CE2"/>
  <c r="CD2"/>
  <c r="CC2"/>
  <c r="CB2"/>
  <c r="CA2"/>
  <c r="BZ2"/>
  <c r="BY2"/>
  <c r="BX2"/>
  <c r="BW2"/>
  <c r="BV2"/>
  <c r="BU2"/>
  <c r="BT2"/>
  <c r="BS2"/>
  <c r="BR2"/>
  <c r="BQ2"/>
  <c r="BP2"/>
  <c r="BO2"/>
  <c r="BN2"/>
  <c r="BM2"/>
  <c r="BL2"/>
  <c r="BK2"/>
  <c r="BJ2"/>
  <c r="BI2"/>
  <c r="BH2"/>
  <c r="BG2"/>
  <c r="BF2"/>
  <c r="BE2"/>
  <c r="BD2"/>
  <c r="BC2"/>
  <c r="BB2"/>
  <c r="BA2"/>
  <c r="AZ2"/>
  <c r="AY2"/>
  <c r="AX2"/>
  <c r="AW2"/>
  <c r="AV2"/>
  <c r="AU2"/>
  <c r="AT2"/>
  <c r="AS2"/>
  <c r="AR2"/>
  <c r="AQ2"/>
  <c r="AP2"/>
  <c r="AO2"/>
  <c r="AN2"/>
  <c r="AM2"/>
  <c r="AL2"/>
  <c r="AK2"/>
  <c r="AJ2"/>
  <c r="AI2"/>
  <c r="AH2"/>
  <c r="AG2"/>
  <c r="AF2"/>
  <c r="AE2"/>
  <c r="AD2"/>
  <c r="AC2"/>
  <c r="AB2"/>
  <c r="AA2"/>
  <c r="Z2"/>
  <c r="Y2"/>
  <c r="X2"/>
  <c r="W2"/>
  <c r="V2"/>
  <c r="U2"/>
  <c r="T2"/>
  <c r="S2"/>
  <c r="R2"/>
  <c r="Q2"/>
  <c r="P2"/>
  <c r="O2"/>
  <c r="N2"/>
  <c r="M2"/>
  <c r="L2"/>
  <c r="K2"/>
  <c r="J2"/>
  <c r="I2"/>
  <c r="H2"/>
  <c r="G2"/>
  <c r="F2"/>
  <c r="E2"/>
  <c r="D2"/>
  <c r="C2"/>
  <c r="B2"/>
  <c r="A2"/>
  <c r="IV1"/>
  <c r="IU1"/>
  <c r="IT1"/>
  <c r="IS1"/>
  <c r="IR1"/>
  <c r="IQ1"/>
  <c r="IP1"/>
  <c r="IO1"/>
  <c r="IN1"/>
  <c r="IM1"/>
  <c r="IL1"/>
  <c r="IK1"/>
  <c r="IJ1"/>
  <c r="II1"/>
  <c r="IH1"/>
  <c r="IG1"/>
  <c r="IF1"/>
  <c r="IE1"/>
  <c r="ID1"/>
  <c r="IC1"/>
  <c r="IB1"/>
  <c r="IA1"/>
  <c r="HZ1"/>
  <c r="HY1"/>
  <c r="HX1"/>
  <c r="HW1"/>
  <c r="HV1"/>
  <c r="HU1"/>
  <c r="HT1"/>
  <c r="HS1"/>
  <c r="HR1"/>
  <c r="HQ1"/>
  <c r="HP1"/>
  <c r="HO1"/>
  <c r="HN1"/>
  <c r="HM1"/>
  <c r="HL1"/>
  <c r="HK1"/>
  <c r="HJ1"/>
  <c r="HI1"/>
  <c r="HH1"/>
  <c r="HG1"/>
  <c r="HF1"/>
  <c r="HE1"/>
  <c r="HD1"/>
  <c r="HC1"/>
  <c r="HB1"/>
  <c r="HA1"/>
  <c r="GZ1"/>
  <c r="GY1"/>
  <c r="GX1"/>
  <c r="GW1"/>
  <c r="GV1"/>
  <c r="GU1"/>
  <c r="GT1"/>
  <c r="GS1"/>
  <c r="GR1"/>
  <c r="GQ1"/>
  <c r="GP1"/>
  <c r="GO1"/>
  <c r="GN1"/>
  <c r="GM1"/>
  <c r="GL1"/>
  <c r="GK1"/>
  <c r="GJ1"/>
  <c r="GI1"/>
  <c r="GH1"/>
  <c r="GG1"/>
  <c r="GF1"/>
  <c r="GE1"/>
  <c r="GD1"/>
  <c r="GC1"/>
  <c r="GB1"/>
  <c r="GA1"/>
  <c r="FZ1"/>
  <c r="FY1"/>
  <c r="FX1"/>
  <c r="FW1"/>
  <c r="FV1"/>
  <c r="FU1"/>
  <c r="FT1"/>
  <c r="FS1"/>
  <c r="FR1"/>
  <c r="FQ1"/>
  <c r="FP1"/>
  <c r="FO1"/>
  <c r="FN1"/>
  <c r="FM1"/>
  <c r="FL1"/>
  <c r="FK1"/>
  <c r="FJ1"/>
  <c r="FI1"/>
  <c r="FH1"/>
  <c r="FG1"/>
  <c r="FF1"/>
  <c r="FE1"/>
  <c r="FD1"/>
  <c r="FC1"/>
  <c r="FB1"/>
  <c r="FA1"/>
  <c r="EZ1"/>
  <c r="EY1"/>
  <c r="EX1"/>
  <c r="EW1"/>
  <c r="EV1"/>
  <c r="EU1"/>
  <c r="ET1"/>
  <c r="ES1"/>
  <c r="ER1"/>
  <c r="EQ1"/>
  <c r="EP1"/>
  <c r="EO1"/>
  <c r="EN1"/>
  <c r="EM1"/>
  <c r="EL1"/>
  <c r="EK1"/>
  <c r="EJ1"/>
  <c r="EI1"/>
  <c r="EH1"/>
  <c r="EG1"/>
  <c r="EF1"/>
  <c r="EE1"/>
  <c r="ED1"/>
  <c r="EC1"/>
  <c r="EB1"/>
  <c r="EA1"/>
  <c r="DZ1"/>
  <c r="DY1"/>
  <c r="DX1"/>
  <c r="DW1"/>
  <c r="DV1"/>
  <c r="DU1"/>
  <c r="DT1"/>
  <c r="DS1"/>
  <c r="DR1"/>
  <c r="DQ1"/>
  <c r="DP1"/>
  <c r="DO1"/>
  <c r="DN1"/>
  <c r="DM1"/>
  <c r="DL1"/>
  <c r="DK1"/>
  <c r="DJ1"/>
  <c r="DI1"/>
  <c r="DH1"/>
  <c r="DG1"/>
  <c r="DF1"/>
  <c r="DE1"/>
  <c r="DD1"/>
  <c r="DC1"/>
  <c r="DB1"/>
  <c r="DA1"/>
  <c r="CZ1"/>
  <c r="CY1"/>
  <c r="CX1"/>
  <c r="CW1"/>
  <c r="CV1"/>
  <c r="CU1"/>
  <c r="CT1"/>
  <c r="CS1"/>
  <c r="CR1"/>
  <c r="CQ1"/>
  <c r="CP1"/>
  <c r="CO1"/>
  <c r="CN1"/>
  <c r="CM1"/>
  <c r="CL1"/>
  <c r="CK1"/>
  <c r="CJ1"/>
  <c r="CI1"/>
  <c r="CH1"/>
  <c r="CG1"/>
  <c r="CF1"/>
  <c r="CE1"/>
  <c r="CD1"/>
  <c r="CC1"/>
  <c r="CB1"/>
  <c r="CA1"/>
  <c r="BZ1"/>
  <c r="BY1"/>
  <c r="BX1"/>
  <c r="BW1"/>
  <c r="BV1"/>
  <c r="BU1"/>
  <c r="BT1"/>
  <c r="BS1"/>
  <c r="BR1"/>
  <c r="BQ1"/>
  <c r="BP1"/>
  <c r="BO1"/>
  <c r="BN1"/>
  <c r="BM1"/>
  <c r="BL1"/>
  <c r="BK1"/>
  <c r="BJ1"/>
  <c r="BI1"/>
  <c r="BH1"/>
  <c r="BG1"/>
  <c r="BF1"/>
  <c r="BE1"/>
  <c r="BD1"/>
  <c r="BC1"/>
  <c r="BB1"/>
  <c r="BA1"/>
  <c r="AZ1"/>
  <c r="AY1"/>
  <c r="AX1"/>
  <c r="AW1"/>
  <c r="AV1"/>
  <c r="AU1"/>
  <c r="AT1"/>
  <c r="AS1"/>
  <c r="AR1"/>
  <c r="AQ1"/>
  <c r="AP1"/>
  <c r="AO1"/>
  <c r="AN1"/>
  <c r="AM1"/>
  <c r="AL1"/>
  <c r="AK1"/>
  <c r="AJ1"/>
  <c r="AI1"/>
  <c r="AH1"/>
  <c r="AG1"/>
  <c r="AF1"/>
  <c r="AE1"/>
  <c r="AD1"/>
  <c r="AC1"/>
  <c r="AB1"/>
  <c r="AA1"/>
  <c r="Z1"/>
  <c r="Y1"/>
  <c r="X1"/>
  <c r="W1"/>
  <c r="V1"/>
  <c r="U1"/>
  <c r="T1"/>
  <c r="S1"/>
  <c r="R1"/>
  <c r="Q1"/>
  <c r="P1"/>
  <c r="O1"/>
  <c r="N1"/>
  <c r="M1"/>
  <c r="L1"/>
  <c r="K1"/>
  <c r="J1"/>
  <c r="I1"/>
  <c r="H1"/>
  <c r="G1"/>
  <c r="F1"/>
  <c r="E1"/>
  <c r="D1"/>
  <c r="C1"/>
  <c r="B1"/>
  <c r="A1"/>
  <c r="R28" i="4"/>
  <c r="C28"/>
  <c r="AA25"/>
  <c r="Z25"/>
  <c r="W25"/>
  <c r="V25"/>
  <c r="U25"/>
  <c r="T25"/>
  <c r="S25"/>
  <c r="R25"/>
  <c r="Q25"/>
  <c r="O25"/>
  <c r="N25"/>
  <c r="M25"/>
  <c r="K25"/>
  <c r="I25"/>
  <c r="H25"/>
  <c r="G25"/>
  <c r="F25"/>
  <c r="E25"/>
  <c r="D25"/>
  <c r="C25"/>
  <c r="B25"/>
  <c r="AA24"/>
  <c r="Z24"/>
  <c r="W24"/>
  <c r="V24"/>
  <c r="U24"/>
  <c r="T24"/>
  <c r="S24"/>
  <c r="R24"/>
  <c r="Q24"/>
  <c r="O24"/>
  <c r="N24"/>
  <c r="M24"/>
  <c r="K24"/>
  <c r="I24"/>
  <c r="H24"/>
  <c r="G24"/>
  <c r="F24"/>
  <c r="E24"/>
  <c r="D24"/>
  <c r="C24"/>
  <c r="B24"/>
  <c r="AA23"/>
  <c r="Z23"/>
  <c r="W23"/>
  <c r="V23"/>
  <c r="U23"/>
  <c r="T23"/>
  <c r="S23"/>
  <c r="R23"/>
  <c r="Q23"/>
  <c r="O23"/>
  <c r="N23"/>
  <c r="M23"/>
  <c r="K23"/>
  <c r="I23"/>
  <c r="H23"/>
  <c r="G23"/>
  <c r="F23"/>
  <c r="E23"/>
  <c r="D23"/>
  <c r="C23"/>
  <c r="B23"/>
  <c r="AA22"/>
  <c r="Z22"/>
  <c r="W22"/>
  <c r="V22"/>
  <c r="U22"/>
  <c r="T22"/>
  <c r="S22"/>
  <c r="R22"/>
  <c r="Q22"/>
  <c r="O22"/>
  <c r="N22"/>
  <c r="M22"/>
  <c r="K22"/>
  <c r="I22"/>
  <c r="H22"/>
  <c r="G22"/>
  <c r="F22"/>
  <c r="E22"/>
  <c r="D22"/>
  <c r="C22"/>
  <c r="B22"/>
  <c r="AA21"/>
  <c r="Z21"/>
  <c r="W21"/>
  <c r="V21"/>
  <c r="U21"/>
  <c r="T21"/>
  <c r="S21"/>
  <c r="R21"/>
  <c r="Q21"/>
  <c r="O21"/>
  <c r="M21"/>
  <c r="K21"/>
  <c r="I21"/>
  <c r="H21"/>
  <c r="G21"/>
  <c r="F21"/>
  <c r="E21"/>
  <c r="D21"/>
  <c r="C21"/>
  <c r="B21"/>
  <c r="AA20"/>
  <c r="Z20"/>
  <c r="W20"/>
  <c r="V20"/>
  <c r="U20"/>
  <c r="T20"/>
  <c r="S20"/>
  <c r="R20"/>
  <c r="Q20"/>
  <c r="O20"/>
  <c r="M20"/>
  <c r="K20"/>
  <c r="I20"/>
  <c r="H20"/>
  <c r="G20"/>
  <c r="F20"/>
  <c r="E20"/>
  <c r="C20"/>
  <c r="B20"/>
  <c r="AA19"/>
  <c r="Z19"/>
  <c r="W19"/>
  <c r="V19"/>
  <c r="U19"/>
  <c r="T19"/>
  <c r="S19"/>
  <c r="R19"/>
  <c r="Q19"/>
  <c r="P19"/>
  <c r="O19"/>
  <c r="N19"/>
  <c r="M19"/>
  <c r="K19"/>
  <c r="J19"/>
  <c r="I19"/>
  <c r="H19"/>
  <c r="G19"/>
  <c r="F19"/>
  <c r="E19"/>
  <c r="B19"/>
  <c r="AA18"/>
  <c r="Z18"/>
  <c r="W18"/>
  <c r="V18"/>
  <c r="U18"/>
  <c r="M62" i="6" s="1"/>
  <c r="T18" i="4"/>
  <c r="S18"/>
  <c r="R18"/>
  <c r="Q18"/>
  <c r="P18"/>
  <c r="O18"/>
  <c r="N18"/>
  <c r="M18"/>
  <c r="K18"/>
  <c r="J18"/>
  <c r="I18"/>
  <c r="G18"/>
  <c r="F18"/>
  <c r="E18"/>
  <c r="D18"/>
  <c r="C18"/>
  <c r="B18"/>
  <c r="AA17"/>
  <c r="Z17"/>
  <c r="V17"/>
  <c r="H17"/>
  <c r="AA16"/>
  <c r="Z16"/>
  <c r="V16"/>
  <c r="H16"/>
  <c r="AA15"/>
  <c r="Z15"/>
  <c r="V15"/>
  <c r="H15"/>
  <c r="AA14"/>
  <c r="Z14"/>
  <c r="V14"/>
  <c r="H14"/>
  <c r="AA13"/>
  <c r="Z13"/>
  <c r="V13"/>
  <c r="H13"/>
  <c r="AA12"/>
  <c r="Z12"/>
  <c r="V12"/>
  <c r="H12"/>
  <c r="AA11"/>
  <c r="Z11"/>
  <c r="V11"/>
  <c r="H11"/>
  <c r="AA10"/>
  <c r="Z10"/>
  <c r="V10"/>
  <c r="H10"/>
  <c r="AA9"/>
  <c r="Z9"/>
  <c r="V9"/>
  <c r="H9"/>
  <c r="AA8"/>
  <c r="Z8"/>
  <c r="V8"/>
  <c r="H8"/>
  <c r="AA7"/>
  <c r="Z7"/>
  <c r="H7"/>
  <c r="AA6"/>
  <c r="Z6"/>
  <c r="V6"/>
  <c r="H6"/>
  <c r="X5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  <c r="C5"/>
  <c r="B5"/>
  <c r="A5"/>
  <c r="AA4"/>
  <c r="Z4"/>
  <c r="Y4"/>
  <c r="Y3"/>
  <c r="Q3"/>
  <c r="K3"/>
  <c r="G3"/>
  <c r="C3"/>
  <c r="T2"/>
  <c r="L2"/>
  <c r="D2"/>
  <c r="Y1"/>
  <c r="D40" i="3"/>
  <c r="B39"/>
  <c r="J17"/>
  <c r="O59" i="6" s="1"/>
  <c r="G899" i="2"/>
  <c r="G898"/>
  <c r="G897"/>
  <c r="G896"/>
  <c r="G895"/>
  <c r="G894"/>
  <c r="G893"/>
  <c r="G892"/>
  <c r="G891"/>
  <c r="G890"/>
  <c r="G889"/>
  <c r="G888"/>
  <c r="G887"/>
  <c r="D883"/>
  <c r="D882"/>
  <c r="Z27"/>
  <c r="Y27"/>
  <c r="Q27"/>
  <c r="M27"/>
  <c r="K27"/>
  <c r="Z26"/>
  <c r="Y25" i="4" s="1"/>
  <c r="Y26" i="2"/>
  <c r="X25" i="4" s="1"/>
  <c r="Q26" i="2"/>
  <c r="P25" i="4" s="1"/>
  <c r="M26" i="2"/>
  <c r="L25" i="4" s="1"/>
  <c r="K26" i="2"/>
  <c r="J25" i="4" s="1"/>
  <c r="Z25" i="2"/>
  <c r="Y24" i="4" s="1"/>
  <c r="Y25" i="2"/>
  <c r="X24" i="4" s="1"/>
  <c r="Q25" i="2"/>
  <c r="P24" i="4" s="1"/>
  <c r="M25" i="2"/>
  <c r="L24" i="4" s="1"/>
  <c r="K25" i="2"/>
  <c r="J24" i="4" s="1"/>
  <c r="Q24" i="2"/>
  <c r="P23" i="4" s="1"/>
  <c r="M24" i="2"/>
  <c r="K24"/>
  <c r="J23" i="4" s="1"/>
  <c r="Q23" i="2"/>
  <c r="P22" i="4" s="1"/>
  <c r="M23" i="2"/>
  <c r="K23"/>
  <c r="J22" i="4" s="1"/>
  <c r="Q22" i="2"/>
  <c r="P21" i="4" s="1"/>
  <c r="O22" i="2"/>
  <c r="N21" i="4" s="1"/>
  <c r="M22" i="2"/>
  <c r="L21" i="4" s="1"/>
  <c r="K22" i="2"/>
  <c r="J21" i="4" s="1"/>
  <c r="Q21" i="2"/>
  <c r="P20" i="4" s="1"/>
  <c r="K21" i="2"/>
  <c r="J20" i="4" s="1"/>
  <c r="E21" i="2"/>
  <c r="Y20"/>
  <c r="X19" i="4" s="1"/>
  <c r="E20" i="2"/>
  <c r="D19" i="4" s="1"/>
  <c r="D20" i="2"/>
  <c r="Y19"/>
  <c r="X18" i="4" s="1"/>
  <c r="I19" i="2"/>
  <c r="H18" i="4" s="1"/>
  <c r="F18" i="2"/>
  <c r="E17" i="4" s="1"/>
  <c r="D38" i="3" s="1"/>
  <c r="E18" i="2"/>
  <c r="D17" i="4" s="1"/>
  <c r="AM17" i="2"/>
  <c r="F17"/>
  <c r="E16" i="4" s="1"/>
  <c r="D37" i="3" s="1"/>
  <c r="E17" i="2"/>
  <c r="D16" i="4" s="1"/>
  <c r="AM16" i="2"/>
  <c r="F16"/>
  <c r="E15" i="4" s="1"/>
  <c r="D36" i="3" s="1"/>
  <c r="E16" i="2"/>
  <c r="D15" i="4" s="1"/>
  <c r="AN15" i="2"/>
  <c r="AP15" s="1"/>
  <c r="AM15"/>
  <c r="AM18" s="1"/>
  <c r="F15"/>
  <c r="E14" i="4" s="1"/>
  <c r="D35" i="3" s="1"/>
  <c r="E15" i="2"/>
  <c r="D14" i="4" s="1"/>
  <c r="AN14" i="2"/>
  <c r="AP14" s="1"/>
  <c r="F14"/>
  <c r="E13" i="4" s="1"/>
  <c r="D34" i="3" s="1"/>
  <c r="E14" i="2"/>
  <c r="D13" i="4" s="1"/>
  <c r="AO13" i="2"/>
  <c r="AN13"/>
  <c r="AP13" s="1"/>
  <c r="F13"/>
  <c r="E12" i="4" s="1"/>
  <c r="D33" i="3" s="1"/>
  <c r="E13" i="2"/>
  <c r="D12" i="4" s="1"/>
  <c r="AN12" i="2"/>
  <c r="AP12" s="1"/>
  <c r="F12"/>
  <c r="E11" i="4" s="1"/>
  <c r="D32" i="3" s="1"/>
  <c r="E12" i="2"/>
  <c r="D11" i="4" s="1"/>
  <c r="F11" i="2"/>
  <c r="E10" i="4" s="1"/>
  <c r="D31" i="3" s="1"/>
  <c r="E11" i="2"/>
  <c r="D10" i="4" s="1"/>
  <c r="F10" i="2"/>
  <c r="E9" i="4" s="1"/>
  <c r="D30" i="3" s="1"/>
  <c r="E10" i="2"/>
  <c r="D9" i="4" s="1"/>
  <c r="F9" i="2"/>
  <c r="E8" i="4" s="1"/>
  <c r="D29" i="3" s="1"/>
  <c r="E9" i="2"/>
  <c r="D8" i="4" s="1"/>
  <c r="W8" i="2"/>
  <c r="V7" i="4" s="1"/>
  <c r="U8" i="2"/>
  <c r="T7" i="4" s="1"/>
  <c r="S8" i="2"/>
  <c r="R7" i="4" s="1"/>
  <c r="O8" i="2"/>
  <c r="N7" i="4" s="1"/>
  <c r="F8" i="2"/>
  <c r="E7" i="4" s="1"/>
  <c r="D28" i="3" s="1"/>
  <c r="E8" i="2"/>
  <c r="D7" i="4" s="1"/>
  <c r="D8" i="2"/>
  <c r="C7" i="4" s="1"/>
  <c r="C28" i="3" s="1"/>
  <c r="C8" i="2"/>
  <c r="B7" i="4" s="1"/>
  <c r="J6" i="2"/>
  <c r="H6"/>
  <c r="H8" s="1"/>
  <c r="G7" i="4" s="1"/>
  <c r="E1" i="2"/>
  <c r="M19" l="1"/>
  <c r="L18" i="4" s="1"/>
  <c r="O9" i="6"/>
  <c r="Y23" i="2"/>
  <c r="X22" i="4" s="1"/>
  <c r="Y24" i="2"/>
  <c r="X23" i="4" s="1"/>
  <c r="O54" i="6"/>
  <c r="Q8" i="2"/>
  <c r="P7" i="4" s="1"/>
  <c r="G8" i="2"/>
  <c r="F7" i="4" s="1"/>
  <c r="J8" i="2"/>
  <c r="I7" i="4" s="1"/>
  <c r="L8" i="2"/>
  <c r="K7" i="4" s="1"/>
  <c r="N8" i="2"/>
  <c r="P8"/>
  <c r="O7" i="4" s="1"/>
  <c r="R8" i="2"/>
  <c r="Q7" i="4" s="1"/>
  <c r="T8" i="2"/>
  <c r="S7" i="4" s="1"/>
  <c r="V8" i="2"/>
  <c r="U7" i="4" s="1"/>
  <c r="X8" i="2"/>
  <c r="W7" i="4" s="1"/>
  <c r="AO12" i="2"/>
  <c r="C7" s="1"/>
  <c r="AO14"/>
  <c r="C9" s="1"/>
  <c r="AO15"/>
  <c r="C10" s="1"/>
  <c r="AO24"/>
  <c r="V26" i="4"/>
  <c r="G26" i="6" s="1"/>
  <c r="C19" i="4"/>
  <c r="C40" i="3"/>
  <c r="D20" i="4"/>
  <c r="O21" i="2"/>
  <c r="L22" i="4"/>
  <c r="Z23" i="2"/>
  <c r="Y22" i="4" s="1"/>
  <c r="L23"/>
  <c r="Z24" i="2"/>
  <c r="Y23" i="4" s="1"/>
  <c r="K8" i="2"/>
  <c r="J7" i="4" s="1"/>
  <c r="M8" i="2"/>
  <c r="L7" i="4" s="1"/>
  <c r="AN16" i="2"/>
  <c r="Z19"/>
  <c r="Y18" i="4" s="1"/>
  <c r="M20" i="2"/>
  <c r="M21"/>
  <c r="Y22"/>
  <c r="X21" i="4" s="1"/>
  <c r="H26"/>
  <c r="Z22" i="2"/>
  <c r="Y21" i="4" s="1"/>
  <c r="L20" l="1"/>
  <c r="N20"/>
  <c r="Y21" i="2"/>
  <c r="X20" i="4" s="1"/>
  <c r="B9"/>
  <c r="V10" i="2"/>
  <c r="U9" i="4" s="1"/>
  <c r="T10" i="2"/>
  <c r="S9" i="4" s="1"/>
  <c r="R10" i="2"/>
  <c r="Q9" i="4" s="1"/>
  <c r="P10" i="2"/>
  <c r="O9" i="4" s="1"/>
  <c r="N10" i="2"/>
  <c r="M9" i="4" s="1"/>
  <c r="L10" i="2"/>
  <c r="K9" i="4" s="1"/>
  <c r="J10" i="2"/>
  <c r="I9" i="4" s="1"/>
  <c r="G10" i="2"/>
  <c r="F9" i="4" s="1"/>
  <c r="X10" i="2"/>
  <c r="W9" i="4" s="1"/>
  <c r="U10" i="2"/>
  <c r="T9" i="4" s="1"/>
  <c r="S10" i="2"/>
  <c r="R9" i="4" s="1"/>
  <c r="O10" i="2"/>
  <c r="N9" i="4" s="1"/>
  <c r="H10" i="2"/>
  <c r="G9" i="4" s="1"/>
  <c r="D10" i="2"/>
  <c r="B6" i="4"/>
  <c r="X7" i="2"/>
  <c r="W6" i="4" s="1"/>
  <c r="U7" i="2"/>
  <c r="T6" i="4" s="1"/>
  <c r="S7" i="2"/>
  <c r="R6" i="4" s="1"/>
  <c r="O7" i="2"/>
  <c r="N6" i="4" s="1"/>
  <c r="H7" i="2"/>
  <c r="G6" i="4" s="1"/>
  <c r="V7" i="2"/>
  <c r="U6" i="4" s="1"/>
  <c r="T7" i="2"/>
  <c r="S6" i="4" s="1"/>
  <c r="R7" i="2"/>
  <c r="Q6" i="4" s="1"/>
  <c r="N7" i="2"/>
  <c r="M6" i="4" s="1"/>
  <c r="L7" i="2"/>
  <c r="K6" i="4" s="1"/>
  <c r="J7" i="2"/>
  <c r="I6" i="4" s="1"/>
  <c r="G7" i="2"/>
  <c r="F6" i="4" s="1"/>
  <c r="D7" i="2"/>
  <c r="P7" s="1"/>
  <c r="O6" i="4" s="1"/>
  <c r="L19"/>
  <c r="Z20" i="2"/>
  <c r="Y19" i="4" s="1"/>
  <c r="AN21" i="2"/>
  <c r="AN20"/>
  <c r="AN19"/>
  <c r="AP16"/>
  <c r="AN23"/>
  <c r="AN22"/>
  <c r="AN18"/>
  <c r="AN17"/>
  <c r="B8" i="4"/>
  <c r="P9" i="2"/>
  <c r="O8" i="4" s="1"/>
  <c r="J9" i="2"/>
  <c r="I8" i="4" s="1"/>
  <c r="X9" i="2"/>
  <c r="W8" i="4" s="1"/>
  <c r="U9" i="2"/>
  <c r="T8" i="4" s="1"/>
  <c r="S9" i="2"/>
  <c r="R8" i="4" s="1"/>
  <c r="O9" i="2"/>
  <c r="N8" i="4" s="1"/>
  <c r="H9" i="2"/>
  <c r="G8" i="4" s="1"/>
  <c r="D9" i="2"/>
  <c r="V9"/>
  <c r="U8" i="4" s="1"/>
  <c r="T9" i="2"/>
  <c r="S8" i="4" s="1"/>
  <c r="R9" i="2"/>
  <c r="Q8" i="4" s="1"/>
  <c r="N9" i="2"/>
  <c r="M8" i="4" s="1"/>
  <c r="L9" i="2"/>
  <c r="K8" i="4" s="1"/>
  <c r="G9" i="2"/>
  <c r="F8" i="4" s="1"/>
  <c r="M7"/>
  <c r="Y8" i="2"/>
  <c r="X7" i="4" s="1"/>
  <c r="AO16" i="2"/>
  <c r="C11" s="1"/>
  <c r="Z8"/>
  <c r="Y7" i="4" s="1"/>
  <c r="E7" i="2" l="1"/>
  <c r="D6" i="4" s="1"/>
  <c r="D26" s="1"/>
  <c r="F7" i="2"/>
  <c r="E6" i="4" s="1"/>
  <c r="M7" i="2"/>
  <c r="L6" i="4" s="1"/>
  <c r="AP17" i="2"/>
  <c r="AO17"/>
  <c r="C12" s="1"/>
  <c r="AP22"/>
  <c r="AO22"/>
  <c r="C17" s="1"/>
  <c r="AP20"/>
  <c r="AO20"/>
  <c r="C15" s="1"/>
  <c r="B10" i="4"/>
  <c r="V11" i="2"/>
  <c r="U10" i="4" s="1"/>
  <c r="T11" i="2"/>
  <c r="S10" i="4" s="1"/>
  <c r="R11" i="2"/>
  <c r="Q10" i="4" s="1"/>
  <c r="P11" i="2"/>
  <c r="O10" i="4" s="1"/>
  <c r="N11" i="2"/>
  <c r="M10" i="4" s="1"/>
  <c r="L11" i="2"/>
  <c r="K10" i="4" s="1"/>
  <c r="J11" i="2"/>
  <c r="I10" i="4" s="1"/>
  <c r="G11" i="2"/>
  <c r="F10" i="4" s="1"/>
  <c r="X11" i="2"/>
  <c r="W10" i="4" s="1"/>
  <c r="U11" i="2"/>
  <c r="T10" i="4" s="1"/>
  <c r="S11" i="2"/>
  <c r="R10" i="4" s="1"/>
  <c r="O11" i="2"/>
  <c r="N10" i="4" s="1"/>
  <c r="H11" i="2"/>
  <c r="G10" i="4" s="1"/>
  <c r="D11" i="2"/>
  <c r="C8" i="4"/>
  <c r="C29" i="3" s="1"/>
  <c r="Q9" i="2"/>
  <c r="P8" i="4" s="1"/>
  <c r="K9" i="2"/>
  <c r="J8" i="4" s="1"/>
  <c r="AP18" i="2"/>
  <c r="AO18"/>
  <c r="C13" s="1"/>
  <c r="AP23"/>
  <c r="AO23"/>
  <c r="C18" s="1"/>
  <c r="AP19"/>
  <c r="AO19"/>
  <c r="C14" s="1"/>
  <c r="AP21"/>
  <c r="AO21"/>
  <c r="C16" s="1"/>
  <c r="C6" i="4"/>
  <c r="K7" i="2"/>
  <c r="J6" i="4" s="1"/>
  <c r="C9"/>
  <c r="C30" i="3" s="1"/>
  <c r="Q10" i="2"/>
  <c r="P9" i="4" s="1"/>
  <c r="K10" i="2"/>
  <c r="J9" i="4" s="1"/>
  <c r="M9" i="2"/>
  <c r="M10"/>
  <c r="Y10"/>
  <c r="X9" i="4" s="1"/>
  <c r="Z21" i="2"/>
  <c r="Y20" i="4" s="1"/>
  <c r="D27" i="3" l="1"/>
  <c r="D39" s="1"/>
  <c r="G35" s="1"/>
  <c r="E26" i="4"/>
  <c r="Q7" i="2"/>
  <c r="P6" i="4" s="1"/>
  <c r="B15"/>
  <c r="X16" i="2"/>
  <c r="W15" i="4" s="1"/>
  <c r="U16" i="2"/>
  <c r="T15" i="4" s="1"/>
  <c r="S16" i="2"/>
  <c r="R15" i="4" s="1"/>
  <c r="O16" i="2"/>
  <c r="N15" i="4" s="1"/>
  <c r="H16" i="2"/>
  <c r="G15" i="4" s="1"/>
  <c r="D16" i="2"/>
  <c r="V16"/>
  <c r="U15" i="4" s="1"/>
  <c r="T16" i="2"/>
  <c r="S15" i="4" s="1"/>
  <c r="R16" i="2"/>
  <c r="Q15" i="4" s="1"/>
  <c r="P16" i="2"/>
  <c r="O15" i="4" s="1"/>
  <c r="N16" i="2"/>
  <c r="M15" i="4" s="1"/>
  <c r="L16" i="2"/>
  <c r="K15" i="4" s="1"/>
  <c r="J16" i="2"/>
  <c r="I15" i="4" s="1"/>
  <c r="G16" i="2"/>
  <c r="F15" i="4" s="1"/>
  <c r="B13"/>
  <c r="V14" i="2"/>
  <c r="U13" i="4" s="1"/>
  <c r="T14" i="2"/>
  <c r="S13" i="4" s="1"/>
  <c r="R14" i="2"/>
  <c r="Q13" i="4" s="1"/>
  <c r="P14" i="2"/>
  <c r="N14"/>
  <c r="M13" i="4" s="1"/>
  <c r="L14" i="2"/>
  <c r="K13" i="4" s="1"/>
  <c r="J14" i="2"/>
  <c r="I13" i="4" s="1"/>
  <c r="G14" i="2"/>
  <c r="F13" i="4" s="1"/>
  <c r="X14" i="2"/>
  <c r="W13" i="4" s="1"/>
  <c r="U14" i="2"/>
  <c r="T13" i="4" s="1"/>
  <c r="S14" i="2"/>
  <c r="R13" i="4" s="1"/>
  <c r="O14" i="2"/>
  <c r="N13" i="4" s="1"/>
  <c r="H14" i="2"/>
  <c r="G13" i="4" s="1"/>
  <c r="D14" i="2"/>
  <c r="B17" i="4"/>
  <c r="V18" i="2"/>
  <c r="U17" i="4" s="1"/>
  <c r="K62" i="6" s="1"/>
  <c r="T18" i="2"/>
  <c r="S17" i="4" s="1"/>
  <c r="R18" i="2"/>
  <c r="Q17" i="4" s="1"/>
  <c r="P18" i="2"/>
  <c r="O17" i="4" s="1"/>
  <c r="N18" i="2"/>
  <c r="M17" i="4" s="1"/>
  <c r="L18" i="2"/>
  <c r="K17" i="4" s="1"/>
  <c r="J18" i="2"/>
  <c r="I17" i="4" s="1"/>
  <c r="G18" i="2"/>
  <c r="F17" i="4" s="1"/>
  <c r="U18" i="2"/>
  <c r="T17" i="4" s="1"/>
  <c r="H18" i="2"/>
  <c r="G17" i="4" s="1"/>
  <c r="X18" i="2"/>
  <c r="W17" i="4" s="1"/>
  <c r="S18" i="2"/>
  <c r="R17" i="4" s="1"/>
  <c r="O18" i="2"/>
  <c r="N17" i="4" s="1"/>
  <c r="D18" i="2"/>
  <c r="B12" i="4"/>
  <c r="X13" i="2"/>
  <c r="W12" i="4" s="1"/>
  <c r="U13" i="2"/>
  <c r="T12" i="4" s="1"/>
  <c r="S13" i="2"/>
  <c r="R12" i="4" s="1"/>
  <c r="O13" i="2"/>
  <c r="N12" i="4" s="1"/>
  <c r="H13" i="2"/>
  <c r="G12" i="4" s="1"/>
  <c r="D13" i="2"/>
  <c r="V13"/>
  <c r="U12" i="4" s="1"/>
  <c r="T13" i="2"/>
  <c r="S12" i="4" s="1"/>
  <c r="R13" i="2"/>
  <c r="Q12" i="4" s="1"/>
  <c r="P13" i="2"/>
  <c r="O12" i="4" s="1"/>
  <c r="N13" i="2"/>
  <c r="M12" i="4" s="1"/>
  <c r="L13" i="2"/>
  <c r="K12" i="4" s="1"/>
  <c r="J13" i="2"/>
  <c r="I12" i="4" s="1"/>
  <c r="G13" i="2"/>
  <c r="F12" i="4" s="1"/>
  <c r="Y9" i="2"/>
  <c r="X8" i="4" s="1"/>
  <c r="L9"/>
  <c r="Z10" i="2"/>
  <c r="Y9" i="4" s="1"/>
  <c r="L8"/>
  <c r="Z9" i="2"/>
  <c r="Y8" i="4" s="1"/>
  <c r="C27" i="3"/>
  <c r="C10" i="4"/>
  <c r="C31" i="3" s="1"/>
  <c r="Q11" i="2"/>
  <c r="P10" i="4" s="1"/>
  <c r="K11" i="2"/>
  <c r="J10" i="4" s="1"/>
  <c r="B14"/>
  <c r="X15" i="2"/>
  <c r="W14" i="4" s="1"/>
  <c r="U15" i="2"/>
  <c r="T14" i="4" s="1"/>
  <c r="S15" i="2"/>
  <c r="R14" i="4" s="1"/>
  <c r="O15" i="2"/>
  <c r="N14" i="4" s="1"/>
  <c r="H15" i="2"/>
  <c r="G14" i="4" s="1"/>
  <c r="D15" i="2"/>
  <c r="V15"/>
  <c r="U14" i="4" s="1"/>
  <c r="T15" i="2"/>
  <c r="S14" i="4" s="1"/>
  <c r="R15" i="2"/>
  <c r="Q14" i="4" s="1"/>
  <c r="P15" i="2"/>
  <c r="O14" i="4" s="1"/>
  <c r="N15" i="2"/>
  <c r="M14" i="4" s="1"/>
  <c r="L15" i="2"/>
  <c r="K14" i="4" s="1"/>
  <c r="J15" i="2"/>
  <c r="I14" i="4" s="1"/>
  <c r="G15" i="2"/>
  <c r="F14" i="4" s="1"/>
  <c r="B16"/>
  <c r="V17" i="2"/>
  <c r="U16" i="4" s="1"/>
  <c r="J62" i="6" s="1"/>
  <c r="T17" i="2"/>
  <c r="S16" i="4" s="1"/>
  <c r="R17" i="2"/>
  <c r="Q16" i="4" s="1"/>
  <c r="P17" i="2"/>
  <c r="O16" i="4" s="1"/>
  <c r="N17" i="2"/>
  <c r="M16" i="4" s="1"/>
  <c r="L17" i="2"/>
  <c r="K16" i="4" s="1"/>
  <c r="X17" i="2"/>
  <c r="W16" i="4" s="1"/>
  <c r="S17" i="2"/>
  <c r="R16" i="4" s="1"/>
  <c r="O17" i="2"/>
  <c r="N16" i="4" s="1"/>
  <c r="H17" i="2"/>
  <c r="G16" i="4" s="1"/>
  <c r="D17" i="2"/>
  <c r="U17"/>
  <c r="T16" i="4" s="1"/>
  <c r="J17" i="2"/>
  <c r="I16" i="4" s="1"/>
  <c r="G17" i="2"/>
  <c r="F16" i="4" s="1"/>
  <c r="B11"/>
  <c r="V12" i="2"/>
  <c r="U11" i="4" s="1"/>
  <c r="T12" i="2"/>
  <c r="S11" i="4" s="1"/>
  <c r="S26" s="1"/>
  <c r="R12" i="2"/>
  <c r="Q11" i="4" s="1"/>
  <c r="P12" i="2"/>
  <c r="O11" i="4" s="1"/>
  <c r="N12" i="2"/>
  <c r="M11" i="4" s="1"/>
  <c r="L12" i="2"/>
  <c r="K11" i="4" s="1"/>
  <c r="K26" s="1"/>
  <c r="J12" i="2"/>
  <c r="I11" i="4" s="1"/>
  <c r="G12" i="2"/>
  <c r="F11" i="4" s="1"/>
  <c r="F26" s="1"/>
  <c r="X12" i="2"/>
  <c r="W11" i="4" s="1"/>
  <c r="U12" i="2"/>
  <c r="T11" i="4" s="1"/>
  <c r="T26" s="1"/>
  <c r="S12" i="2"/>
  <c r="R11" i="4" s="1"/>
  <c r="O12" i="2"/>
  <c r="N11" i="4" s="1"/>
  <c r="N26" s="1"/>
  <c r="G25" i="6" s="1"/>
  <c r="H12" i="2"/>
  <c r="G11" i="4" s="1"/>
  <c r="D12" i="2"/>
  <c r="M11"/>
  <c r="Y11"/>
  <c r="X10" i="4" s="1"/>
  <c r="Y7" i="2" l="1"/>
  <c r="Z7" s="1"/>
  <c r="Y6" i="4" s="1"/>
  <c r="W26"/>
  <c r="G26"/>
  <c r="O5" i="6" s="1"/>
  <c r="R26" i="4"/>
  <c r="I26"/>
  <c r="M26"/>
  <c r="G20" i="6" s="1"/>
  <c r="Q26" i="4"/>
  <c r="G21" i="6" s="1"/>
  <c r="M18" i="2"/>
  <c r="L17" i="4" s="1"/>
  <c r="U26"/>
  <c r="O62" i="6" s="1"/>
  <c r="E62"/>
  <c r="C16" i="4"/>
  <c r="C37" i="3" s="1"/>
  <c r="K17" i="2"/>
  <c r="J16" i="4" s="1"/>
  <c r="Q17" i="2"/>
  <c r="P16" i="4" s="1"/>
  <c r="C14"/>
  <c r="C35" i="3" s="1"/>
  <c r="Q15" i="2"/>
  <c r="P14" i="4" s="1"/>
  <c r="K15" i="2"/>
  <c r="J14" i="4" s="1"/>
  <c r="C12"/>
  <c r="C33" i="3" s="1"/>
  <c r="Q13" i="2"/>
  <c r="P12" i="4" s="1"/>
  <c r="K13" i="2"/>
  <c r="J12" i="4" s="1"/>
  <c r="C15"/>
  <c r="C36" i="3" s="1"/>
  <c r="Q16" i="2"/>
  <c r="P15" i="4" s="1"/>
  <c r="K16" i="2"/>
  <c r="J15" i="4" s="1"/>
  <c r="M15" i="2"/>
  <c r="M13"/>
  <c r="H62" i="6"/>
  <c r="M16" i="2"/>
  <c r="X6" i="4"/>
  <c r="L10"/>
  <c r="Z11" i="2"/>
  <c r="Y10" i="4" s="1"/>
  <c r="C11"/>
  <c r="C32" i="3" s="1"/>
  <c r="Q12" i="2"/>
  <c r="P11" i="4" s="1"/>
  <c r="K12" i="2"/>
  <c r="J11" i="4" s="1"/>
  <c r="C17"/>
  <c r="C38" i="3" s="1"/>
  <c r="Q18" i="2"/>
  <c r="P17" i="4" s="1"/>
  <c r="K18" i="2"/>
  <c r="J17" i="4" s="1"/>
  <c r="C13"/>
  <c r="C34" i="3" s="1"/>
  <c r="Q14" i="2"/>
  <c r="P13" i="4" s="1"/>
  <c r="K14" i="2"/>
  <c r="J13" i="4" s="1"/>
  <c r="P25" i="5"/>
  <c r="O13" i="4"/>
  <c r="O26" s="1"/>
  <c r="M12" i="2"/>
  <c r="M17"/>
  <c r="Y13"/>
  <c r="X12" i="4" s="1"/>
  <c r="M14" i="2"/>
  <c r="C39" i="3" l="1"/>
  <c r="G36" s="1"/>
  <c r="G37" s="1"/>
  <c r="G31" s="1"/>
  <c r="G32" s="1"/>
  <c r="Y16" i="2"/>
  <c r="X15" i="4" s="1"/>
  <c r="Y18" i="2"/>
  <c r="X17" i="4" s="1"/>
  <c r="Y15" i="2"/>
  <c r="X14" i="4" s="1"/>
  <c r="Y17" i="2"/>
  <c r="X16" i="4" s="1"/>
  <c r="X26" s="1"/>
  <c r="P26"/>
  <c r="M20" i="6" s="1"/>
  <c r="O32" s="1"/>
  <c r="M30"/>
  <c r="O31" s="1"/>
  <c r="L13" i="4"/>
  <c r="L11"/>
  <c r="L15"/>
  <c r="Z16" i="2"/>
  <c r="Y15" i="4" s="1"/>
  <c r="L12"/>
  <c r="Z13" i="2"/>
  <c r="Y12" i="4" s="1"/>
  <c r="L14"/>
  <c r="Z15" i="2"/>
  <c r="Y14" i="4" s="1"/>
  <c r="L16"/>
  <c r="Z17" i="2"/>
  <c r="Y16" i="4" s="1"/>
  <c r="Y14" i="2"/>
  <c r="X13" i="4" s="1"/>
  <c r="C26"/>
  <c r="G41" i="3" s="1"/>
  <c r="Y12" i="2"/>
  <c r="X11" i="4" s="1"/>
  <c r="J26"/>
  <c r="Z18" i="2"/>
  <c r="Y17" i="4" s="1"/>
  <c r="O34" i="6" l="1"/>
  <c r="O45" s="1"/>
  <c r="L26" i="4"/>
  <c r="O4" i="6" s="1"/>
  <c r="O6" s="1"/>
  <c r="O10" s="1"/>
  <c r="O15" s="1"/>
  <c r="O17" s="1"/>
  <c r="O46" s="1"/>
  <c r="O47" s="1"/>
  <c r="O55" s="1"/>
  <c r="O56" s="1"/>
  <c r="Y52"/>
  <c r="X50"/>
  <c r="X51"/>
  <c r="Z12" i="2"/>
  <c r="Y11" i="4" s="1"/>
  <c r="Z14" i="2"/>
  <c r="Y13" i="4" s="1"/>
  <c r="X53" i="6" l="1"/>
  <c r="Y51"/>
  <c r="Y53"/>
  <c r="W50"/>
  <c r="X52"/>
  <c r="Y60"/>
  <c r="W51"/>
  <c r="W52"/>
  <c r="W53"/>
  <c r="O58"/>
  <c r="O60" s="1"/>
  <c r="O57"/>
  <c r="Y26" i="4"/>
  <c r="A63" i="6" l="1"/>
  <c r="O63"/>
</calcChain>
</file>

<file path=xl/comments1.xml><?xml version="1.0" encoding="utf-8"?>
<comments xmlns="http://schemas.openxmlformats.org/spreadsheetml/2006/main">
  <authors>
    <author>Author</author>
  </authors>
  <commentList>
    <comment ref="V5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income tax ded. By sallary ENTRY AT HERE and Auto Fill IN (BIN) , Cell B25 to B40 and (CIN) B46 to B 61</t>
        </r>
      </text>
    </comment>
  </commentList>
</comments>
</file>

<file path=xl/sharedStrings.xml><?xml version="1.0" encoding="utf-8"?>
<sst xmlns="http://schemas.openxmlformats.org/spreadsheetml/2006/main" count="424" uniqueCount="360">
  <si>
    <t>Month</t>
  </si>
  <si>
    <t>DA</t>
  </si>
  <si>
    <t>HRA</t>
  </si>
  <si>
    <t>TOTAL</t>
  </si>
  <si>
    <t>GPF</t>
  </si>
  <si>
    <t>SI</t>
  </si>
  <si>
    <t>RPMF</t>
  </si>
  <si>
    <t>TV.NO.</t>
  </si>
  <si>
    <t>AAAAAFv+d2Y=</t>
  </si>
  <si>
    <t>Bonus</t>
  </si>
  <si>
    <t>NET PAY</t>
  </si>
  <si>
    <t>L.I.C.</t>
  </si>
  <si>
    <t>Income Tax</t>
  </si>
  <si>
    <t>(i)</t>
  </si>
  <si>
    <t>(ii)</t>
  </si>
  <si>
    <t>(iii)</t>
  </si>
  <si>
    <t>(iv)</t>
  </si>
  <si>
    <t>(v)</t>
  </si>
  <si>
    <t>(vi)</t>
  </si>
  <si>
    <t>(vii)</t>
  </si>
  <si>
    <t>Total Ded.</t>
  </si>
  <si>
    <t>Deduction Detail</t>
  </si>
  <si>
    <t>N.P.S. By SELF</t>
  </si>
  <si>
    <t>GPF LOAN</t>
  </si>
  <si>
    <t>S.I. LOAN</t>
  </si>
  <si>
    <t>Enc.  DATE</t>
  </si>
  <si>
    <t>SI No.</t>
  </si>
  <si>
    <t>Book Identification Number (BIN)</t>
  </si>
  <si>
    <t>Basic with Grade Pay</t>
  </si>
  <si>
    <t>S.N.</t>
  </si>
  <si>
    <t>Wash All.</t>
  </si>
  <si>
    <t>Handi. All.</t>
  </si>
  <si>
    <t>CPF</t>
  </si>
  <si>
    <t>NPS</t>
  </si>
  <si>
    <t>Bank A/C.</t>
  </si>
  <si>
    <t>PAN :</t>
  </si>
  <si>
    <t>(x)</t>
  </si>
  <si>
    <t>(xi)</t>
  </si>
  <si>
    <t>(xii)</t>
  </si>
  <si>
    <t>(xiii)</t>
  </si>
  <si>
    <t>(xiv)</t>
  </si>
  <si>
    <t>(xv)</t>
  </si>
  <si>
    <t>(xvi)</t>
  </si>
  <si>
    <t>(viii)</t>
  </si>
  <si>
    <t>(xvii)</t>
  </si>
  <si>
    <t>(ix)</t>
  </si>
  <si>
    <t>Nil</t>
  </si>
  <si>
    <t>2,50,001-5,00,000</t>
  </si>
  <si>
    <t>3,00,001-5,00,000</t>
  </si>
  <si>
    <t>5,00,001-10,00,000</t>
  </si>
  <si>
    <t>CCA</t>
  </si>
  <si>
    <t>OTHER</t>
  </si>
  <si>
    <t>G.I. + S. Tax</t>
  </si>
  <si>
    <t>Posting Place :-</t>
  </si>
  <si>
    <t>Designation :-</t>
  </si>
  <si>
    <t>Employee Name :-</t>
  </si>
  <si>
    <t>PAN No. :-</t>
  </si>
  <si>
    <t>PRAN No. :-</t>
  </si>
  <si>
    <t>Signature of Employee</t>
  </si>
  <si>
    <t>Signature of DDO</t>
  </si>
  <si>
    <r>
      <rPr>
        <b/>
        <sz val="16"/>
        <color rgb="FFFFFF00"/>
        <rFont val="Calibri"/>
      </rPr>
      <t>Personal Employee ID</t>
    </r>
    <r>
      <rPr>
        <b/>
        <sz val="16"/>
        <color rgb="FFFFFF00"/>
        <rFont val="Kruti Dev 010"/>
      </rPr>
      <t xml:space="preserve"> </t>
    </r>
    <r>
      <rPr>
        <b/>
        <sz val="16"/>
        <color rgb="FFFFFF00"/>
        <rFont val="Calibri"/>
      </rPr>
      <t>:-</t>
    </r>
  </si>
  <si>
    <r>
      <rPr>
        <b/>
        <sz val="16"/>
        <color rgb="FFFFFF00"/>
        <rFont val="Calibri"/>
      </rPr>
      <t>PAN No.</t>
    </r>
    <r>
      <rPr>
        <b/>
        <sz val="16"/>
        <color rgb="FFFFFF00"/>
        <rFont val="Kruti Dev 010"/>
      </rPr>
      <t xml:space="preserve"> </t>
    </r>
    <r>
      <rPr>
        <b/>
        <sz val="16"/>
        <color rgb="FFFFFF00"/>
        <rFont val="Calibri"/>
      </rPr>
      <t>:-</t>
    </r>
  </si>
  <si>
    <t>GPF No. :-</t>
  </si>
  <si>
    <t>Bank A/C No. :-</t>
  </si>
  <si>
    <t>Salary Head :-</t>
  </si>
  <si>
    <t>UID AADHAR No. :-</t>
  </si>
  <si>
    <t>TAN NO. :-</t>
  </si>
  <si>
    <t>SI No. :-</t>
  </si>
  <si>
    <t>CPF &amp; NPS No. :-</t>
  </si>
  <si>
    <r>
      <rPr>
        <b/>
        <sz val="16"/>
        <color rgb="FFFFFF00"/>
        <rFont val="Calibri"/>
      </rPr>
      <t>Employee Name</t>
    </r>
    <r>
      <rPr>
        <b/>
        <sz val="16"/>
        <color rgb="FFFFFF00"/>
        <rFont val="Kruti Dev 010"/>
      </rPr>
      <t xml:space="preserve"> </t>
    </r>
    <r>
      <rPr>
        <b/>
        <sz val="16"/>
        <color rgb="FFFFFF00"/>
        <rFont val="Calibri"/>
      </rPr>
      <t>:-</t>
    </r>
  </si>
  <si>
    <r>
      <rPr>
        <b/>
        <sz val="16"/>
        <color rgb="FFFFFF00"/>
        <rFont val="Calibri"/>
      </rPr>
      <t>Office Name</t>
    </r>
    <r>
      <rPr>
        <b/>
        <sz val="16"/>
        <color rgb="FFFFFF00"/>
        <rFont val="Kruti Dev 010"/>
      </rPr>
      <t xml:space="preserve"> </t>
    </r>
    <r>
      <rPr>
        <b/>
        <sz val="16"/>
        <color rgb="FFFFFF00"/>
        <rFont val="Calibri"/>
      </rPr>
      <t>:-</t>
    </r>
  </si>
  <si>
    <t>NO</t>
  </si>
  <si>
    <t>Regular Pay</t>
  </si>
  <si>
    <t>EMPLOYEE  PERSONAL  DETAIL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</si>
  <si>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</si>
  <si>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</si>
  <si>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</si>
  <si>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</si>
  <si>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</si>
  <si>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</si>
  <si>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</si>
  <si>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</si>
  <si>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</si>
  <si>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</si>
  <si>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</si>
  <si>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</si>
  <si>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Under 60</t>
  </si>
  <si>
    <t>MONTHS</t>
  </si>
  <si>
    <t>"Y"</t>
  </si>
  <si>
    <t>Basic Pay.</t>
  </si>
  <si>
    <t>Y</t>
  </si>
  <si>
    <t xml:space="preserve">After selecting months, give rent paid amount. </t>
  </si>
  <si>
    <t>FEBRUARY 18</t>
  </si>
  <si>
    <r>
      <t xml:space="preserve">RENT PAID AMOUNT MONTHLY  </t>
    </r>
    <r>
      <rPr>
        <b/>
        <sz val="20"/>
        <color indexed="21"/>
        <rFont val="Calibri"/>
      </rPr>
      <t xml:space="preserve"> </t>
    </r>
    <r>
      <rPr>
        <b/>
        <sz val="20"/>
        <color indexed="21"/>
        <rFont val="Wingdings"/>
        <charset val="2"/>
      </rPr>
      <t>F</t>
    </r>
  </si>
  <si>
    <r>
      <t xml:space="preserve">Max. HRA exemption amount   </t>
    </r>
    <r>
      <rPr>
        <b/>
        <sz val="18"/>
        <color indexed="17"/>
        <rFont val="Calibri"/>
      </rPr>
      <t xml:space="preserve"> </t>
    </r>
    <r>
      <rPr>
        <b/>
        <sz val="18"/>
        <color indexed="17"/>
        <rFont val="Wingdings"/>
        <charset val="2"/>
      </rPr>
      <t>F</t>
    </r>
  </si>
  <si>
    <r>
      <t xml:space="preserve">Rent receipt required for max. exemption     </t>
    </r>
    <r>
      <rPr>
        <b/>
        <sz val="18"/>
        <color rgb="FFE5DFEC"/>
        <rFont val="Wingdings"/>
        <charset val="2"/>
      </rPr>
      <t>F</t>
    </r>
  </si>
  <si>
    <r>
      <t xml:space="preserve">House Rent Per Month        </t>
    </r>
    <r>
      <rPr>
        <b/>
        <sz val="18"/>
        <color rgb="FFFBD4B4"/>
        <rFont val="Wingdings"/>
        <charset val="2"/>
      </rPr>
      <t>F</t>
    </r>
  </si>
  <si>
    <t xml:space="preserve">TOTAL </t>
  </si>
  <si>
    <t>If required</t>
  </si>
  <si>
    <r>
      <rPr>
        <b/>
        <sz val="16"/>
        <color indexed="17"/>
        <rFont val="Wingdings"/>
        <charset val="2"/>
      </rPr>
      <t>E</t>
    </r>
    <r>
      <rPr>
        <b/>
        <sz val="16"/>
        <color indexed="17"/>
        <rFont val="Times New Roman"/>
      </rPr>
      <t xml:space="preserve">   </t>
    </r>
    <r>
      <rPr>
        <b/>
        <sz val="16"/>
        <color indexed="17"/>
        <rFont val="Calibri"/>
      </rPr>
      <t>Please select months by typing</t>
    </r>
    <r>
      <rPr>
        <b/>
        <sz val="16"/>
        <color indexed="17"/>
        <rFont val="Times New Roman"/>
      </rPr>
      <t xml:space="preserve"> "Y" </t>
    </r>
  </si>
  <si>
    <t>For HRA</t>
  </si>
  <si>
    <t>funsZ'k</t>
  </si>
  <si>
    <r>
      <rPr>
        <b/>
        <sz val="20"/>
        <color rgb="FFFFFF00"/>
        <rFont val="Wingdings"/>
        <charset val="2"/>
      </rPr>
      <t>E</t>
    </r>
    <r>
      <rPr>
        <b/>
        <sz val="14"/>
        <color rgb="FFFFFF00"/>
        <rFont val="Kruti Dev 010"/>
      </rPr>
      <t xml:space="preserve">izfrekg jlhn dh jkf'k ¼vxj fdlh ;wtj us lQsn dyj esa vk jgh vkVks jkf'k dks gVk fn;k gSa ;k fMfyV dj fn;k gks rks ;g jkf'k lSy </t>
    </r>
    <r>
      <rPr>
        <b/>
        <sz val="14"/>
        <color rgb="FFFFFF00"/>
        <rFont val="Calibri"/>
      </rPr>
      <t>F31</t>
    </r>
    <r>
      <rPr>
        <b/>
        <sz val="14"/>
        <color rgb="FFFFFF00"/>
        <rFont val="Kruti Dev 010"/>
      </rPr>
      <t xml:space="preserve"> esa fy[k nsossA ½</t>
    </r>
  </si>
  <si>
    <t>Ajmer</t>
  </si>
  <si>
    <t>Bikaner</t>
  </si>
  <si>
    <t>Jodhpur</t>
  </si>
  <si>
    <t>Kota</t>
  </si>
  <si>
    <t>Jaipur (U.A.)</t>
  </si>
  <si>
    <r>
      <rPr>
        <b/>
        <sz val="14"/>
        <color rgb="FFFFC000"/>
        <rFont val="Wingdings"/>
        <charset val="2"/>
      </rPr>
      <t xml:space="preserve">E </t>
    </r>
    <r>
      <rPr>
        <b/>
        <sz val="14"/>
        <color rgb="FFFFC000"/>
        <rFont val="Kruti Dev 010"/>
      </rPr>
      <t xml:space="preserve">;g iwjs o"kZ ¼12 ekg½ dh </t>
    </r>
    <r>
      <rPr>
        <b/>
        <sz val="14"/>
        <color rgb="FFFFC000"/>
        <rFont val="Calibri"/>
      </rPr>
      <t xml:space="preserve">HRA </t>
    </r>
    <r>
      <rPr>
        <b/>
        <sz val="14"/>
        <color rgb="FFFFC000"/>
        <rFont val="Kruti Dev 010"/>
      </rPr>
      <t>dh jlhn jkf'k cuh gSA</t>
    </r>
  </si>
  <si>
    <t>YES</t>
  </si>
  <si>
    <r>
      <rPr>
        <b/>
        <sz val="14"/>
        <color rgb="FF00B0F0"/>
        <rFont val="Wingdings"/>
        <charset val="2"/>
      </rPr>
      <t xml:space="preserve">E </t>
    </r>
    <r>
      <rPr>
        <b/>
        <sz val="14"/>
        <color rgb="FF00B0F0"/>
        <rFont val="Kruti Dev 010"/>
      </rPr>
      <t xml:space="preserve">;g jkf'k tks vkius bl o"kZ ¼12 ekg½ esa </t>
    </r>
    <r>
      <rPr>
        <b/>
        <sz val="14"/>
        <color rgb="FF00B0F0"/>
        <rFont val="Calibri"/>
      </rPr>
      <t>HRA (</t>
    </r>
    <r>
      <rPr>
        <b/>
        <sz val="14"/>
        <color rgb="FF00B0F0"/>
        <rFont val="Kruti Dev 010"/>
      </rPr>
      <t>edku fdjk;k HkÙkk½ ds :Ik esa mBkyh gSA</t>
    </r>
  </si>
  <si>
    <r>
      <rPr>
        <b/>
        <sz val="18"/>
        <color rgb="FF9ABA58"/>
        <rFont val="Wingdings"/>
        <charset val="2"/>
      </rPr>
      <t>E</t>
    </r>
    <r>
      <rPr>
        <b/>
        <sz val="14"/>
        <color rgb="FF9ABA58"/>
        <rFont val="Kruti Dev 010"/>
      </rPr>
      <t xml:space="preserve"> vxj vkidks izfrekg jlhn dh jkf'k ls de jkf'k dh NwV ysuh gSa rks lkeusa lQsn dyj dh lSy </t>
    </r>
    <r>
      <rPr>
        <b/>
        <sz val="14"/>
        <color rgb="FF9ABA58"/>
        <rFont val="Calibri"/>
      </rPr>
      <t>F31</t>
    </r>
    <r>
      <rPr>
        <b/>
        <sz val="14"/>
        <color rgb="FF9ABA58"/>
        <rFont val="Kruti Dev 010"/>
      </rPr>
      <t xml:space="preserve"> esa izfrekg ds vuqlkj jlhn jkf'k fy[k ldrs gSaA</t>
    </r>
  </si>
  <si>
    <r>
      <t xml:space="preserve">ljdkj }kjk tks jkf'k </t>
    </r>
    <r>
      <rPr>
        <b/>
        <sz val="12"/>
        <color rgb="FFFF0000"/>
        <rFont val="Calibri"/>
      </rPr>
      <t xml:space="preserve">NPS </t>
    </r>
    <r>
      <rPr>
        <b/>
        <sz val="14"/>
        <color rgb="FFFF0000"/>
        <rFont val="Kruti Dev 010"/>
      </rPr>
      <t>esa tek djkbZ xbZ gSa] og jkf'k 1]50yk[k ls vfrfjDr vk;dj es NwV ds nk;jsa esa vkrh gSa A blfy, ;g jkf'k dkWye la[;k 11</t>
    </r>
    <r>
      <rPr>
        <b/>
        <sz val="12"/>
        <color rgb="FFFF0000"/>
        <rFont val="Calibri"/>
      </rPr>
      <t>(B)</t>
    </r>
    <r>
      <rPr>
        <b/>
        <sz val="14"/>
        <color rgb="FFFF0000"/>
        <rFont val="Kruti Dev 010"/>
      </rPr>
      <t xml:space="preserve"> esa /kkjk </t>
    </r>
    <r>
      <rPr>
        <b/>
        <sz val="12"/>
        <color rgb="FFFF0000"/>
        <rFont val="Calibri"/>
      </rPr>
      <t>80CCD(2)</t>
    </r>
    <r>
      <rPr>
        <b/>
        <sz val="14"/>
        <color rgb="FFFF0000"/>
        <rFont val="Kruti Dev 010"/>
      </rPr>
      <t xml:space="preserve"> ds rgr i`FkDd NwV esa n'kkZ;h xbZ gSaA</t>
    </r>
  </si>
  <si>
    <r>
      <t xml:space="preserve">ljdkj }kjk tks jkf'k </t>
    </r>
    <r>
      <rPr>
        <b/>
        <sz val="12"/>
        <color rgb="FFFF0000"/>
        <rFont val="Calibri"/>
      </rPr>
      <t xml:space="preserve">NPS </t>
    </r>
    <r>
      <rPr>
        <b/>
        <sz val="14"/>
        <color rgb="FFFF0000"/>
        <rFont val="Kruti Dev 010"/>
      </rPr>
      <t>esa tek djkbZ xbZ gSa] og jkf'k ;gkW dqy vk; esa n'kkZ;h xbZ gSaA</t>
    </r>
  </si>
  <si>
    <t>N.P.S. By Govt.</t>
  </si>
  <si>
    <t>Name of Employee :-</t>
  </si>
  <si>
    <t>(xviii)</t>
  </si>
  <si>
    <t>(xix)</t>
  </si>
  <si>
    <t>(xx)</t>
  </si>
  <si>
    <t>E</t>
  </si>
  <si>
    <t>other</t>
  </si>
  <si>
    <r>
      <t xml:space="preserve">HRA EXEMPTION AMOUNT   </t>
    </r>
    <r>
      <rPr>
        <b/>
        <sz val="18"/>
        <color rgb="FF96B3D7"/>
        <rFont val="Calibri"/>
      </rPr>
      <t xml:space="preserve">  </t>
    </r>
    <r>
      <rPr>
        <b/>
        <sz val="18"/>
        <color rgb="FF96B3D7"/>
        <rFont val="Wingdings"/>
        <charset val="2"/>
      </rPr>
      <t>F</t>
    </r>
  </si>
  <si>
    <r>
      <t xml:space="preserve">P </t>
    </r>
    <r>
      <rPr>
        <b/>
        <sz val="14"/>
        <color rgb="FF96B3D7"/>
        <rFont val="Kruti Dev 010"/>
      </rPr>
      <t xml:space="preserve">fu;ekuqlkj NwV ysuh gSa rks dqN Hkh ugh fy[kuk gSa A lkeus okyh jkf'k ftl ij LVkj yxk gqvk gSa ] og vij izFke dkWye esa lSy ua- </t>
    </r>
    <r>
      <rPr>
        <b/>
        <sz val="14"/>
        <color rgb="FF96B3D7"/>
        <rFont val="Calibri"/>
      </rPr>
      <t xml:space="preserve">F5 </t>
    </r>
    <r>
      <rPr>
        <b/>
        <sz val="14"/>
        <color rgb="FF96B3D7"/>
        <rFont val="Kruti Dev 010"/>
      </rPr>
      <t xml:space="preserve"> esa Lor% vk tk;sxhA</t>
    </r>
  </si>
  <si>
    <r>
      <t xml:space="preserve">BASIC On 01 March 2019  </t>
    </r>
    <r>
      <rPr>
        <b/>
        <sz val="14"/>
        <color rgb="FFFF0000"/>
        <rFont val="Wingdings"/>
        <charset val="2"/>
      </rPr>
      <t>F</t>
    </r>
  </si>
  <si>
    <t>GA55  PAY BILL ENTRY SHEET</t>
  </si>
  <si>
    <t xml:space="preserve">PL  Surrender </t>
  </si>
  <si>
    <t>Other</t>
  </si>
  <si>
    <t xml:space="preserve"> Arrear</t>
  </si>
  <si>
    <t>DA Arrear 12%</t>
  </si>
  <si>
    <t>DA Arrear 17%</t>
  </si>
  <si>
    <t>MARCH 19</t>
  </si>
  <si>
    <t>APRIL 19</t>
  </si>
  <si>
    <t>MAY 19</t>
  </si>
  <si>
    <t>JUNE 19</t>
  </si>
  <si>
    <t>JULY 19</t>
  </si>
  <si>
    <t>AUGUST 19</t>
  </si>
  <si>
    <t>SEPTEMBER 19</t>
  </si>
  <si>
    <t>OCTOBER 19</t>
  </si>
  <si>
    <t>NOVEMBER 19</t>
  </si>
  <si>
    <t>DECEMBER 19</t>
  </si>
  <si>
    <t>JANUARY 20</t>
  </si>
  <si>
    <t>ADIxxx1L</t>
  </si>
  <si>
    <r>
      <rPr>
        <b/>
        <sz val="16"/>
        <color rgb="FFC0C03E"/>
        <rFont val="Calibri"/>
      </rPr>
      <t>%</t>
    </r>
    <r>
      <rPr>
        <b/>
        <sz val="16"/>
        <color rgb="FFC0C03E"/>
        <rFont val="Kruti Dev 010"/>
      </rPr>
      <t xml:space="preserve">                           </t>
    </r>
    <r>
      <rPr>
        <b/>
        <sz val="16"/>
        <color rgb="FFC0C03E"/>
        <rFont val="Calibri"/>
      </rPr>
      <t>GPF / NPS :-</t>
    </r>
    <r>
      <rPr>
        <b/>
        <sz val="16"/>
        <color rgb="FFC0C03E"/>
        <rFont val="Kruti Dev 010"/>
      </rPr>
      <t xml:space="preserve"> </t>
    </r>
  </si>
  <si>
    <t>Fix Pay</t>
  </si>
  <si>
    <t>DDO Name :-</t>
  </si>
  <si>
    <t>Mishrilal</t>
  </si>
  <si>
    <t>ADTxxxxxx2</t>
  </si>
  <si>
    <t>RJPAxxxxxxxx74</t>
  </si>
  <si>
    <t>G.S.S.S. Inderwara</t>
  </si>
  <si>
    <t>Heeralal jat</t>
  </si>
  <si>
    <t>Sr Teacher</t>
  </si>
  <si>
    <t>Government Sr. Secondary School INDERWARA , Rani (Pali)</t>
  </si>
  <si>
    <t>2019-20</t>
  </si>
  <si>
    <t>2020-21</t>
  </si>
  <si>
    <t>G.Total</t>
  </si>
  <si>
    <t>Plan</t>
  </si>
  <si>
    <t>PRESENT BY :</t>
  </si>
  <si>
    <t>HEERA LAL JAT</t>
  </si>
  <si>
    <t>Sr. TEACHER</t>
  </si>
  <si>
    <t>Chandawal Nage , Sojat (Pali)</t>
  </si>
  <si>
    <t>क्या आपने समर्पित वेतन लिया है -</t>
  </si>
  <si>
    <t>यदि हाँ तो जिस माह में बिल बना उस माह को सलेक्ट करें -</t>
  </si>
  <si>
    <t>आप किस आयु वर्ग की श्रेणी में आते हैं -</t>
  </si>
  <si>
    <t>अगर आपको बोनस मिला है , तो YES सलेक्ट करें -</t>
  </si>
  <si>
    <t>विकलांग भत्ता लागू है तो यहां लिखें -</t>
  </si>
  <si>
    <t xml:space="preserve"> रेगुलर पे या फिक्स पे , जो भी लागू हो को चुने -</t>
  </si>
  <si>
    <t xml:space="preserve">    7th PAY  HRA प्रतिशत में चुनें -</t>
  </si>
  <si>
    <t xml:space="preserve">               यदि  CCA लागू हो तो sellect करे Yes / No   :-</t>
  </si>
  <si>
    <t xml:space="preserve">परम् पुज्य गुरुदेव श्री श्री 1008 स्वामी वासुदेव जी महाराज </t>
  </si>
  <si>
    <t>टैक्स गणना किस माह से करनी है :-</t>
  </si>
  <si>
    <t>किस माह तक :-</t>
  </si>
  <si>
    <t xml:space="preserve">वेतन जो दिया गया है </t>
  </si>
  <si>
    <t xml:space="preserve">कटौतियां जो की गई है </t>
  </si>
  <si>
    <t xml:space="preserve">वेतन ड्रा मानचित्र </t>
  </si>
  <si>
    <t>वेतन बिल शीट की कटौती के अतिरिक्त कटौतियां जिसके तहत आप आयकर में छूट चाहते है तथा अन्य आय को यहां इन्द्राज करे</t>
  </si>
  <si>
    <t xml:space="preserve">1. मकान किराया भत्ता (अगर रसीद के माध्यम से छूट लेनी है तो यस नही तो नो सलेक्ट करें) </t>
  </si>
  <si>
    <t xml:space="preserve">2. मनोरंजन भत्ता धारा 16 (ii) and के अंतर्गत </t>
  </si>
  <si>
    <t xml:space="preserve">3. व्यवसाय कर धारा 16 (iii) के अंतर्गत </t>
  </si>
  <si>
    <t xml:space="preserve">4. गृह सम्पति से प्राप्त किराया - आय </t>
  </si>
  <si>
    <t>5. गृहकर</t>
  </si>
  <si>
    <t xml:space="preserve">6. गृह ऋण की मूल किश्त यहां लिखनी है (जो छूट लेनी है) </t>
  </si>
  <si>
    <t>7. गृह ऋण की किश्त पर ब्याज जो छूट लेना है, यहां लिखें -</t>
  </si>
  <si>
    <t>8. जीवन बीमा प्रिमियम (जो वेतन से नही काटा गया) के LIC</t>
  </si>
  <si>
    <t xml:space="preserve">9. P. L. I. </t>
  </si>
  <si>
    <t xml:space="preserve">10. ट्यूशन फीस (Tution fees) </t>
  </si>
  <si>
    <t xml:space="preserve">11. U. L. I. P. I / वार्षिक प्लान </t>
  </si>
  <si>
    <t xml:space="preserve">12. राष्ट्रीय बचत पत्र (NSC) </t>
  </si>
  <si>
    <t xml:space="preserve">13. राष्ट्रीय बचत पत्र पर अदत्त ब्याज </t>
  </si>
  <si>
    <t>14. लोक भविष्य निधि</t>
  </si>
  <si>
    <t xml:space="preserve">15. राष्ट्रीय बचत स्कीम (NSS) </t>
  </si>
  <si>
    <t xml:space="preserve">16. सुकन्या समृद्धि योजना (SSY) </t>
  </si>
  <si>
    <t xml:space="preserve">17. अन्य कोई प्रकार की कटौती </t>
  </si>
  <si>
    <t xml:space="preserve">18. अन्य आय </t>
  </si>
  <si>
    <t>19. धारा 80ccc पेंशन प्लान हेतु अंशदान</t>
  </si>
  <si>
    <t>20. अन्य जमा राशि (धारा 80 सी के अन्तर्गत)</t>
  </si>
  <si>
    <t xml:space="preserve">21. धारा 80CCD(1B) नवीन पेंशन योजना मे अतिरिक्त अंशदान (अधिकतम 50,000 तक) </t>
  </si>
  <si>
    <t xml:space="preserve">22. धारा 80D चिकित्सा बीमा प्रिमियम </t>
  </si>
  <si>
    <t xml:space="preserve">23. धारा 80DD विकलांग आश्रितों के चिकित्सा उपचार </t>
  </si>
  <si>
    <t>24. धारा 80DDB विशिष्ट रोगों के उपचार हेतु कटौती (अधिकतम 40,000 व सीनियर सिटीजन 1लाख)</t>
  </si>
  <si>
    <t xml:space="preserve">25. धारा 80E उच्च शिक्षा हेतु ऋण का ब्याज </t>
  </si>
  <si>
    <t>26. धारा 80G धर्मार्थ संस्थानों को दिया गया दान ('क' श्रेणी में 100% व 'ख' श्रेणी में 50%)</t>
  </si>
  <si>
    <t xml:space="preserve">27. धारा 80U स्थायी रूप से शारीरिक असमर्थता </t>
  </si>
  <si>
    <t>28. धारा 80TTA बचत खाते पर अधिकतम ब्याज राशि 10,000 तक छूट 194(IA)</t>
  </si>
  <si>
    <t xml:space="preserve">29. धारा 80GGA अनुमोदित वैज्ञानिक, सामाजिक, ग्रामीण विकास हेतु दिया गया दान </t>
  </si>
  <si>
    <t xml:space="preserve">30. राहत धारा 89 के तहत (अगर छूट लेनी है तो यस नही तो नो सलेक्ट करें) </t>
  </si>
  <si>
    <t>31. इक्विटीं  लिंक सेविंग स्कीम</t>
  </si>
  <si>
    <t>32. स्थगित वार्षिकी</t>
  </si>
  <si>
    <t xml:space="preserve">33. वेतन के अलावा जमा कराया गया आयकर (TDS) </t>
  </si>
  <si>
    <t xml:space="preserve">मकान किराया छूट के लिए रसीद की आवश्यकता हो तो निर्देशों की पालना करते हुए रसीद की राशि प्राप्त कर सकते हैं। </t>
  </si>
  <si>
    <t xml:space="preserve">E  अपनी आवश्यकतानुसार माह घटा व बढ़ा सकते हैं। </t>
  </si>
  <si>
    <t xml:space="preserve">आयकर गणना प्रपत्र वर्ष </t>
  </si>
  <si>
    <t xml:space="preserve">(कर निर्धारण वर्ष </t>
  </si>
  <si>
    <t>)</t>
  </si>
  <si>
    <t>नाम कर्मचारी :</t>
  </si>
  <si>
    <t>पद :</t>
  </si>
  <si>
    <t>₹</t>
  </si>
  <si>
    <t>₹</t>
  </si>
  <si>
    <t>₹</t>
  </si>
  <si>
    <t>₹</t>
  </si>
  <si>
    <t>₹</t>
  </si>
  <si>
    <t>₹</t>
  </si>
  <si>
    <t>₹</t>
  </si>
  <si>
    <t>₹</t>
  </si>
  <si>
    <t>₹</t>
  </si>
  <si>
    <t>₹</t>
  </si>
  <si>
    <t>₹</t>
  </si>
  <si>
    <t>₹</t>
  </si>
  <si>
    <t>₹</t>
  </si>
  <si>
    <t>₹</t>
  </si>
  <si>
    <t>₹</t>
  </si>
  <si>
    <t>₹</t>
  </si>
  <si>
    <t>₹</t>
  </si>
  <si>
    <t>₹</t>
  </si>
  <si>
    <t>₹</t>
  </si>
  <si>
    <t>₹</t>
  </si>
  <si>
    <t>₹</t>
  </si>
  <si>
    <t>₹</t>
  </si>
  <si>
    <t>₹</t>
  </si>
  <si>
    <t>₹</t>
  </si>
  <si>
    <t>₹</t>
  </si>
  <si>
    <t>₹</t>
  </si>
  <si>
    <t>₹</t>
  </si>
  <si>
    <t>₹</t>
  </si>
  <si>
    <t>₹</t>
  </si>
  <si>
    <t>₹</t>
  </si>
  <si>
    <t>₹</t>
  </si>
  <si>
    <t>₹</t>
  </si>
  <si>
    <t>₹</t>
  </si>
  <si>
    <t>₹</t>
  </si>
  <si>
    <t>₹</t>
  </si>
  <si>
    <t>₹</t>
  </si>
  <si>
    <t>₹</t>
  </si>
  <si>
    <t>₹</t>
  </si>
  <si>
    <t>₹</t>
  </si>
  <si>
    <t>₹</t>
  </si>
  <si>
    <t>₹</t>
  </si>
  <si>
    <t>₹</t>
  </si>
  <si>
    <t>₹</t>
  </si>
  <si>
    <t>₹</t>
  </si>
  <si>
    <t>₹</t>
  </si>
  <si>
    <t>₹</t>
  </si>
  <si>
    <t>₹</t>
  </si>
  <si>
    <t>₹</t>
  </si>
  <si>
    <t>₹</t>
  </si>
  <si>
    <t>₹</t>
  </si>
  <si>
    <t>₹</t>
  </si>
  <si>
    <t>₹</t>
  </si>
  <si>
    <t>₹</t>
  </si>
  <si>
    <t>₹</t>
  </si>
  <si>
    <t>₹</t>
  </si>
  <si>
    <t>₹</t>
  </si>
  <si>
    <t>₹</t>
  </si>
  <si>
    <t>₹</t>
  </si>
  <si>
    <t xml:space="preserve">हस्ताक्षर कार्मिक </t>
  </si>
  <si>
    <t xml:space="preserve">आय : वर्ष 2019-20 में प्राप्त कुल वेतन (कर योग्य सुविधाओं के मूल्य सहित) </t>
  </si>
  <si>
    <t xml:space="preserve">गृह किराया, धारा 10(13-ए) के अन्तर्गत एवं धारा 10(14) के अन्तर्गत अन्य भत्ते जो कर मुक्त हैं। </t>
  </si>
  <si>
    <t>शेष (2-3)</t>
  </si>
  <si>
    <t xml:space="preserve">(i) मनोरंजन भत्ता धारा 16 (ii) के अन्तर्गत </t>
  </si>
  <si>
    <t xml:space="preserve">(ii) व्यवसाय कर धारा 16 (iii) के अन्तर्गत </t>
  </si>
  <si>
    <t xml:space="preserve">(iii) स्टैन्डर्ड डिडेक्शन (standard Deduction) 50,000 अधिकतम </t>
  </si>
  <si>
    <t>शेष (4 - 5)</t>
  </si>
  <si>
    <t xml:space="preserve">(अ) गृह सम्पति से आय (1) स्वयं के उपयोग मे - शुन्य </t>
  </si>
  <si>
    <t xml:space="preserve">(2) प्राप्त किराया रु. </t>
  </si>
  <si>
    <t>(ब) घटायें</t>
  </si>
  <si>
    <t>किराये का 30%</t>
  </si>
  <si>
    <t xml:space="preserve">गृह ऋण पर ब्याज </t>
  </si>
  <si>
    <t>गृहकर</t>
  </si>
  <si>
    <t xml:space="preserve">योग (7 ब) </t>
  </si>
  <si>
    <t>शेष - / + 7(अ) एवं 7(ब) का</t>
  </si>
  <si>
    <t>कुल शेष - / + ( 6 एवं 7)</t>
  </si>
  <si>
    <t>योग (8 + 9)</t>
  </si>
  <si>
    <t xml:space="preserve">ब्याज खाते पर ब्याज </t>
  </si>
  <si>
    <t>अन्य आय :</t>
  </si>
  <si>
    <t>सकल आय</t>
  </si>
  <si>
    <t>घटाइयें कटौतियां :- धारा US 80C, 80CCC, 80CCD(1)</t>
  </si>
  <si>
    <t xml:space="preserve">(A) अधिकतम सीमा 1,50,000 /- (धारा 80CCE), (धारा 80CCD (2) के अलावा </t>
  </si>
  <si>
    <t xml:space="preserve">राज्य बीमा (SI) </t>
  </si>
  <si>
    <t xml:space="preserve">जीवन बीमा प्रिमियम (LIC) </t>
  </si>
  <si>
    <t xml:space="preserve">राष्ट्रीय बचत पत्र </t>
  </si>
  <si>
    <t xml:space="preserve">लोक भविष्य निधि </t>
  </si>
  <si>
    <t>राष्ट्रीय बचत स्कीम</t>
  </si>
  <si>
    <t xml:space="preserve">सामान्य प्रावधायी निधि (GPF) </t>
  </si>
  <si>
    <t xml:space="preserve">सामूहिक बीमा प्रिमियम (G. I.) </t>
  </si>
  <si>
    <t xml:space="preserve">U. L. I. P.  / वार्षिक प्लान </t>
  </si>
  <si>
    <t xml:space="preserve">गृह ऋण किश्त </t>
  </si>
  <si>
    <t xml:space="preserve">वेतन के अतिरिक्त जीवन बीमा </t>
  </si>
  <si>
    <t>पेंशन योजना मे अंशदान Ecpf</t>
  </si>
  <si>
    <t xml:space="preserve">पेंशन प्लान हेतु अंशदान (धारा 80CCC) </t>
  </si>
  <si>
    <t xml:space="preserve">राष्ट्रीय बचत पत्र पर अदत्त ब्याज </t>
  </si>
  <si>
    <t>ट्यूसन फीस (Tution fees)</t>
  </si>
  <si>
    <t xml:space="preserve">इंक्विटी लिंक सेविंग स्कीम </t>
  </si>
  <si>
    <t xml:space="preserve">स्थगित वार्षिकी </t>
  </si>
  <si>
    <t xml:space="preserve">पीएलआई (P. L. I.) </t>
  </si>
  <si>
    <t xml:space="preserve">अन्य जमा राशि (धारा 80C के अन्तर्गत) </t>
  </si>
  <si>
    <t xml:space="preserve">सुकन्या समृद्धि योजना </t>
  </si>
  <si>
    <t xml:space="preserve">अन्य </t>
  </si>
  <si>
    <t xml:space="preserve">योग ( i से xx) </t>
  </si>
  <si>
    <t>अधिकतम कटौती की राशि 1.50 लाख रुपए तक :</t>
  </si>
  <si>
    <t>(B) घटाइयें - धारा 80CCD(2) नियोक्ता द्वारा पेंशन अंशदान की राशि (अधिकतम वेतन का 10%) पृथक से छूट</t>
  </si>
  <si>
    <t>(C) घटाईयें - धारा 80CCD(1B) नवीन पेंशन योजना मे अतिरिक्त अंशदान (अधिकतम 50,000)</t>
  </si>
  <si>
    <t xml:space="preserve">योग 11(A+B+C)      </t>
  </si>
  <si>
    <t xml:space="preserve">अन्य कटौतियां </t>
  </si>
  <si>
    <t>2. धारा 80DD विकलांग आश्रितों के चिकित्सा उपचार (अधिकतम 75,000 तथा 80% या अधिक विकलांगता पर 1,25,000</t>
  </si>
  <si>
    <t>1. धारा 80D चिकित्सा बीमा प्रिमियम (स्वयं पति/पत्नि व बच्चों के लिए रु. 25,000, माता-पिता के लिए रु. 25,000, सीनियर सिटीजन 50,000</t>
  </si>
  <si>
    <t xml:space="preserve">3. धारा 80DDB विशिष्ट रोगों के उपचार हेतु कटौती (अधिकतम रु. 40,000 व सीनियर सिटीजन हेतु 1 लाख) </t>
  </si>
  <si>
    <t xml:space="preserve">4. धारा 80E उच्च शिक्षा हेतु लिए गये ऋण का ब्याज </t>
  </si>
  <si>
    <t>5. धारा 80G धर्मार्थ संस्थानों को दिया गया दान (क' श्रेणी में 100 प्रतिशत एवं ख' श्रेणी में 50 प्रतिशत)</t>
  </si>
  <si>
    <t>6.धारा 80U स्थायी रूप शारीरिक असमर्थता की दशा में (अधिकतम 75,000 तथा अधिनियम 1995 के अनुसार 125,000)</t>
  </si>
  <si>
    <t xml:space="preserve">7. धारा 80TTA बचत खाते पर ब्याज पर अधिकतम छूट 10,000  194(IA) तथा वरिष्ठ नागरिक के लिए 50,000 तक) </t>
  </si>
  <si>
    <t xml:space="preserve">8. धारा 80GGA अनुमोदित वैज्ञानिक, सामाजिक, ग्रामीण विकास हेतु दिया गया दान </t>
  </si>
  <si>
    <t xml:space="preserve">कुल योग 12 (1 से 8 तक) </t>
  </si>
  <si>
    <t>कुल कटौती (11 + 12)</t>
  </si>
  <si>
    <t>कर योग्य आय (10 - 13)</t>
  </si>
  <si>
    <t>कुल आय की राशि को सम्पूर्ण करना (दस के गुणक में) धारा 288A</t>
  </si>
  <si>
    <t xml:space="preserve">आयकर की गणना उपरोक्त कालम 15 के आधार पर </t>
  </si>
  <si>
    <t xml:space="preserve">एक व्यक्ति कर दाता </t>
  </si>
  <si>
    <t xml:space="preserve">वरिष्ठ नागरिक (60 से 80 वर्ष तक) </t>
  </si>
  <si>
    <t>80 वर्ष या अधिक आयु</t>
  </si>
  <si>
    <t>2,50,000 तक</t>
  </si>
  <si>
    <t>3,00,000 तक</t>
  </si>
  <si>
    <t>5,00,000 तक</t>
  </si>
  <si>
    <t xml:space="preserve">10,00,001 एवं अधिक </t>
  </si>
  <si>
    <t xml:space="preserve">10,00,000 से अधिक </t>
  </si>
  <si>
    <t xml:space="preserve">10,00,000 से अधिक </t>
  </si>
  <si>
    <t xml:space="preserve">(1) योग आयकर </t>
  </si>
  <si>
    <t xml:space="preserve">(2) छूट धारा 87(A) (5लाख तक की कर योग्य आय पर आयकर की छूट अधिकतम रु. यह 12,500 /- तक) </t>
  </si>
  <si>
    <t>(3) शेष आयकर   (1 - 2)</t>
  </si>
  <si>
    <t>घटाइयें  :-   राहत धारा 89 के तहत</t>
  </si>
  <si>
    <t xml:space="preserve">कुल शेष आयकर </t>
  </si>
  <si>
    <t xml:space="preserve">आयकर कटौती का विवरण </t>
  </si>
  <si>
    <t>सितम्बर 2019 तक</t>
  </si>
  <si>
    <t>अक्टु. 2019 से दिस. 2019 तक</t>
  </si>
  <si>
    <t xml:space="preserve">जनवरी 2020 मे कुल रुपये </t>
  </si>
  <si>
    <t xml:space="preserve">फरवरी 2020 में कुल रुपये </t>
  </si>
  <si>
    <t xml:space="preserve">एरियर से टीडीएस व अन्य </t>
  </si>
  <si>
    <t>कुल योग कालम 19</t>
  </si>
  <si>
    <t>(4) शिक्षा एवं चिकित्सा उपकर 4%  (आयकर पर</t>
  </si>
  <si>
    <t>कुल आयकर 16 ( 3 + 4 )</t>
  </si>
  <si>
    <t xml:space="preserve">34. अन्य कोई भी प्रकार की छूट मिलती है जो धारा 10(13-ए) व 10(14) के अन्तर्गत आती हो तो यहां लिखें। एवं अन्य कर मुक्त भत्ता यहां लिखें। </t>
  </si>
  <si>
    <t xml:space="preserve">    यदि CCA लागू हो तो CITY का चयन करें -</t>
  </si>
</sst>
</file>

<file path=xl/styles.xml><?xml version="1.0" encoding="utf-8"?>
<styleSheet xmlns="http://schemas.openxmlformats.org/spreadsheetml/2006/main">
  <numFmts count="4">
    <numFmt numFmtId="164" formatCode="[$-409]mmm/yy;@"/>
    <numFmt numFmtId="165" formatCode="[$-409]mmmm\-yy;@"/>
    <numFmt numFmtId="166" formatCode="m/d/yyyy"/>
    <numFmt numFmtId="167" formatCode="mmm\-yy"/>
  </numFmts>
  <fonts count="167">
    <font>
      <sz val="11"/>
      <name val="Calibri"/>
    </font>
    <font>
      <sz val="11"/>
      <color rgb="FF000000"/>
      <name val="Calibri"/>
    </font>
    <font>
      <b/>
      <i/>
      <u/>
      <sz val="18"/>
      <color rgb="FFFFFFFF"/>
      <name val="Calibri"/>
    </font>
    <font>
      <b/>
      <sz val="18"/>
      <color rgb="FFFFFFFF"/>
      <name val="Kruti Dev 010"/>
    </font>
    <font>
      <b/>
      <sz val="16"/>
      <color rgb="FFC0C03E"/>
      <name val="Kruti Dev 010"/>
    </font>
    <font>
      <b/>
      <sz val="16"/>
      <color rgb="FF000000"/>
      <name val="Calibri"/>
    </font>
    <font>
      <b/>
      <i/>
      <sz val="14"/>
      <color rgb="FF000000"/>
      <name val="Calibri"/>
    </font>
    <font>
      <b/>
      <sz val="12"/>
      <name val="Calibri"/>
    </font>
    <font>
      <b/>
      <sz val="14"/>
      <color rgb="FF000000"/>
      <name val="Calibri"/>
    </font>
    <font>
      <b/>
      <sz val="16"/>
      <color rgb="FFFFFF00"/>
      <name val="Kruti Dev 010"/>
    </font>
    <font>
      <b/>
      <sz val="16"/>
      <color rgb="FFFFFF00"/>
      <name val="Calibri"/>
    </font>
    <font>
      <b/>
      <i/>
      <sz val="14"/>
      <color rgb="FFFFFF00"/>
      <name val="Kruti Dev 010"/>
    </font>
    <font>
      <b/>
      <i/>
      <sz val="14"/>
      <color rgb="FF7030A0"/>
      <name val="Calibri"/>
    </font>
    <font>
      <b/>
      <i/>
      <sz val="16"/>
      <color rgb="FF00B0F0"/>
      <name val="Calibri"/>
    </font>
    <font>
      <b/>
      <i/>
      <sz val="14"/>
      <color rgb="FF974706"/>
      <name val="Calibri"/>
    </font>
    <font>
      <b/>
      <i/>
      <sz val="14"/>
      <color rgb="FF166D07"/>
      <name val="Calibri"/>
    </font>
    <font>
      <b/>
      <sz val="14"/>
      <color rgb="FFFFFFFF"/>
      <name val="Calibri"/>
    </font>
    <font>
      <b/>
      <i/>
      <sz val="16"/>
      <color rgb="FFD99694"/>
      <name val="Calibri"/>
    </font>
    <font>
      <sz val="11"/>
      <color rgb="FF0F253F"/>
      <name val="Calibri"/>
    </font>
    <font>
      <b/>
      <sz val="14"/>
      <color rgb="FFFF0000"/>
      <name val="Calibri"/>
    </font>
    <font>
      <b/>
      <sz val="18"/>
      <color rgb="FF166D07"/>
      <name val="Calibri"/>
    </font>
    <font>
      <b/>
      <sz val="12"/>
      <color rgb="FFFF0000"/>
      <name val="Calibri"/>
    </font>
    <font>
      <b/>
      <i/>
      <u/>
      <sz val="18"/>
      <color rgb="FF00B0F0"/>
      <name val="Calibri"/>
    </font>
    <font>
      <sz val="11"/>
      <color rgb="FF7030A0"/>
      <name val="Calibri"/>
    </font>
    <font>
      <sz val="11"/>
      <color rgb="FFD99694"/>
      <name val="Calibri"/>
    </font>
    <font>
      <b/>
      <sz val="11"/>
      <color rgb="FF7030A0"/>
      <name val="Calibri"/>
    </font>
    <font>
      <b/>
      <sz val="14"/>
      <color rgb="FFFFFFFF"/>
      <name val="Kruti Dev 010"/>
    </font>
    <font>
      <b/>
      <sz val="11"/>
      <color rgb="FF000000"/>
      <name val="Calibri"/>
    </font>
    <font>
      <b/>
      <sz val="11"/>
      <color rgb="FFD99694"/>
      <name val="Calibri"/>
    </font>
    <font>
      <b/>
      <sz val="11"/>
      <color rgb="FFFFFF00"/>
      <name val="Calibri"/>
    </font>
    <font>
      <b/>
      <sz val="11"/>
      <name val="Calibri"/>
    </font>
    <font>
      <b/>
      <sz val="11"/>
      <color rgb="FFFF0000"/>
      <name val="Calibri"/>
    </font>
    <font>
      <b/>
      <sz val="12"/>
      <color rgb="FFFDE9D9"/>
      <name val="Calibri"/>
    </font>
    <font>
      <b/>
      <sz val="11"/>
      <color rgb="FFFFFFFF"/>
      <name val="Calibri"/>
    </font>
    <font>
      <sz val="11"/>
      <name val="Calibri"/>
    </font>
    <font>
      <b/>
      <sz val="11"/>
      <color rgb="FF00B050"/>
      <name val="Calibri"/>
    </font>
    <font>
      <sz val="11"/>
      <color rgb="FFFFFF00"/>
      <name val="Calibri"/>
    </font>
    <font>
      <sz val="11"/>
      <color rgb="FFFF0000"/>
      <name val="Calibri"/>
    </font>
    <font>
      <b/>
      <sz val="14"/>
      <color rgb="FF166D07"/>
      <name val="Calibri"/>
    </font>
    <font>
      <b/>
      <sz val="12"/>
      <color rgb="FFFFFFFF"/>
      <name val="Calibri"/>
    </font>
    <font>
      <b/>
      <sz val="11"/>
      <color rgb="FFEAF1DD"/>
      <name val="Calibri"/>
    </font>
    <font>
      <b/>
      <sz val="12"/>
      <color rgb="FF000000"/>
      <name val="Calibri"/>
    </font>
    <font>
      <b/>
      <sz val="10"/>
      <name val="Calibri"/>
    </font>
    <font>
      <sz val="11"/>
      <color rgb="FFFFFFFF"/>
      <name val="Calibri"/>
    </font>
    <font>
      <b/>
      <u/>
      <sz val="18"/>
      <color rgb="FFFFFFFF"/>
      <name val="Kruti Dev 010"/>
    </font>
    <font>
      <sz val="11"/>
      <color rgb="FF525E16"/>
      <name val="Calibri"/>
    </font>
    <font>
      <b/>
      <sz val="14"/>
      <name val="Kruti Dev 010"/>
    </font>
    <font>
      <b/>
      <sz val="14"/>
      <name val="Calibri"/>
    </font>
    <font>
      <b/>
      <sz val="14"/>
      <color rgb="FFFF0000"/>
      <name val="Kruti Dev 010"/>
    </font>
    <font>
      <b/>
      <sz val="14"/>
      <color rgb="FF642523"/>
      <name val="Kruti Dev 010"/>
    </font>
    <font>
      <b/>
      <sz val="14"/>
      <color rgb="FF2C5123"/>
      <name val="Kruti Dev 010"/>
    </font>
    <font>
      <b/>
      <sz val="13"/>
      <name val="Kruti Dev 010"/>
    </font>
    <font>
      <b/>
      <sz val="14"/>
      <color rgb="FF00B050"/>
      <name val="Calibri"/>
    </font>
    <font>
      <b/>
      <sz val="16"/>
      <color rgb="FF8EB4E2"/>
      <name val="Kruti Dev 010"/>
    </font>
    <font>
      <b/>
      <sz val="14"/>
      <color indexed="10"/>
      <name val="Times New Roman"/>
    </font>
    <font>
      <b/>
      <sz val="12"/>
      <color rgb="FFDDD9C3"/>
      <name val="Calibri"/>
    </font>
    <font>
      <b/>
      <sz val="11"/>
      <color rgb="FFFFFFFF"/>
      <name val="Times New Roman"/>
    </font>
    <font>
      <sz val="11"/>
      <color indexed="8"/>
      <name val="Times New Roman"/>
    </font>
    <font>
      <b/>
      <sz val="16"/>
      <color indexed="17"/>
      <name val="Times New Roman"/>
    </font>
    <font>
      <b/>
      <sz val="14"/>
      <color indexed="17"/>
      <name val="Times New Roman"/>
    </font>
    <font>
      <sz val="12"/>
      <color rgb="FFDDD9C3"/>
      <name val="Calibri"/>
    </font>
    <font>
      <b/>
      <sz val="18"/>
      <color indexed="17"/>
      <name val="Calibri"/>
    </font>
    <font>
      <b/>
      <sz val="13"/>
      <color indexed="17"/>
      <name val="Times New Roman"/>
    </font>
    <font>
      <b/>
      <u/>
      <sz val="16"/>
      <color rgb="FF00B0F0"/>
      <name val="Kruti Dev 010"/>
    </font>
    <font>
      <b/>
      <sz val="14"/>
      <color rgb="FF9ABA58"/>
      <name val="Kruti Dev 010"/>
    </font>
    <font>
      <b/>
      <sz val="14"/>
      <color indexed="21"/>
      <name val="Calibri"/>
    </font>
    <font>
      <b/>
      <sz val="16"/>
      <name val="Calibri"/>
    </font>
    <font>
      <b/>
      <sz val="14"/>
      <color rgb="FF96B3D7"/>
      <name val="Calibri"/>
    </font>
    <font>
      <b/>
      <sz val="14"/>
      <color rgb="FF96B3D7"/>
      <name val="Wingdings 2"/>
      <charset val="2"/>
    </font>
    <font>
      <b/>
      <sz val="14"/>
      <color indexed="10"/>
      <name val="Wingdings 2"/>
      <charset val="2"/>
    </font>
    <font>
      <sz val="14"/>
      <color indexed="8"/>
      <name val="Calibri"/>
    </font>
    <font>
      <b/>
      <sz val="14"/>
      <color indexed="17"/>
      <name val="Calibri"/>
    </font>
    <font>
      <b/>
      <sz val="14"/>
      <color rgb="FF00B0F0"/>
      <name val="Kruti Dev 010"/>
    </font>
    <font>
      <b/>
      <sz val="11"/>
      <color indexed="18"/>
      <name val="Times New Roman"/>
    </font>
    <font>
      <b/>
      <sz val="14"/>
      <color rgb="FFE5DFEC"/>
      <name val="Calibri"/>
    </font>
    <font>
      <b/>
      <sz val="14"/>
      <color rgb="FFFFC000"/>
      <name val="Kruti Dev 010"/>
    </font>
    <font>
      <b/>
      <sz val="11"/>
      <color indexed="10"/>
      <name val="Times New Roman"/>
    </font>
    <font>
      <b/>
      <sz val="14"/>
      <color rgb="FFFBD4B4"/>
      <name val="Calibri"/>
    </font>
    <font>
      <b/>
      <sz val="14"/>
      <color rgb="FFFFFF00"/>
      <name val="Kruti Dev 010"/>
    </font>
    <font>
      <b/>
      <sz val="8"/>
      <color indexed="16"/>
      <name val="Times New Roman"/>
    </font>
    <font>
      <sz val="11"/>
      <color rgb="FF8EB4E2"/>
      <name val="Calibri"/>
    </font>
    <font>
      <b/>
      <sz val="12"/>
      <color rgb="FF8EB4E2"/>
      <name val="Calibri"/>
    </font>
    <font>
      <b/>
      <sz val="14"/>
      <color rgb="FF92D050"/>
      <name val="Kruti Dev 010"/>
    </font>
    <font>
      <sz val="12"/>
      <color rgb="FF3F3051"/>
      <name val="Calibri"/>
    </font>
    <font>
      <b/>
      <sz val="14"/>
      <color rgb="FF3F3051"/>
      <name val="Calibri"/>
    </font>
    <font>
      <sz val="12"/>
      <color rgb="FF000000"/>
      <name val="Calibri"/>
    </font>
    <font>
      <sz val="14"/>
      <color rgb="FF000000"/>
      <name val="Calibri"/>
    </font>
    <font>
      <b/>
      <sz val="13"/>
      <color rgb="FF000000"/>
      <name val="Calibri"/>
    </font>
    <font>
      <sz val="11"/>
      <color rgb="FF000000"/>
      <name val="Kruti Dev 010"/>
    </font>
    <font>
      <sz val="10"/>
      <color rgb="FF000000"/>
      <name val="Calibri"/>
    </font>
    <font>
      <sz val="14"/>
      <color rgb="FF000000"/>
      <name val="Kruti Dev 010"/>
    </font>
    <font>
      <sz val="9"/>
      <color rgb="FF000000"/>
      <name val="Calibri"/>
    </font>
    <font>
      <b/>
      <sz val="9"/>
      <color rgb="FF000000"/>
      <name val="Calibri"/>
    </font>
    <font>
      <b/>
      <sz val="10"/>
      <color rgb="FF000000"/>
      <name val="Calibri"/>
    </font>
    <font>
      <sz val="16"/>
      <color rgb="FF000000"/>
      <name val="Kruti Dev 010"/>
    </font>
    <font>
      <b/>
      <i/>
      <sz val="12"/>
      <color rgb="FF000000"/>
      <name val="Calibri"/>
    </font>
    <font>
      <b/>
      <sz val="12"/>
      <color rgb="FF000000"/>
      <name val="Kruti Dev 010"/>
    </font>
    <font>
      <b/>
      <i/>
      <u/>
      <sz val="14"/>
      <color rgb="FFFF0000"/>
      <name val="Calibri"/>
    </font>
    <font>
      <b/>
      <sz val="14"/>
      <color rgb="FF002060"/>
      <name val="Kruti Dev 010"/>
    </font>
    <font>
      <b/>
      <sz val="12"/>
      <color rgb="FF002060"/>
      <name val="Kruti Dev 010"/>
    </font>
    <font>
      <b/>
      <sz val="12"/>
      <color rgb="FF002060"/>
      <name val="Calibri"/>
    </font>
    <font>
      <sz val="12"/>
      <name val="Kruti Dev 010"/>
    </font>
    <font>
      <b/>
      <i/>
      <sz val="12"/>
      <name val="Calibri"/>
    </font>
    <font>
      <sz val="10"/>
      <name val="Calibri"/>
    </font>
    <font>
      <b/>
      <i/>
      <sz val="10"/>
      <name val="Calibri"/>
    </font>
    <font>
      <b/>
      <sz val="24"/>
      <color rgb="FF7030A0"/>
      <name val="Wingdings"/>
      <charset val="2"/>
    </font>
    <font>
      <sz val="12"/>
      <name val="Calibri"/>
    </font>
    <font>
      <sz val="12"/>
      <name val="DevLys 010"/>
    </font>
    <font>
      <sz val="14"/>
      <name val="Kruti Dev 010"/>
    </font>
    <font>
      <sz val="10"/>
      <name val="DevLys 010"/>
    </font>
    <font>
      <b/>
      <sz val="12"/>
      <name val="Kruti Dev 010"/>
    </font>
    <font>
      <b/>
      <sz val="12"/>
      <name val="DevLys 010"/>
    </font>
    <font>
      <sz val="10"/>
      <name val="Arial"/>
    </font>
    <font>
      <sz val="12"/>
      <name val="Arial"/>
    </font>
    <font>
      <sz val="10"/>
      <name val="Times New Roman"/>
    </font>
    <font>
      <i/>
      <sz val="11"/>
      <name val="Calibri"/>
    </font>
    <font>
      <sz val="9"/>
      <name val="Times New Roman"/>
    </font>
    <font>
      <sz val="10"/>
      <name val="Kruti Dev 010"/>
    </font>
    <font>
      <b/>
      <i/>
      <sz val="11"/>
      <name val="Calibri"/>
    </font>
    <font>
      <sz val="13"/>
      <name val="Kruti Dev 010"/>
    </font>
    <font>
      <i/>
      <sz val="12"/>
      <name val="Calibri"/>
    </font>
    <font>
      <b/>
      <sz val="10"/>
      <name val="Kruti Dev 010"/>
    </font>
    <font>
      <b/>
      <sz val="8"/>
      <name val="Kruti Dev 010"/>
    </font>
    <font>
      <b/>
      <sz val="10"/>
      <name val="Arial"/>
    </font>
    <font>
      <b/>
      <i/>
      <sz val="14"/>
      <name val="Calibri"/>
    </font>
    <font>
      <b/>
      <sz val="9"/>
      <name val="Arial"/>
    </font>
    <font>
      <sz val="12"/>
      <color rgb="FF000000"/>
      <name val="Kruti Dev 010"/>
    </font>
    <font>
      <sz val="10"/>
      <color rgb="FF000000"/>
      <name val="Kruti Dev 010"/>
    </font>
    <font>
      <b/>
      <sz val="13"/>
      <color rgb="FF000000"/>
      <name val="Kruti Dev 010"/>
    </font>
    <font>
      <b/>
      <sz val="12"/>
      <color rgb="FF000000"/>
      <name val="Kruti Dev 010"/>
    </font>
    <font>
      <b/>
      <sz val="10"/>
      <color rgb="FF000000"/>
      <name val="Kruti Dev 010"/>
    </font>
    <font>
      <b/>
      <i/>
      <sz val="10"/>
      <color rgb="FF000000"/>
      <name val="Kruti Dev 010"/>
    </font>
    <font>
      <sz val="10"/>
      <name val="Arial"/>
    </font>
    <font>
      <b/>
      <sz val="20"/>
      <color indexed="21"/>
      <name val="Calibri"/>
    </font>
    <font>
      <b/>
      <sz val="20"/>
      <color indexed="21"/>
      <name val="Wingdings"/>
      <charset val="2"/>
    </font>
    <font>
      <b/>
      <sz val="18"/>
      <color indexed="17"/>
      <name val="Wingdings"/>
      <charset val="2"/>
    </font>
    <font>
      <b/>
      <sz val="18"/>
      <color rgb="FFE5DFEC"/>
      <name val="Wingdings"/>
      <charset val="2"/>
    </font>
    <font>
      <b/>
      <sz val="18"/>
      <color rgb="FFFBD4B4"/>
      <name val="Wingdings"/>
      <charset val="2"/>
    </font>
    <font>
      <b/>
      <sz val="16"/>
      <color indexed="17"/>
      <name val="Wingdings"/>
      <charset val="2"/>
    </font>
    <font>
      <b/>
      <sz val="16"/>
      <color indexed="17"/>
      <name val="Calibri"/>
    </font>
    <font>
      <b/>
      <sz val="20"/>
      <color rgb="FFFFFF00"/>
      <name val="Wingdings"/>
      <charset val="2"/>
    </font>
    <font>
      <b/>
      <sz val="14"/>
      <color rgb="FFFFFF00"/>
      <name val="Calibri"/>
    </font>
    <font>
      <b/>
      <sz val="14"/>
      <color rgb="FFFFC000"/>
      <name val="Wingdings"/>
      <charset val="2"/>
    </font>
    <font>
      <b/>
      <sz val="14"/>
      <color rgb="FFFFC000"/>
      <name val="Calibri"/>
    </font>
    <font>
      <b/>
      <sz val="14"/>
      <color rgb="FF00B0F0"/>
      <name val="Wingdings"/>
      <charset val="2"/>
    </font>
    <font>
      <b/>
      <sz val="14"/>
      <color rgb="FF00B0F0"/>
      <name val="Calibri"/>
    </font>
    <font>
      <b/>
      <sz val="18"/>
      <color rgb="FF9ABA58"/>
      <name val="Wingdings"/>
      <charset val="2"/>
    </font>
    <font>
      <b/>
      <sz val="14"/>
      <color rgb="FF9ABA58"/>
      <name val="Calibri"/>
    </font>
    <font>
      <sz val="11"/>
      <name val="Kruti Dev 010"/>
    </font>
    <font>
      <b/>
      <sz val="18"/>
      <color rgb="FF96B3D7"/>
      <name val="Calibri"/>
    </font>
    <font>
      <b/>
      <sz val="18"/>
      <color rgb="FF96B3D7"/>
      <name val="Wingdings"/>
      <charset val="2"/>
    </font>
    <font>
      <b/>
      <sz val="14"/>
      <color rgb="FF96B3D7"/>
      <name val="Kruti Dev 010"/>
    </font>
    <font>
      <b/>
      <sz val="14"/>
      <color rgb="FFFF0000"/>
      <name val="Wingdings"/>
      <charset val="2"/>
    </font>
    <font>
      <b/>
      <sz val="16"/>
      <color rgb="FFC0C03E"/>
      <name val="Calibri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2"/>
      <color rgb="FFC0C03E"/>
      <name val="Kruti Dev 010"/>
    </font>
    <font>
      <b/>
      <sz val="12"/>
      <color rgb="FFFF0000"/>
      <name val="Kruti Dev 010"/>
    </font>
    <font>
      <b/>
      <sz val="12"/>
      <color rgb="FF0070C0"/>
      <name val="Kruti Dev 010"/>
    </font>
    <font>
      <b/>
      <sz val="14"/>
      <color rgb="FFFF0000"/>
      <name val="Calibri"/>
      <family val="2"/>
    </font>
    <font>
      <b/>
      <sz val="11"/>
      <name val="DevLys 010"/>
    </font>
    <font>
      <b/>
      <sz val="11"/>
      <name val="Kruti Dev 010"/>
    </font>
    <font>
      <b/>
      <sz val="11"/>
      <name val="Times New Roman"/>
      <family val="1"/>
    </font>
    <font>
      <sz val="9"/>
      <name val="Kruti Dev 010"/>
    </font>
    <font>
      <b/>
      <sz val="9"/>
      <name val="Kruti Dev 010"/>
    </font>
    <font>
      <b/>
      <sz val="11"/>
      <color rgb="FF000000"/>
      <name val="Kruti Dev 010"/>
    </font>
    <font>
      <sz val="10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48A53"/>
        <bgColor indexed="64"/>
      </patternFill>
    </fill>
    <fill>
      <patternFill patternType="solid">
        <fgColor rgb="FF5F4979"/>
        <bgColor indexed="64"/>
      </patternFill>
    </fill>
    <fill>
      <patternFill patternType="solid">
        <fgColor rgb="FF0F253F"/>
        <bgColor indexed="64"/>
      </patternFill>
    </fill>
    <fill>
      <patternFill patternType="solid">
        <fgColor rgb="FFC0C03E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B2A1C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4A4529"/>
        <bgColor indexed="64"/>
      </patternFill>
    </fill>
    <fill>
      <patternFill patternType="solid">
        <fgColor rgb="FF3F305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36B09"/>
        <bgColor indexed="64"/>
      </patternFill>
    </fill>
    <fill>
      <patternFill patternType="solid">
        <fgColor rgb="FF5A285B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rgb="FFC0C03E"/>
      </left>
      <right style="thin">
        <color indexed="64"/>
      </right>
      <top style="medium">
        <color rgb="FFC0C03E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C0C03E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C0C03E"/>
      </top>
      <bottom/>
      <diagonal/>
    </border>
    <border>
      <left style="thin">
        <color indexed="64"/>
      </left>
      <right style="medium">
        <color rgb="FFC0C03E"/>
      </right>
      <top style="medium">
        <color rgb="FFC0C03E"/>
      </top>
      <bottom style="thin">
        <color indexed="64"/>
      </bottom>
      <diagonal/>
    </border>
    <border>
      <left style="medium">
        <color rgb="FFC0C03E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C0C03E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C0C03E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8">
    <xf numFmtId="0" fontId="0" fillId="0" borderId="0">
      <alignment vertical="center"/>
    </xf>
    <xf numFmtId="0" fontId="112" fillId="0" borderId="0">
      <protection locked="0"/>
    </xf>
    <xf numFmtId="0" fontId="132" fillId="0" borderId="0">
      <protection locked="0"/>
    </xf>
    <xf numFmtId="0" fontId="132" fillId="0" borderId="0">
      <protection locked="0"/>
    </xf>
    <xf numFmtId="0" fontId="132" fillId="0" borderId="0">
      <protection locked="0"/>
    </xf>
    <xf numFmtId="0" fontId="132" fillId="0" borderId="0">
      <protection locked="0"/>
    </xf>
    <xf numFmtId="0" fontId="132" fillId="0" borderId="0">
      <protection locked="0"/>
    </xf>
    <xf numFmtId="0" fontId="132" fillId="0" borderId="0">
      <protection locked="0"/>
    </xf>
  </cellStyleXfs>
  <cellXfs count="511">
    <xf numFmtId="0" fontId="0" fillId="0" borderId="0" xfId="0">
      <alignment vertical="center"/>
    </xf>
    <xf numFmtId="0" fontId="1" fillId="0" borderId="0" xfId="0" applyFont="1" applyFill="1" applyAlignment="1" applyProtection="1"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1" fillId="2" borderId="0" xfId="0" applyFont="1" applyFill="1" applyAlignment="1" applyProtection="1">
      <protection hidden="1"/>
    </xf>
    <xf numFmtId="0" fontId="3" fillId="2" borderId="0" xfId="0" applyFont="1" applyFill="1" applyAlignment="1" applyProtection="1">
      <alignment horizontal="center" vertical="center"/>
      <protection hidden="1"/>
    </xf>
    <xf numFmtId="0" fontId="1" fillId="2" borderId="0" xfId="0" applyFont="1" applyFill="1" applyAlignment="1" applyProtection="1">
      <alignment horizontal="center" vertical="center"/>
      <protection hidden="1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6" fillId="3" borderId="1" xfId="0" applyFont="1" applyFill="1" applyBorder="1" applyAlignment="1" applyProtection="1">
      <alignment horizontal="center" vertical="center"/>
      <protection locked="0"/>
    </xf>
    <xf numFmtId="0" fontId="7" fillId="3" borderId="0" xfId="0" applyFont="1" applyFill="1" applyAlignment="1" applyProtection="1">
      <alignment horizontal="center" vertical="center"/>
      <protection locked="0"/>
    </xf>
    <xf numFmtId="0" fontId="5" fillId="3" borderId="1" xfId="0" applyFont="1" applyFill="1" applyBorder="1" applyAlignment="1" applyProtection="1">
      <alignment horizontal="right" vertical="center"/>
      <protection locked="0"/>
    </xf>
    <xf numFmtId="0" fontId="8" fillId="3" borderId="1" xfId="0" applyFont="1" applyFill="1" applyBorder="1" applyAlignment="1" applyProtection="1">
      <alignment horizontal="center" vertical="center"/>
      <protection locked="0"/>
    </xf>
    <xf numFmtId="0" fontId="8" fillId="3" borderId="1" xfId="0" applyFont="1" applyFill="1" applyBorder="1" applyAlignment="1" applyProtection="1">
      <alignment horizontal="center" vertical="center"/>
      <protection hidden="1"/>
    </xf>
    <xf numFmtId="0" fontId="8" fillId="3" borderId="0" xfId="0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Border="1" applyAlignment="1" applyProtection="1">
      <protection hidden="1"/>
    </xf>
    <xf numFmtId="0" fontId="4" fillId="2" borderId="0" xfId="0" applyFont="1" applyFill="1" applyBorder="1" applyAlignment="1" applyProtection="1">
      <alignment horizontal="center" vertical="center"/>
      <protection hidden="1"/>
    </xf>
    <xf numFmtId="0" fontId="5" fillId="2" borderId="0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Border="1" applyAlignment="1" applyProtection="1">
      <alignment horizontal="left" vertical="center"/>
      <protection hidden="1"/>
    </xf>
    <xf numFmtId="0" fontId="1" fillId="2" borderId="0" xfId="0" applyFont="1" applyFill="1" applyBorder="1" applyAlignment="1" applyProtection="1">
      <alignment horizontal="center" vertical="center"/>
      <protection hidden="1"/>
    </xf>
    <xf numFmtId="0" fontId="1" fillId="4" borderId="0" xfId="0" applyFont="1" applyFill="1" applyAlignment="1" applyProtection="1">
      <protection hidden="1"/>
    </xf>
    <xf numFmtId="1" fontId="1" fillId="2" borderId="0" xfId="0" applyNumberFormat="1" applyFont="1" applyFill="1" applyAlignment="1" applyProtection="1">
      <alignment horizontal="center" vertical="center"/>
      <protection hidden="1"/>
    </xf>
    <xf numFmtId="0" fontId="9" fillId="2" borderId="0" xfId="0" applyFont="1" applyFill="1" applyAlignment="1" applyProtection="1">
      <alignment horizontal="right" vertical="center"/>
      <protection hidden="1"/>
    </xf>
    <xf numFmtId="0" fontId="10" fillId="2" borderId="0" xfId="0" applyFont="1" applyFill="1" applyAlignment="1" applyProtection="1">
      <alignment horizontal="right" vertical="center"/>
      <protection hidden="1"/>
    </xf>
    <xf numFmtId="0" fontId="9" fillId="2" borderId="0" xfId="0" applyFont="1" applyFill="1" applyProtection="1">
      <alignment vertical="center"/>
      <protection hidden="1"/>
    </xf>
    <xf numFmtId="0" fontId="1" fillId="0" borderId="0" xfId="0" applyFont="1" applyAlignment="1" applyProtection="1">
      <protection hidden="1"/>
    </xf>
    <xf numFmtId="0" fontId="1" fillId="5" borderId="0" xfId="0" applyFont="1" applyFill="1" applyAlignment="1" applyProtection="1">
      <alignment horizontal="center" vertical="center"/>
      <protection hidden="1"/>
    </xf>
    <xf numFmtId="0" fontId="1" fillId="3" borderId="0" xfId="0" applyFont="1" applyFill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1" fillId="6" borderId="0" xfId="0" applyFont="1" applyFill="1" applyAlignment="1" applyProtection="1">
      <protection hidden="1"/>
    </xf>
    <xf numFmtId="0" fontId="18" fillId="6" borderId="0" xfId="0" applyFont="1" applyFill="1" applyAlignment="1" applyProtection="1">
      <alignment horizontal="center" vertical="center"/>
      <protection hidden="1"/>
    </xf>
    <xf numFmtId="0" fontId="1" fillId="6" borderId="0" xfId="0" applyFont="1" applyFill="1" applyAlignment="1" applyProtection="1">
      <alignment horizontal="center" vertical="center"/>
      <protection hidden="1"/>
    </xf>
    <xf numFmtId="0" fontId="21" fillId="6" borderId="0" xfId="0" applyFont="1" applyFill="1" applyBorder="1" applyAlignment="1" applyProtection="1">
      <alignment vertical="center" wrapText="1"/>
      <protection hidden="1"/>
    </xf>
    <xf numFmtId="0" fontId="1" fillId="6" borderId="0" xfId="0" applyFont="1" applyFill="1" applyProtection="1">
      <alignment vertical="center"/>
      <protection hidden="1"/>
    </xf>
    <xf numFmtId="0" fontId="23" fillId="4" borderId="0" xfId="0" applyFont="1" applyFill="1" applyAlignment="1" applyProtection="1">
      <protection hidden="1"/>
    </xf>
    <xf numFmtId="0" fontId="23" fillId="6" borderId="0" xfId="0" applyFont="1" applyFill="1" applyAlignment="1" applyProtection="1">
      <protection hidden="1"/>
    </xf>
    <xf numFmtId="0" fontId="24" fillId="6" borderId="0" xfId="0" applyFont="1" applyFill="1" applyAlignment="1" applyProtection="1">
      <alignment horizontal="center" vertical="center"/>
      <protection hidden="1"/>
    </xf>
    <xf numFmtId="0" fontId="25" fillId="6" borderId="0" xfId="0" applyFont="1" applyFill="1" applyAlignment="1" applyProtection="1">
      <alignment horizontal="center" vertical="center"/>
      <protection hidden="1"/>
    </xf>
    <xf numFmtId="0" fontId="27" fillId="4" borderId="0" xfId="0" applyFont="1" applyFill="1" applyAlignment="1" applyProtection="1">
      <alignment wrapText="1"/>
      <protection hidden="1"/>
    </xf>
    <xf numFmtId="0" fontId="27" fillId="6" borderId="0" xfId="0" applyFont="1" applyFill="1" applyAlignment="1" applyProtection="1">
      <alignment wrapText="1"/>
      <protection hidden="1"/>
    </xf>
    <xf numFmtId="0" fontId="29" fillId="6" borderId="9" xfId="0" applyFont="1" applyFill="1" applyBorder="1" applyAlignment="1" applyProtection="1">
      <alignment horizontal="center" vertical="center" wrapText="1"/>
      <protection locked="0"/>
    </xf>
    <xf numFmtId="0" fontId="7" fillId="3" borderId="9" xfId="0" applyFont="1" applyFill="1" applyBorder="1" applyAlignment="1" applyProtection="1">
      <alignment horizontal="center" vertical="center" wrapText="1"/>
      <protection locked="0"/>
    </xf>
    <xf numFmtId="0" fontId="29" fillId="6" borderId="9" xfId="0" applyFont="1" applyFill="1" applyBorder="1" applyAlignment="1" applyProtection="1">
      <alignment horizontal="center" vertical="center" wrapText="1"/>
      <protection hidden="1"/>
    </xf>
    <xf numFmtId="0" fontId="30" fillId="3" borderId="9" xfId="0" applyFont="1" applyFill="1" applyBorder="1" applyAlignment="1" applyProtection="1">
      <alignment horizontal="center" vertical="center" wrapText="1"/>
      <protection locked="0" hidden="1"/>
    </xf>
    <xf numFmtId="0" fontId="29" fillId="6" borderId="9" xfId="0" applyFont="1" applyFill="1" applyBorder="1" applyAlignment="1" applyProtection="1">
      <alignment vertical="center" wrapText="1"/>
      <protection hidden="1"/>
    </xf>
    <xf numFmtId="1" fontId="31" fillId="10" borderId="1" xfId="0" applyNumberFormat="1" applyFont="1" applyFill="1" applyBorder="1" applyAlignment="1" applyProtection="1">
      <alignment horizontal="center" vertical="center"/>
      <protection locked="0"/>
    </xf>
    <xf numFmtId="1" fontId="31" fillId="10" borderId="1" xfId="0" applyNumberFormat="1" applyFont="1" applyFill="1" applyBorder="1" applyAlignment="1" applyProtection="1">
      <alignment horizontal="center" vertical="center"/>
      <protection locked="0" hidden="1"/>
    </xf>
    <xf numFmtId="1" fontId="21" fillId="10" borderId="1" xfId="0" applyNumberFormat="1" applyFont="1" applyFill="1" applyBorder="1" applyAlignment="1" applyProtection="1">
      <alignment horizontal="center" vertical="center"/>
      <protection locked="0" hidden="1"/>
    </xf>
    <xf numFmtId="1" fontId="21" fillId="10" borderId="1" xfId="0" applyNumberFormat="1" applyFont="1" applyFill="1" applyBorder="1" applyAlignment="1" applyProtection="1">
      <alignment horizontal="center" vertical="center"/>
      <protection locked="0"/>
    </xf>
    <xf numFmtId="0" fontId="21" fillId="10" borderId="1" xfId="0" applyFont="1" applyFill="1" applyBorder="1" applyAlignment="1" applyProtection="1">
      <alignment horizontal="center" vertical="center" wrapText="1"/>
      <protection locked="0"/>
    </xf>
    <xf numFmtId="2" fontId="31" fillId="10" borderId="1" xfId="0" applyNumberFormat="1" applyFont="1" applyFill="1" applyBorder="1" applyAlignment="1" applyProtection="1">
      <alignment vertical="center" wrapText="1"/>
      <protection locked="0"/>
    </xf>
    <xf numFmtId="0" fontId="24" fillId="6" borderId="12" xfId="0" applyFont="1" applyFill="1" applyBorder="1" applyAlignment="1" applyProtection="1">
      <alignment horizontal="center" vertical="center"/>
      <protection hidden="1"/>
    </xf>
    <xf numFmtId="165" fontId="32" fillId="6" borderId="1" xfId="0" applyNumberFormat="1" applyFont="1" applyFill="1" applyBorder="1" applyAlignment="1" applyProtection="1">
      <alignment horizontal="left" vertical="center"/>
      <protection hidden="1"/>
    </xf>
    <xf numFmtId="1" fontId="7" fillId="3" borderId="1" xfId="0" applyNumberFormat="1" applyFont="1" applyFill="1" applyBorder="1" applyAlignment="1" applyProtection="1">
      <alignment horizontal="center" vertical="center"/>
      <protection locked="0" hidden="1"/>
    </xf>
    <xf numFmtId="1" fontId="27" fillId="3" borderId="1" xfId="0" applyNumberFormat="1" applyFont="1" applyFill="1" applyBorder="1" applyAlignment="1" applyProtection="1">
      <alignment horizontal="center" vertical="center"/>
      <protection locked="0" hidden="1"/>
    </xf>
    <xf numFmtId="1" fontId="30" fillId="3" borderId="1" xfId="0" applyNumberFormat="1" applyFont="1" applyFill="1" applyBorder="1" applyAlignment="1" applyProtection="1">
      <alignment horizontal="center" vertical="center"/>
      <protection locked="0" hidden="1"/>
    </xf>
    <xf numFmtId="1" fontId="30" fillId="11" borderId="1" xfId="0" applyNumberFormat="1" applyFont="1" applyFill="1" applyBorder="1" applyAlignment="1" applyProtection="1">
      <alignment horizontal="center" vertical="center"/>
      <protection locked="0" hidden="1"/>
    </xf>
    <xf numFmtId="1" fontId="33" fillId="6" borderId="1" xfId="0" applyNumberFormat="1" applyFont="1" applyFill="1" applyBorder="1" applyAlignment="1" applyProtection="1">
      <alignment horizontal="center" vertical="center"/>
      <protection locked="0" hidden="1"/>
    </xf>
    <xf numFmtId="1" fontId="21" fillId="6" borderId="1" xfId="0" applyNumberFormat="1" applyFont="1" applyFill="1" applyBorder="1" applyAlignment="1" applyProtection="1">
      <alignment horizontal="center" vertical="center"/>
      <protection hidden="1"/>
    </xf>
    <xf numFmtId="2" fontId="34" fillId="11" borderId="1" xfId="0" applyNumberFormat="1" applyFont="1" applyFill="1" applyBorder="1" applyAlignment="1" applyProtection="1">
      <alignment horizontal="center" vertical="center"/>
      <protection locked="0" hidden="1"/>
    </xf>
    <xf numFmtId="2" fontId="35" fillId="6" borderId="1" xfId="0" applyNumberFormat="1" applyFont="1" applyFill="1" applyBorder="1" applyAlignment="1" applyProtection="1">
      <alignment horizontal="center" vertical="center"/>
      <protection hidden="1"/>
    </xf>
    <xf numFmtId="2" fontId="21" fillId="6" borderId="1" xfId="0" applyNumberFormat="1" applyFont="1" applyFill="1" applyBorder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alignment horizontal="center" vertical="center"/>
      <protection locked="0"/>
    </xf>
    <xf numFmtId="166" fontId="1" fillId="0" borderId="13" xfId="0" applyNumberFormat="1" applyFont="1" applyBorder="1" applyAlignment="1" applyProtection="1">
      <alignment horizontal="center" vertical="center"/>
      <protection locked="0"/>
    </xf>
    <xf numFmtId="0" fontId="26" fillId="6" borderId="0" xfId="0" applyFont="1" applyFill="1" applyAlignment="1" applyProtection="1">
      <alignment vertical="center" wrapText="1"/>
      <protection hidden="1"/>
    </xf>
    <xf numFmtId="0" fontId="36" fillId="6" borderId="0" xfId="0" applyFont="1" applyFill="1" applyAlignment="1" applyProtection="1">
      <protection hidden="1"/>
    </xf>
    <xf numFmtId="0" fontId="37" fillId="6" borderId="0" xfId="0" applyFont="1" applyFill="1" applyAlignment="1" applyProtection="1">
      <protection hidden="1"/>
    </xf>
    <xf numFmtId="0" fontId="38" fillId="6" borderId="0" xfId="0" applyFont="1" applyFill="1" applyAlignment="1" applyProtection="1">
      <protection hidden="1"/>
    </xf>
    <xf numFmtId="167" fontId="1" fillId="0" borderId="0" xfId="0" applyNumberFormat="1" applyFont="1" applyAlignment="1" applyProtection="1">
      <protection hidden="1"/>
    </xf>
    <xf numFmtId="1" fontId="1" fillId="0" borderId="1" xfId="0" applyNumberFormat="1" applyFont="1" applyBorder="1" applyAlignment="1" applyProtection="1">
      <protection hidden="1"/>
    </xf>
    <xf numFmtId="0" fontId="34" fillId="11" borderId="1" xfId="0" applyFont="1" applyFill="1" applyBorder="1" applyAlignment="1" applyProtection="1">
      <protection hidden="1"/>
    </xf>
    <xf numFmtId="1" fontId="1" fillId="0" borderId="0" xfId="0" applyNumberFormat="1" applyFont="1" applyAlignment="1" applyProtection="1">
      <protection hidden="1"/>
    </xf>
    <xf numFmtId="164" fontId="1" fillId="0" borderId="0" xfId="0" applyNumberFormat="1" applyFont="1" applyAlignment="1" applyProtection="1">
      <protection hidden="1"/>
    </xf>
    <xf numFmtId="0" fontId="1" fillId="0" borderId="1" xfId="0" applyFont="1" applyBorder="1" applyAlignment="1" applyProtection="1">
      <protection hidden="1"/>
    </xf>
    <xf numFmtId="0" fontId="1" fillId="6" borderId="0" xfId="0" applyFont="1" applyFill="1" applyBorder="1" applyAlignment="1" applyProtection="1">
      <protection hidden="1"/>
    </xf>
    <xf numFmtId="0" fontId="27" fillId="0" borderId="0" xfId="0" applyFont="1" applyAlignment="1" applyProtection="1">
      <protection hidden="1"/>
    </xf>
    <xf numFmtId="0" fontId="32" fillId="6" borderId="1" xfId="0" applyNumberFormat="1" applyFont="1" applyFill="1" applyBorder="1" applyAlignment="1" applyProtection="1">
      <alignment horizontal="left" vertical="center"/>
      <protection hidden="1"/>
    </xf>
    <xf numFmtId="1" fontId="1" fillId="6" borderId="1" xfId="0" applyNumberFormat="1" applyFont="1" applyFill="1" applyBorder="1" applyAlignment="1" applyProtection="1">
      <alignment horizontal="center" vertical="center"/>
      <protection locked="0" hidden="1"/>
    </xf>
    <xf numFmtId="1" fontId="1" fillId="6" borderId="1" xfId="0" applyNumberFormat="1" applyFont="1" applyFill="1" applyBorder="1" applyAlignment="1" applyProtection="1">
      <alignment horizontal="center" vertical="center"/>
      <protection locked="0" hidden="1"/>
    </xf>
    <xf numFmtId="1" fontId="34" fillId="6" borderId="1" xfId="0" applyNumberFormat="1" applyFont="1" applyFill="1" applyBorder="1" applyAlignment="1" applyProtection="1">
      <alignment horizontal="center" vertical="center"/>
      <protection locked="0" hidden="1"/>
    </xf>
    <xf numFmtId="1" fontId="39" fillId="6" borderId="1" xfId="0" applyNumberFormat="1" applyFont="1" applyFill="1" applyBorder="1" applyAlignment="1" applyProtection="1">
      <alignment horizontal="center" vertical="center"/>
      <protection locked="0" hidden="1"/>
    </xf>
    <xf numFmtId="1" fontId="40" fillId="6" borderId="1" xfId="0" applyNumberFormat="1" applyFont="1" applyFill="1" applyBorder="1" applyAlignment="1" applyProtection="1">
      <alignment horizontal="center" vertical="center"/>
      <protection locked="0" hidden="1"/>
    </xf>
    <xf numFmtId="2" fontId="1" fillId="6" borderId="1" xfId="0" applyNumberFormat="1" applyFont="1" applyFill="1" applyBorder="1" applyAlignment="1" applyProtection="1">
      <alignment horizontal="center" vertical="center"/>
      <protection locked="0" hidden="1"/>
    </xf>
    <xf numFmtId="0" fontId="1" fillId="11" borderId="1" xfId="0" applyFont="1" applyFill="1" applyBorder="1" applyAlignment="1" applyProtection="1">
      <alignment horizontal="center" vertical="center"/>
      <protection locked="0"/>
    </xf>
    <xf numFmtId="166" fontId="1" fillId="11" borderId="13" xfId="0" applyNumberFormat="1" applyFont="1" applyFill="1" applyBorder="1" applyAlignment="1" applyProtection="1">
      <alignment horizontal="center" vertical="center"/>
      <protection locked="0"/>
    </xf>
    <xf numFmtId="0" fontId="27" fillId="6" borderId="0" xfId="0" applyFont="1" applyFill="1" applyAlignment="1" applyProtection="1">
      <protection hidden="1"/>
    </xf>
    <xf numFmtId="0" fontId="1" fillId="0" borderId="0" xfId="0" applyFont="1" applyAlignment="1" applyProtection="1">
      <protection hidden="1"/>
    </xf>
    <xf numFmtId="1" fontId="7" fillId="3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3" xfId="0" applyFont="1" applyBorder="1" applyAlignment="1" applyProtection="1">
      <alignment horizontal="center" vertical="center"/>
      <protection locked="0"/>
    </xf>
    <xf numFmtId="0" fontId="1" fillId="6" borderId="0" xfId="0" applyFont="1" applyFill="1" applyAlignment="1" applyProtection="1">
      <protection hidden="1"/>
    </xf>
    <xf numFmtId="165" fontId="41" fillId="3" borderId="1" xfId="0" applyNumberFormat="1" applyFont="1" applyFill="1" applyBorder="1" applyAlignment="1" applyProtection="1">
      <alignment horizontal="left" vertical="center"/>
      <protection locked="0"/>
    </xf>
    <xf numFmtId="1" fontId="1" fillId="6" borderId="1" xfId="0" applyNumberFormat="1" applyFont="1" applyFill="1" applyBorder="1" applyAlignment="1" applyProtection="1">
      <alignment horizontal="center" vertical="center"/>
      <protection locked="0"/>
    </xf>
    <xf numFmtId="166" fontId="1" fillId="0" borderId="13" xfId="0" applyNumberFormat="1" applyFont="1" applyBorder="1" applyAlignment="1" applyProtection="1">
      <alignment horizontal="center" vertical="center"/>
      <protection locked="0"/>
    </xf>
    <xf numFmtId="1" fontId="1" fillId="6" borderId="1" xfId="0" applyNumberFormat="1" applyFont="1" applyFill="1" applyBorder="1" applyAlignment="1" applyProtection="1">
      <alignment horizontal="center" vertical="center"/>
      <protection locked="0"/>
    </xf>
    <xf numFmtId="1" fontId="27" fillId="6" borderId="1" xfId="0" applyNumberFormat="1" applyFont="1" applyFill="1" applyBorder="1" applyAlignment="1" applyProtection="1">
      <alignment horizontal="center" vertical="center"/>
      <protection locked="0"/>
    </xf>
    <xf numFmtId="1" fontId="40" fillId="6" borderId="1" xfId="0" applyNumberFormat="1" applyFont="1" applyFill="1" applyBorder="1" applyAlignment="1" applyProtection="1">
      <alignment horizontal="center" vertical="center"/>
      <protection locked="0"/>
    </xf>
    <xf numFmtId="2" fontId="1" fillId="6" borderId="1" xfId="0" applyNumberFormat="1" applyFont="1" applyFill="1" applyBorder="1" applyAlignment="1" applyProtection="1">
      <alignment horizontal="center" vertical="center"/>
      <protection locked="0" hidden="1"/>
    </xf>
    <xf numFmtId="0" fontId="1" fillId="0" borderId="13" xfId="0" applyFont="1" applyBorder="1" applyAlignment="1" applyProtection="1">
      <alignment horizontal="center" vertical="center"/>
      <protection locked="0"/>
    </xf>
    <xf numFmtId="167" fontId="42" fillId="0" borderId="1" xfId="1" applyNumberFormat="1" applyFont="1" applyFill="1" applyBorder="1" applyAlignment="1">
      <alignment horizontal="left" vertical="center"/>
      <protection locked="0"/>
    </xf>
    <xf numFmtId="1" fontId="27" fillId="3" borderId="1" xfId="0" applyNumberFormat="1" applyFont="1" applyFill="1" applyBorder="1" applyAlignment="1" applyProtection="1">
      <alignment horizontal="center" vertical="center"/>
      <protection locked="0"/>
    </xf>
    <xf numFmtId="1" fontId="30" fillId="3" borderId="1" xfId="0" applyNumberFormat="1" applyFont="1" applyFill="1" applyBorder="1" applyAlignment="1" applyProtection="1">
      <alignment horizontal="center" vertical="center"/>
      <protection locked="0"/>
    </xf>
    <xf numFmtId="1" fontId="33" fillId="3" borderId="1" xfId="0" applyNumberFormat="1" applyFont="1" applyFill="1" applyBorder="1" applyAlignment="1" applyProtection="1">
      <alignment horizontal="center" vertical="center"/>
      <protection locked="0" hidden="1"/>
    </xf>
    <xf numFmtId="1" fontId="1" fillId="3" borderId="1" xfId="0" applyNumberFormat="1" applyFont="1" applyFill="1" applyBorder="1" applyAlignment="1" applyProtection="1">
      <alignment horizontal="center" vertical="center"/>
      <protection locked="0" hidden="1"/>
    </xf>
    <xf numFmtId="2" fontId="1" fillId="3" borderId="1" xfId="0" applyNumberFormat="1" applyFont="1" applyFill="1" applyBorder="1" applyAlignment="1" applyProtection="1">
      <alignment horizontal="center" vertical="center"/>
      <protection locked="0" hidden="1"/>
    </xf>
    <xf numFmtId="166" fontId="27" fillId="3" borderId="1" xfId="0" applyNumberFormat="1" applyFont="1" applyFill="1" applyBorder="1" applyAlignment="1" applyProtection="1">
      <alignment horizontal="center" vertical="center"/>
      <protection locked="0"/>
    </xf>
    <xf numFmtId="1" fontId="27" fillId="3" borderId="1" xfId="0" applyNumberFormat="1" applyFont="1" applyFill="1" applyBorder="1" applyAlignment="1" applyProtection="1">
      <alignment horizontal="center" vertical="center"/>
      <protection locked="0"/>
    </xf>
    <xf numFmtId="1" fontId="30" fillId="3" borderId="1" xfId="0" applyNumberFormat="1" applyFont="1" applyFill="1" applyBorder="1" applyAlignment="1" applyProtection="1">
      <alignment horizontal="center" vertical="center"/>
      <protection locked="0"/>
    </xf>
    <xf numFmtId="1" fontId="1" fillId="3" borderId="1" xfId="0" applyNumberFormat="1" applyFont="1" applyFill="1" applyBorder="1" applyAlignment="1" applyProtection="1">
      <alignment horizontal="center" vertical="center"/>
      <protection locked="0" hidden="1"/>
    </xf>
    <xf numFmtId="1" fontId="27" fillId="3" borderId="1" xfId="0" applyNumberFormat="1" applyFont="1" applyFill="1" applyBorder="1" applyAlignment="1" applyProtection="1">
      <alignment horizontal="center" vertical="center"/>
      <protection locked="0" hidden="1"/>
    </xf>
    <xf numFmtId="1" fontId="1" fillId="6" borderId="1" xfId="0" applyNumberFormat="1" applyFont="1" applyFill="1" applyBorder="1" applyAlignment="1" applyProtection="1">
      <alignment horizontal="center" vertical="center"/>
      <protection locked="0" hidden="1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protection hidden="1"/>
    </xf>
    <xf numFmtId="0" fontId="1" fillId="0" borderId="1" xfId="0" applyFont="1" applyBorder="1" applyAlignment="1" applyProtection="1">
      <protection hidden="1"/>
    </xf>
    <xf numFmtId="0" fontId="1" fillId="0" borderId="14" xfId="0" applyFont="1" applyBorder="1" applyAlignment="1" applyProtection="1">
      <protection hidden="1"/>
    </xf>
    <xf numFmtId="166" fontId="27" fillId="3" borderId="1" xfId="0" applyNumberFormat="1" applyFont="1" applyFill="1" applyBorder="1" applyAlignment="1" applyProtection="1">
      <alignment horizontal="left" vertical="center"/>
      <protection locked="0"/>
    </xf>
    <xf numFmtId="1" fontId="27" fillId="3" borderId="15" xfId="0" applyNumberFormat="1" applyFont="1" applyFill="1" applyBorder="1" applyAlignment="1" applyProtection="1">
      <alignment horizontal="center" vertical="center"/>
      <protection locked="0"/>
    </xf>
    <xf numFmtId="1" fontId="30" fillId="3" borderId="15" xfId="0" applyNumberFormat="1" applyFont="1" applyFill="1" applyBorder="1" applyAlignment="1" applyProtection="1">
      <alignment horizontal="center" vertical="center"/>
      <protection locked="0"/>
    </xf>
    <xf numFmtId="1" fontId="1" fillId="3" borderId="15" xfId="0" applyNumberFormat="1" applyFont="1" applyFill="1" applyBorder="1" applyAlignment="1" applyProtection="1">
      <alignment horizontal="center" vertical="center"/>
      <protection locked="0" hidden="1"/>
    </xf>
    <xf numFmtId="1" fontId="27" fillId="3" borderId="15" xfId="0" applyNumberFormat="1" applyFont="1" applyFill="1" applyBorder="1" applyAlignment="1" applyProtection="1">
      <alignment horizontal="center" vertical="center"/>
      <protection locked="0" hidden="1"/>
    </xf>
    <xf numFmtId="1" fontId="1" fillId="6" borderId="15" xfId="0" applyNumberFormat="1" applyFont="1" applyFill="1" applyBorder="1" applyAlignment="1" applyProtection="1">
      <alignment horizontal="center" vertical="center"/>
      <protection locked="0" hidden="1"/>
    </xf>
    <xf numFmtId="2" fontId="1" fillId="3" borderId="15" xfId="0" applyNumberFormat="1" applyFont="1" applyFill="1" applyBorder="1" applyAlignment="1" applyProtection="1">
      <alignment horizontal="center" vertical="center"/>
      <protection locked="0" hidden="1"/>
    </xf>
    <xf numFmtId="0" fontId="1" fillId="12" borderId="0" xfId="0" applyFont="1" applyFill="1" applyAlignment="1" applyProtection="1">
      <protection hidden="1"/>
    </xf>
    <xf numFmtId="0" fontId="24" fillId="6" borderId="0" xfId="0" applyFont="1" applyFill="1" applyBorder="1" applyAlignment="1" applyProtection="1">
      <alignment horizontal="center" vertical="center"/>
      <protection hidden="1"/>
    </xf>
    <xf numFmtId="165" fontId="1" fillId="6" borderId="0" xfId="0" applyNumberFormat="1" applyFont="1" applyFill="1" applyBorder="1" applyAlignment="1" applyProtection="1">
      <alignment horizontal="center" vertical="center"/>
      <protection hidden="1"/>
    </xf>
    <xf numFmtId="2" fontId="1" fillId="6" borderId="0" xfId="0" applyNumberFormat="1" applyFont="1" applyFill="1" applyBorder="1" applyAlignment="1" applyProtection="1">
      <alignment horizontal="center" vertical="center"/>
      <protection hidden="1"/>
    </xf>
    <xf numFmtId="1" fontId="1" fillId="6" borderId="0" xfId="0" applyNumberFormat="1" applyFont="1" applyFill="1" applyBorder="1" applyAlignment="1" applyProtection="1">
      <alignment horizontal="center" vertical="center"/>
      <protection hidden="1"/>
    </xf>
    <xf numFmtId="2" fontId="18" fillId="6" borderId="0" xfId="0" applyNumberFormat="1" applyFont="1" applyFill="1" applyBorder="1" applyAlignment="1" applyProtection="1">
      <alignment horizontal="center" vertical="center"/>
      <protection hidden="1"/>
    </xf>
    <xf numFmtId="0" fontId="23" fillId="6" borderId="0" xfId="0" applyFont="1" applyFill="1" applyBorder="1" applyAlignment="1" applyProtection="1">
      <alignment horizontal="center" vertical="center"/>
      <protection hidden="1"/>
    </xf>
    <xf numFmtId="0" fontId="1" fillId="6" borderId="0" xfId="0" applyFont="1" applyFill="1" applyBorder="1" applyAlignment="1" applyProtection="1">
      <alignment horizontal="center" vertical="center"/>
      <protection hidden="1"/>
    </xf>
    <xf numFmtId="165" fontId="1" fillId="6" borderId="0" xfId="0" applyNumberFormat="1" applyFont="1" applyFill="1" applyAlignment="1" applyProtection="1">
      <alignment horizontal="center" vertical="center"/>
      <protection hidden="1"/>
    </xf>
    <xf numFmtId="2" fontId="1" fillId="6" borderId="0" xfId="0" applyNumberFormat="1" applyFont="1" applyFill="1" applyAlignment="1" applyProtection="1">
      <alignment horizontal="center" vertical="center"/>
      <protection hidden="1"/>
    </xf>
    <xf numFmtId="1" fontId="1" fillId="6" borderId="0" xfId="0" applyNumberFormat="1" applyFont="1" applyFill="1" applyAlignment="1" applyProtection="1">
      <alignment horizontal="center" vertical="center"/>
      <protection hidden="1"/>
    </xf>
    <xf numFmtId="2" fontId="18" fillId="6" borderId="0" xfId="0" applyNumberFormat="1" applyFont="1" applyFill="1" applyAlignment="1" applyProtection="1">
      <alignment horizontal="center" vertical="center"/>
      <protection hidden="1"/>
    </xf>
    <xf numFmtId="0" fontId="23" fillId="6" borderId="0" xfId="0" applyFont="1" applyFill="1" applyAlignment="1" applyProtection="1">
      <alignment horizontal="center" vertical="center"/>
      <protection hidden="1"/>
    </xf>
    <xf numFmtId="165" fontId="1" fillId="0" borderId="0" xfId="0" applyNumberFormat="1" applyFont="1" applyFill="1" applyAlignment="1" applyProtection="1">
      <alignment horizontal="center" vertical="center"/>
      <protection hidden="1"/>
    </xf>
    <xf numFmtId="2" fontId="1" fillId="0" borderId="0" xfId="0" applyNumberFormat="1" applyFont="1" applyFill="1" applyAlignment="1" applyProtection="1">
      <alignment horizontal="center" vertical="center"/>
      <protection hidden="1"/>
    </xf>
    <xf numFmtId="2" fontId="23" fillId="0" borderId="0" xfId="0" applyNumberFormat="1" applyFont="1" applyFill="1" applyAlignment="1" applyProtection="1">
      <alignment horizontal="center" vertical="center"/>
      <protection hidden="1"/>
    </xf>
    <xf numFmtId="0" fontId="23" fillId="0" borderId="0" xfId="0" applyFont="1" applyFill="1" applyAlignment="1" applyProtection="1">
      <alignment horizontal="center" vertical="center"/>
      <protection hidden="1"/>
    </xf>
    <xf numFmtId="0" fontId="23" fillId="0" borderId="0" xfId="0" applyFont="1" applyFill="1" applyAlignment="1" applyProtection="1">
      <protection hidden="1"/>
    </xf>
    <xf numFmtId="166" fontId="1" fillId="0" borderId="0" xfId="0" applyNumberFormat="1" applyFont="1" applyFill="1" applyAlignment="1" applyProtection="1">
      <alignment horizontal="center" vertical="center"/>
      <protection hidden="1"/>
    </xf>
    <xf numFmtId="1" fontId="1" fillId="0" borderId="0" xfId="0" applyNumberFormat="1" applyFont="1" applyFill="1" applyAlignment="1" applyProtection="1">
      <alignment horizontal="center" vertical="center"/>
      <protection hidden="1"/>
    </xf>
    <xf numFmtId="2" fontId="1" fillId="13" borderId="0" xfId="0" applyNumberFormat="1" applyFont="1" applyFill="1" applyAlignment="1" applyProtection="1">
      <alignment horizontal="center" vertical="center"/>
      <protection hidden="1"/>
    </xf>
    <xf numFmtId="2" fontId="43" fillId="0" borderId="0" xfId="0" applyNumberFormat="1" applyFont="1" applyFill="1" applyAlignment="1" applyProtection="1">
      <alignment horizontal="center" vertical="center"/>
      <protection hidden="1"/>
    </xf>
    <xf numFmtId="165" fontId="1" fillId="3" borderId="0" xfId="0" applyNumberFormat="1" applyFont="1" applyFill="1" applyAlignment="1" applyProtection="1">
      <alignment horizontal="center" vertical="center"/>
      <protection hidden="1"/>
    </xf>
    <xf numFmtId="2" fontId="1" fillId="0" borderId="0" xfId="0" applyNumberFormat="1" applyFont="1" applyAlignment="1" applyProtection="1">
      <alignment horizontal="center" vertical="center"/>
      <protection hidden="1"/>
    </xf>
    <xf numFmtId="0" fontId="1" fillId="14" borderId="0" xfId="0" applyFont="1" applyFill="1" applyAlignment="1"/>
    <xf numFmtId="0" fontId="1" fillId="0" borderId="0" xfId="0" applyFont="1" applyAlignment="1"/>
    <xf numFmtId="0" fontId="1" fillId="15" borderId="0" xfId="0" applyFont="1" applyFill="1" applyAlignment="1"/>
    <xf numFmtId="0" fontId="1" fillId="15" borderId="0" xfId="0" applyFont="1" applyFill="1" applyAlignment="1" applyProtection="1">
      <protection hidden="1"/>
    </xf>
    <xf numFmtId="0" fontId="45" fillId="14" borderId="0" xfId="0" applyFont="1" applyFill="1" applyAlignment="1"/>
    <xf numFmtId="2" fontId="46" fillId="9" borderId="1" xfId="2" applyNumberFormat="1" applyFont="1" applyFill="1" applyBorder="1" applyAlignment="1" applyProtection="1">
      <alignment horizontal="right" vertical="center" wrapText="1"/>
      <protection hidden="1"/>
    </xf>
    <xf numFmtId="2" fontId="19" fillId="3" borderId="1" xfId="2" applyNumberFormat="1" applyFont="1" applyFill="1" applyBorder="1" applyAlignment="1">
      <alignment horizontal="center" vertical="center"/>
      <protection locked="0"/>
    </xf>
    <xf numFmtId="1" fontId="47" fillId="9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47" fillId="3" borderId="1" xfId="0" applyFont="1" applyFill="1" applyBorder="1" applyAlignment="1" applyProtection="1">
      <alignment horizontal="center" vertical="center" wrapText="1"/>
      <protection locked="0"/>
    </xf>
    <xf numFmtId="2" fontId="46" fillId="9" borderId="0" xfId="2" applyNumberFormat="1" applyFont="1" applyFill="1" applyBorder="1" applyAlignment="1" applyProtection="1">
      <alignment horizontal="left" vertical="center"/>
      <protection hidden="1"/>
    </xf>
    <xf numFmtId="2" fontId="46" fillId="17" borderId="0" xfId="2" applyNumberFormat="1" applyFont="1" applyFill="1" applyBorder="1" applyAlignment="1" applyProtection="1">
      <alignment horizontal="left" vertical="center"/>
      <protection hidden="1"/>
    </xf>
    <xf numFmtId="0" fontId="47" fillId="3" borderId="16" xfId="0" applyFont="1" applyFill="1" applyBorder="1" applyAlignment="1" applyProtection="1">
      <alignment horizontal="center" vertical="center" wrapText="1"/>
      <protection locked="0"/>
    </xf>
    <xf numFmtId="2" fontId="46" fillId="9" borderId="0" xfId="2" applyNumberFormat="1" applyFont="1" applyFill="1" applyBorder="1" applyAlignment="1" applyProtection="1">
      <alignment horizontal="left" vertical="center"/>
      <protection hidden="1"/>
    </xf>
    <xf numFmtId="0" fontId="47" fillId="3" borderId="16" xfId="0" applyFont="1" applyFill="1" applyBorder="1" applyAlignment="1" applyProtection="1">
      <alignment horizontal="center" vertical="center" wrapText="1"/>
      <protection locked="0"/>
    </xf>
    <xf numFmtId="0" fontId="1" fillId="14" borderId="0" xfId="0" applyFont="1" applyFill="1" applyAlignment="1" applyProtection="1">
      <protection hidden="1"/>
    </xf>
    <xf numFmtId="0" fontId="52" fillId="8" borderId="0" xfId="0" applyFont="1" applyFill="1" applyAlignment="1" applyProtection="1">
      <alignment horizontal="center" vertical="center"/>
      <protection hidden="1"/>
    </xf>
    <xf numFmtId="0" fontId="1" fillId="19" borderId="0" xfId="0" applyFont="1" applyFill="1" applyAlignment="1" applyProtection="1">
      <protection hidden="1"/>
    </xf>
    <xf numFmtId="0" fontId="53" fillId="15" borderId="0" xfId="0" applyFont="1" applyFill="1" applyBorder="1" applyAlignment="1" applyProtection="1">
      <alignment horizontal="left" vertical="center"/>
      <protection hidden="1"/>
    </xf>
    <xf numFmtId="0" fontId="54" fillId="15" borderId="0" xfId="0" applyFont="1" applyFill="1" applyBorder="1" applyProtection="1">
      <alignment vertical="center"/>
      <protection hidden="1"/>
    </xf>
    <xf numFmtId="0" fontId="55" fillId="15" borderId="20" xfId="0" applyFont="1" applyFill="1" applyBorder="1" applyAlignment="1" applyProtection="1">
      <alignment horizontal="center" vertical="center"/>
      <protection hidden="1"/>
    </xf>
    <xf numFmtId="0" fontId="56" fillId="15" borderId="1" xfId="0" applyFont="1" applyFill="1" applyBorder="1" applyAlignment="1" applyProtection="1">
      <alignment horizontal="center" vertical="center"/>
      <protection hidden="1"/>
    </xf>
    <xf numFmtId="0" fontId="57" fillId="15" borderId="0" xfId="0" applyFont="1" applyFill="1" applyBorder="1" applyAlignment="1" applyProtection="1">
      <alignment horizontal="center" vertical="center"/>
      <protection hidden="1"/>
    </xf>
    <xf numFmtId="0" fontId="58" fillId="15" borderId="0" xfId="0" applyFont="1" applyFill="1" applyBorder="1" applyAlignment="1" applyProtection="1">
      <alignment horizontal="center" vertical="center"/>
      <protection hidden="1"/>
    </xf>
    <xf numFmtId="0" fontId="59" fillId="15" borderId="0" xfId="0" applyFont="1" applyFill="1" applyBorder="1" applyProtection="1">
      <alignment vertical="center"/>
      <protection hidden="1"/>
    </xf>
    <xf numFmtId="0" fontId="59" fillId="15" borderId="21" xfId="0" applyFont="1" applyFill="1" applyBorder="1" applyProtection="1">
      <alignment vertical="center"/>
      <protection hidden="1"/>
    </xf>
    <xf numFmtId="49" fontId="60" fillId="15" borderId="20" xfId="0" applyNumberFormat="1" applyFont="1" applyFill="1" applyBorder="1" applyAlignment="1" applyProtection="1">
      <alignment horizontal="center" vertical="center"/>
      <protection hidden="1"/>
    </xf>
    <xf numFmtId="0" fontId="47" fillId="3" borderId="1" xfId="0" applyFont="1" applyFill="1" applyBorder="1" applyAlignment="1" applyProtection="1">
      <alignment horizontal="center" vertical="center"/>
      <protection locked="0"/>
    </xf>
    <xf numFmtId="0" fontId="62" fillId="15" borderId="21" xfId="0" applyFont="1" applyFill="1" applyBorder="1" applyProtection="1">
      <alignment vertical="center"/>
      <protection hidden="1"/>
    </xf>
    <xf numFmtId="0" fontId="62" fillId="15" borderId="0" xfId="0" applyFont="1" applyFill="1" applyBorder="1" applyProtection="1">
      <alignment vertical="center"/>
      <protection hidden="1"/>
    </xf>
    <xf numFmtId="0" fontId="63" fillId="15" borderId="21" xfId="0" applyFont="1" applyFill="1" applyBorder="1" applyAlignment="1" applyProtection="1">
      <alignment horizontal="center" vertical="center"/>
      <protection hidden="1"/>
    </xf>
    <xf numFmtId="0" fontId="63" fillId="15" borderId="0" xfId="0" applyFont="1" applyFill="1" applyBorder="1" applyAlignment="1" applyProtection="1">
      <alignment horizontal="center" vertical="center"/>
      <protection hidden="1"/>
    </xf>
    <xf numFmtId="0" fontId="64" fillId="15" borderId="0" xfId="0" applyFont="1" applyFill="1" applyBorder="1" applyAlignment="1" applyProtection="1">
      <alignment vertical="center" wrapText="1"/>
      <protection hidden="1"/>
    </xf>
    <xf numFmtId="0" fontId="66" fillId="3" borderId="0" xfId="0" applyFont="1" applyFill="1" applyBorder="1" applyAlignment="1" applyProtection="1">
      <alignment horizontal="center" vertical="center"/>
      <protection locked="0"/>
    </xf>
    <xf numFmtId="1" fontId="10" fillId="15" borderId="0" xfId="0" applyNumberFormat="1" applyFont="1" applyFill="1" applyBorder="1" applyAlignment="1" applyProtection="1">
      <alignment horizontal="center"/>
      <protection hidden="1"/>
    </xf>
    <xf numFmtId="0" fontId="69" fillId="15" borderId="0" xfId="0" applyFont="1" applyFill="1" applyBorder="1" applyAlignment="1" applyProtection="1">
      <alignment horizontal="left" wrapText="1"/>
      <protection hidden="1"/>
    </xf>
    <xf numFmtId="2" fontId="66" fillId="15" borderId="0" xfId="0" applyNumberFormat="1" applyFont="1" applyFill="1" applyBorder="1" applyAlignment="1" applyProtection="1">
      <alignment horizontal="center"/>
      <protection hidden="1"/>
    </xf>
    <xf numFmtId="0" fontId="70" fillId="15" borderId="0" xfId="0" applyFont="1" applyFill="1" applyBorder="1" applyAlignment="1" applyProtection="1">
      <alignment horizontal="right" vertical="center"/>
      <protection hidden="1"/>
    </xf>
    <xf numFmtId="0" fontId="57" fillId="15" borderId="21" xfId="0" applyFont="1" applyFill="1" applyBorder="1" applyAlignment="1" applyProtection="1">
      <alignment horizontal="center" vertical="center"/>
      <protection hidden="1"/>
    </xf>
    <xf numFmtId="0" fontId="71" fillId="15" borderId="0" xfId="0" applyFont="1" applyFill="1" applyBorder="1" applyAlignment="1" applyProtection="1">
      <alignment horizontal="center" vertical="center"/>
      <protection hidden="1"/>
    </xf>
    <xf numFmtId="0" fontId="72" fillId="15" borderId="21" xfId="0" applyFont="1" applyFill="1" applyBorder="1" applyAlignment="1" applyProtection="1">
      <alignment horizontal="left" vertical="center" wrapText="1"/>
      <protection hidden="1"/>
    </xf>
    <xf numFmtId="0" fontId="72" fillId="15" borderId="0" xfId="0" applyFont="1" applyFill="1" applyBorder="1" applyAlignment="1" applyProtection="1">
      <alignment horizontal="left" vertical="center"/>
      <protection hidden="1"/>
    </xf>
    <xf numFmtId="0" fontId="73" fillId="15" borderId="0" xfId="0" applyFont="1" applyFill="1" applyBorder="1" applyAlignment="1" applyProtection="1">
      <alignment horizontal="center" vertical="center"/>
      <protection hidden="1"/>
    </xf>
    <xf numFmtId="0" fontId="74" fillId="15" borderId="0" xfId="0" applyFont="1" applyFill="1" applyBorder="1" applyAlignment="1" applyProtection="1">
      <alignment horizontal="center" vertical="center"/>
      <protection hidden="1"/>
    </xf>
    <xf numFmtId="0" fontId="75" fillId="15" borderId="21" xfId="0" applyFont="1" applyFill="1" applyBorder="1" applyAlignment="1" applyProtection="1">
      <alignment horizontal="left" vertical="center"/>
      <protection hidden="1"/>
    </xf>
    <xf numFmtId="0" fontId="75" fillId="15" borderId="0" xfId="0" applyFont="1" applyFill="1" applyBorder="1" applyAlignment="1" applyProtection="1">
      <alignment horizontal="left" vertical="center"/>
      <protection hidden="1"/>
    </xf>
    <xf numFmtId="0" fontId="76" fillId="15" borderId="0" xfId="0" applyFont="1" applyFill="1" applyBorder="1" applyAlignment="1" applyProtection="1">
      <alignment horizontal="center" vertical="center"/>
      <protection hidden="1"/>
    </xf>
    <xf numFmtId="0" fontId="77" fillId="15" borderId="0" xfId="0" applyFont="1" applyFill="1" applyBorder="1" applyAlignment="1" applyProtection="1">
      <alignment horizontal="center" vertical="center"/>
      <protection hidden="1"/>
    </xf>
    <xf numFmtId="0" fontId="78" fillId="15" borderId="0" xfId="0" applyFont="1" applyFill="1" applyBorder="1" applyAlignment="1" applyProtection="1">
      <alignment horizontal="left" wrapText="1"/>
      <protection hidden="1"/>
    </xf>
    <xf numFmtId="0" fontId="79" fillId="15" borderId="0" xfId="0" applyFont="1" applyFill="1" applyBorder="1" applyProtection="1">
      <alignment vertical="center"/>
      <protection hidden="1"/>
    </xf>
    <xf numFmtId="0" fontId="80" fillId="15" borderId="22" xfId="0" applyFont="1" applyFill="1" applyBorder="1" applyAlignment="1" applyProtection="1">
      <alignment horizontal="center" vertical="center"/>
      <protection hidden="1"/>
    </xf>
    <xf numFmtId="0" fontId="81" fillId="15" borderId="23" xfId="0" applyFont="1" applyFill="1" applyBorder="1" applyAlignment="1" applyProtection="1">
      <alignment horizontal="center" vertical="center"/>
      <protection hidden="1"/>
    </xf>
    <xf numFmtId="1" fontId="57" fillId="15" borderId="23" xfId="0" applyNumberFormat="1" applyFont="1" applyFill="1" applyBorder="1" applyAlignment="1" applyProtection="1">
      <alignment horizontal="center" vertical="center"/>
      <protection hidden="1"/>
    </xf>
    <xf numFmtId="0" fontId="82" fillId="15" borderId="23" xfId="0" applyFont="1" applyFill="1" applyBorder="1" applyAlignment="1" applyProtection="1">
      <alignment horizontal="left" vertical="center"/>
      <protection hidden="1"/>
    </xf>
    <xf numFmtId="0" fontId="57" fillId="15" borderId="23" xfId="0" applyFont="1" applyFill="1" applyBorder="1" applyAlignment="1" applyProtection="1">
      <alignment horizontal="center" vertical="center"/>
      <protection hidden="1"/>
    </xf>
    <xf numFmtId="0" fontId="57" fillId="15" borderId="24" xfId="0" applyFont="1" applyFill="1" applyBorder="1" applyAlignment="1" applyProtection="1">
      <alignment horizontal="center" vertical="center"/>
      <protection hidden="1"/>
    </xf>
    <xf numFmtId="0" fontId="1" fillId="19" borderId="0" xfId="0" applyFont="1" applyFill="1" applyBorder="1" applyAlignment="1" applyProtection="1">
      <protection hidden="1"/>
    </xf>
    <xf numFmtId="1" fontId="1" fillId="19" borderId="0" xfId="0" applyNumberFormat="1" applyFont="1" applyFill="1" applyBorder="1" applyAlignment="1" applyProtection="1">
      <protection hidden="1"/>
    </xf>
    <xf numFmtId="0" fontId="1" fillId="15" borderId="0" xfId="0" applyFont="1" applyFill="1" applyBorder="1" applyAlignment="1" applyProtection="1">
      <protection hidden="1"/>
    </xf>
    <xf numFmtId="0" fontId="83" fillId="15" borderId="0" xfId="0" applyFont="1" applyFill="1" applyBorder="1" applyAlignment="1" applyProtection="1">
      <alignment horizontal="right"/>
      <protection hidden="1"/>
    </xf>
    <xf numFmtId="0" fontId="84" fillId="15" borderId="0" xfId="0" applyFont="1" applyFill="1" applyBorder="1" applyAlignment="1" applyProtection="1">
      <alignment horizontal="center" vertical="center"/>
      <protection hidden="1"/>
    </xf>
    <xf numFmtId="0" fontId="85" fillId="0" borderId="0" xfId="0" applyFont="1" applyAlignment="1" applyProtection="1">
      <alignment horizontal="center" vertical="center"/>
      <protection hidden="1"/>
    </xf>
    <xf numFmtId="0" fontId="1" fillId="0" borderId="0" xfId="0" applyFont="1" applyAlignment="1" applyProtection="1">
      <alignment wrapText="1"/>
      <protection hidden="1"/>
    </xf>
    <xf numFmtId="0" fontId="1" fillId="0" borderId="0" xfId="0" applyFont="1" applyAlignment="1" applyProtection="1">
      <alignment horizontal="center" vertical="center" wrapText="1"/>
      <protection hidden="1"/>
    </xf>
    <xf numFmtId="0" fontId="89" fillId="0" borderId="0" xfId="0" applyFont="1" applyBorder="1" applyAlignment="1" applyProtection="1">
      <alignment horizontal="center" vertical="center" wrapText="1"/>
      <protection hidden="1"/>
    </xf>
    <xf numFmtId="0" fontId="86" fillId="0" borderId="0" xfId="0" applyNumberFormat="1" applyFont="1" applyBorder="1" applyAlignment="1" applyProtection="1">
      <alignment horizontal="center" vertical="center" wrapText="1"/>
      <protection hidden="1"/>
    </xf>
    <xf numFmtId="0" fontId="86" fillId="0" borderId="0" xfId="0" applyFont="1" applyAlignment="1" applyProtection="1">
      <protection hidden="1"/>
    </xf>
    <xf numFmtId="0" fontId="86" fillId="0" borderId="0" xfId="0" applyFont="1" applyAlignment="1" applyProtection="1">
      <alignment horizontal="center" vertical="center"/>
      <protection hidden="1"/>
    </xf>
    <xf numFmtId="0" fontId="91" fillId="0" borderId="0" xfId="0" applyFont="1" applyAlignment="1" applyProtection="1">
      <alignment wrapText="1"/>
      <protection hidden="1"/>
    </xf>
    <xf numFmtId="0" fontId="92" fillId="0" borderId="20" xfId="0" applyFont="1" applyBorder="1" applyAlignment="1" applyProtection="1">
      <alignment horizontal="center" vertical="center" wrapText="1"/>
      <protection hidden="1"/>
    </xf>
    <xf numFmtId="0" fontId="92" fillId="0" borderId="1" xfId="0" applyFont="1" applyBorder="1" applyAlignment="1" applyProtection="1">
      <alignment horizontal="center" vertical="center" wrapText="1"/>
      <protection hidden="1"/>
    </xf>
    <xf numFmtId="0" fontId="92" fillId="0" borderId="14" xfId="0" applyFont="1" applyBorder="1" applyAlignment="1" applyProtection="1">
      <alignment horizontal="center" vertical="center" wrapText="1"/>
      <protection hidden="1"/>
    </xf>
    <xf numFmtId="0" fontId="91" fillId="0" borderId="0" xfId="0" applyFont="1" applyAlignment="1" applyProtection="1">
      <alignment horizontal="center" vertical="center" wrapText="1"/>
      <protection hidden="1"/>
    </xf>
    <xf numFmtId="0" fontId="93" fillId="0" borderId="20" xfId="0" applyFont="1" applyBorder="1" applyAlignment="1" applyProtection="1">
      <alignment horizontal="center" vertical="center"/>
      <protection hidden="1"/>
    </xf>
    <xf numFmtId="164" fontId="93" fillId="0" borderId="1" xfId="0" applyNumberFormat="1" applyFont="1" applyBorder="1" applyAlignment="1" applyProtection="1">
      <alignment horizontal="left" vertical="center"/>
      <protection hidden="1"/>
    </xf>
    <xf numFmtId="1" fontId="91" fillId="0" borderId="1" xfId="0" applyNumberFormat="1" applyFont="1" applyBorder="1" applyAlignment="1" applyProtection="1">
      <alignment horizontal="center" vertical="center" wrapText="1"/>
      <protection hidden="1"/>
    </xf>
    <xf numFmtId="0" fontId="43" fillId="0" borderId="0" xfId="0" applyFont="1" applyAlignment="1" applyProtection="1">
      <protection hidden="1"/>
    </xf>
    <xf numFmtId="0" fontId="89" fillId="0" borderId="20" xfId="0" applyFont="1" applyBorder="1" applyAlignment="1" applyProtection="1">
      <alignment horizontal="center" vertical="center"/>
      <protection hidden="1"/>
    </xf>
    <xf numFmtId="0" fontId="1" fillId="0" borderId="32" xfId="0" applyFont="1" applyBorder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1" fontId="1" fillId="0" borderId="0" xfId="0" applyNumberFormat="1" applyFont="1" applyBorder="1" applyAlignment="1" applyProtection="1">
      <alignment horizontal="center" vertical="center"/>
      <protection hidden="1"/>
    </xf>
    <xf numFmtId="0" fontId="94" fillId="0" borderId="0" xfId="0" applyFont="1" applyBorder="1" applyAlignment="1" applyProtection="1">
      <alignment vertical="center" wrapText="1"/>
      <protection hidden="1"/>
    </xf>
    <xf numFmtId="0" fontId="1" fillId="0" borderId="21" xfId="0" applyFont="1" applyBorder="1" applyAlignment="1" applyProtection="1">
      <alignment horizontal="center" vertical="center"/>
      <protection hidden="1"/>
    </xf>
    <xf numFmtId="0" fontId="96" fillId="0" borderId="0" xfId="0" applyFont="1" applyBorder="1" applyAlignment="1" applyProtection="1">
      <alignment horizontal="center" vertical="center" wrapText="1"/>
      <protection hidden="1"/>
    </xf>
    <xf numFmtId="0" fontId="1" fillId="0" borderId="22" xfId="0" applyFont="1" applyBorder="1" applyAlignment="1" applyProtection="1">
      <alignment horizontal="center" vertical="center"/>
      <protection hidden="1"/>
    </xf>
    <xf numFmtId="0" fontId="1" fillId="0" borderId="23" xfId="0" applyFont="1" applyBorder="1" applyAlignment="1" applyProtection="1">
      <alignment horizontal="center" vertical="center"/>
      <protection hidden="1"/>
    </xf>
    <xf numFmtId="0" fontId="94" fillId="0" borderId="23" xfId="0" applyFont="1" applyBorder="1" applyProtection="1">
      <alignment vertical="center"/>
      <protection hidden="1"/>
    </xf>
    <xf numFmtId="0" fontId="94" fillId="0" borderId="23" xfId="0" applyFont="1" applyBorder="1" applyAlignment="1" applyProtection="1">
      <alignment vertical="center" wrapText="1"/>
      <protection hidden="1"/>
    </xf>
    <xf numFmtId="0" fontId="94" fillId="0" borderId="23" xfId="0" applyFont="1" applyBorder="1" applyAlignment="1" applyProtection="1">
      <alignment horizontal="center" vertical="center" wrapText="1"/>
      <protection hidden="1"/>
    </xf>
    <xf numFmtId="0" fontId="1" fillId="0" borderId="24" xfId="0" applyFont="1" applyBorder="1" applyAlignment="1" applyProtection="1">
      <alignment horizontal="center" vertical="center"/>
      <protection hidden="1"/>
    </xf>
    <xf numFmtId="0" fontId="98" fillId="0" borderId="0" xfId="4" applyFont="1" applyBorder="1" applyAlignment="1" applyProtection="1">
      <alignment vertical="center"/>
      <protection hidden="1"/>
    </xf>
    <xf numFmtId="0" fontId="99" fillId="0" borderId="0" xfId="4" applyFont="1" applyBorder="1" applyAlignment="1" applyProtection="1">
      <alignment horizontal="left" vertical="center"/>
      <protection hidden="1"/>
    </xf>
    <xf numFmtId="0" fontId="101" fillId="0" borderId="34" xfId="5" applyFont="1" applyBorder="1" applyAlignment="1" applyProtection="1">
      <alignment horizontal="center" vertical="center"/>
    </xf>
    <xf numFmtId="0" fontId="103" fillId="0" borderId="36" xfId="5" applyFont="1" applyBorder="1" applyAlignment="1" applyProtection="1">
      <alignment horizontal="right" vertical="center"/>
    </xf>
    <xf numFmtId="0" fontId="104" fillId="0" borderId="0" xfId="5" applyFont="1" applyFill="1" applyBorder="1" applyAlignment="1" applyProtection="1">
      <alignment horizontal="center" vertical="center"/>
    </xf>
    <xf numFmtId="0" fontId="101" fillId="0" borderId="39" xfId="5" applyFont="1" applyBorder="1" applyAlignment="1" applyProtection="1">
      <alignment horizontal="center" vertical="center"/>
    </xf>
    <xf numFmtId="1" fontId="101" fillId="0" borderId="1" xfId="5" applyNumberFormat="1" applyFont="1" applyBorder="1" applyAlignment="1" applyProtection="1">
      <alignment horizontal="right" vertical="center"/>
    </xf>
    <xf numFmtId="1" fontId="7" fillId="0" borderId="40" xfId="5" applyNumberFormat="1" applyFont="1" applyBorder="1" applyAlignment="1" applyProtection="1">
      <alignment horizontal="right" vertical="center"/>
    </xf>
    <xf numFmtId="2" fontId="7" fillId="0" borderId="0" xfId="5" applyNumberFormat="1" applyFont="1" applyBorder="1" applyAlignment="1" applyProtection="1">
      <alignment horizontal="right" vertical="center"/>
    </xf>
    <xf numFmtId="0" fontId="105" fillId="0" borderId="0" xfId="0" applyFont="1" applyAlignment="1" applyProtection="1">
      <alignment horizontal="right" vertical="center"/>
      <protection hidden="1"/>
    </xf>
    <xf numFmtId="1" fontId="7" fillId="0" borderId="40" xfId="5" applyNumberFormat="1" applyFont="1" applyBorder="1" applyAlignment="1">
      <alignment horizontal="right" vertical="center"/>
      <protection locked="0"/>
    </xf>
    <xf numFmtId="2" fontId="106" fillId="0" borderId="0" xfId="5" applyNumberFormat="1" applyFont="1" applyBorder="1" applyAlignment="1" applyProtection="1">
      <alignment horizontal="right" vertical="center"/>
    </xf>
    <xf numFmtId="1" fontId="106" fillId="0" borderId="40" xfId="5" applyNumberFormat="1" applyFont="1" applyBorder="1" applyAlignment="1" applyProtection="1">
      <alignment horizontal="right" vertical="center"/>
    </xf>
    <xf numFmtId="0" fontId="107" fillId="0" borderId="0" xfId="5" applyFont="1" applyBorder="1" applyAlignment="1" applyProtection="1">
      <alignment horizontal="center" vertical="center"/>
    </xf>
    <xf numFmtId="0" fontId="48" fillId="0" borderId="0" xfId="0" applyFont="1" applyBorder="1" applyAlignment="1" applyProtection="1">
      <alignment vertical="top" wrapText="1"/>
      <protection hidden="1"/>
    </xf>
    <xf numFmtId="0" fontId="109" fillId="0" borderId="0" xfId="5" applyFont="1" applyBorder="1" applyAlignment="1" applyProtection="1">
      <alignment horizontal="center" vertical="center"/>
    </xf>
    <xf numFmtId="0" fontId="101" fillId="0" borderId="29" xfId="5" applyFont="1" applyBorder="1" applyAlignment="1" applyProtection="1">
      <alignment vertical="center"/>
    </xf>
    <xf numFmtId="0" fontId="111" fillId="0" borderId="0" xfId="5" applyFont="1" applyBorder="1" applyAlignment="1" applyProtection="1">
      <alignment horizontal="left" vertical="center"/>
    </xf>
    <xf numFmtId="0" fontId="113" fillId="0" borderId="0" xfId="5" applyFont="1" applyBorder="1" applyAlignment="1" applyProtection="1">
      <alignment horizontal="left" vertical="center"/>
    </xf>
    <xf numFmtId="0" fontId="114" fillId="0" borderId="1" xfId="5" applyFont="1" applyBorder="1" applyAlignment="1" applyProtection="1">
      <alignment horizontal="center"/>
    </xf>
    <xf numFmtId="0" fontId="101" fillId="0" borderId="1" xfId="5" applyFont="1" applyBorder="1" applyAlignment="1" applyProtection="1">
      <alignment horizontal="right"/>
    </xf>
    <xf numFmtId="1" fontId="115" fillId="0" borderId="1" xfId="5" applyNumberFormat="1" applyFont="1" applyBorder="1" applyAlignment="1" applyProtection="1">
      <alignment horizontal="right"/>
    </xf>
    <xf numFmtId="0" fontId="116" fillId="0" borderId="1" xfId="5" applyFont="1" applyBorder="1" applyAlignment="1" applyProtection="1">
      <alignment horizontal="center"/>
    </xf>
    <xf numFmtId="1" fontId="115" fillId="21" borderId="1" xfId="5" applyNumberFormat="1" applyFont="1" applyFill="1" applyBorder="1" applyAlignment="1" applyProtection="1">
      <alignment horizontal="right"/>
    </xf>
    <xf numFmtId="1" fontId="118" fillId="0" borderId="1" xfId="5" applyNumberFormat="1" applyFont="1" applyBorder="1" applyAlignment="1" applyProtection="1">
      <alignment horizontal="right"/>
    </xf>
    <xf numFmtId="0" fontId="101" fillId="0" borderId="1" xfId="5" applyFont="1" applyBorder="1" applyAlignment="1" applyProtection="1">
      <alignment horizontal="right" vertical="center"/>
    </xf>
    <xf numFmtId="0" fontId="1" fillId="0" borderId="0" xfId="0" applyFont="1" applyAlignment="1" applyProtection="1">
      <protection hidden="1"/>
    </xf>
    <xf numFmtId="1" fontId="102" fillId="0" borderId="40" xfId="5" applyNumberFormat="1" applyFont="1" applyBorder="1" applyAlignment="1" applyProtection="1">
      <alignment horizontal="right" vertical="center"/>
    </xf>
    <xf numFmtId="2" fontId="120" fillId="0" borderId="0" xfId="5" applyNumberFormat="1" applyFont="1" applyBorder="1" applyAlignment="1" applyProtection="1">
      <alignment horizontal="right" vertical="center"/>
    </xf>
    <xf numFmtId="0" fontId="107" fillId="0" borderId="0" xfId="5" applyFont="1" applyBorder="1" applyAlignment="1" applyProtection="1">
      <alignment horizontal="left" vertical="center"/>
    </xf>
    <xf numFmtId="0" fontId="121" fillId="0" borderId="1" xfId="5" applyFont="1" applyBorder="1" applyAlignment="1" applyProtection="1">
      <alignment horizontal="right" vertical="center"/>
    </xf>
    <xf numFmtId="0" fontId="111" fillId="0" borderId="40" xfId="5" applyFont="1" applyBorder="1" applyAlignment="1" applyProtection="1">
      <alignment vertical="center"/>
    </xf>
    <xf numFmtId="0" fontId="111" fillId="0" borderId="0" xfId="5" applyFont="1" applyBorder="1" applyAlignment="1" applyProtection="1">
      <alignment vertical="center"/>
    </xf>
    <xf numFmtId="0" fontId="103" fillId="0" borderId="1" xfId="5" applyFont="1" applyBorder="1" applyAlignment="1" applyProtection="1">
      <alignment horizontal="center" vertical="center"/>
    </xf>
    <xf numFmtId="1" fontId="120" fillId="0" borderId="40" xfId="5" applyNumberFormat="1" applyFont="1" applyBorder="1" applyAlignment="1" applyProtection="1">
      <alignment vertical="center"/>
    </xf>
    <xf numFmtId="2" fontId="106" fillId="0" borderId="0" xfId="5" applyNumberFormat="1" applyFont="1" applyBorder="1" applyAlignment="1" applyProtection="1">
      <alignment vertical="center"/>
    </xf>
    <xf numFmtId="9" fontId="103" fillId="0" borderId="1" xfId="5" applyNumberFormat="1" applyFont="1" applyBorder="1" applyAlignment="1" applyProtection="1">
      <alignment horizontal="center" vertical="center"/>
    </xf>
    <xf numFmtId="2" fontId="106" fillId="0" borderId="40" xfId="5" applyNumberFormat="1" applyFont="1" applyBorder="1" applyAlignment="1" applyProtection="1">
      <alignment horizontal="right" vertical="center"/>
    </xf>
    <xf numFmtId="0" fontId="121" fillId="0" borderId="40" xfId="5" applyFont="1" applyBorder="1" applyAlignment="1" applyProtection="1">
      <alignment horizontal="center" vertical="center" wrapText="1"/>
    </xf>
    <xf numFmtId="0" fontId="111" fillId="0" borderId="0" xfId="5" applyFont="1" applyBorder="1" applyAlignment="1" applyProtection="1">
      <alignment horizontal="center" vertical="center" wrapText="1"/>
    </xf>
    <xf numFmtId="1" fontId="115" fillId="0" borderId="1" xfId="5" applyNumberFormat="1" applyFont="1" applyBorder="1" applyAlignment="1" applyProtection="1">
      <alignment horizontal="center"/>
    </xf>
    <xf numFmtId="1" fontId="102" fillId="0" borderId="44" xfId="5" applyNumberFormat="1" applyFont="1" applyBorder="1" applyAlignment="1" applyProtection="1">
      <alignment vertical="center" wrapText="1"/>
    </xf>
    <xf numFmtId="2" fontId="106" fillId="0" borderId="0" xfId="5" applyNumberFormat="1" applyFont="1" applyBorder="1" applyAlignment="1" applyProtection="1">
      <alignment horizontal="right" vertical="center" wrapText="1"/>
    </xf>
    <xf numFmtId="0" fontId="101" fillId="0" borderId="46" xfId="5" applyFont="1" applyBorder="1" applyAlignment="1" applyProtection="1">
      <alignment horizontal="right" vertical="center"/>
    </xf>
    <xf numFmtId="1" fontId="124" fillId="0" borderId="47" xfId="5" applyNumberFormat="1" applyFont="1" applyBorder="1" applyAlignment="1" applyProtection="1">
      <alignment horizontal="right" vertical="center"/>
    </xf>
    <xf numFmtId="0" fontId="125" fillId="0" borderId="0" xfId="5" applyFont="1" applyBorder="1" applyAlignment="1" applyProtection="1">
      <alignment horizontal="right" vertical="center"/>
    </xf>
    <xf numFmtId="0" fontId="101" fillId="0" borderId="0" xfId="5" applyFont="1" applyBorder="1" applyAlignment="1" applyProtection="1">
      <alignment horizontal="right" vertical="center"/>
    </xf>
    <xf numFmtId="0" fontId="126" fillId="0" borderId="0" xfId="4" applyFont="1" applyBorder="1" applyAlignment="1" applyProtection="1">
      <protection hidden="1"/>
    </xf>
    <xf numFmtId="0" fontId="127" fillId="0" borderId="0" xfId="4" applyFont="1" applyBorder="1" applyAlignment="1" applyProtection="1">
      <protection hidden="1"/>
    </xf>
    <xf numFmtId="0" fontId="128" fillId="0" borderId="0" xfId="4" applyFont="1" applyBorder="1" applyAlignment="1" applyProtection="1">
      <alignment horizontal="center" vertical="center"/>
      <protection hidden="1"/>
    </xf>
    <xf numFmtId="0" fontId="127" fillId="0" borderId="0" xfId="7" applyFont="1" applyAlignment="1" applyProtection="1">
      <protection hidden="1"/>
    </xf>
    <xf numFmtId="0" fontId="117" fillId="0" borderId="0" xfId="7" applyFont="1" applyAlignment="1" applyProtection="1">
      <alignment vertical="center"/>
      <protection hidden="1"/>
    </xf>
    <xf numFmtId="0" fontId="130" fillId="0" borderId="0" xfId="4" applyFont="1" applyBorder="1" applyAlignment="1" applyProtection="1">
      <alignment horizontal="right"/>
      <protection hidden="1"/>
    </xf>
    <xf numFmtId="0" fontId="127" fillId="0" borderId="0" xfId="4" applyFont="1" applyBorder="1" applyAlignment="1" applyProtection="1">
      <alignment horizontal="right"/>
      <protection hidden="1"/>
    </xf>
    <xf numFmtId="0" fontId="126" fillId="0" borderId="0" xfId="4" applyFont="1" applyFill="1" applyBorder="1" applyAlignment="1" applyProtection="1">
      <protection hidden="1"/>
    </xf>
    <xf numFmtId="0" fontId="129" fillId="0" borderId="0" xfId="4" applyFont="1" applyFill="1" applyAlignment="1" applyProtection="1">
      <alignment vertical="top"/>
      <protection hidden="1"/>
    </xf>
    <xf numFmtId="0" fontId="127" fillId="0" borderId="0" xfId="7" applyFont="1" applyFill="1" applyAlignment="1" applyProtection="1">
      <protection hidden="1"/>
    </xf>
    <xf numFmtId="0" fontId="126" fillId="0" borderId="0" xfId="4" applyFont="1" applyFill="1" applyAlignment="1" applyProtection="1">
      <protection hidden="1"/>
    </xf>
    <xf numFmtId="0" fontId="127" fillId="0" borderId="0" xfId="4" applyFont="1" applyFill="1" applyBorder="1" applyAlignment="1" applyProtection="1">
      <protection hidden="1"/>
    </xf>
    <xf numFmtId="0" fontId="131" fillId="0" borderId="0" xfId="4" applyFont="1" applyFill="1" applyBorder="1" applyAlignment="1" applyProtection="1">
      <alignment vertical="center"/>
      <protection hidden="1"/>
    </xf>
    <xf numFmtId="0" fontId="127" fillId="0" borderId="0" xfId="4" applyFont="1" applyFill="1" applyAlignment="1" applyProtection="1">
      <protection hidden="1"/>
    </xf>
    <xf numFmtId="0" fontId="130" fillId="0" borderId="0" xfId="4" applyFont="1" applyFill="1" applyAlignment="1" applyProtection="1">
      <protection hidden="1"/>
    </xf>
    <xf numFmtId="0" fontId="1" fillId="3" borderId="0" xfId="0" applyFont="1" applyFill="1" applyAlignment="1" applyProtection="1">
      <protection hidden="1"/>
    </xf>
    <xf numFmtId="0" fontId="126" fillId="3" borderId="0" xfId="4" applyFont="1" applyFill="1" applyAlignment="1" applyProtection="1">
      <protection hidden="1"/>
    </xf>
    <xf numFmtId="0" fontId="127" fillId="3" borderId="0" xfId="4" applyFont="1" applyFill="1" applyAlignment="1" applyProtection="1">
      <protection hidden="1"/>
    </xf>
    <xf numFmtId="0" fontId="127" fillId="3" borderId="0" xfId="7" applyFont="1" applyFill="1" applyAlignment="1" applyProtection="1">
      <protection hidden="1"/>
    </xf>
    <xf numFmtId="0" fontId="1" fillId="3" borderId="0" xfId="0" applyFont="1" applyFill="1" applyAlignment="1" applyProtection="1">
      <protection hidden="1"/>
    </xf>
    <xf numFmtId="0" fontId="130" fillId="3" borderId="0" xfId="4" applyFont="1" applyFill="1" applyAlignment="1" applyProtection="1">
      <alignment horizontal="right"/>
      <protection hidden="1"/>
    </xf>
    <xf numFmtId="0" fontId="127" fillId="3" borderId="0" xfId="4" applyFont="1" applyFill="1" applyAlignment="1" applyProtection="1">
      <alignment horizontal="right"/>
      <protection hidden="1"/>
    </xf>
    <xf numFmtId="0" fontId="130" fillId="3" borderId="0" xfId="4" applyFont="1" applyFill="1" applyAlignment="1" applyProtection="1">
      <protection hidden="1"/>
    </xf>
    <xf numFmtId="2" fontId="127" fillId="3" borderId="0" xfId="4" applyNumberFormat="1" applyFont="1" applyFill="1" applyAlignment="1" applyProtection="1">
      <alignment horizontal="right"/>
      <protection hidden="1"/>
    </xf>
    <xf numFmtId="0" fontId="126" fillId="0" borderId="0" xfId="4" applyFont="1" applyAlignment="1" applyProtection="1">
      <protection hidden="1"/>
    </xf>
    <xf numFmtId="0" fontId="127" fillId="0" borderId="0" xfId="4" applyFont="1" applyAlignment="1" applyProtection="1">
      <protection hidden="1"/>
    </xf>
    <xf numFmtId="0" fontId="130" fillId="0" borderId="0" xfId="4" applyFont="1" applyAlignment="1" applyProtection="1">
      <alignment horizontal="right"/>
      <protection hidden="1"/>
    </xf>
    <xf numFmtId="0" fontId="127" fillId="0" borderId="0" xfId="4" applyFont="1" applyAlignment="1" applyProtection="1">
      <alignment horizontal="right"/>
      <protection hidden="1"/>
    </xf>
    <xf numFmtId="0" fontId="88" fillId="0" borderId="0" xfId="0" applyFont="1" applyAlignment="1" applyProtection="1">
      <protection hidden="1"/>
    </xf>
    <xf numFmtId="0" fontId="88" fillId="0" borderId="0" xfId="0" applyFont="1" applyAlignment="1" applyProtection="1">
      <protection hidden="1"/>
    </xf>
    <xf numFmtId="0" fontId="10" fillId="2" borderId="2" xfId="0" applyFont="1" applyFill="1" applyBorder="1" applyAlignment="1" applyProtection="1">
      <alignment horizontal="right" vertical="center"/>
      <protection hidden="1"/>
    </xf>
    <xf numFmtId="0" fontId="10" fillId="2" borderId="3" xfId="0" applyFont="1" applyFill="1" applyBorder="1" applyAlignment="1" applyProtection="1">
      <alignment horizontal="right" vertical="center"/>
      <protection hidden="1"/>
    </xf>
    <xf numFmtId="0" fontId="8" fillId="3" borderId="4" xfId="0" applyFont="1" applyFill="1" applyBorder="1" applyAlignment="1" applyProtection="1">
      <alignment horizontal="left" vertical="center"/>
      <protection locked="0"/>
    </xf>
    <xf numFmtId="0" fontId="12" fillId="2" borderId="0" xfId="0" applyFont="1" applyFill="1" applyAlignment="1" applyProtection="1">
      <alignment horizontal="center" vertical="center"/>
      <protection hidden="1"/>
    </xf>
    <xf numFmtId="0" fontId="8" fillId="3" borderId="5" xfId="0" applyFont="1" applyFill="1" applyBorder="1" applyAlignment="1" applyProtection="1">
      <alignment horizontal="left" vertical="center"/>
      <protection locked="0"/>
    </xf>
    <xf numFmtId="0" fontId="8" fillId="3" borderId="6" xfId="0" applyFont="1" applyFill="1" applyBorder="1" applyAlignment="1" applyProtection="1">
      <alignment horizontal="left" vertical="center"/>
      <protection locked="0"/>
    </xf>
    <xf numFmtId="0" fontId="11" fillId="2" borderId="0" xfId="0" applyFont="1" applyFill="1" applyAlignment="1" applyProtection="1">
      <alignment horizontal="center" vertical="center" wrapText="1"/>
      <protection hidden="1"/>
    </xf>
    <xf numFmtId="0" fontId="9" fillId="2" borderId="0" xfId="0" applyFont="1" applyFill="1" applyAlignment="1" applyProtection="1">
      <alignment horizontal="right" vertical="center"/>
      <protection hidden="1"/>
    </xf>
    <xf numFmtId="1" fontId="8" fillId="3" borderId="1" xfId="0" applyNumberFormat="1" applyFont="1" applyFill="1" applyBorder="1" applyAlignment="1" applyProtection="1">
      <alignment horizontal="left" vertical="center"/>
      <protection locked="0"/>
    </xf>
    <xf numFmtId="0" fontId="13" fillId="2" borderId="0" xfId="0" applyFont="1" applyFill="1" applyAlignment="1" applyProtection="1">
      <alignment horizontal="center" vertical="center"/>
      <protection hidden="1"/>
    </xf>
    <xf numFmtId="0" fontId="14" fillId="2" borderId="0" xfId="0" applyFont="1" applyFill="1" applyAlignment="1" applyProtection="1">
      <alignment horizontal="center" vertical="center"/>
      <protection hidden="1"/>
    </xf>
    <xf numFmtId="0" fontId="10" fillId="2" borderId="0" xfId="0" applyFont="1" applyFill="1" applyAlignment="1" applyProtection="1">
      <alignment horizontal="right" vertical="center"/>
      <protection hidden="1"/>
    </xf>
    <xf numFmtId="0" fontId="8" fillId="3" borderId="1" xfId="0" applyFont="1" applyFill="1" applyBorder="1" applyAlignment="1" applyProtection="1">
      <alignment horizontal="left" vertical="center"/>
      <protection locked="0"/>
    </xf>
    <xf numFmtId="0" fontId="4" fillId="2" borderId="0" xfId="0" applyFont="1" applyFill="1" applyAlignment="1" applyProtection="1">
      <alignment horizontal="left" vertical="center"/>
      <protection hidden="1"/>
    </xf>
    <xf numFmtId="0" fontId="10" fillId="2" borderId="6" xfId="0" applyFont="1" applyFill="1" applyBorder="1" applyAlignment="1" applyProtection="1">
      <alignment horizontal="right" vertical="center"/>
      <protection hidden="1"/>
    </xf>
    <xf numFmtId="0" fontId="10" fillId="2" borderId="7" xfId="0" applyFont="1" applyFill="1" applyBorder="1" applyAlignment="1" applyProtection="1">
      <alignment horizontal="right" vertical="center"/>
      <protection hidden="1"/>
    </xf>
    <xf numFmtId="1" fontId="8" fillId="3" borderId="5" xfId="0" applyNumberFormat="1" applyFont="1" applyFill="1" applyBorder="1" applyAlignment="1" applyProtection="1">
      <alignment horizontal="left" vertical="center"/>
      <protection locked="0"/>
    </xf>
    <xf numFmtId="1" fontId="8" fillId="3" borderId="6" xfId="0" applyNumberFormat="1" applyFont="1" applyFill="1" applyBorder="1" applyAlignment="1" applyProtection="1">
      <alignment horizontal="left" vertical="center"/>
      <protection locked="0"/>
    </xf>
    <xf numFmtId="0" fontId="2" fillId="2" borderId="0" xfId="0" applyFont="1" applyFill="1" applyAlignment="1" applyProtection="1">
      <alignment horizontal="center" vertical="center"/>
      <protection hidden="1"/>
    </xf>
    <xf numFmtId="0" fontId="15" fillId="2" borderId="0" xfId="0" applyFont="1" applyFill="1" applyAlignment="1" applyProtection="1">
      <alignment horizontal="center" vertical="center"/>
      <protection hidden="1"/>
    </xf>
    <xf numFmtId="0" fontId="22" fillId="6" borderId="0" xfId="0" applyFont="1" applyFill="1" applyAlignment="1" applyProtection="1">
      <alignment horizontal="center" vertical="center"/>
      <protection hidden="1"/>
    </xf>
    <xf numFmtId="0" fontId="26" fillId="6" borderId="0" xfId="0" applyFont="1" applyFill="1" applyAlignment="1" applyProtection="1">
      <alignment horizontal="left" vertical="center" wrapText="1"/>
      <protection hidden="1"/>
    </xf>
    <xf numFmtId="0" fontId="29" fillId="6" borderId="11" xfId="0" applyFont="1" applyFill="1" applyBorder="1" applyAlignment="1" applyProtection="1">
      <alignment horizontal="center" vertical="center" wrapText="1"/>
      <protection hidden="1"/>
    </xf>
    <xf numFmtId="0" fontId="29" fillId="6" borderId="13" xfId="0" applyFont="1" applyFill="1" applyBorder="1" applyAlignment="1" applyProtection="1">
      <alignment horizontal="center" vertical="center" wrapText="1"/>
      <protection hidden="1"/>
    </xf>
    <xf numFmtId="0" fontId="29" fillId="6" borderId="9" xfId="0" applyFont="1" applyFill="1" applyBorder="1" applyAlignment="1" applyProtection="1">
      <alignment horizontal="center" vertical="center" wrapText="1"/>
      <protection hidden="1"/>
    </xf>
    <xf numFmtId="0" fontId="29" fillId="6" borderId="1" xfId="0" applyFont="1" applyFill="1" applyBorder="1" applyAlignment="1" applyProtection="1">
      <alignment horizontal="center" vertical="center" wrapText="1"/>
      <protection hidden="1"/>
    </xf>
    <xf numFmtId="0" fontId="19" fillId="7" borderId="0" xfId="0" applyFont="1" applyFill="1" applyAlignment="1" applyProtection="1">
      <alignment horizontal="center" vertical="center" wrapText="1"/>
      <protection hidden="1"/>
    </xf>
    <xf numFmtId="0" fontId="19" fillId="7" borderId="3" xfId="0" applyFont="1" applyFill="1" applyBorder="1" applyAlignment="1" applyProtection="1">
      <alignment horizontal="center" vertical="center" wrapText="1"/>
      <protection hidden="1"/>
    </xf>
    <xf numFmtId="164" fontId="20" fillId="8" borderId="1" xfId="0" applyNumberFormat="1" applyFont="1" applyFill="1" applyBorder="1" applyAlignment="1" applyProtection="1">
      <alignment horizontal="center" vertical="center"/>
      <protection locked="0"/>
    </xf>
    <xf numFmtId="0" fontId="17" fillId="6" borderId="0" xfId="0" applyFont="1" applyFill="1" applyBorder="1" applyAlignment="1" applyProtection="1">
      <alignment horizontal="left" vertical="center"/>
      <protection hidden="1"/>
    </xf>
    <xf numFmtId="0" fontId="16" fillId="6" borderId="0" xfId="0" applyFont="1" applyFill="1" applyAlignment="1" applyProtection="1">
      <alignment horizontal="center" vertical="center"/>
      <protection hidden="1"/>
    </xf>
    <xf numFmtId="0" fontId="29" fillId="6" borderId="10" xfId="0" applyFont="1" applyFill="1" applyBorder="1" applyAlignment="1" applyProtection="1">
      <alignment horizontal="center" vertical="center" wrapText="1"/>
      <protection hidden="1"/>
    </xf>
    <xf numFmtId="0" fontId="29" fillId="6" borderId="4" xfId="0" applyFont="1" applyFill="1" applyBorder="1" applyAlignment="1" applyProtection="1">
      <alignment horizontal="center" vertical="center" wrapText="1"/>
      <protection hidden="1"/>
    </xf>
    <xf numFmtId="1" fontId="20" fillId="8" borderId="1" xfId="0" applyNumberFormat="1" applyFont="1" applyFill="1" applyBorder="1" applyAlignment="1" applyProtection="1">
      <alignment horizontal="center" vertical="center"/>
      <protection locked="0"/>
    </xf>
    <xf numFmtId="0" fontId="28" fillId="6" borderId="8" xfId="0" applyFont="1" applyFill="1" applyBorder="1" applyAlignment="1" applyProtection="1">
      <alignment horizontal="center" vertical="center" wrapText="1"/>
      <protection hidden="1"/>
    </xf>
    <xf numFmtId="0" fontId="28" fillId="6" borderId="12" xfId="0" applyFont="1" applyFill="1" applyBorder="1" applyAlignment="1" applyProtection="1">
      <alignment horizontal="center" vertical="center" wrapText="1"/>
      <protection hidden="1"/>
    </xf>
    <xf numFmtId="0" fontId="44" fillId="15" borderId="0" xfId="0" applyFont="1" applyFill="1" applyBorder="1" applyAlignment="1" applyProtection="1">
      <alignment horizontal="center" vertical="center" wrapText="1"/>
      <protection hidden="1"/>
    </xf>
    <xf numFmtId="2" fontId="46" fillId="9" borderId="2" xfId="3" applyNumberFormat="1" applyFont="1" applyFill="1" applyBorder="1" applyAlignment="1" applyProtection="1">
      <alignment horizontal="left" vertical="center"/>
      <protection hidden="1"/>
    </xf>
    <xf numFmtId="2" fontId="46" fillId="9" borderId="3" xfId="3" applyNumberFormat="1" applyFont="1" applyFill="1" applyBorder="1" applyAlignment="1" applyProtection="1">
      <alignment horizontal="left" vertical="center"/>
      <protection hidden="1"/>
    </xf>
    <xf numFmtId="2" fontId="46" fillId="17" borderId="2" xfId="3" applyNumberFormat="1" applyFont="1" applyFill="1" applyBorder="1" applyAlignment="1" applyProtection="1">
      <alignment horizontal="left" vertical="center"/>
      <protection hidden="1"/>
    </xf>
    <xf numFmtId="2" fontId="46" fillId="17" borderId="3" xfId="3" applyNumberFormat="1" applyFont="1" applyFill="1" applyBorder="1" applyAlignment="1" applyProtection="1">
      <alignment horizontal="left" vertical="center"/>
      <protection hidden="1"/>
    </xf>
    <xf numFmtId="0" fontId="53" fillId="15" borderId="17" xfId="0" applyFont="1" applyFill="1" applyBorder="1" applyAlignment="1" applyProtection="1">
      <alignment horizontal="left" vertical="center"/>
      <protection hidden="1"/>
    </xf>
    <xf numFmtId="0" fontId="53" fillId="15" borderId="18" xfId="0" applyFont="1" applyFill="1" applyBorder="1" applyAlignment="1" applyProtection="1">
      <alignment horizontal="left" vertical="center"/>
      <protection hidden="1"/>
    </xf>
    <xf numFmtId="0" fontId="53" fillId="15" borderId="19" xfId="0" applyFont="1" applyFill="1" applyBorder="1" applyAlignment="1" applyProtection="1">
      <alignment horizontal="left" vertical="center"/>
      <protection hidden="1"/>
    </xf>
    <xf numFmtId="0" fontId="71" fillId="15" borderId="0" xfId="0" applyFont="1" applyFill="1" applyBorder="1" applyAlignment="1" applyProtection="1">
      <alignment horizontal="right" vertical="center"/>
      <protection hidden="1"/>
    </xf>
    <xf numFmtId="2" fontId="46" fillId="9" borderId="0" xfId="2" applyNumberFormat="1" applyFont="1" applyFill="1" applyBorder="1" applyAlignment="1" applyProtection="1">
      <alignment horizontal="left" vertical="center"/>
      <protection hidden="1"/>
    </xf>
    <xf numFmtId="2" fontId="46" fillId="9" borderId="3" xfId="2" applyNumberFormat="1" applyFont="1" applyFill="1" applyBorder="1" applyAlignment="1" applyProtection="1">
      <alignment horizontal="left" vertical="center"/>
      <protection hidden="1"/>
    </xf>
    <xf numFmtId="0" fontId="77" fillId="15" borderId="0" xfId="0" applyFont="1" applyFill="1" applyBorder="1" applyAlignment="1" applyProtection="1">
      <alignment horizontal="right"/>
      <protection hidden="1"/>
    </xf>
    <xf numFmtId="2" fontId="46" fillId="17" borderId="0" xfId="2" applyNumberFormat="1" applyFont="1" applyFill="1" applyBorder="1" applyAlignment="1" applyProtection="1">
      <alignment horizontal="left" vertical="center" wrapText="1"/>
      <protection hidden="1"/>
    </xf>
    <xf numFmtId="2" fontId="46" fillId="17" borderId="3" xfId="2" applyNumberFormat="1" applyFont="1" applyFill="1" applyBorder="1" applyAlignment="1" applyProtection="1">
      <alignment horizontal="left" vertical="center" wrapText="1"/>
      <protection hidden="1"/>
    </xf>
    <xf numFmtId="0" fontId="78" fillId="15" borderId="21" xfId="0" applyFont="1" applyFill="1" applyBorder="1" applyAlignment="1" applyProtection="1">
      <alignment horizontal="left" wrapText="1"/>
      <protection hidden="1"/>
    </xf>
    <xf numFmtId="0" fontId="5" fillId="16" borderId="0" xfId="0" applyFont="1" applyFill="1" applyAlignment="1" applyProtection="1">
      <alignment horizontal="center" vertical="center"/>
      <protection hidden="1"/>
    </xf>
    <xf numFmtId="0" fontId="74" fillId="15" borderId="0" xfId="0" applyFont="1" applyFill="1" applyBorder="1" applyAlignment="1" applyProtection="1">
      <alignment horizontal="right"/>
      <protection hidden="1"/>
    </xf>
    <xf numFmtId="0" fontId="68" fillId="15" borderId="21" xfId="0" applyFont="1" applyFill="1" applyBorder="1" applyAlignment="1" applyProtection="1">
      <alignment horizontal="left" wrapText="1"/>
      <protection hidden="1"/>
    </xf>
    <xf numFmtId="0" fontId="67" fillId="15" borderId="0" xfId="0" applyFont="1" applyFill="1" applyBorder="1" applyAlignment="1" applyProtection="1">
      <alignment horizontal="right" vertical="center"/>
      <protection hidden="1"/>
    </xf>
    <xf numFmtId="2" fontId="48" fillId="17" borderId="0" xfId="2" applyNumberFormat="1" applyFont="1" applyFill="1" applyBorder="1" applyAlignment="1" applyProtection="1">
      <alignment horizontal="left" vertical="center"/>
      <protection hidden="1"/>
    </xf>
    <xf numFmtId="2" fontId="48" fillId="17" borderId="3" xfId="2" applyNumberFormat="1" applyFont="1" applyFill="1" applyBorder="1" applyAlignment="1" applyProtection="1">
      <alignment horizontal="left" vertical="center"/>
      <protection hidden="1"/>
    </xf>
    <xf numFmtId="0" fontId="64" fillId="15" borderId="21" xfId="0" applyFont="1" applyFill="1" applyBorder="1" applyAlignment="1" applyProtection="1">
      <alignment vertical="center" wrapText="1"/>
      <protection hidden="1"/>
    </xf>
    <xf numFmtId="2" fontId="46" fillId="17" borderId="0" xfId="2" applyNumberFormat="1" applyFont="1" applyFill="1" applyBorder="1" applyAlignment="1" applyProtection="1">
      <alignment horizontal="left" vertical="center"/>
      <protection hidden="1"/>
    </xf>
    <xf numFmtId="2" fontId="46" fillId="17" borderId="3" xfId="2" applyNumberFormat="1" applyFont="1" applyFill="1" applyBorder="1" applyAlignment="1" applyProtection="1">
      <alignment horizontal="left" vertical="center"/>
      <protection hidden="1"/>
    </xf>
    <xf numFmtId="0" fontId="65" fillId="15" borderId="0" xfId="0" applyFont="1" applyFill="1" applyBorder="1" applyAlignment="1" applyProtection="1">
      <alignment horizontal="right"/>
      <protection hidden="1"/>
    </xf>
    <xf numFmtId="0" fontId="61" fillId="15" borderId="0" xfId="0" applyFont="1" applyFill="1" applyBorder="1" applyAlignment="1" applyProtection="1">
      <alignment horizontal="center" vertical="center"/>
      <protection hidden="1"/>
    </xf>
    <xf numFmtId="2" fontId="46" fillId="17" borderId="2" xfId="3" applyNumberFormat="1" applyFont="1" applyFill="1" applyBorder="1" applyAlignment="1" applyProtection="1">
      <alignment horizontal="left" vertical="center" wrapText="1"/>
      <protection hidden="1"/>
    </xf>
    <xf numFmtId="2" fontId="46" fillId="17" borderId="3" xfId="3" applyNumberFormat="1" applyFont="1" applyFill="1" applyBorder="1" applyAlignment="1" applyProtection="1">
      <alignment horizontal="left" vertical="center" wrapText="1"/>
      <protection hidden="1"/>
    </xf>
    <xf numFmtId="2" fontId="51" fillId="18" borderId="2" xfId="3" applyNumberFormat="1" applyFont="1" applyFill="1" applyBorder="1" applyAlignment="1" applyProtection="1">
      <alignment horizontal="left" vertical="center" wrapText="1"/>
      <protection hidden="1"/>
    </xf>
    <xf numFmtId="2" fontId="51" fillId="18" borderId="3" xfId="3" applyNumberFormat="1" applyFont="1" applyFill="1" applyBorder="1" applyAlignment="1" applyProtection="1">
      <alignment horizontal="left" vertical="center" wrapText="1"/>
      <protection hidden="1"/>
    </xf>
    <xf numFmtId="2" fontId="50" fillId="17" borderId="0" xfId="2" applyNumberFormat="1" applyFont="1" applyFill="1" applyBorder="1" applyAlignment="1" applyProtection="1">
      <alignment horizontal="left" vertical="center"/>
      <protection hidden="1"/>
    </xf>
    <xf numFmtId="2" fontId="50" fillId="17" borderId="3" xfId="2" applyNumberFormat="1" applyFont="1" applyFill="1" applyBorder="1" applyAlignment="1" applyProtection="1">
      <alignment horizontal="left" vertical="center"/>
      <protection hidden="1"/>
    </xf>
    <xf numFmtId="2" fontId="49" fillId="9" borderId="0" xfId="2" applyNumberFormat="1" applyFont="1" applyFill="1" applyBorder="1" applyAlignment="1" applyProtection="1">
      <alignment horizontal="left" vertical="center"/>
      <protection hidden="1"/>
    </xf>
    <xf numFmtId="2" fontId="49" fillId="9" borderId="3" xfId="2" applyNumberFormat="1" applyFont="1" applyFill="1" applyBorder="1" applyAlignment="1" applyProtection="1">
      <alignment horizontal="left" vertical="center"/>
      <protection hidden="1"/>
    </xf>
    <xf numFmtId="0" fontId="86" fillId="0" borderId="23" xfId="0" applyFont="1" applyBorder="1" applyAlignment="1" applyProtection="1">
      <alignment horizontal="center" vertical="center" wrapText="1"/>
      <protection hidden="1"/>
    </xf>
    <xf numFmtId="0" fontId="86" fillId="0" borderId="23" xfId="0" applyFont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95" fillId="0" borderId="0" xfId="0" applyFont="1" applyBorder="1" applyAlignment="1" applyProtection="1">
      <alignment horizontal="center" vertical="center" wrapText="1"/>
      <protection hidden="1"/>
    </xf>
    <xf numFmtId="0" fontId="27" fillId="0" borderId="1" xfId="0" applyFont="1" applyBorder="1" applyAlignment="1" applyProtection="1">
      <alignment horizontal="center" vertical="center" textRotation="90"/>
      <protection hidden="1"/>
    </xf>
    <xf numFmtId="0" fontId="41" fillId="0" borderId="18" xfId="0" applyFont="1" applyBorder="1" applyAlignment="1" applyProtection="1">
      <alignment horizontal="left" vertical="center" wrapText="1"/>
      <protection hidden="1"/>
    </xf>
    <xf numFmtId="0" fontId="90" fillId="0" borderId="28" xfId="0" applyFont="1" applyBorder="1" applyAlignment="1" applyProtection="1">
      <alignment horizontal="center" vertical="center"/>
      <protection hidden="1"/>
    </xf>
    <xf numFmtId="0" fontId="90" fillId="0" borderId="29" xfId="0" applyFont="1" applyBorder="1" applyAlignment="1" applyProtection="1">
      <alignment horizontal="center" vertical="center"/>
      <protection hidden="1"/>
    </xf>
    <xf numFmtId="0" fontId="90" fillId="0" borderId="30" xfId="0" applyFont="1" applyBorder="1" applyAlignment="1" applyProtection="1">
      <alignment horizontal="center" vertical="center"/>
      <protection hidden="1"/>
    </xf>
    <xf numFmtId="0" fontId="27" fillId="0" borderId="1" xfId="0" applyFont="1" applyBorder="1" applyAlignment="1" applyProtection="1">
      <alignment horizontal="center" vertical="center"/>
      <protection hidden="1"/>
    </xf>
    <xf numFmtId="0" fontId="86" fillId="0" borderId="25" xfId="0" applyFont="1" applyBorder="1" applyAlignment="1" applyProtection="1">
      <alignment horizontal="right" vertical="center" wrapText="1"/>
      <protection hidden="1"/>
    </xf>
    <xf numFmtId="0" fontId="86" fillId="0" borderId="26" xfId="0" applyFont="1" applyBorder="1" applyAlignment="1" applyProtection="1">
      <alignment horizontal="right" vertical="center" wrapText="1"/>
      <protection hidden="1"/>
    </xf>
    <xf numFmtId="0" fontId="90" fillId="0" borderId="14" xfId="0" applyFont="1" applyBorder="1" applyAlignment="1" applyProtection="1">
      <alignment horizontal="center" vertical="center"/>
      <protection hidden="1"/>
    </xf>
    <xf numFmtId="1" fontId="8" fillId="0" borderId="26" xfId="0" applyNumberFormat="1" applyFont="1" applyBorder="1" applyAlignment="1" applyProtection="1">
      <alignment horizontal="left" vertical="center" wrapText="1"/>
      <protection hidden="1"/>
    </xf>
    <xf numFmtId="0" fontId="87" fillId="0" borderId="18" xfId="0" applyFont="1" applyBorder="1" applyAlignment="1" applyProtection="1">
      <alignment horizontal="left" vertical="center" wrapText="1"/>
      <protection hidden="1"/>
    </xf>
    <xf numFmtId="1" fontId="41" fillId="0" borderId="26" xfId="0" applyNumberFormat="1" applyFont="1" applyBorder="1" applyAlignment="1" applyProtection="1">
      <alignment horizontal="left" vertical="center" wrapText="1"/>
      <protection hidden="1"/>
    </xf>
    <xf numFmtId="1" fontId="41" fillId="0" borderId="27" xfId="0" applyNumberFormat="1" applyFont="1" applyBorder="1" applyAlignment="1" applyProtection="1">
      <alignment horizontal="left" vertical="center" wrapText="1"/>
      <protection hidden="1"/>
    </xf>
    <xf numFmtId="0" fontId="86" fillId="0" borderId="18" xfId="0" applyFont="1" applyBorder="1" applyAlignment="1" applyProtection="1">
      <alignment horizontal="right" vertical="center" wrapText="1"/>
      <protection hidden="1"/>
    </xf>
    <xf numFmtId="0" fontId="8" fillId="0" borderId="0" xfId="0" applyFont="1" applyBorder="1" applyAlignment="1" applyProtection="1">
      <alignment horizontal="center" vertical="center" wrapText="1"/>
      <protection hidden="1"/>
    </xf>
    <xf numFmtId="0" fontId="88" fillId="0" borderId="18" xfId="0" applyFont="1" applyBorder="1" applyAlignment="1" applyProtection="1">
      <alignment horizontal="center" vertical="center" wrapText="1"/>
      <protection hidden="1"/>
    </xf>
    <xf numFmtId="0" fontId="88" fillId="0" borderId="19" xfId="0" applyFont="1" applyBorder="1" applyAlignment="1" applyProtection="1">
      <alignment horizontal="center" vertical="center" wrapText="1"/>
      <protection hidden="1"/>
    </xf>
    <xf numFmtId="0" fontId="86" fillId="0" borderId="26" xfId="0" applyFont="1" applyBorder="1" applyAlignment="1" applyProtection="1">
      <alignment horizontal="center" vertical="center" wrapText="1"/>
      <protection hidden="1"/>
    </xf>
    <xf numFmtId="0" fontId="8" fillId="0" borderId="26" xfId="0" applyFont="1" applyBorder="1" applyAlignment="1" applyProtection="1">
      <alignment horizontal="left" vertical="center" wrapText="1"/>
      <protection hidden="1"/>
    </xf>
    <xf numFmtId="0" fontId="86" fillId="0" borderId="17" xfId="0" applyFont="1" applyBorder="1" applyAlignment="1" applyProtection="1">
      <alignment horizontal="right" vertical="center" wrapText="1"/>
      <protection hidden="1"/>
    </xf>
    <xf numFmtId="0" fontId="27" fillId="0" borderId="31" xfId="0" applyFont="1" applyBorder="1" applyAlignment="1" applyProtection="1">
      <alignment horizontal="center" vertical="center" textRotation="90"/>
      <protection hidden="1"/>
    </xf>
    <xf numFmtId="0" fontId="8" fillId="0" borderId="0" xfId="0" applyFont="1" applyBorder="1" applyAlignment="1" applyProtection="1">
      <alignment horizontal="left" vertical="center"/>
      <protection hidden="1"/>
    </xf>
    <xf numFmtId="0" fontId="48" fillId="0" borderId="1" xfId="0" applyFont="1" applyBorder="1" applyAlignment="1" applyProtection="1">
      <alignment horizontal="left" vertical="center" wrapText="1"/>
      <protection hidden="1"/>
    </xf>
    <xf numFmtId="2" fontId="106" fillId="0" borderId="1" xfId="5" applyNumberFormat="1" applyFont="1" applyBorder="1" applyAlignment="1" applyProtection="1">
      <alignment horizontal="center" vertical="center"/>
    </xf>
    <xf numFmtId="0" fontId="102" fillId="0" borderId="1" xfId="5" applyFont="1" applyBorder="1" applyAlignment="1" applyProtection="1">
      <alignment horizontal="center" vertical="center"/>
    </xf>
    <xf numFmtId="0" fontId="101" fillId="0" borderId="41" xfId="5" applyFont="1" applyBorder="1" applyAlignment="1" applyProtection="1">
      <alignment horizontal="center" vertical="top"/>
    </xf>
    <xf numFmtId="0" fontId="101" fillId="0" borderId="42" xfId="5" applyFont="1" applyBorder="1" applyAlignment="1" applyProtection="1">
      <alignment horizontal="center" vertical="top"/>
    </xf>
    <xf numFmtId="0" fontId="101" fillId="0" borderId="43" xfId="5" applyFont="1" applyBorder="1" applyAlignment="1" applyProtection="1">
      <alignment horizontal="center" vertical="top"/>
    </xf>
    <xf numFmtId="0" fontId="97" fillId="0" borderId="0" xfId="4" applyFont="1" applyAlignment="1" applyProtection="1">
      <alignment horizontal="center" vertical="center"/>
      <protection hidden="1"/>
    </xf>
    <xf numFmtId="0" fontId="123" fillId="0" borderId="45" xfId="5" applyFont="1" applyBorder="1" applyAlignment="1" applyProtection="1">
      <alignment horizontal="right" vertical="center"/>
    </xf>
    <xf numFmtId="0" fontId="123" fillId="0" borderId="46" xfId="5" applyFont="1" applyBorder="1" applyAlignment="1" applyProtection="1">
      <alignment horizontal="right" vertical="center"/>
    </xf>
    <xf numFmtId="0" fontId="103" fillId="0" borderId="1" xfId="5" applyFont="1" applyBorder="1" applyAlignment="1" applyProtection="1">
      <alignment horizontal="center"/>
    </xf>
    <xf numFmtId="0" fontId="102" fillId="0" borderId="36" xfId="5" applyFont="1" applyFill="1" applyBorder="1" applyAlignment="1" applyProtection="1">
      <alignment horizontal="left" vertical="center"/>
    </xf>
    <xf numFmtId="0" fontId="107" fillId="0" borderId="1" xfId="5" applyFont="1" applyBorder="1" applyAlignment="1" applyProtection="1">
      <alignment horizontal="center"/>
    </xf>
    <xf numFmtId="0" fontId="107" fillId="0" borderId="40" xfId="5" applyFont="1" applyBorder="1" applyAlignment="1" applyProtection="1">
      <alignment horizontal="center"/>
    </xf>
    <xf numFmtId="0" fontId="48" fillId="0" borderId="1" xfId="0" applyFont="1" applyBorder="1" applyAlignment="1" applyProtection="1">
      <alignment horizontal="left" vertical="top" wrapText="1"/>
      <protection hidden="1"/>
    </xf>
    <xf numFmtId="0" fontId="112" fillId="0" borderId="1" xfId="5" applyFont="1" applyBorder="1" applyAlignment="1" applyProtection="1">
      <alignment horizontal="left"/>
    </xf>
    <xf numFmtId="0" fontId="112" fillId="0" borderId="40" xfId="5" applyFont="1" applyBorder="1" applyAlignment="1" applyProtection="1">
      <alignment horizontal="left"/>
    </xf>
    <xf numFmtId="1" fontId="115" fillId="0" borderId="14" xfId="5" applyNumberFormat="1" applyFont="1" applyBorder="1" applyAlignment="1" applyProtection="1">
      <alignment horizontal="center"/>
    </xf>
    <xf numFmtId="1" fontId="115" fillId="0" borderId="30" xfId="5" applyNumberFormat="1" applyFont="1" applyBorder="1" applyAlignment="1" applyProtection="1">
      <alignment horizontal="center"/>
    </xf>
    <xf numFmtId="0" fontId="99" fillId="0" borderId="33" xfId="4" applyFont="1" applyBorder="1" applyAlignment="1" applyProtection="1">
      <alignment horizontal="right" vertical="center"/>
      <protection hidden="1"/>
    </xf>
    <xf numFmtId="1" fontId="109" fillId="0" borderId="1" xfId="5" applyNumberFormat="1" applyFont="1" applyBorder="1" applyAlignment="1" applyProtection="1">
      <alignment horizontal="center" vertical="center"/>
    </xf>
    <xf numFmtId="1" fontId="109" fillId="0" borderId="40" xfId="5" applyNumberFormat="1" applyFont="1" applyBorder="1" applyAlignment="1" applyProtection="1">
      <alignment horizontal="center" vertical="center"/>
    </xf>
    <xf numFmtId="0" fontId="101" fillId="0" borderId="1" xfId="5" applyFont="1" applyBorder="1" applyAlignment="1" applyProtection="1">
      <alignment horizontal="right" vertical="center"/>
    </xf>
    <xf numFmtId="0" fontId="108" fillId="0" borderId="14" xfId="5" applyFont="1" applyBorder="1" applyAlignment="1" applyProtection="1">
      <alignment horizontal="right" vertical="center"/>
    </xf>
    <xf numFmtId="0" fontId="108" fillId="0" borderId="29" xfId="5" applyFont="1" applyBorder="1" applyAlignment="1" applyProtection="1">
      <alignment horizontal="right" vertical="center"/>
    </xf>
    <xf numFmtId="0" fontId="108" fillId="0" borderId="30" xfId="5" applyFont="1" applyBorder="1" applyAlignment="1" applyProtection="1">
      <alignment horizontal="right" vertical="center"/>
    </xf>
    <xf numFmtId="0" fontId="101" fillId="0" borderId="1" xfId="5" applyFont="1" applyBorder="1" applyAlignment="1" applyProtection="1">
      <alignment horizontal="left" vertical="center" wrapText="1"/>
    </xf>
    <xf numFmtId="0" fontId="101" fillId="0" borderId="1" xfId="5" applyFont="1" applyBorder="1" applyAlignment="1" applyProtection="1">
      <alignment horizontal="center" vertical="center"/>
    </xf>
    <xf numFmtId="0" fontId="102" fillId="0" borderId="37" xfId="5" applyFont="1" applyFill="1" applyBorder="1" applyAlignment="1" applyProtection="1">
      <alignment horizontal="center" vertical="center"/>
    </xf>
    <xf numFmtId="0" fontId="102" fillId="0" borderId="38" xfId="5" applyFont="1" applyFill="1" applyBorder="1" applyAlignment="1" applyProtection="1">
      <alignment horizontal="center" vertical="center"/>
    </xf>
    <xf numFmtId="0" fontId="101" fillId="0" borderId="29" xfId="5" applyFont="1" applyBorder="1" applyAlignment="1" applyProtection="1">
      <alignment horizontal="right" vertical="center"/>
    </xf>
    <xf numFmtId="0" fontId="101" fillId="0" borderId="30" xfId="5" applyFont="1" applyBorder="1" applyAlignment="1" applyProtection="1">
      <alignment horizontal="right" vertical="center"/>
    </xf>
    <xf numFmtId="0" fontId="100" fillId="0" borderId="0" xfId="4" applyFont="1" applyBorder="1" applyAlignment="1">
      <alignment horizontal="center" vertical="center"/>
      <protection locked="0"/>
    </xf>
    <xf numFmtId="0" fontId="121" fillId="0" borderId="1" xfId="5" applyFont="1" applyBorder="1" applyAlignment="1" applyProtection="1">
      <alignment horizontal="center" vertical="center" wrapText="1"/>
    </xf>
    <xf numFmtId="0" fontId="122" fillId="0" borderId="14" xfId="5" applyFont="1" applyBorder="1" applyAlignment="1" applyProtection="1">
      <alignment horizontal="center" vertical="center" wrapText="1"/>
    </xf>
    <xf numFmtId="0" fontId="122" fillId="0" borderId="30" xfId="5" applyFont="1" applyBorder="1" applyAlignment="1" applyProtection="1">
      <alignment horizontal="center" vertical="center" wrapText="1"/>
    </xf>
    <xf numFmtId="0" fontId="112" fillId="0" borderId="1" xfId="5" applyFont="1" applyBorder="1" applyAlignment="1" applyProtection="1">
      <alignment horizontal="center"/>
    </xf>
    <xf numFmtId="0" fontId="1" fillId="0" borderId="1" xfId="5" applyFont="1" applyBorder="1" applyAlignment="1" applyProtection="1">
      <alignment horizontal="center"/>
    </xf>
    <xf numFmtId="1" fontId="106" fillId="20" borderId="1" xfId="5" applyNumberFormat="1" applyFont="1" applyFill="1" applyBorder="1" applyAlignment="1">
      <alignment horizontal="center" vertical="center"/>
      <protection locked="0"/>
    </xf>
    <xf numFmtId="0" fontId="101" fillId="0" borderId="39" xfId="5" applyFont="1" applyBorder="1" applyAlignment="1" applyProtection="1">
      <alignment horizontal="center" vertical="top"/>
    </xf>
    <xf numFmtId="0" fontId="117" fillId="0" borderId="1" xfId="5" applyFont="1" applyFill="1" applyBorder="1" applyAlignment="1" applyProtection="1">
      <alignment horizontal="left" wrapText="1"/>
    </xf>
    <xf numFmtId="1" fontId="115" fillId="0" borderId="29" xfId="5" applyNumberFormat="1" applyFont="1" applyBorder="1" applyAlignment="1" applyProtection="1">
      <alignment horizontal="center"/>
    </xf>
    <xf numFmtId="0" fontId="119" fillId="0" borderId="1" xfId="5" applyFont="1" applyBorder="1" applyAlignment="1" applyProtection="1">
      <alignment horizontal="right" vertical="center"/>
    </xf>
    <xf numFmtId="1" fontId="107" fillId="0" borderId="1" xfId="5" applyNumberFormat="1" applyFont="1" applyBorder="1" applyAlignment="1" applyProtection="1">
      <alignment horizontal="center" vertical="center"/>
    </xf>
    <xf numFmtId="1" fontId="107" fillId="0" borderId="40" xfId="5" applyNumberFormat="1" applyFont="1" applyBorder="1" applyAlignment="1" applyProtection="1">
      <alignment horizontal="center" vertical="center"/>
    </xf>
    <xf numFmtId="0" fontId="117" fillId="0" borderId="1" xfId="5" applyFont="1" applyBorder="1" applyAlignment="1" applyProtection="1">
      <alignment horizontal="left"/>
    </xf>
    <xf numFmtId="0" fontId="101" fillId="0" borderId="14" xfId="5" applyFont="1" applyBorder="1" applyAlignment="1" applyProtection="1">
      <alignment horizontal="right" vertical="center"/>
    </xf>
    <xf numFmtId="0" fontId="102" fillId="0" borderId="36" xfId="6" applyFont="1" applyFill="1" applyBorder="1" applyAlignment="1" applyProtection="1">
      <alignment horizontal="left" vertical="center"/>
    </xf>
    <xf numFmtId="0" fontId="122" fillId="0" borderId="1" xfId="5" applyFont="1" applyBorder="1" applyAlignment="1" applyProtection="1">
      <alignment horizontal="center" vertical="center" wrapText="1"/>
    </xf>
    <xf numFmtId="0" fontId="156" fillId="2" borderId="2" xfId="0" applyFont="1" applyFill="1" applyBorder="1" applyAlignment="1" applyProtection="1">
      <alignment horizontal="right" vertical="center"/>
      <protection hidden="1"/>
    </xf>
    <xf numFmtId="0" fontId="156" fillId="2" borderId="0" xfId="0" applyFont="1" applyFill="1" applyBorder="1" applyAlignment="1" applyProtection="1">
      <alignment horizontal="right" vertical="center"/>
      <protection hidden="1"/>
    </xf>
    <xf numFmtId="0" fontId="156" fillId="2" borderId="3" xfId="0" applyFont="1" applyFill="1" applyBorder="1" applyAlignment="1" applyProtection="1">
      <alignment horizontal="right" vertical="center"/>
      <protection hidden="1"/>
    </xf>
    <xf numFmtId="0" fontId="156" fillId="2" borderId="0" xfId="0" applyFont="1" applyFill="1" applyBorder="1" applyAlignment="1" applyProtection="1">
      <alignment horizontal="center" vertical="center"/>
      <protection hidden="1"/>
    </xf>
    <xf numFmtId="0" fontId="156" fillId="2" borderId="0" xfId="0" applyFont="1" applyFill="1" applyAlignment="1" applyProtection="1">
      <alignment horizontal="left" vertical="center"/>
      <protection hidden="1"/>
    </xf>
    <xf numFmtId="0" fontId="156" fillId="2" borderId="0" xfId="0" applyFont="1" applyFill="1" applyAlignment="1" applyProtection="1">
      <alignment horizontal="right" vertical="center"/>
      <protection hidden="1"/>
    </xf>
    <xf numFmtId="0" fontId="156" fillId="2" borderId="0" xfId="0" applyFont="1" applyFill="1" applyAlignment="1" applyProtection="1">
      <alignment horizontal="right" vertical="center"/>
      <protection hidden="1"/>
    </xf>
    <xf numFmtId="0" fontId="156" fillId="2" borderId="3" xfId="0" applyFont="1" applyFill="1" applyBorder="1" applyAlignment="1" applyProtection="1">
      <alignment horizontal="center" vertical="center"/>
      <protection hidden="1"/>
    </xf>
    <xf numFmtId="0" fontId="48" fillId="9" borderId="0" xfId="0" applyFont="1" applyFill="1" applyAlignment="1" applyProtection="1">
      <alignment horizontal="right" vertical="center" wrapText="1"/>
      <protection hidden="1"/>
    </xf>
    <xf numFmtId="0" fontId="48" fillId="9" borderId="3" xfId="0" applyFont="1" applyFill="1" applyBorder="1" applyAlignment="1" applyProtection="1">
      <alignment horizontal="right" vertical="center" wrapText="1"/>
      <protection hidden="1"/>
    </xf>
    <xf numFmtId="0" fontId="157" fillId="9" borderId="0" xfId="0" applyFont="1" applyFill="1" applyAlignment="1" applyProtection="1">
      <alignment horizontal="right" vertical="center" wrapText="1"/>
      <protection hidden="1"/>
    </xf>
    <xf numFmtId="0" fontId="157" fillId="9" borderId="3" xfId="0" applyFont="1" applyFill="1" applyBorder="1" applyAlignment="1" applyProtection="1">
      <alignment horizontal="right" vertical="center" wrapText="1"/>
      <protection hidden="1"/>
    </xf>
    <xf numFmtId="2" fontId="110" fillId="17" borderId="2" xfId="3" applyNumberFormat="1" applyFont="1" applyFill="1" applyBorder="1" applyAlignment="1" applyProtection="1">
      <alignment horizontal="left" vertical="center"/>
      <protection hidden="1"/>
    </xf>
    <xf numFmtId="2" fontId="110" fillId="17" borderId="3" xfId="3" applyNumberFormat="1" applyFont="1" applyFill="1" applyBorder="1" applyAlignment="1" applyProtection="1">
      <alignment horizontal="left" vertical="center"/>
      <protection hidden="1"/>
    </xf>
    <xf numFmtId="2" fontId="158" fillId="9" borderId="0" xfId="3" applyNumberFormat="1" applyFont="1" applyFill="1" applyBorder="1" applyAlignment="1" applyProtection="1">
      <alignment horizontal="left" vertical="center"/>
      <protection hidden="1"/>
    </xf>
    <xf numFmtId="2" fontId="159" fillId="3" borderId="1" xfId="2" applyNumberFormat="1" applyFont="1" applyFill="1" applyBorder="1" applyAlignment="1">
      <alignment horizontal="center" vertical="center"/>
      <protection locked="0"/>
    </xf>
    <xf numFmtId="166" fontId="91" fillId="0" borderId="31" xfId="0" applyNumberFormat="1" applyFont="1" applyBorder="1" applyAlignment="1" applyProtection="1">
      <alignment horizontal="center" vertical="center" wrapText="1"/>
      <protection hidden="1"/>
    </xf>
    <xf numFmtId="1" fontId="91" fillId="0" borderId="31" xfId="0" applyNumberFormat="1" applyFont="1" applyBorder="1" applyAlignment="1" applyProtection="1">
      <alignment horizontal="center" vertical="center" wrapText="1"/>
      <protection hidden="1"/>
    </xf>
    <xf numFmtId="0" fontId="148" fillId="0" borderId="1" xfId="5" applyFont="1" applyBorder="1" applyAlignment="1" applyProtection="1">
      <alignment horizontal="left"/>
    </xf>
    <xf numFmtId="0" fontId="148" fillId="0" borderId="1" xfId="5" applyFont="1" applyBorder="1" applyAlignment="1" applyProtection="1">
      <alignment horizontal="left" vertical="center"/>
    </xf>
    <xf numFmtId="0" fontId="148" fillId="0" borderId="1" xfId="5" applyFont="1" applyBorder="1" applyAlignment="1" applyProtection="1">
      <alignment horizontal="center"/>
    </xf>
    <xf numFmtId="0" fontId="148" fillId="0" borderId="4" xfId="5" applyFont="1" applyBorder="1" applyAlignment="1" applyProtection="1">
      <alignment horizontal="left"/>
    </xf>
    <xf numFmtId="0" fontId="148" fillId="0" borderId="35" xfId="5" applyFont="1" applyBorder="1" applyAlignment="1" applyProtection="1">
      <alignment horizontal="left" vertical="center"/>
    </xf>
    <xf numFmtId="0" fontId="148" fillId="0" borderId="36" xfId="5" applyFont="1" applyBorder="1" applyAlignment="1" applyProtection="1">
      <alignment horizontal="left" vertical="center"/>
    </xf>
    <xf numFmtId="0" fontId="148" fillId="0" borderId="36" xfId="5" applyFont="1" applyBorder="1" applyAlignment="1" applyProtection="1">
      <alignment horizontal="center" vertical="center"/>
    </xf>
    <xf numFmtId="0" fontId="148" fillId="0" borderId="1" xfId="5" applyFont="1" applyBorder="1" applyAlignment="1" applyProtection="1">
      <alignment horizontal="center" vertical="center"/>
    </xf>
    <xf numFmtId="0" fontId="160" fillId="0" borderId="1" xfId="5" applyFont="1" applyBorder="1" applyAlignment="1" applyProtection="1">
      <alignment horizontal="left" vertical="center"/>
    </xf>
    <xf numFmtId="0" fontId="160" fillId="0" borderId="40" xfId="5" applyFont="1" applyBorder="1" applyAlignment="1" applyProtection="1">
      <alignment horizontal="left" vertical="center"/>
    </xf>
    <xf numFmtId="0" fontId="161" fillId="0" borderId="1" xfId="5" applyFont="1" applyBorder="1" applyAlignment="1" applyProtection="1">
      <alignment horizontal="left" vertical="center"/>
    </xf>
    <xf numFmtId="0" fontId="162" fillId="0" borderId="1" xfId="5" applyFont="1" applyBorder="1" applyAlignment="1" applyProtection="1">
      <alignment horizontal="right"/>
    </xf>
    <xf numFmtId="0" fontId="148" fillId="0" borderId="1" xfId="5" applyFont="1" applyBorder="1" applyAlignment="1" applyProtection="1">
      <alignment horizontal="right" vertical="center"/>
    </xf>
    <xf numFmtId="0" fontId="161" fillId="0" borderId="40" xfId="5" applyFont="1" applyBorder="1" applyAlignment="1" applyProtection="1">
      <alignment horizontal="left" vertical="center"/>
    </xf>
    <xf numFmtId="0" fontId="163" fillId="0" borderId="1" xfId="5" applyFont="1" applyBorder="1" applyAlignment="1" applyProtection="1">
      <alignment horizontal="left"/>
    </xf>
    <xf numFmtId="0" fontId="121" fillId="0" borderId="1" xfId="5" applyFont="1" applyBorder="1" applyAlignment="1" applyProtection="1">
      <alignment horizontal="left"/>
    </xf>
    <xf numFmtId="0" fontId="148" fillId="0" borderId="14" xfId="5" applyFont="1" applyBorder="1" applyAlignment="1" applyProtection="1">
      <alignment horizontal="left"/>
    </xf>
    <xf numFmtId="0" fontId="148" fillId="0" borderId="29" xfId="5" applyFont="1" applyBorder="1" applyAlignment="1" applyProtection="1">
      <alignment horizontal="left"/>
    </xf>
    <xf numFmtId="0" fontId="148" fillId="0" borderId="44" xfId="5" applyFont="1" applyBorder="1" applyAlignment="1" applyProtection="1">
      <alignment horizontal="left"/>
    </xf>
    <xf numFmtId="0" fontId="164" fillId="0" borderId="1" xfId="5" applyFont="1" applyBorder="1" applyAlignment="1" applyProtection="1">
      <alignment horizontal="center" vertical="center"/>
    </xf>
    <xf numFmtId="2" fontId="161" fillId="0" borderId="1" xfId="0" applyNumberFormat="1" applyFont="1" applyBorder="1" applyAlignment="1">
      <alignment horizontal="left"/>
    </xf>
    <xf numFmtId="2" fontId="117" fillId="0" borderId="1" xfId="0" applyNumberFormat="1" applyFont="1" applyBorder="1" applyAlignment="1">
      <alignment horizontal="left"/>
    </xf>
    <xf numFmtId="2" fontId="121" fillId="0" borderId="1" xfId="0" applyNumberFormat="1" applyFont="1" applyBorder="1" applyAlignment="1">
      <alignment horizontal="left"/>
    </xf>
    <xf numFmtId="2" fontId="121" fillId="0" borderId="16" xfId="0" applyNumberFormat="1" applyFont="1" applyBorder="1" applyAlignment="1">
      <alignment horizontal="left"/>
    </xf>
    <xf numFmtId="2" fontId="117" fillId="0" borderId="29" xfId="0" applyNumberFormat="1" applyFont="1" applyBorder="1" applyAlignment="1" applyProtection="1">
      <alignment horizontal="left"/>
      <protection hidden="1"/>
    </xf>
    <xf numFmtId="2" fontId="117" fillId="0" borderId="30" xfId="0" applyNumberFormat="1" applyFont="1" applyBorder="1" applyAlignment="1" applyProtection="1">
      <alignment horizontal="left"/>
      <protection hidden="1"/>
    </xf>
    <xf numFmtId="2" fontId="117" fillId="0" borderId="14" xfId="0" applyNumberFormat="1" applyFont="1" applyBorder="1" applyAlignment="1" applyProtection="1">
      <alignment horizontal="left"/>
      <protection hidden="1"/>
    </xf>
    <xf numFmtId="2" fontId="161" fillId="0" borderId="14" xfId="0" applyNumberFormat="1" applyFont="1" applyBorder="1" applyAlignment="1">
      <alignment horizontal="right" vertical="center"/>
    </xf>
    <xf numFmtId="2" fontId="161" fillId="0" borderId="29" xfId="0" applyNumberFormat="1" applyFont="1" applyBorder="1" applyAlignment="1">
      <alignment horizontal="right" vertical="center"/>
    </xf>
    <xf numFmtId="2" fontId="161" fillId="0" borderId="30" xfId="0" applyNumberFormat="1" applyFont="1" applyBorder="1" applyAlignment="1">
      <alignment horizontal="right" vertical="center"/>
    </xf>
    <xf numFmtId="0" fontId="161" fillId="0" borderId="1" xfId="5" applyFont="1" applyBorder="1" applyAlignment="1" applyProtection="1">
      <alignment horizontal="center" vertical="center" wrapText="1"/>
    </xf>
    <xf numFmtId="0" fontId="164" fillId="0" borderId="1" xfId="5" applyFont="1" applyBorder="1" applyAlignment="1" applyProtection="1">
      <alignment horizontal="center" vertical="center" wrapText="1"/>
    </xf>
    <xf numFmtId="0" fontId="164" fillId="0" borderId="1" xfId="5" applyFont="1" applyBorder="1" applyAlignment="1" applyProtection="1">
      <alignment horizontal="center" vertical="center" wrapText="1"/>
    </xf>
    <xf numFmtId="0" fontId="165" fillId="0" borderId="0" xfId="4" applyFont="1" applyBorder="1" applyAlignment="1" applyProtection="1">
      <alignment horizontal="center" vertical="center"/>
      <protection hidden="1"/>
    </xf>
    <xf numFmtId="0" fontId="117" fillId="0" borderId="1" xfId="5" applyFont="1" applyBorder="1" applyAlignment="1" applyProtection="1">
      <alignment horizontal="right" vertical="center"/>
    </xf>
    <xf numFmtId="0" fontId="166" fillId="0" borderId="1" xfId="5" applyFont="1" applyBorder="1" applyAlignment="1" applyProtection="1">
      <alignment horizontal="left" vertical="top" wrapText="1"/>
    </xf>
    <xf numFmtId="0" fontId="166" fillId="0" borderId="1" xfId="5" applyFont="1" applyBorder="1" applyAlignment="1" applyProtection="1">
      <alignment horizontal="left" vertical="center" wrapText="1"/>
    </xf>
    <xf numFmtId="0" fontId="117" fillId="0" borderId="1" xfId="5" applyFont="1" applyFill="1" applyBorder="1" applyAlignment="1" applyProtection="1"/>
    <xf numFmtId="0" fontId="117" fillId="0" borderId="1" xfId="5" applyFont="1" applyFill="1" applyBorder="1" applyAlignment="1" applyProtection="1">
      <alignment horizontal="left"/>
    </xf>
  </cellXfs>
  <cellStyles count="8">
    <cellStyle name="Normal" xfId="0" builtinId="0"/>
    <cellStyle name="Normal 2" xfId="5"/>
    <cellStyle name="Normal 2 3" xfId="4"/>
    <cellStyle name="Normal 3" xfId="7"/>
    <cellStyle name="Normal 4" xfId="1"/>
    <cellStyle name="Normal 5" xfId="2"/>
    <cellStyle name="Normal 6" xfId="3"/>
    <cellStyle name="Normal_pay 2008-09" xfId="6"/>
  </cellStyles>
  <dxfs count="1">
    <dxf>
      <font>
        <sz val="11"/>
        <color rgb="FF9C0006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32908</xdr:colOff>
      <xdr:row>1</xdr:row>
      <xdr:rowOff>164603</xdr:rowOff>
    </xdr:from>
    <xdr:to>
      <xdr:col>10</xdr:col>
      <xdr:colOff>174825</xdr:colOff>
      <xdr:row>2</xdr:row>
      <xdr:rowOff>0</xdr:rowOff>
    </xdr:to>
    <xdr:sp macro="" textlink="">
      <xdr:nvSpPr>
        <xdr:cNvPr id="2" name="star5"/>
        <xdr:cNvSpPr/>
      </xdr:nvSpPr>
      <xdr:spPr>
        <a:xfrm>
          <a:off x="11658600" y="476250"/>
          <a:ext cx="142875" cy="95249"/>
        </a:xfrm>
        <a:prstGeom prst="star5">
          <a:avLst/>
        </a:prstGeom>
        <a:solidFill>
          <a:srgbClr val="F79443"/>
        </a:solidFill>
        <a:ln w="9525" cap="flat" cmpd="sng">
          <a:solidFill>
            <a:srgbClr val="F79443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10</xdr:col>
      <xdr:colOff>460716</xdr:colOff>
      <xdr:row>0</xdr:row>
      <xdr:rowOff>38062</xdr:rowOff>
    </xdr:from>
    <xdr:to>
      <xdr:col>11</xdr:col>
      <xdr:colOff>549984</xdr:colOff>
      <xdr:row>7</xdr:row>
      <xdr:rowOff>164603</xdr:rowOff>
    </xdr:to>
    <xdr:pic>
      <xdr:nvPicPr>
        <xdr:cNvPr id="3" name="Picture 2" descr=" 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2087225" y="76199"/>
          <a:ext cx="1943100" cy="2019301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373392</xdr:colOff>
      <xdr:row>0</xdr:row>
      <xdr:rowOff>0</xdr:rowOff>
    </xdr:from>
    <xdr:to>
      <xdr:col>12</xdr:col>
      <xdr:colOff>797663</xdr:colOff>
      <xdr:row>1</xdr:row>
      <xdr:rowOff>37504</xdr:rowOff>
    </xdr:to>
    <xdr:sp macro="" textlink="">
      <xdr:nvSpPr>
        <xdr:cNvPr id="2" name="roundRect"/>
        <xdr:cNvSpPr/>
      </xdr:nvSpPr>
      <xdr:spPr>
        <a:xfrm>
          <a:off x="4375150" y="13758"/>
          <a:ext cx="2949576" cy="484718"/>
        </a:xfrm>
        <a:prstGeom prst="roundRect">
          <a:avLst/>
        </a:prstGeom>
        <a:solidFill>
          <a:srgbClr val="7D64A2"/>
        </a:solidFill>
        <a:ln w="9525" cap="flat" cmpd="sng">
          <a:solidFill>
            <a:srgbClr val="5C4776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lIns="90000" tIns="46800" rIns="90000" bIns="46800" anchor="ctr"/>
        <a:lstStyle/>
        <a:p>
          <a:pPr algn="ctr"/>
          <a:r>
            <a:rPr lang="en-US" altLang="zh-CN" sz="1800">
              <a:solidFill>
                <a:srgbClr val="FFFF00"/>
              </a:solidFill>
              <a:latin typeface="Calibri" panose="00000000000000000000" charset="0"/>
              <a:ea typeface="Calibri" panose="00000000000000000000" charset="0"/>
            </a:rPr>
            <a:t>GA55  PAY BILL ENTRY SHEET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1076369</xdr:colOff>
      <xdr:row>31</xdr:row>
      <xdr:rowOff>62507</xdr:rowOff>
    </xdr:from>
    <xdr:to>
      <xdr:col>6</xdr:col>
      <xdr:colOff>1158670</xdr:colOff>
      <xdr:row>31</xdr:row>
      <xdr:rowOff>126057</xdr:rowOff>
    </xdr:to>
    <xdr:sp macro="" textlink="">
      <xdr:nvSpPr>
        <xdr:cNvPr id="2" name="star5"/>
        <xdr:cNvSpPr/>
      </xdr:nvSpPr>
      <xdr:spPr>
        <a:xfrm flipH="1">
          <a:off x="6737986" y="8258175"/>
          <a:ext cx="81913" cy="66676"/>
        </a:xfrm>
        <a:prstGeom prst="star5">
          <a:avLst/>
        </a:prstGeom>
        <a:solidFill>
          <a:srgbClr val="9BBB59"/>
        </a:solidFill>
        <a:ln w="9525" cap="flat" cmpd="sng">
          <a:solidFill>
            <a:srgbClr val="71893C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6</xdr:col>
      <xdr:colOff>1024729</xdr:colOff>
      <xdr:row>36</xdr:row>
      <xdr:rowOff>12501</xdr:rowOff>
    </xdr:from>
    <xdr:to>
      <xdr:col>6</xdr:col>
      <xdr:colOff>1119940</xdr:colOff>
      <xdr:row>36</xdr:row>
      <xdr:rowOff>101054</xdr:rowOff>
    </xdr:to>
    <xdr:sp macro="" textlink="">
      <xdr:nvSpPr>
        <xdr:cNvPr id="3" name="star5"/>
        <xdr:cNvSpPr/>
      </xdr:nvSpPr>
      <xdr:spPr>
        <a:xfrm>
          <a:off x="6686550" y="9544049"/>
          <a:ext cx="95251" cy="85725"/>
        </a:xfrm>
        <a:prstGeom prst="star5">
          <a:avLst/>
        </a:prstGeom>
        <a:solidFill>
          <a:srgbClr val="9BBB59"/>
        </a:solidFill>
        <a:ln w="9525" cap="flat" cmpd="sng">
          <a:solidFill>
            <a:srgbClr val="71893C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6</xdr:col>
      <xdr:colOff>558356</xdr:colOff>
      <xdr:row>23</xdr:row>
      <xdr:rowOff>0</xdr:rowOff>
    </xdr:from>
    <xdr:to>
      <xdr:col>6</xdr:col>
      <xdr:colOff>690683</xdr:colOff>
      <xdr:row>23</xdr:row>
      <xdr:rowOff>203150</xdr:rowOff>
    </xdr:to>
    <xdr:sp macro="" textlink="">
      <xdr:nvSpPr>
        <xdr:cNvPr id="4" name="downArrow"/>
        <xdr:cNvSpPr/>
      </xdr:nvSpPr>
      <xdr:spPr>
        <a:xfrm>
          <a:off x="6219825" y="5886451"/>
          <a:ext cx="133350" cy="228599"/>
        </a:xfrm>
        <a:prstGeom prst="downArrow">
          <a:avLst/>
        </a:prstGeom>
        <a:solidFill>
          <a:srgbClr val="4F81BD"/>
        </a:solidFill>
        <a:ln w="9525" cap="flat" cmpd="sng">
          <a:solidFill>
            <a:srgbClr val="355D8A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265242</xdr:colOff>
      <xdr:row>8</xdr:row>
      <xdr:rowOff>50601</xdr:rowOff>
    </xdr:from>
    <xdr:to>
      <xdr:col>28</xdr:col>
      <xdr:colOff>8099</xdr:colOff>
      <xdr:row>15</xdr:row>
      <xdr:rowOff>131802</xdr:rowOff>
    </xdr:to>
    <xdr:sp macro="" textlink="">
      <xdr:nvSpPr>
        <xdr:cNvPr id="2" name="wedgeEllipseCallout"/>
        <xdr:cNvSpPr/>
      </xdr:nvSpPr>
      <xdr:spPr>
        <a:xfrm>
          <a:off x="9905998" y="1724025"/>
          <a:ext cx="2790827" cy="1238250"/>
        </a:xfrm>
        <a:prstGeom prst="wedgeEllipseCallout">
          <a:avLst/>
        </a:prstGeom>
        <a:solidFill>
          <a:srgbClr val="7D64A2"/>
        </a:solidFill>
        <a:ln w="9525" cap="flat" cmpd="sng">
          <a:solidFill>
            <a:srgbClr val="5C4776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lIns="90000" tIns="46800" rIns="90000" bIns="46800" anchor="ctr"/>
        <a:lstStyle/>
        <a:p>
          <a:pPr algn="l"/>
          <a:r>
            <a:rPr lang="en-US" altLang="zh-CN" sz="1400" b="1">
              <a:solidFill>
                <a:srgbClr val="FFFFFF"/>
              </a:solidFill>
              <a:latin typeface="Kruti Dev 010" panose="00000000000000000000" charset="0"/>
              <a:ea typeface="Kruti Dev 010" panose="00000000000000000000" charset="0"/>
            </a:rPr>
            <a:t>bl dkWye esa x`g fdjk;k jlhn ds vykok fodykax HkÙkk  rFkk vU; HkÙkk tks dj eqDr gSa dks ;gkW n'kkZ;k x;k gSaA</a:t>
          </a:r>
        </a:p>
      </xdr:txBody>
    </xdr:sp>
    <xdr:clientData/>
  </xdr:twoCellAnchor>
  <xdr:twoCellAnchor>
    <xdr:from>
      <xdr:col>18</xdr:col>
      <xdr:colOff>265242</xdr:colOff>
      <xdr:row>8</xdr:row>
      <xdr:rowOff>50601</xdr:rowOff>
    </xdr:from>
    <xdr:to>
      <xdr:col>28</xdr:col>
      <xdr:colOff>8099</xdr:colOff>
      <xdr:row>15</xdr:row>
      <xdr:rowOff>131802</xdr:rowOff>
    </xdr:to>
    <xdr:sp macro="" textlink="">
      <xdr:nvSpPr>
        <xdr:cNvPr id="3" name="wedgeEllipseCallout"/>
        <xdr:cNvSpPr/>
      </xdr:nvSpPr>
      <xdr:spPr>
        <a:xfrm>
          <a:off x="9229723" y="1638300"/>
          <a:ext cx="2790827" cy="1238250"/>
        </a:xfrm>
        <a:prstGeom prst="wedgeEllipseCallout">
          <a:avLst/>
        </a:prstGeom>
        <a:solidFill>
          <a:srgbClr val="7D64A2"/>
        </a:solidFill>
        <a:ln w="9525" cap="flat" cmpd="sng">
          <a:solidFill>
            <a:srgbClr val="5C4776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lIns="90000" tIns="46800" rIns="90000" bIns="46800" anchor="ctr"/>
        <a:lstStyle/>
        <a:p>
          <a:pPr algn="l"/>
          <a:r>
            <a:rPr lang="en-US" altLang="zh-CN" sz="1400" b="1">
              <a:solidFill>
                <a:srgbClr val="FFFFFF"/>
              </a:solidFill>
              <a:latin typeface="Kruti Dev 010" panose="00000000000000000000" charset="0"/>
              <a:ea typeface="Kruti Dev 010" panose="00000000000000000000" charset="0"/>
            </a:rPr>
            <a:t>bl dkWye esa x`g fdjk;k jlhn ds vykok fodykax HkÙkk  rFkk vU; HkÙkk tks dj eqDr gSa dks ;gkW n'kkZ;k x;k gSaA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73"/>
  <sheetViews>
    <sheetView tabSelected="1" zoomScale="90" zoomScaleNormal="90" workbookViewId="0">
      <selection activeCell="J10" sqref="J10:J11"/>
    </sheetView>
  </sheetViews>
  <sheetFormatPr defaultColWidth="0" defaultRowHeight="15" zeroHeight="1"/>
  <cols>
    <col min="1" max="1" width="7.28515625" style="1" customWidth="1"/>
    <col min="2" max="2" width="12.85546875" style="1" customWidth="1"/>
    <col min="3" max="3" width="20.85546875" style="1" customWidth="1"/>
    <col min="4" max="5" width="23" style="1" customWidth="1"/>
    <col min="6" max="6" width="15.28515625" style="2" customWidth="1"/>
    <col min="7" max="7" width="19.5703125" style="2" customWidth="1"/>
    <col min="8" max="8" width="24.28515625" style="2" customWidth="1"/>
    <col min="9" max="9" width="15.42578125" style="2" customWidth="1"/>
    <col min="10" max="10" width="13.5703125" style="2" customWidth="1"/>
    <col min="11" max="11" width="27.85546875" style="2" customWidth="1"/>
    <col min="12" max="12" width="12.7109375" style="2" customWidth="1"/>
    <col min="13" max="13" width="12.42578125" style="2" customWidth="1"/>
    <col min="14" max="19" width="35.7109375" style="2" hidden="1" customWidth="1"/>
    <col min="20" max="23" width="35.7109375" style="1" hidden="1" customWidth="1"/>
    <col min="24" max="26" width="0" style="1" hidden="1" customWidth="1"/>
    <col min="27" max="32" width="9.140625" style="1" hidden="1" customWidth="1"/>
    <col min="33" max="49" width="0" style="1" hidden="1" customWidth="1"/>
    <col min="50" max="52" width="9.140625" style="1" hidden="1" customWidth="1"/>
    <col min="53" max="62" width="0" style="1" hidden="1" customWidth="1"/>
    <col min="63" max="67" width="9.140625" style="1" hidden="1" customWidth="1"/>
    <col min="68" max="68" width="8.28515625" style="1" hidden="1" customWidth="1"/>
    <col min="69" max="69" width="0" style="1" hidden="1" customWidth="1"/>
    <col min="70" max="70" width="9.7109375" style="1" hidden="1" customWidth="1"/>
    <col min="71" max="256" width="9.140625" style="1" hidden="1" customWidth="1"/>
    <col min="257" max="16384" width="9" hidden="1"/>
  </cols>
  <sheetData>
    <row r="1" spans="1:62" s="3" customFormat="1" ht="23.25">
      <c r="C1" s="328" t="s">
        <v>73</v>
      </c>
      <c r="D1" s="328"/>
      <c r="E1" s="328"/>
      <c r="F1" s="328"/>
      <c r="G1" s="328"/>
      <c r="H1" s="328"/>
      <c r="I1" s="4"/>
      <c r="J1" s="5"/>
      <c r="K1" s="5"/>
      <c r="L1" s="5"/>
      <c r="M1" s="5"/>
      <c r="N1" s="5"/>
      <c r="O1" s="5"/>
      <c r="P1" s="5"/>
      <c r="Q1" s="5"/>
      <c r="R1" s="5"/>
      <c r="S1" s="5"/>
      <c r="BJ1" s="3" t="s">
        <v>27</v>
      </c>
    </row>
    <row r="2" spans="1:62" s="3" customFormat="1" ht="21">
      <c r="B2" s="459" t="s">
        <v>160</v>
      </c>
      <c r="C2" s="459"/>
      <c r="D2" s="459"/>
      <c r="E2" s="6" t="s">
        <v>109</v>
      </c>
      <c r="F2" s="459" t="s">
        <v>161</v>
      </c>
      <c r="G2" s="459"/>
      <c r="H2" s="459"/>
      <c r="I2" s="6" t="s">
        <v>81</v>
      </c>
      <c r="J2" s="5"/>
      <c r="K2" s="5"/>
      <c r="L2" s="5"/>
      <c r="M2" s="5"/>
      <c r="N2" s="5"/>
      <c r="O2" s="5"/>
      <c r="P2" s="5"/>
      <c r="Q2" s="5"/>
      <c r="R2" s="5"/>
      <c r="S2" s="5"/>
      <c r="AB2" s="3" t="s">
        <v>71</v>
      </c>
      <c r="AC2" s="3" t="s">
        <v>33</v>
      </c>
      <c r="AD2" s="3">
        <v>10</v>
      </c>
      <c r="AE2" s="3">
        <v>9</v>
      </c>
    </row>
    <row r="3" spans="1:62" s="3" customFormat="1" ht="21">
      <c r="B3" s="459" t="s">
        <v>162</v>
      </c>
      <c r="C3" s="459"/>
      <c r="D3" s="455"/>
      <c r="E3" s="7" t="s">
        <v>86</v>
      </c>
      <c r="F3" s="454" t="s">
        <v>163</v>
      </c>
      <c r="G3" s="455"/>
      <c r="H3" s="456"/>
      <c r="I3" s="6" t="s">
        <v>109</v>
      </c>
      <c r="J3" s="8">
        <v>6774</v>
      </c>
      <c r="K3" s="5"/>
      <c r="L3" s="5"/>
      <c r="M3" s="5"/>
      <c r="N3" s="5"/>
      <c r="O3" s="5"/>
      <c r="P3" s="5"/>
      <c r="Q3" s="5"/>
      <c r="R3" s="5"/>
      <c r="S3" s="5"/>
      <c r="AB3" s="3" t="s">
        <v>109</v>
      </c>
      <c r="AC3" s="3" t="s">
        <v>4</v>
      </c>
      <c r="AD3" s="3">
        <v>15</v>
      </c>
      <c r="AE3" s="3">
        <v>10</v>
      </c>
    </row>
    <row r="4" spans="1:62" s="3" customFormat="1" ht="21">
      <c r="B4" s="460"/>
      <c r="C4" s="455" t="s">
        <v>164</v>
      </c>
      <c r="D4" s="456"/>
      <c r="E4" s="9"/>
      <c r="F4" s="454" t="s">
        <v>165</v>
      </c>
      <c r="G4" s="459"/>
      <c r="H4" s="456"/>
      <c r="I4" s="10" t="s">
        <v>72</v>
      </c>
      <c r="J4" s="5"/>
      <c r="K4" s="5"/>
      <c r="L4" s="5"/>
      <c r="M4" s="5"/>
      <c r="N4" s="5"/>
      <c r="O4" s="5"/>
      <c r="P4" s="5"/>
      <c r="Q4" s="5"/>
      <c r="R4" s="5"/>
      <c r="S4" s="5"/>
      <c r="AD4" s="3">
        <v>20</v>
      </c>
      <c r="AE4" s="3">
        <v>16</v>
      </c>
    </row>
    <row r="5" spans="1:62" s="3" customFormat="1" ht="21">
      <c r="B5" s="458"/>
      <c r="C5" s="455" t="s">
        <v>166</v>
      </c>
      <c r="D5" s="456"/>
      <c r="E5" s="9">
        <v>8</v>
      </c>
      <c r="F5" s="323" t="s">
        <v>142</v>
      </c>
      <c r="G5" s="323"/>
      <c r="H5" s="323"/>
      <c r="I5" s="11" t="s">
        <v>4</v>
      </c>
      <c r="J5" s="5"/>
      <c r="K5" s="5"/>
      <c r="L5" s="5"/>
      <c r="M5" s="5"/>
      <c r="N5" s="5"/>
      <c r="O5" s="5"/>
      <c r="P5" s="5"/>
      <c r="Q5" s="5"/>
      <c r="R5" s="5"/>
      <c r="S5" s="5"/>
      <c r="AB5" s="3">
        <v>1</v>
      </c>
      <c r="AC5" s="3" t="s">
        <v>84</v>
      </c>
      <c r="AD5" s="3">
        <v>25</v>
      </c>
      <c r="AE5" s="3">
        <v>18</v>
      </c>
    </row>
    <row r="6" spans="1:62" s="3" customFormat="1" ht="21">
      <c r="B6" s="457" t="s">
        <v>167</v>
      </c>
      <c r="C6" s="457"/>
      <c r="D6" s="461"/>
      <c r="E6" s="6" t="s">
        <v>71</v>
      </c>
      <c r="F6" s="454" t="s">
        <v>359</v>
      </c>
      <c r="G6" s="459"/>
      <c r="H6" s="459"/>
      <c r="I6" s="12" t="s">
        <v>105</v>
      </c>
      <c r="J6" s="5"/>
      <c r="K6" s="5"/>
      <c r="L6" s="5"/>
      <c r="M6" s="5"/>
      <c r="N6" s="5"/>
      <c r="O6" s="5"/>
      <c r="P6" s="5"/>
      <c r="Q6" s="5"/>
      <c r="R6" s="5"/>
      <c r="S6" s="5"/>
      <c r="AB6" s="13">
        <v>2</v>
      </c>
      <c r="AC6" s="13" t="s">
        <v>85</v>
      </c>
      <c r="AD6" s="13">
        <v>30</v>
      </c>
      <c r="AE6" s="13">
        <v>20</v>
      </c>
    </row>
    <row r="7" spans="1:62" s="13" customFormat="1" ht="21">
      <c r="B7" s="14"/>
      <c r="C7" s="14"/>
      <c r="D7" s="14"/>
      <c r="E7" s="15"/>
      <c r="F7" s="16"/>
      <c r="G7" s="16"/>
      <c r="H7" s="16"/>
      <c r="I7" s="15"/>
      <c r="J7" s="17"/>
      <c r="K7" s="17"/>
      <c r="L7" s="17"/>
      <c r="M7" s="17"/>
      <c r="N7" s="17"/>
      <c r="O7" s="17"/>
      <c r="P7" s="17"/>
      <c r="Q7" s="17"/>
      <c r="R7" s="17"/>
      <c r="S7" s="17"/>
      <c r="AB7" s="3">
        <v>3</v>
      </c>
      <c r="AC7" s="3" t="s">
        <v>74</v>
      </c>
      <c r="AD7" s="3">
        <v>35</v>
      </c>
      <c r="AE7" s="3"/>
    </row>
    <row r="8" spans="1:62" s="18" customFormat="1" ht="21">
      <c r="A8" s="3"/>
      <c r="B8" s="317" t="s">
        <v>70</v>
      </c>
      <c r="C8" s="317"/>
      <c r="D8" s="312" t="s">
        <v>151</v>
      </c>
      <c r="E8" s="312"/>
      <c r="F8" s="312"/>
      <c r="G8" s="312"/>
      <c r="H8" s="312"/>
      <c r="I8" s="312"/>
      <c r="J8" s="5"/>
      <c r="K8" s="5"/>
      <c r="L8" s="5"/>
      <c r="M8" s="5"/>
      <c r="N8" s="5"/>
      <c r="O8" s="19"/>
      <c r="P8" s="5"/>
      <c r="Q8" s="19"/>
      <c r="R8" s="19"/>
      <c r="S8" s="5"/>
      <c r="T8" s="3"/>
      <c r="U8" s="3"/>
      <c r="V8" s="3"/>
      <c r="W8" s="3"/>
      <c r="X8" s="3"/>
      <c r="Y8" s="3"/>
      <c r="Z8" s="3"/>
      <c r="AA8" s="3"/>
      <c r="AB8" s="13">
        <v>4</v>
      </c>
      <c r="AC8" s="13" t="s">
        <v>75</v>
      </c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</row>
    <row r="9" spans="1:62" s="18" customFormat="1" ht="21" customHeight="1">
      <c r="A9" s="3"/>
      <c r="B9" s="317" t="s">
        <v>69</v>
      </c>
      <c r="C9" s="317"/>
      <c r="D9" s="314" t="s">
        <v>149</v>
      </c>
      <c r="E9" s="315"/>
      <c r="F9" s="324" t="s">
        <v>54</v>
      </c>
      <c r="G9" s="325"/>
      <c r="H9" s="322" t="s">
        <v>150</v>
      </c>
      <c r="I9" s="322"/>
      <c r="J9" s="5"/>
      <c r="K9" s="316" t="s">
        <v>168</v>
      </c>
      <c r="L9" s="316"/>
      <c r="M9" s="5"/>
      <c r="N9" s="5"/>
      <c r="O9" s="19"/>
      <c r="P9" s="5"/>
      <c r="Q9" s="19"/>
      <c r="R9" s="19"/>
      <c r="S9" s="5"/>
      <c r="T9" s="3"/>
      <c r="U9" s="3"/>
      <c r="V9" s="3"/>
      <c r="W9" s="3"/>
      <c r="X9" s="3"/>
      <c r="Y9" s="3"/>
      <c r="Z9" s="3"/>
      <c r="AA9" s="3"/>
      <c r="AB9" s="3">
        <v>5</v>
      </c>
      <c r="AC9" s="3" t="s">
        <v>76</v>
      </c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</row>
    <row r="10" spans="1:62" s="18" customFormat="1" ht="21">
      <c r="A10" s="3"/>
      <c r="B10" s="20"/>
      <c r="C10" s="21" t="s">
        <v>53</v>
      </c>
      <c r="D10" s="314" t="s">
        <v>148</v>
      </c>
      <c r="E10" s="315"/>
      <c r="F10" s="324" t="s">
        <v>144</v>
      </c>
      <c r="G10" s="325"/>
      <c r="H10" s="322" t="s">
        <v>145</v>
      </c>
      <c r="I10" s="322"/>
      <c r="J10" s="5"/>
      <c r="K10" s="316"/>
      <c r="L10" s="316"/>
      <c r="M10" s="5"/>
      <c r="N10" s="5"/>
      <c r="O10" s="19"/>
      <c r="P10" s="5"/>
      <c r="Q10" s="19"/>
      <c r="R10" s="19"/>
      <c r="S10" s="5"/>
      <c r="T10" s="3"/>
      <c r="U10" s="3"/>
      <c r="V10" s="3"/>
      <c r="W10" s="3"/>
      <c r="X10" s="3"/>
      <c r="Y10" s="3"/>
      <c r="Z10" s="3"/>
      <c r="AA10" s="3"/>
      <c r="AB10" s="13">
        <v>6</v>
      </c>
      <c r="AC10" s="13" t="s">
        <v>77</v>
      </c>
      <c r="AD10" s="3" t="s">
        <v>107</v>
      </c>
      <c r="AE10" s="3"/>
      <c r="AF10" s="3" t="s">
        <v>72</v>
      </c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>
        <v>1000</v>
      </c>
      <c r="AW10" s="3">
        <v>620</v>
      </c>
      <c r="AX10" s="3"/>
      <c r="AY10" s="3"/>
      <c r="AZ10" s="3"/>
      <c r="BA10" s="3"/>
      <c r="BB10" s="3"/>
    </row>
    <row r="11" spans="1:62" s="18" customFormat="1" ht="21">
      <c r="A11" s="3"/>
      <c r="B11" s="317" t="s">
        <v>60</v>
      </c>
      <c r="C11" s="317"/>
      <c r="D11" s="314" t="s">
        <v>147</v>
      </c>
      <c r="E11" s="315"/>
      <c r="F11" s="321" t="s">
        <v>65</v>
      </c>
      <c r="G11" s="311"/>
      <c r="H11" s="318"/>
      <c r="I11" s="318"/>
      <c r="J11" s="5"/>
      <c r="K11" s="5"/>
      <c r="L11" s="22"/>
      <c r="M11" s="22"/>
      <c r="N11" s="22"/>
      <c r="O11" s="19"/>
      <c r="P11" s="5"/>
      <c r="Q11" s="19"/>
      <c r="R11" s="19"/>
      <c r="S11" s="5"/>
      <c r="T11" s="3"/>
      <c r="U11" s="3"/>
      <c r="V11" s="3"/>
      <c r="W11" s="3"/>
      <c r="X11" s="3"/>
      <c r="Y11" s="3"/>
      <c r="Z11" s="3"/>
      <c r="AA11" s="3"/>
      <c r="AB11" s="3">
        <v>7</v>
      </c>
      <c r="AC11" s="3" t="s">
        <v>78</v>
      </c>
      <c r="AD11" s="3" t="s">
        <v>103</v>
      </c>
      <c r="AE11" s="3"/>
      <c r="AF11" s="3" t="s">
        <v>143</v>
      </c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</row>
    <row r="12" spans="1:62" s="18" customFormat="1" ht="21">
      <c r="A12" s="3"/>
      <c r="B12" s="317" t="s">
        <v>61</v>
      </c>
      <c r="C12" s="317"/>
      <c r="D12" s="314" t="s">
        <v>146</v>
      </c>
      <c r="E12" s="315"/>
      <c r="F12" s="321" t="s">
        <v>66</v>
      </c>
      <c r="G12" s="311"/>
      <c r="H12" s="322" t="s">
        <v>141</v>
      </c>
      <c r="I12" s="322"/>
      <c r="J12" s="5"/>
      <c r="K12" s="313" t="s">
        <v>156</v>
      </c>
      <c r="L12" s="313"/>
      <c r="M12" s="5"/>
      <c r="N12" s="5"/>
      <c r="O12" s="19"/>
      <c r="P12" s="5"/>
      <c r="Q12" s="19"/>
      <c r="R12" s="19"/>
      <c r="S12" s="5"/>
      <c r="T12" s="3"/>
      <c r="U12" s="3"/>
      <c r="V12" s="3"/>
      <c r="W12" s="3"/>
      <c r="X12" s="3"/>
      <c r="Y12" s="3"/>
      <c r="Z12" s="3"/>
      <c r="AA12" s="3"/>
      <c r="AB12" s="13">
        <v>8</v>
      </c>
      <c r="AC12" s="13" t="s">
        <v>79</v>
      </c>
      <c r="AD12" s="3" t="s">
        <v>104</v>
      </c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</row>
    <row r="13" spans="1:62" s="18" customFormat="1" ht="21">
      <c r="A13" s="3"/>
      <c r="B13" s="321" t="s">
        <v>62</v>
      </c>
      <c r="C13" s="317"/>
      <c r="D13" s="314">
        <v>980060</v>
      </c>
      <c r="E13" s="315"/>
      <c r="F13" s="321" t="s">
        <v>67</v>
      </c>
      <c r="G13" s="311"/>
      <c r="H13" s="318"/>
      <c r="I13" s="318"/>
      <c r="J13" s="5"/>
      <c r="K13" s="319" t="s">
        <v>157</v>
      </c>
      <c r="L13" s="319"/>
      <c r="M13" s="5"/>
      <c r="N13" s="5"/>
      <c r="O13" s="19"/>
      <c r="P13" s="5"/>
      <c r="Q13" s="19"/>
      <c r="R13" s="19"/>
      <c r="S13" s="5"/>
      <c r="T13" s="3"/>
      <c r="U13" s="3"/>
      <c r="V13" s="3"/>
      <c r="W13" s="3"/>
      <c r="X13" s="3"/>
      <c r="Y13" s="3"/>
      <c r="Z13" s="3"/>
      <c r="AA13" s="3"/>
      <c r="AB13" s="3">
        <v>9</v>
      </c>
      <c r="AC13" s="3" t="s">
        <v>80</v>
      </c>
      <c r="AD13" s="3" t="s">
        <v>105</v>
      </c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</row>
    <row r="14" spans="1:62" s="18" customFormat="1" ht="21">
      <c r="A14" s="3"/>
      <c r="B14" s="321" t="s">
        <v>57</v>
      </c>
      <c r="C14" s="317"/>
      <c r="D14" s="326"/>
      <c r="E14" s="327"/>
      <c r="F14" s="321" t="s">
        <v>68</v>
      </c>
      <c r="G14" s="311"/>
      <c r="H14" s="318"/>
      <c r="I14" s="318"/>
      <c r="J14" s="5"/>
      <c r="K14" s="320" t="s">
        <v>158</v>
      </c>
      <c r="L14" s="320"/>
      <c r="M14" s="5"/>
      <c r="N14" s="5"/>
      <c r="O14" s="19"/>
      <c r="P14" s="5"/>
      <c r="Q14" s="19"/>
      <c r="R14" s="19"/>
      <c r="S14" s="5"/>
      <c r="T14" s="3"/>
      <c r="U14" s="3"/>
      <c r="V14" s="3"/>
      <c r="W14" s="3"/>
      <c r="X14" s="3"/>
      <c r="Y14" s="3"/>
      <c r="Z14" s="3"/>
      <c r="AA14" s="3"/>
      <c r="AB14" s="13">
        <v>10</v>
      </c>
      <c r="AC14" s="13" t="s">
        <v>81</v>
      </c>
      <c r="AD14" s="3" t="s">
        <v>106</v>
      </c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</row>
    <row r="15" spans="1:62" s="18" customFormat="1" ht="21">
      <c r="A15" s="3"/>
      <c r="B15" s="321" t="s">
        <v>63</v>
      </c>
      <c r="C15" s="317"/>
      <c r="D15" s="318">
        <v>51046657419</v>
      </c>
      <c r="E15" s="318"/>
      <c r="F15" s="310" t="s">
        <v>64</v>
      </c>
      <c r="G15" s="311"/>
      <c r="H15" s="322" t="s">
        <v>155</v>
      </c>
      <c r="I15" s="322"/>
      <c r="J15" s="5"/>
      <c r="K15" s="329" t="s">
        <v>159</v>
      </c>
      <c r="L15" s="329"/>
      <c r="M15" s="5"/>
      <c r="N15" s="5"/>
      <c r="O15" s="19"/>
      <c r="P15" s="5"/>
      <c r="Q15" s="19"/>
      <c r="R15" s="19"/>
      <c r="S15" s="5"/>
      <c r="T15" s="3"/>
      <c r="U15" s="3"/>
      <c r="V15" s="3"/>
      <c r="W15" s="3"/>
      <c r="X15" s="3"/>
      <c r="Y15" s="3"/>
      <c r="Z15" s="3"/>
      <c r="AA15" s="3"/>
      <c r="AB15" s="3">
        <v>11</v>
      </c>
      <c r="AC15" s="3" t="s">
        <v>82</v>
      </c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</row>
    <row r="16" spans="1:62">
      <c r="A16" s="3"/>
      <c r="B16" s="3"/>
      <c r="C16" s="3"/>
      <c r="D16" s="3"/>
      <c r="E16" s="3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3"/>
      <c r="U16" s="3"/>
      <c r="V16" s="3"/>
      <c r="W16" s="3"/>
      <c r="X16" s="3"/>
      <c r="Y16" s="3"/>
      <c r="Z16" s="3"/>
      <c r="AA16" s="3"/>
      <c r="AB16" s="3">
        <v>12</v>
      </c>
      <c r="AC16" s="3" t="s">
        <v>83</v>
      </c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</row>
    <row r="17" hidden="1"/>
    <row r="18" hidden="1"/>
    <row r="19" hidden="1"/>
    <row r="20" hidden="1"/>
    <row r="21" hidden="1"/>
    <row r="22" hidden="1"/>
    <row r="23" hidden="1"/>
    <row r="24" hidden="1"/>
    <row r="25" hidden="1"/>
    <row r="26" hidden="1"/>
    <row r="27" hidden="1"/>
    <row r="28" hidden="1"/>
    <row r="29" hidden="1"/>
    <row r="30" hidden="1"/>
    <row r="31" hidden="1"/>
    <row r="32" hidden="1"/>
    <row r="33" hidden="1"/>
    <row r="34" hidden="1"/>
    <row r="35" hidden="1"/>
    <row r="36" hidden="1"/>
    <row r="37" hidden="1"/>
    <row r="38" hidden="1"/>
    <row r="39" hidden="1"/>
    <row r="40" hidden="1"/>
    <row r="41" hidden="1"/>
    <row r="42" hidden="1"/>
    <row r="43" hidden="1"/>
    <row r="44" hidden="1"/>
    <row r="45" hidden="1"/>
    <row r="46" hidden="1"/>
    <row r="47" hidden="1"/>
    <row r="48" hidden="1"/>
    <row r="49" hidden="1"/>
    <row r="50" hidden="1"/>
    <row r="51" hidden="1"/>
    <row r="52" hidden="1"/>
    <row r="53" hidden="1"/>
    <row r="54" hidden="1"/>
    <row r="55" hidden="1"/>
    <row r="56" hidden="1"/>
    <row r="57" hidden="1"/>
    <row r="58" hidden="1"/>
    <row r="59" hidden="1"/>
    <row r="60" hidden="1"/>
    <row r="61" hidden="1"/>
    <row r="62" hidden="1"/>
    <row r="63" hidden="1"/>
    <row r="64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404" hidden="1"/>
    <row r="405" hidden="1"/>
    <row r="406" hidden="1"/>
    <row r="407" hidden="1"/>
    <row r="408" hidden="1"/>
    <row r="409" hidden="1"/>
    <row r="410" hidden="1"/>
    <row r="411" hidden="1"/>
    <row r="412" hidden="1"/>
    <row r="413" hidden="1"/>
    <row r="414" hidden="1"/>
    <row r="415" hidden="1"/>
    <row r="416" hidden="1"/>
    <row r="417" hidden="1"/>
    <row r="418" hidden="1"/>
    <row r="419" hidden="1"/>
    <row r="420" hidden="1"/>
    <row r="421" hidden="1"/>
    <row r="422" hidden="1"/>
    <row r="423" hidden="1"/>
    <row r="424" hidden="1"/>
    <row r="425" hidden="1"/>
    <row r="426" hidden="1"/>
    <row r="427" hidden="1"/>
    <row r="428" hidden="1"/>
    <row r="429" hidden="1"/>
    <row r="430" hidden="1"/>
    <row r="431" hidden="1"/>
    <row r="432" hidden="1"/>
    <row r="433" hidden="1"/>
    <row r="434" hidden="1"/>
    <row r="435" hidden="1"/>
    <row r="436" hidden="1"/>
    <row r="437" hidden="1"/>
    <row r="438" hidden="1"/>
    <row r="439" hidden="1"/>
    <row r="440" hidden="1"/>
    <row r="441" hidden="1"/>
    <row r="442" hidden="1"/>
    <row r="443" hidden="1"/>
    <row r="444" hidden="1"/>
    <row r="445" hidden="1"/>
    <row r="446" hidden="1"/>
    <row r="447" hidden="1"/>
    <row r="448" hidden="1"/>
    <row r="449" hidden="1"/>
    <row r="450" hidden="1"/>
    <row r="451" hidden="1"/>
    <row r="452" hidden="1"/>
    <row r="453" hidden="1"/>
    <row r="454" hidden="1"/>
    <row r="455" hidden="1"/>
    <row r="456" hidden="1"/>
    <row r="457" hidden="1"/>
    <row r="458" hidden="1"/>
    <row r="459" hidden="1"/>
    <row r="460" hidden="1"/>
    <row r="461" hidden="1"/>
    <row r="462" hidden="1"/>
    <row r="463" hidden="1"/>
    <row r="464" hidden="1"/>
    <row r="465" hidden="1"/>
    <row r="466" hidden="1"/>
    <row r="467" hidden="1"/>
    <row r="468" hidden="1"/>
    <row r="469" hidden="1"/>
    <row r="470" hidden="1"/>
    <row r="471" hidden="1"/>
    <row r="472" hidden="1"/>
    <row r="473" hidden="1"/>
    <row r="474" hidden="1"/>
    <row r="475" hidden="1"/>
    <row r="476" hidden="1"/>
    <row r="477" hidden="1"/>
    <row r="478" hidden="1"/>
    <row r="479" hidden="1"/>
    <row r="480" hidden="1"/>
    <row r="481" hidden="1"/>
    <row r="482" hidden="1"/>
    <row r="483" hidden="1"/>
    <row r="484" hidden="1"/>
    <row r="485" hidden="1"/>
    <row r="486" hidden="1"/>
    <row r="487" hidden="1"/>
    <row r="488" hidden="1"/>
    <row r="489" hidden="1"/>
    <row r="490" hidden="1"/>
    <row r="491" hidden="1"/>
    <row r="492" hidden="1"/>
    <row r="493" hidden="1"/>
    <row r="494" hidden="1"/>
    <row r="495" hidden="1"/>
    <row r="496" hidden="1"/>
    <row r="497" hidden="1"/>
    <row r="498" hidden="1"/>
    <row r="499" hidden="1"/>
    <row r="500" hidden="1"/>
    <row r="501" hidden="1"/>
    <row r="502" hidden="1"/>
    <row r="503" hidden="1"/>
    <row r="504" hidden="1"/>
    <row r="505" hidden="1"/>
    <row r="506" hidden="1"/>
    <row r="507" hidden="1"/>
    <row r="508" hidden="1"/>
    <row r="509" hidden="1"/>
    <row r="510" hidden="1"/>
    <row r="511" hidden="1"/>
    <row r="512" hidden="1"/>
    <row r="513" hidden="1"/>
    <row r="514" hidden="1"/>
    <row r="515" hidden="1"/>
    <row r="516" hidden="1"/>
    <row r="517" hidden="1"/>
    <row r="518" hidden="1"/>
    <row r="519" hidden="1"/>
    <row r="520" hidden="1"/>
    <row r="521" hidden="1"/>
    <row r="522" hidden="1"/>
    <row r="523" hidden="1"/>
    <row r="524" hidden="1"/>
    <row r="525" hidden="1"/>
    <row r="526" hidden="1"/>
    <row r="527" hidden="1"/>
    <row r="528" hidden="1"/>
    <row r="529" hidden="1"/>
    <row r="530" hidden="1"/>
    <row r="531" hidden="1"/>
    <row r="532" hidden="1"/>
    <row r="533" hidden="1"/>
    <row r="534" hidden="1"/>
    <row r="535" hidden="1"/>
    <row r="536" hidden="1"/>
    <row r="537" hidden="1"/>
    <row r="538" hidden="1"/>
    <row r="539" hidden="1"/>
    <row r="540" hidden="1"/>
    <row r="541" hidden="1"/>
    <row r="542" hidden="1"/>
    <row r="543" hidden="1"/>
    <row r="544" hidden="1"/>
    <row r="545" hidden="1"/>
    <row r="546" hidden="1"/>
    <row r="547" hidden="1"/>
    <row r="548" hidden="1"/>
    <row r="549" hidden="1"/>
    <row r="550" hidden="1"/>
    <row r="551" hidden="1"/>
    <row r="552" hidden="1"/>
    <row r="553" hidden="1"/>
    <row r="554" hidden="1"/>
    <row r="555" hidden="1"/>
    <row r="556" hidden="1"/>
    <row r="557" hidden="1"/>
    <row r="558" hidden="1"/>
    <row r="559" hidden="1"/>
    <row r="560" hidden="1"/>
    <row r="561" hidden="1"/>
    <row r="562" hidden="1"/>
    <row r="563" hidden="1"/>
    <row r="564" hidden="1"/>
    <row r="565" hidden="1"/>
    <row r="566" hidden="1"/>
    <row r="567" hidden="1"/>
    <row r="568" hidden="1"/>
    <row r="569" hidden="1"/>
    <row r="570" hidden="1"/>
    <row r="571" hidden="1"/>
    <row r="572" hidden="1"/>
    <row r="573" hidden="1"/>
    <row r="574" hidden="1"/>
    <row r="575" hidden="1"/>
    <row r="576" hidden="1"/>
    <row r="577" hidden="1"/>
    <row r="578" hidden="1"/>
    <row r="579" hidden="1"/>
    <row r="580" hidden="1"/>
    <row r="581" hidden="1"/>
    <row r="582" hidden="1"/>
    <row r="583" hidden="1"/>
    <row r="584" hidden="1"/>
    <row r="585" hidden="1"/>
    <row r="586" hidden="1"/>
    <row r="587" hidden="1"/>
    <row r="588" hidden="1"/>
    <row r="589" hidden="1"/>
    <row r="590" hidden="1"/>
    <row r="591" hidden="1"/>
    <row r="592" hidden="1"/>
    <row r="593" hidden="1"/>
    <row r="594" hidden="1"/>
    <row r="595" hidden="1"/>
    <row r="596" hidden="1"/>
    <row r="597" hidden="1"/>
    <row r="598" hidden="1"/>
    <row r="599" hidden="1"/>
    <row r="600" hidden="1"/>
    <row r="601" hidden="1"/>
    <row r="602" hidden="1"/>
    <row r="603" hidden="1"/>
    <row r="604" hidden="1"/>
    <row r="605" hidden="1"/>
    <row r="606" hidden="1"/>
    <row r="607" hidden="1"/>
    <row r="608" hidden="1"/>
    <row r="609" hidden="1"/>
    <row r="610" hidden="1"/>
    <row r="611" hidden="1"/>
    <row r="612" hidden="1"/>
    <row r="613" hidden="1"/>
    <row r="614" hidden="1"/>
    <row r="615" hidden="1"/>
    <row r="616" hidden="1"/>
    <row r="617" hidden="1"/>
    <row r="618" hidden="1"/>
    <row r="619" hidden="1"/>
    <row r="620" hidden="1"/>
    <row r="621" hidden="1"/>
    <row r="622" hidden="1"/>
    <row r="623" hidden="1"/>
    <row r="624" hidden="1"/>
    <row r="625" hidden="1"/>
    <row r="626" hidden="1"/>
    <row r="627" hidden="1"/>
    <row r="628" hidden="1"/>
    <row r="629" hidden="1"/>
    <row r="630" hidden="1"/>
    <row r="631" hidden="1"/>
    <row r="632" hidden="1"/>
    <row r="633" hidden="1"/>
    <row r="634" hidden="1"/>
    <row r="635" hidden="1"/>
    <row r="636" hidden="1"/>
    <row r="637" hidden="1"/>
    <row r="638" hidden="1"/>
    <row r="639" hidden="1"/>
    <row r="640" hidden="1"/>
    <row r="641" hidden="1"/>
    <row r="642" hidden="1"/>
    <row r="643" hidden="1"/>
    <row r="644" hidden="1"/>
    <row r="645" hidden="1"/>
    <row r="646" hidden="1"/>
    <row r="647" hidden="1"/>
    <row r="648" hidden="1"/>
    <row r="649" hidden="1"/>
    <row r="650" hidden="1"/>
    <row r="651" hidden="1"/>
    <row r="652" hidden="1"/>
    <row r="653" hidden="1"/>
    <row r="654" hidden="1"/>
    <row r="655" hidden="1"/>
    <row r="656" hidden="1"/>
    <row r="657" hidden="1"/>
    <row r="658" hidden="1"/>
    <row r="659" hidden="1"/>
    <row r="660" hidden="1"/>
    <row r="661" hidden="1"/>
    <row r="662" hidden="1"/>
    <row r="663" hidden="1"/>
    <row r="664" hidden="1"/>
    <row r="665" hidden="1"/>
    <row r="666" hidden="1"/>
    <row r="667" hidden="1"/>
    <row r="668" hidden="1"/>
    <row r="669" hidden="1"/>
    <row r="670" hidden="1"/>
    <row r="671" hidden="1"/>
    <row r="672" hidden="1"/>
    <row r="673" hidden="1"/>
  </sheetData>
  <sheetProtection password="C1FB" sheet="1" objects="1" scenarios="1" formatCells="0" formatColumns="0"/>
  <mergeCells count="45">
    <mergeCell ref="K15:L15"/>
    <mergeCell ref="C1:H1"/>
    <mergeCell ref="D11:E11"/>
    <mergeCell ref="B3:D3"/>
    <mergeCell ref="D10:E10"/>
    <mergeCell ref="F3:H3"/>
    <mergeCell ref="F4:H4"/>
    <mergeCell ref="F9:G9"/>
    <mergeCell ref="D15:E15"/>
    <mergeCell ref="B8:C8"/>
    <mergeCell ref="B9:C9"/>
    <mergeCell ref="F14:G14"/>
    <mergeCell ref="H10:I10"/>
    <mergeCell ref="H9:I9"/>
    <mergeCell ref="B13:C13"/>
    <mergeCell ref="H15:I15"/>
    <mergeCell ref="B15:C15"/>
    <mergeCell ref="H12:I12"/>
    <mergeCell ref="C4:D4"/>
    <mergeCell ref="F5:H5"/>
    <mergeCell ref="C5:D5"/>
    <mergeCell ref="B14:C14"/>
    <mergeCell ref="H11:I11"/>
    <mergeCell ref="F10:G10"/>
    <mergeCell ref="F13:G13"/>
    <mergeCell ref="B12:C12"/>
    <mergeCell ref="D14:E14"/>
    <mergeCell ref="F6:H6"/>
    <mergeCell ref="B6:D6"/>
    <mergeCell ref="F15:G15"/>
    <mergeCell ref="D8:I8"/>
    <mergeCell ref="K12:L12"/>
    <mergeCell ref="D13:E13"/>
    <mergeCell ref="F2:H2"/>
    <mergeCell ref="B2:D2"/>
    <mergeCell ref="K9:L10"/>
    <mergeCell ref="D12:E12"/>
    <mergeCell ref="B11:C11"/>
    <mergeCell ref="H14:I14"/>
    <mergeCell ref="K13:L13"/>
    <mergeCell ref="K14:L14"/>
    <mergeCell ref="H13:I13"/>
    <mergeCell ref="D9:E9"/>
    <mergeCell ref="F12:G12"/>
    <mergeCell ref="F11:G11"/>
  </mergeCells>
  <dataValidations count="9">
    <dataValidation type="list" allowBlank="1" showInputMessage="1" showErrorMessage="1" sqref="I6">
      <formula1>$AD$10:$AD$15</formula1>
    </dataValidation>
    <dataValidation type="list" allowBlank="1" showInputMessage="1" showErrorMessage="1" sqref="I2">
      <formula1>$AC$5:$AC$17</formula1>
    </dataValidation>
    <dataValidation type="list" allowBlank="1" showInputMessage="1" showErrorMessage="1" sqref="I3">
      <formula1>$AB$2:$AB$3</formula1>
    </dataValidation>
    <dataValidation type="list" allowBlank="1" showInputMessage="1" showErrorMessage="1" sqref="I4">
      <formula1>$AF$10:$AF$11</formula1>
    </dataValidation>
    <dataValidation type="list" allowBlank="1" showInputMessage="1" showErrorMessage="1" sqref="I5">
      <formula1>$AC$2:$AC$3</formula1>
    </dataValidation>
    <dataValidation type="list" allowBlank="1" showInputMessage="1" showErrorMessage="1" sqref="E3">
      <formula1>#REF!</formula1>
    </dataValidation>
    <dataValidation type="list" allowBlank="1" showInputMessage="1" showErrorMessage="1" sqref="E2">
      <formula1>$AB$2:$AB$3</formula1>
    </dataValidation>
    <dataValidation type="list" allowBlank="1" showInputMessage="1" showErrorMessage="1" sqref="E6">
      <formula1>$AB$2:$AB$3</formula1>
    </dataValidation>
    <dataValidation type="list" allowBlank="1" showInputMessage="1" showErrorMessage="1" sqref="E5">
      <formula1>$AE$2:$AE$8</formula1>
    </dataValidation>
  </dataValidations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IV1066"/>
  <sheetViews>
    <sheetView topLeftCell="B1" workbookViewId="0">
      <selection activeCell="N2" sqref="N2"/>
    </sheetView>
  </sheetViews>
  <sheetFormatPr defaultColWidth="0" defaultRowHeight="15" zeroHeight="1"/>
  <cols>
    <col min="1" max="1" width="6.42578125" style="23" hidden="1" customWidth="1"/>
    <col min="2" max="2" width="4.85546875" style="24" customWidth="1"/>
    <col min="3" max="3" width="20.42578125" style="25" customWidth="1"/>
    <col min="4" max="4" width="10.7109375" style="26" customWidth="1"/>
    <col min="5" max="5" width="8.42578125" style="26" customWidth="1"/>
    <col min="6" max="6" width="8" style="26" customWidth="1"/>
    <col min="7" max="12" width="7.5703125" style="26" customWidth="1"/>
    <col min="13" max="13" width="13" style="26" customWidth="1"/>
    <col min="14" max="18" width="7.7109375" style="26" customWidth="1"/>
    <col min="19" max="19" width="7.5703125" style="26" customWidth="1"/>
    <col min="20" max="20" width="8.28515625" style="26" customWidth="1"/>
    <col min="21" max="22" width="7.85546875" style="26" customWidth="1"/>
    <col min="23" max="23" width="7" style="26" customWidth="1"/>
    <col min="24" max="24" width="7.42578125" style="26" customWidth="1"/>
    <col min="25" max="25" width="11.140625" style="26" customWidth="1"/>
    <col min="26" max="26" width="11.7109375" style="26" customWidth="1"/>
    <col min="27" max="27" width="7.42578125" style="26" customWidth="1"/>
    <col min="28" max="28" width="9.140625" style="26" customWidth="1"/>
    <col min="29" max="29" width="7.42578125" style="18" customWidth="1"/>
    <col min="30" max="185" width="0" style="18" hidden="1" customWidth="1"/>
    <col min="186" max="256" width="7.42578125" style="23" hidden="1" customWidth="1"/>
    <col min="257" max="16384" width="9" hidden="1"/>
  </cols>
  <sheetData>
    <row r="1" spans="1:185" s="27" customFormat="1" ht="33.75" customHeight="1">
      <c r="B1" s="340" t="s">
        <v>115</v>
      </c>
      <c r="C1" s="340"/>
      <c r="D1" s="340"/>
      <c r="E1" s="339" t="str">
        <f>UPPER(IF(Master!D9="","",Master!D9))</f>
        <v>HEERALAL JAT</v>
      </c>
      <c r="F1" s="339"/>
      <c r="G1" s="339"/>
      <c r="H1" s="339"/>
      <c r="I1" s="28"/>
      <c r="J1" s="29"/>
      <c r="K1" s="29"/>
      <c r="L1" s="28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</row>
    <row r="2" spans="1:185" ht="31.5" customHeight="1">
      <c r="B2" s="336" t="s">
        <v>123</v>
      </c>
      <c r="C2" s="336"/>
      <c r="D2" s="337"/>
      <c r="E2" s="343">
        <v>47900</v>
      </c>
      <c r="F2" s="343"/>
      <c r="G2" s="30"/>
      <c r="H2" s="31"/>
      <c r="I2" s="31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  <c r="DE2" s="27"/>
      <c r="DF2" s="27"/>
      <c r="DG2" s="27"/>
      <c r="DH2" s="27"/>
      <c r="DI2" s="27"/>
      <c r="DJ2" s="27"/>
      <c r="DK2" s="27"/>
      <c r="DL2" s="27"/>
      <c r="DM2" s="27"/>
      <c r="DN2" s="27"/>
      <c r="DO2" s="27"/>
      <c r="DP2" s="27"/>
      <c r="DQ2" s="27"/>
      <c r="DR2" s="27"/>
      <c r="DS2" s="27"/>
      <c r="DT2" s="27"/>
      <c r="DU2" s="27"/>
      <c r="DV2" s="27"/>
      <c r="DW2" s="27"/>
      <c r="DX2" s="27"/>
      <c r="DY2" s="27"/>
      <c r="DZ2" s="27"/>
      <c r="EA2" s="27"/>
      <c r="EB2" s="27"/>
      <c r="EC2" s="27"/>
      <c r="ED2" s="27"/>
      <c r="EE2" s="27"/>
      <c r="EF2" s="27"/>
      <c r="EG2" s="27"/>
      <c r="EH2" s="27"/>
      <c r="EI2" s="27"/>
      <c r="EJ2" s="27"/>
      <c r="EK2" s="27"/>
      <c r="EL2" s="27"/>
      <c r="EM2" s="27"/>
      <c r="EN2" s="27"/>
      <c r="EO2" s="27"/>
      <c r="EP2" s="27"/>
      <c r="EQ2" s="27"/>
      <c r="ER2" s="27"/>
      <c r="ES2" s="27"/>
      <c r="ET2" s="27"/>
      <c r="EU2" s="27"/>
      <c r="EV2" s="27"/>
      <c r="EW2" s="27"/>
      <c r="EX2" s="27"/>
      <c r="EY2" s="27"/>
      <c r="EZ2" s="27"/>
      <c r="FA2" s="27"/>
      <c r="FB2" s="27"/>
      <c r="FC2" s="27"/>
      <c r="FD2" s="27"/>
      <c r="FE2" s="27"/>
      <c r="FF2" s="27"/>
      <c r="FG2" s="27"/>
      <c r="FH2" s="27"/>
      <c r="FI2" s="27"/>
      <c r="FJ2" s="27"/>
      <c r="FK2" s="27"/>
      <c r="FL2" s="27"/>
      <c r="FM2" s="27"/>
      <c r="FN2" s="27"/>
      <c r="FO2" s="27"/>
      <c r="FP2" s="27"/>
      <c r="FQ2" s="27"/>
      <c r="FR2" s="27"/>
      <c r="FS2" s="27"/>
      <c r="FT2" s="27"/>
      <c r="FU2" s="27"/>
      <c r="FV2" s="27"/>
      <c r="FW2" s="27"/>
      <c r="FX2" s="27"/>
      <c r="FY2" s="27"/>
      <c r="FZ2" s="27"/>
      <c r="GA2" s="27"/>
      <c r="GB2" s="27"/>
      <c r="GC2" s="27"/>
    </row>
    <row r="3" spans="1:185" s="27" customFormat="1" ht="33" customHeight="1">
      <c r="B3" s="464" t="s">
        <v>169</v>
      </c>
      <c r="C3" s="464"/>
      <c r="D3" s="465"/>
      <c r="E3" s="338">
        <v>43525</v>
      </c>
      <c r="F3" s="338"/>
      <c r="G3" s="462" t="s">
        <v>170</v>
      </c>
      <c r="H3" s="462"/>
      <c r="I3" s="463"/>
      <c r="J3" s="338">
        <v>43862</v>
      </c>
      <c r="K3" s="338"/>
      <c r="L3" s="330" t="s">
        <v>124</v>
      </c>
      <c r="M3" s="330"/>
      <c r="N3" s="330"/>
      <c r="O3" s="330"/>
      <c r="P3" s="330"/>
      <c r="Q3" s="330"/>
      <c r="R3" s="330"/>
      <c r="S3" s="330"/>
      <c r="T3" s="330"/>
      <c r="U3" s="29"/>
      <c r="V3" s="29"/>
      <c r="W3" s="29"/>
      <c r="X3" s="29"/>
      <c r="Y3" s="29"/>
      <c r="Z3" s="29"/>
      <c r="AA3" s="29"/>
      <c r="AB3" s="29"/>
    </row>
    <row r="4" spans="1:185" s="32" customFormat="1" ht="17.25" customHeight="1">
      <c r="A4" s="33"/>
      <c r="B4" s="34"/>
      <c r="C4" s="35">
        <v>2</v>
      </c>
      <c r="D4" s="35">
        <v>5</v>
      </c>
      <c r="E4" s="35">
        <v>6</v>
      </c>
      <c r="F4" s="35">
        <v>7</v>
      </c>
      <c r="G4" s="35">
        <v>8</v>
      </c>
      <c r="H4" s="35">
        <v>9</v>
      </c>
      <c r="I4" s="35">
        <v>10</v>
      </c>
      <c r="J4" s="35">
        <v>11</v>
      </c>
      <c r="K4" s="35">
        <v>12</v>
      </c>
      <c r="L4" s="35">
        <v>13</v>
      </c>
      <c r="M4" s="35">
        <v>14</v>
      </c>
      <c r="N4" s="35">
        <v>15</v>
      </c>
      <c r="O4" s="35">
        <v>16</v>
      </c>
      <c r="P4" s="35">
        <v>17</v>
      </c>
      <c r="Q4" s="35">
        <v>18</v>
      </c>
      <c r="R4" s="35">
        <v>19</v>
      </c>
      <c r="S4" s="35">
        <v>20</v>
      </c>
      <c r="T4" s="35">
        <v>21</v>
      </c>
      <c r="U4" s="35">
        <v>22</v>
      </c>
      <c r="V4" s="35">
        <v>23</v>
      </c>
      <c r="W4" s="35">
        <v>24</v>
      </c>
      <c r="X4" s="35">
        <v>25</v>
      </c>
      <c r="Y4" s="35">
        <v>26</v>
      </c>
      <c r="Z4" s="35">
        <v>27</v>
      </c>
      <c r="AA4" s="35">
        <v>28</v>
      </c>
      <c r="AB4" s="35">
        <v>29</v>
      </c>
      <c r="AC4" s="33"/>
      <c r="AD4" s="331"/>
      <c r="AE4" s="331"/>
      <c r="AF4" s="331"/>
      <c r="AG4" s="331"/>
      <c r="AH4" s="331"/>
      <c r="AI4" s="331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33"/>
      <c r="DH4" s="33"/>
      <c r="DI4" s="33"/>
      <c r="DJ4" s="33"/>
      <c r="DK4" s="33"/>
      <c r="DL4" s="33"/>
      <c r="DM4" s="33"/>
      <c r="DN4" s="33"/>
      <c r="DO4" s="33"/>
      <c r="DP4" s="33"/>
      <c r="DQ4" s="33"/>
      <c r="DR4" s="33"/>
      <c r="DS4" s="33"/>
      <c r="DT4" s="33"/>
      <c r="DU4" s="33"/>
      <c r="DV4" s="33"/>
      <c r="DW4" s="33"/>
      <c r="DX4" s="33"/>
      <c r="DY4" s="33"/>
      <c r="DZ4" s="33"/>
      <c r="EA4" s="33"/>
      <c r="EB4" s="33"/>
      <c r="EC4" s="33"/>
      <c r="ED4" s="33"/>
      <c r="EE4" s="33"/>
      <c r="EF4" s="33"/>
      <c r="EG4" s="33"/>
      <c r="EH4" s="33"/>
      <c r="EI4" s="33"/>
      <c r="EJ4" s="33"/>
      <c r="EK4" s="33"/>
      <c r="EL4" s="33"/>
      <c r="EM4" s="33"/>
      <c r="EN4" s="33"/>
      <c r="EO4" s="33"/>
      <c r="EP4" s="33"/>
      <c r="EQ4" s="33"/>
      <c r="ER4" s="33"/>
      <c r="ES4" s="33"/>
      <c r="ET4" s="33"/>
      <c r="EU4" s="33"/>
      <c r="EV4" s="33"/>
      <c r="EW4" s="33"/>
      <c r="EX4" s="33"/>
      <c r="EY4" s="33"/>
      <c r="EZ4" s="33"/>
      <c r="FA4" s="33"/>
      <c r="FB4" s="33"/>
      <c r="FC4" s="33"/>
      <c r="FD4" s="33"/>
      <c r="FE4" s="33"/>
      <c r="FF4" s="33"/>
      <c r="FG4" s="33"/>
      <c r="FH4" s="33"/>
      <c r="FI4" s="33"/>
      <c r="FJ4" s="33"/>
      <c r="FK4" s="33"/>
      <c r="FL4" s="33"/>
      <c r="FM4" s="33"/>
      <c r="FN4" s="33"/>
      <c r="FO4" s="33"/>
      <c r="FP4" s="33"/>
      <c r="FQ4" s="33"/>
      <c r="FR4" s="33"/>
      <c r="FS4" s="33"/>
      <c r="FT4" s="33"/>
      <c r="FU4" s="33"/>
      <c r="FV4" s="33"/>
      <c r="FW4" s="33"/>
      <c r="FX4" s="33"/>
      <c r="FY4" s="33"/>
      <c r="FZ4" s="33"/>
      <c r="GA4" s="33"/>
      <c r="GB4" s="33"/>
      <c r="GC4" s="33"/>
    </row>
    <row r="5" spans="1:185" s="36" customFormat="1" ht="58.5" customHeight="1">
      <c r="A5" s="37"/>
      <c r="B5" s="344" t="s">
        <v>29</v>
      </c>
      <c r="C5" s="334" t="s">
        <v>0</v>
      </c>
      <c r="D5" s="341" t="s">
        <v>28</v>
      </c>
      <c r="E5" s="334" t="s">
        <v>1</v>
      </c>
      <c r="F5" s="334" t="s">
        <v>2</v>
      </c>
      <c r="G5" s="38" t="s">
        <v>30</v>
      </c>
      <c r="H5" s="38" t="s">
        <v>31</v>
      </c>
      <c r="I5" s="334" t="s">
        <v>9</v>
      </c>
      <c r="J5" s="38" t="s">
        <v>50</v>
      </c>
      <c r="K5" s="334" t="s">
        <v>114</v>
      </c>
      <c r="L5" s="39" t="s">
        <v>120</v>
      </c>
      <c r="M5" s="334" t="s">
        <v>3</v>
      </c>
      <c r="N5" s="40" t="s">
        <v>5</v>
      </c>
      <c r="O5" s="40" t="s">
        <v>4</v>
      </c>
      <c r="P5" s="341" t="s">
        <v>6</v>
      </c>
      <c r="Q5" s="334" t="s">
        <v>22</v>
      </c>
      <c r="R5" s="40" t="s">
        <v>11</v>
      </c>
      <c r="S5" s="41" t="s">
        <v>24</v>
      </c>
      <c r="T5" s="41" t="s">
        <v>23</v>
      </c>
      <c r="U5" s="41" t="s">
        <v>126</v>
      </c>
      <c r="V5" s="40" t="s">
        <v>12</v>
      </c>
      <c r="W5" s="42" t="s">
        <v>52</v>
      </c>
      <c r="X5" s="41" t="s">
        <v>51</v>
      </c>
      <c r="Y5" s="334" t="s">
        <v>20</v>
      </c>
      <c r="Z5" s="334" t="s">
        <v>10</v>
      </c>
      <c r="AA5" s="334" t="s">
        <v>7</v>
      </c>
      <c r="AB5" s="332" t="s">
        <v>25</v>
      </c>
      <c r="AC5" s="37"/>
      <c r="AD5" s="331"/>
      <c r="AE5" s="331"/>
      <c r="AF5" s="331"/>
      <c r="AG5" s="331"/>
      <c r="AH5" s="331"/>
      <c r="AI5" s="331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7"/>
      <c r="BS5" s="37"/>
      <c r="BT5" s="37"/>
      <c r="BU5" s="37"/>
      <c r="BV5" s="37"/>
      <c r="BW5" s="37"/>
      <c r="BX5" s="37"/>
      <c r="BY5" s="37"/>
      <c r="BZ5" s="37"/>
      <c r="CA5" s="37"/>
      <c r="CB5" s="37"/>
      <c r="CC5" s="37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  <c r="DI5" s="37"/>
      <c r="DJ5" s="37"/>
      <c r="DK5" s="37"/>
      <c r="DL5" s="37"/>
      <c r="DM5" s="37"/>
      <c r="DN5" s="37"/>
      <c r="DO5" s="37"/>
      <c r="DP5" s="37"/>
      <c r="DQ5" s="37"/>
      <c r="DR5" s="37"/>
      <c r="DS5" s="37"/>
      <c r="DT5" s="37"/>
      <c r="DU5" s="37"/>
      <c r="DV5" s="37"/>
      <c r="DW5" s="37"/>
      <c r="DX5" s="37"/>
      <c r="DY5" s="37"/>
      <c r="DZ5" s="37"/>
      <c r="EA5" s="37"/>
      <c r="EB5" s="37"/>
      <c r="EC5" s="37"/>
      <c r="ED5" s="37"/>
      <c r="EE5" s="37"/>
      <c r="EF5" s="37"/>
      <c r="EG5" s="37"/>
      <c r="EH5" s="37"/>
      <c r="EI5" s="37"/>
      <c r="EJ5" s="37"/>
      <c r="EK5" s="37"/>
      <c r="EL5" s="37"/>
      <c r="EM5" s="37"/>
      <c r="EN5" s="37"/>
      <c r="EO5" s="37"/>
      <c r="EP5" s="37"/>
      <c r="EQ5" s="37"/>
      <c r="ER5" s="37"/>
      <c r="ES5" s="37"/>
      <c r="ET5" s="37"/>
      <c r="EU5" s="37"/>
      <c r="EV5" s="37"/>
      <c r="EW5" s="37"/>
      <c r="EX5" s="37"/>
      <c r="EY5" s="37"/>
      <c r="EZ5" s="37"/>
      <c r="FA5" s="37"/>
      <c r="FB5" s="37"/>
      <c r="FC5" s="37"/>
      <c r="FD5" s="37"/>
      <c r="FE5" s="37"/>
      <c r="FF5" s="37"/>
      <c r="FG5" s="37"/>
      <c r="FH5" s="37"/>
      <c r="FI5" s="37"/>
      <c r="FJ5" s="37"/>
      <c r="FK5" s="37"/>
      <c r="FL5" s="37"/>
      <c r="FM5" s="37"/>
      <c r="FN5" s="37"/>
      <c r="FO5" s="37"/>
      <c r="FP5" s="37"/>
      <c r="FQ5" s="37"/>
      <c r="FR5" s="37"/>
      <c r="FS5" s="37"/>
      <c r="FT5" s="37"/>
      <c r="FU5" s="37"/>
      <c r="FV5" s="37"/>
      <c r="FW5" s="37"/>
      <c r="FX5" s="37"/>
      <c r="FY5" s="37"/>
      <c r="FZ5" s="37"/>
      <c r="GA5" s="37"/>
      <c r="GB5" s="37"/>
      <c r="GC5" s="37"/>
    </row>
    <row r="6" spans="1:185" ht="20.25" customHeight="1">
      <c r="A6" s="3"/>
      <c r="B6" s="345"/>
      <c r="C6" s="335"/>
      <c r="D6" s="342"/>
      <c r="E6" s="335"/>
      <c r="F6" s="335"/>
      <c r="G6" s="43"/>
      <c r="H6" s="44" t="str">
        <f>IF(AND(Master!E4=0),"",IF(AND(Master!$I$4=Master!$AF$11),"",Master!E4))</f>
        <v/>
      </c>
      <c r="I6" s="335"/>
      <c r="J6" s="44" t="str">
        <f>IF(AND(E2=""),"",IF(AND(Master!E6=Master!AB2),"",IF(AND(Master!E6=""),"",IF(AND(Master!I6=Master!AD10),Master!AV10,IF(AND(Master!I6=Master!AD11),Master!AW10,IF(AND(Master!I6=Master!AD12),Master!AW10,IF(AND(Master!I6=Master!AD13),Master!AW10,IF(AND(Master!I6=Master!AD14),Master!AW10,""))))))))</f>
        <v/>
      </c>
      <c r="K6" s="335"/>
      <c r="L6" s="43"/>
      <c r="M6" s="335"/>
      <c r="N6" s="45">
        <v>4000</v>
      </c>
      <c r="O6" s="45">
        <v>3575</v>
      </c>
      <c r="P6" s="342"/>
      <c r="Q6" s="335"/>
      <c r="R6" s="46">
        <v>2158</v>
      </c>
      <c r="S6" s="46"/>
      <c r="T6" s="46"/>
      <c r="U6" s="46"/>
      <c r="V6" s="47">
        <v>500</v>
      </c>
      <c r="W6" s="48">
        <v>220</v>
      </c>
      <c r="X6" s="46"/>
      <c r="Y6" s="335"/>
      <c r="Z6" s="335"/>
      <c r="AA6" s="335"/>
      <c r="AB6" s="333"/>
      <c r="AC6" s="27"/>
      <c r="AD6" s="331"/>
      <c r="AE6" s="331"/>
      <c r="AF6" s="331"/>
      <c r="AG6" s="331"/>
      <c r="AH6" s="331"/>
      <c r="AI6" s="331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  <c r="ED6" s="27"/>
      <c r="EE6" s="27"/>
      <c r="EF6" s="27"/>
      <c r="EG6" s="27"/>
      <c r="EH6" s="27"/>
      <c r="EI6" s="27"/>
      <c r="EJ6" s="27"/>
      <c r="EK6" s="27"/>
      <c r="EL6" s="27"/>
      <c r="EM6" s="27"/>
      <c r="EN6" s="27"/>
      <c r="EO6" s="27"/>
      <c r="EP6" s="27"/>
      <c r="EQ6" s="27"/>
      <c r="ER6" s="27"/>
      <c r="ES6" s="27"/>
      <c r="ET6" s="27"/>
      <c r="EU6" s="27"/>
      <c r="EV6" s="27"/>
      <c r="EW6" s="27"/>
      <c r="EX6" s="27"/>
      <c r="EY6" s="27"/>
      <c r="EZ6" s="27"/>
      <c r="FA6" s="27"/>
      <c r="FB6" s="27"/>
      <c r="FC6" s="27"/>
      <c r="FD6" s="27"/>
      <c r="FE6" s="27"/>
      <c r="FF6" s="27"/>
      <c r="FG6" s="27"/>
      <c r="FH6" s="27"/>
      <c r="FI6" s="27"/>
      <c r="FJ6" s="27"/>
      <c r="FK6" s="27"/>
      <c r="FL6" s="27"/>
      <c r="FM6" s="27"/>
      <c r="FN6" s="27"/>
      <c r="FO6" s="27"/>
      <c r="FP6" s="27"/>
      <c r="FQ6" s="27"/>
      <c r="FR6" s="27"/>
      <c r="FS6" s="27"/>
      <c r="FT6" s="27"/>
      <c r="FU6" s="27"/>
      <c r="FV6" s="27"/>
      <c r="FW6" s="27"/>
      <c r="FX6" s="27"/>
      <c r="FY6" s="27"/>
      <c r="FZ6" s="27"/>
      <c r="GA6" s="27"/>
      <c r="GB6" s="27"/>
      <c r="GC6" s="27"/>
    </row>
    <row r="7" spans="1:185" ht="16.5" customHeight="1">
      <c r="A7" s="3" t="s">
        <v>74</v>
      </c>
      <c r="B7" s="49">
        <v>1</v>
      </c>
      <c r="C7" s="50">
        <f>IF(AND(AO12=""),"",AK12)</f>
        <v>43525</v>
      </c>
      <c r="D7" s="51">
        <f>IF(AND(C7=""),"",AO12)</f>
        <v>47900</v>
      </c>
      <c r="E7" s="52">
        <f>IF(AND(Master!$I$4=Master!$AF$11),"",IF(AND(D7=""),"",ROUND(12%*D7,0)))</f>
        <v>5748</v>
      </c>
      <c r="F7" s="53">
        <f>IF(AND(Master!$I$4=Master!$AF$11),"",IF(AND(D7=""),"",ROUND(8%*D7,0)))</f>
        <v>3832</v>
      </c>
      <c r="G7" s="52" t="str">
        <f>IF(AND(C7=""),"",IF(AND($G$6=""),"",$G$6))</f>
        <v/>
      </c>
      <c r="H7" s="52" t="str">
        <f>IF(AND(C7=""),"",IF(AND($H$6=""),"",$H$6))</f>
        <v/>
      </c>
      <c r="I7" s="54"/>
      <c r="J7" s="52" t="str">
        <f>IF(AND(C7=""),"",IF(AND($J$6=""),"",IF(AND(Master!$I$4=Master!$AF$11),"",$J$6)))</f>
        <v/>
      </c>
      <c r="K7" s="55">
        <f>IF(AND(Master!I$4=Master!$AF$11),ROUND((D7)*0.1,0),IF(AND(Master!I$5=Master!AC$3),ROUND((D7+E7)*0.1,0),""))</f>
        <v>5365</v>
      </c>
      <c r="L7" s="52" t="str">
        <f>IF(AND(C7=""),"",IF(AND($L$6=""),"",IF(AND(Master!$I$4=Master!$AF$11),"",$L$6)))</f>
        <v/>
      </c>
      <c r="M7" s="56">
        <f>IF(AND(C7=""),"",SUM(D7,E7,F7,G7,H7,I7,J7,L7))</f>
        <v>57480</v>
      </c>
      <c r="N7" s="52">
        <f>IF(AND(C7=""),"",IF(AND(Master!$I$4=Master!$AF$11),"",$N$6))</f>
        <v>4000</v>
      </c>
      <c r="O7" s="52">
        <f>IF(AND(C7=""),"",IF(AND(Master!$I$4=Master!$AF$11),"",IF(AND(Master!$I$5=Master!$AC$3),$O$6,"")))</f>
        <v>3575</v>
      </c>
      <c r="P7" s="55">
        <f>IF(AND(C7=""),"",IF(AND(Master!$I$4=Master!$AF$11),"",IF(AND(Master!$I$5=Master!$AC$2),"",IF(D7&lt;18001,228,IF(D7&lt;33501,379,IF(D7&lt;54001,568,755))))))</f>
        <v>568</v>
      </c>
      <c r="Q7" s="55">
        <f>IF(AND(Master!I$4=Master!$AF$11),ROUND((D7)*0.1,0),IF(AND(Master!I$5=Master!AC$3),ROUND((D7+E7)*0.1,0),""))</f>
        <v>5365</v>
      </c>
      <c r="R7" s="52">
        <f>IF(AND(C7=""),"",IF(AND($R$6=""),"",IF(AND(Master!$I$4=Master!$AF$11),"",$R$6)))</f>
        <v>2158</v>
      </c>
      <c r="S7" s="52" t="str">
        <f>IF(AND(C7=""),"",IF(AND($S$6=""),"",IF(AND(Master!$I$4=Master!$AF$11),"",$S$6)))</f>
        <v/>
      </c>
      <c r="T7" s="52" t="str">
        <f>IF(AND(C7=""),"",IF(AND($T$6=""),"",IF(AND(Master!$I$4=Master!$AF$11),"",$T$6)))</f>
        <v/>
      </c>
      <c r="U7" s="52" t="str">
        <f>IF(AND(C7=""),"",IF(AND($U$6=""),"",IF(AND(Master!$I$4=Master!$AF$11),"",$U$6)))</f>
        <v/>
      </c>
      <c r="V7" s="52">
        <f>IF(AND(C7=""),"",IF(AND($V$6=""),"",$V$6))</f>
        <v>500</v>
      </c>
      <c r="W7" s="57"/>
      <c r="X7" s="52" t="str">
        <f>IF(AND(C7=""),"",IF(AND($X$6=""),"",$X$6))</f>
        <v/>
      </c>
      <c r="Y7" s="58">
        <f>IF(AND(C7=""),"",SUM(N7:X7))</f>
        <v>16166</v>
      </c>
      <c r="Z7" s="59">
        <f>IF(AND(C7=""),"",IF(AND(M7="",Y7=""),"",SUM(M7-Y7)))</f>
        <v>41314</v>
      </c>
      <c r="AA7" s="60"/>
      <c r="AB7" s="61"/>
      <c r="AC7" s="27"/>
      <c r="AD7" s="62"/>
      <c r="AE7" s="62"/>
      <c r="AF7" s="62"/>
      <c r="AG7" s="62"/>
      <c r="AH7" s="62"/>
      <c r="AI7" s="62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  <c r="DL7" s="27"/>
      <c r="DM7" s="27"/>
      <c r="DN7" s="27"/>
      <c r="DO7" s="27"/>
      <c r="DP7" s="27"/>
      <c r="DQ7" s="27"/>
      <c r="DR7" s="27"/>
      <c r="DS7" s="27"/>
      <c r="DT7" s="27"/>
      <c r="DU7" s="27"/>
      <c r="DV7" s="27"/>
      <c r="DW7" s="27"/>
      <c r="DX7" s="27"/>
      <c r="DY7" s="27"/>
      <c r="DZ7" s="27"/>
      <c r="EA7" s="27"/>
      <c r="EB7" s="27"/>
      <c r="EC7" s="27"/>
      <c r="ED7" s="27"/>
      <c r="EE7" s="27"/>
      <c r="EF7" s="27"/>
      <c r="EG7" s="27"/>
      <c r="EH7" s="27"/>
      <c r="EI7" s="27"/>
      <c r="EJ7" s="27"/>
      <c r="EK7" s="27"/>
      <c r="EL7" s="27"/>
      <c r="EM7" s="27"/>
      <c r="EN7" s="27"/>
      <c r="EO7" s="27"/>
      <c r="EP7" s="27"/>
      <c r="EQ7" s="27"/>
      <c r="ER7" s="27"/>
      <c r="ES7" s="27"/>
      <c r="ET7" s="27"/>
      <c r="EU7" s="27"/>
      <c r="EV7" s="27"/>
      <c r="EW7" s="27"/>
      <c r="EX7" s="27"/>
      <c r="EY7" s="27"/>
      <c r="EZ7" s="27"/>
      <c r="FA7" s="27"/>
      <c r="FB7" s="27"/>
      <c r="FC7" s="27"/>
      <c r="FD7" s="27"/>
      <c r="FE7" s="27"/>
      <c r="FF7" s="27"/>
      <c r="FG7" s="27"/>
      <c r="FH7" s="27"/>
      <c r="FI7" s="27"/>
      <c r="FJ7" s="27"/>
      <c r="FK7" s="27"/>
      <c r="FL7" s="27"/>
      <c r="FM7" s="27"/>
      <c r="FN7" s="27"/>
      <c r="FO7" s="27"/>
      <c r="FP7" s="27"/>
      <c r="FQ7" s="27"/>
      <c r="FR7" s="27"/>
      <c r="FS7" s="27"/>
      <c r="FT7" s="27"/>
      <c r="FU7" s="27"/>
      <c r="FV7" s="27"/>
      <c r="FW7" s="27"/>
      <c r="FX7" s="27"/>
      <c r="FY7" s="27"/>
      <c r="FZ7" s="27"/>
      <c r="GA7" s="27"/>
      <c r="GB7" s="27"/>
      <c r="GC7" s="27"/>
    </row>
    <row r="8" spans="1:185" ht="16.5" customHeight="1">
      <c r="A8" s="13" t="s">
        <v>75</v>
      </c>
      <c r="B8" s="49">
        <v>2</v>
      </c>
      <c r="C8" s="50">
        <f t="shared" ref="C8:C18" si="0">IF(AND(AO13=""),"",AK13)</f>
        <v>43556</v>
      </c>
      <c r="D8" s="51">
        <f t="shared" ref="D8:D18" si="1">IF(AND(C8=""),"",AO13)</f>
        <v>47900</v>
      </c>
      <c r="E8" s="52">
        <f>IF(AND(Master!$I$4=Master!$AF$11),"",IF(AND(D8=""),"",ROUND(12%*D8,0)))</f>
        <v>5748</v>
      </c>
      <c r="F8" s="53">
        <f>IF(AND(Master!$I$4=Master!$AF$11),"",IF(AND(D8=""),"",ROUND(8%*D8,0)))</f>
        <v>3832</v>
      </c>
      <c r="G8" s="52" t="str">
        <f t="shared" ref="G8:G18" si="2">IF(AND(C8=""),"",IF(AND($G$6=""),"",$G$6))</f>
        <v/>
      </c>
      <c r="H8" s="52" t="str">
        <f t="shared" ref="H8:H18" si="3">IF(AND(C8=""),"",IF(AND($H$6=""),"",$H$6))</f>
        <v/>
      </c>
      <c r="I8" s="54"/>
      <c r="J8" s="52" t="str">
        <f>IF(AND(C8=""),"",IF(AND($J$6=""),"",IF(AND(Master!$I$4=Master!$AF$11),"",$J$6)))</f>
        <v/>
      </c>
      <c r="K8" s="55">
        <f>IF(AND(Master!I$4=Master!$AF$11),ROUND((D8)*0.1,0),IF(AND(Master!I$5=Master!AC$3),ROUND((D8+E8)*0.1,0),""))</f>
        <v>5365</v>
      </c>
      <c r="L8" s="52" t="str">
        <f>IF(AND(C8=""),"",IF(AND($L$6=""),"",IF(AND(Master!$I$4=Master!$AF$11),"",$L$6)))</f>
        <v/>
      </c>
      <c r="M8" s="56">
        <f t="shared" ref="M8:M27" si="4">IF(AND(C8=""),"",SUM(D8,E8,F8,G8,H8,I8,J8,L8))</f>
        <v>57480</v>
      </c>
      <c r="N8" s="52">
        <f>IF(AND(C8=""),"",IF(AND(Master!$I$4=Master!$AF$11),"",$N$6))</f>
        <v>4000</v>
      </c>
      <c r="O8" s="52">
        <f>IF(AND(C8=""),"",IF(AND(Master!$I$4=Master!$AF$11),"",IF(AND(Master!$I$5=Master!$AC$3),$O$6,"")))</f>
        <v>3575</v>
      </c>
      <c r="P8" s="55">
        <f>IF(AND(C8=""),"",IF(AND(Master!$I$4=Master!$AF$11),"",IF(AND(Master!$I$5=Master!$AC$2),"",IF(D8&lt;18001,242,IF(D8&lt;33501,402,IF(D8&lt;54001,602,800))))))</f>
        <v>602</v>
      </c>
      <c r="Q8" s="55">
        <f>IF(AND(Master!I$4=Master!$AF$11),ROUND((D8)*0.1,0),IF(AND(Master!I$5=Master!AC$3),ROUND((D8+E8)*0.1,0),""))</f>
        <v>5365</v>
      </c>
      <c r="R8" s="52">
        <f>IF(AND(C8=""),"",IF(AND($R$6=""),"",IF(AND(Master!$I$4=Master!$AF$11),"",$R$6)))</f>
        <v>2158</v>
      </c>
      <c r="S8" s="52" t="str">
        <f>IF(AND(C8=""),"",IF(AND($S$6=""),"",IF(AND(Master!$I$4=Master!$AF$11),"",$S$6)))</f>
        <v/>
      </c>
      <c r="T8" s="52" t="str">
        <f>IF(AND(C8=""),"",IF(AND($T$6=""),"",IF(AND(Master!$I$4=Master!$AF$11),"",$T$6)))</f>
        <v/>
      </c>
      <c r="U8" s="52" t="str">
        <f>IF(AND(C8=""),"",IF(AND($U$6=""),"",IF(AND(Master!$I$4=Master!$AF$11),"",$U$6)))</f>
        <v/>
      </c>
      <c r="V8" s="52">
        <f t="shared" ref="V8:V18" si="5">IF(AND(C8=""),"",IF(AND($V$6=""),"",$V$6))</f>
        <v>500</v>
      </c>
      <c r="W8" s="52">
        <f>IF(AND(C8=""),"",IF(AND(W6=""),"",W6))</f>
        <v>220</v>
      </c>
      <c r="X8" s="52" t="str">
        <f t="shared" ref="X8:X17" si="6">IF(AND(C8=""),"",IF(AND($X$6=""),"",$X$6))</f>
        <v/>
      </c>
      <c r="Y8" s="58">
        <f t="shared" ref="Y8:Y27" si="7">IF(AND(C8=""),"",SUM(N8:X8))</f>
        <v>16420</v>
      </c>
      <c r="Z8" s="59">
        <f t="shared" ref="Z8:Z27" si="8">IF(AND(C8=""),"",IF(AND(M8="",Y8=""),"",SUM(M8-Y8)))</f>
        <v>41060</v>
      </c>
      <c r="AA8" s="60"/>
      <c r="AB8" s="61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63"/>
      <c r="AW8" s="64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  <c r="DL8" s="27"/>
      <c r="DM8" s="27"/>
      <c r="DN8" s="27"/>
      <c r="DO8" s="27"/>
      <c r="DP8" s="27"/>
      <c r="DQ8" s="27"/>
      <c r="DR8" s="27"/>
      <c r="DS8" s="27"/>
      <c r="DT8" s="27"/>
      <c r="DU8" s="27"/>
      <c r="DV8" s="27"/>
      <c r="DW8" s="27"/>
      <c r="DX8" s="27"/>
      <c r="DY8" s="27"/>
      <c r="DZ8" s="27"/>
      <c r="EA8" s="27"/>
      <c r="EB8" s="27"/>
      <c r="EC8" s="27"/>
      <c r="ED8" s="27"/>
      <c r="EE8" s="27"/>
      <c r="EF8" s="27"/>
      <c r="EG8" s="27"/>
      <c r="EH8" s="27"/>
      <c r="EI8" s="27"/>
      <c r="EJ8" s="27"/>
      <c r="EK8" s="27"/>
      <c r="EL8" s="27"/>
      <c r="EM8" s="27"/>
      <c r="EN8" s="27"/>
      <c r="EO8" s="27"/>
      <c r="EP8" s="27"/>
      <c r="EQ8" s="27"/>
      <c r="ER8" s="27"/>
      <c r="ES8" s="27"/>
      <c r="ET8" s="27"/>
      <c r="EU8" s="27"/>
      <c r="EV8" s="27"/>
      <c r="EW8" s="27"/>
      <c r="EX8" s="27"/>
      <c r="EY8" s="27"/>
      <c r="EZ8" s="27"/>
      <c r="FA8" s="27"/>
      <c r="FB8" s="27"/>
      <c r="FC8" s="27"/>
      <c r="FD8" s="27"/>
      <c r="FE8" s="27"/>
      <c r="FF8" s="27"/>
      <c r="FG8" s="27"/>
      <c r="FH8" s="27"/>
      <c r="FI8" s="27"/>
      <c r="FJ8" s="27"/>
      <c r="FK8" s="27"/>
      <c r="FL8" s="27"/>
      <c r="FM8" s="27"/>
      <c r="FN8" s="27"/>
      <c r="FO8" s="27"/>
      <c r="FP8" s="27"/>
      <c r="FQ8" s="27"/>
      <c r="FR8" s="27"/>
      <c r="FS8" s="27"/>
      <c r="FT8" s="27"/>
      <c r="FU8" s="27"/>
      <c r="FV8" s="27"/>
      <c r="FW8" s="27"/>
      <c r="FX8" s="27"/>
      <c r="FY8" s="27"/>
      <c r="FZ8" s="27"/>
      <c r="GA8" s="27"/>
      <c r="GB8" s="27"/>
      <c r="GC8" s="27"/>
    </row>
    <row r="9" spans="1:185" ht="16.5" customHeight="1">
      <c r="A9" s="3" t="s">
        <v>76</v>
      </c>
      <c r="B9" s="49">
        <v>3</v>
      </c>
      <c r="C9" s="50">
        <f t="shared" si="0"/>
        <v>43586</v>
      </c>
      <c r="D9" s="51">
        <f t="shared" si="1"/>
        <v>47900</v>
      </c>
      <c r="E9" s="52">
        <f>IF(AND(Master!$I$4=Master!$AF$11),"",IF(AND(D9=""),"",ROUND(12%*D9,0)))</f>
        <v>5748</v>
      </c>
      <c r="F9" s="53">
        <f>IF(AND(Master!$I$4=Master!$AF$11),"",IF(AND(D9=""),"",ROUND(8%*D9,0)))</f>
        <v>3832</v>
      </c>
      <c r="G9" s="52" t="str">
        <f t="shared" si="2"/>
        <v/>
      </c>
      <c r="H9" s="52" t="str">
        <f t="shared" si="3"/>
        <v/>
      </c>
      <c r="I9" s="54"/>
      <c r="J9" s="52" t="str">
        <f>IF(AND(C9=""),"",IF(AND($J$6=""),"",IF(AND(Master!$I$4=Master!$AF$11),"",$J$6)))</f>
        <v/>
      </c>
      <c r="K9" s="55">
        <f>IF(AND(Master!I$4=Master!$AF$11),ROUND((D9)*0.1,0),IF(AND(Master!I$5=Master!AC$3),ROUND((D9+E9)*0.1,0),""))</f>
        <v>5365</v>
      </c>
      <c r="L9" s="52" t="str">
        <f>IF(AND(C9=""),"",IF(AND($L$6=""),"",IF(AND(Master!$I$4=Master!$AF$11),"",$L$6)))</f>
        <v/>
      </c>
      <c r="M9" s="56">
        <f t="shared" si="4"/>
        <v>57480</v>
      </c>
      <c r="N9" s="52">
        <f>IF(AND(C9=""),"",IF(AND(Master!$I$4=Master!$AF$11),"",$N$6))</f>
        <v>4000</v>
      </c>
      <c r="O9" s="52">
        <f>IF(AND(C9=""),"",IF(AND(Master!$I$4=Master!$AF$11),"",IF(AND(Master!$I$5=Master!$AC$3),$O$6,"")))</f>
        <v>3575</v>
      </c>
      <c r="P9" s="55">
        <f>IF(AND(C9=""),"",IF(AND(Master!$I$4=Master!$AF$11),"",IF(AND(Master!$I$5=Master!$AC$2),"",IF(D9&lt;18001,242,IF(D9&lt;33501,402,IF(D9&lt;54001,602,800))))))</f>
        <v>602</v>
      </c>
      <c r="Q9" s="55">
        <f>IF(AND(Master!I$4=Master!$AF$11),ROUND((D9)*0.1,0),IF(AND(Master!I$5=Master!AC$3),ROUND((D9+E9)*0.1,0),""))</f>
        <v>5365</v>
      </c>
      <c r="R9" s="52">
        <f>IF(AND(C9=""),"",IF(AND($R$6=""),"",IF(AND(Master!$I$4=Master!$AF$11),"",$R$6)))</f>
        <v>2158</v>
      </c>
      <c r="S9" s="52" t="str">
        <f>IF(AND(C9=""),"",IF(AND($S$6=""),"",IF(AND(Master!$I$4=Master!$AF$11),"",$S$6)))</f>
        <v/>
      </c>
      <c r="T9" s="52" t="str">
        <f>IF(AND(C9=""),"",IF(AND($T$6=""),"",IF(AND(Master!$I$4=Master!$AF$11),"",$T$6)))</f>
        <v/>
      </c>
      <c r="U9" s="52" t="str">
        <f>IF(AND(C9=""),"",IF(AND($U$6=""),"",IF(AND(Master!$I$4=Master!$AF$11),"",$U$6)))</f>
        <v/>
      </c>
      <c r="V9" s="52">
        <f t="shared" si="5"/>
        <v>500</v>
      </c>
      <c r="W9" s="52"/>
      <c r="X9" s="52" t="str">
        <f t="shared" si="6"/>
        <v/>
      </c>
      <c r="Y9" s="58">
        <f t="shared" si="7"/>
        <v>16200</v>
      </c>
      <c r="Z9" s="59">
        <f t="shared" si="8"/>
        <v>41280</v>
      </c>
      <c r="AA9" s="60"/>
      <c r="AB9" s="61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7"/>
      <c r="DE9" s="27"/>
      <c r="DF9" s="27"/>
      <c r="DG9" s="27"/>
      <c r="DH9" s="27"/>
      <c r="DI9" s="27"/>
      <c r="DJ9" s="27"/>
      <c r="DK9" s="27"/>
      <c r="DL9" s="27"/>
      <c r="DM9" s="27"/>
      <c r="DN9" s="27"/>
      <c r="DO9" s="27"/>
      <c r="DP9" s="27"/>
      <c r="DQ9" s="27"/>
      <c r="DR9" s="27"/>
      <c r="DS9" s="27"/>
      <c r="DT9" s="27"/>
      <c r="DU9" s="27"/>
      <c r="DV9" s="27"/>
      <c r="DW9" s="27"/>
      <c r="DX9" s="27"/>
      <c r="DY9" s="27"/>
      <c r="DZ9" s="27"/>
      <c r="EA9" s="27"/>
      <c r="EB9" s="27"/>
      <c r="EC9" s="27"/>
      <c r="ED9" s="27"/>
      <c r="EE9" s="27"/>
      <c r="EF9" s="27"/>
      <c r="EG9" s="27"/>
      <c r="EH9" s="27"/>
      <c r="EI9" s="27"/>
      <c r="EJ9" s="27"/>
      <c r="EK9" s="27"/>
      <c r="EL9" s="27"/>
      <c r="EM9" s="27"/>
      <c r="EN9" s="27"/>
      <c r="EO9" s="27"/>
      <c r="EP9" s="27"/>
      <c r="EQ9" s="27"/>
      <c r="ER9" s="27"/>
      <c r="ES9" s="27"/>
      <c r="ET9" s="27"/>
      <c r="EU9" s="27"/>
      <c r="EV9" s="27"/>
      <c r="EW9" s="27"/>
      <c r="EX9" s="27"/>
      <c r="EY9" s="27"/>
      <c r="EZ9" s="27"/>
      <c r="FA9" s="27"/>
      <c r="FB9" s="27"/>
      <c r="FC9" s="27"/>
      <c r="FD9" s="27"/>
      <c r="FE9" s="27"/>
      <c r="FF9" s="27"/>
      <c r="FG9" s="27"/>
      <c r="FH9" s="27"/>
      <c r="FI9" s="27"/>
      <c r="FJ9" s="27"/>
      <c r="FK9" s="27"/>
      <c r="FL9" s="27"/>
      <c r="FM9" s="27"/>
      <c r="FN9" s="27"/>
      <c r="FO9" s="27"/>
      <c r="FP9" s="27"/>
      <c r="FQ9" s="27"/>
      <c r="FR9" s="27"/>
      <c r="FS9" s="27"/>
      <c r="FT9" s="27"/>
      <c r="FU9" s="27"/>
      <c r="FV9" s="27"/>
      <c r="FW9" s="27"/>
      <c r="FX9" s="27"/>
      <c r="FY9" s="27"/>
      <c r="FZ9" s="27"/>
      <c r="GA9" s="27"/>
      <c r="GB9" s="27"/>
      <c r="GC9" s="27"/>
    </row>
    <row r="10" spans="1:185" ht="16.5" customHeight="1">
      <c r="A10" s="13" t="s">
        <v>77</v>
      </c>
      <c r="B10" s="49">
        <v>4</v>
      </c>
      <c r="C10" s="50">
        <f t="shared" si="0"/>
        <v>43617</v>
      </c>
      <c r="D10" s="51">
        <f t="shared" si="1"/>
        <v>47900</v>
      </c>
      <c r="E10" s="52">
        <f>IF(AND(Master!$I$4=Master!$AF$11),"",IF(AND(D10=""),"",ROUND(12%*D10,0)))</f>
        <v>5748</v>
      </c>
      <c r="F10" s="53">
        <f>IF(AND(Master!$I$4=Master!$AF$11),"",IF(AND(D10=""),"",ROUND(8%*D10,0)))</f>
        <v>3832</v>
      </c>
      <c r="G10" s="52" t="str">
        <f t="shared" si="2"/>
        <v/>
      </c>
      <c r="H10" s="52" t="str">
        <f t="shared" si="3"/>
        <v/>
      </c>
      <c r="I10" s="54"/>
      <c r="J10" s="52" t="str">
        <f>IF(AND(C10=""),"",IF(AND($J$6=""),"",IF(AND(Master!$I$4=Master!$AF$11),"",$J$6)))</f>
        <v/>
      </c>
      <c r="K10" s="55">
        <f>IF(AND(Master!I$4=Master!$AF$11),ROUND((D10)*0.1,0),IF(AND(Master!I$5=Master!AC$3),ROUND((D10+E10)*0.1,0),""))</f>
        <v>5365</v>
      </c>
      <c r="L10" s="52" t="str">
        <f>IF(AND(C10=""),"",IF(AND($L$6=""),"",IF(AND(Master!$I$4=Master!$AF$11),"",$L$6)))</f>
        <v/>
      </c>
      <c r="M10" s="56">
        <f t="shared" si="4"/>
        <v>57480</v>
      </c>
      <c r="N10" s="52">
        <f>IF(AND(C10=""),"",IF(AND(Master!$I$4=Master!$AF$11),"",$N$6))</f>
        <v>4000</v>
      </c>
      <c r="O10" s="52">
        <f>IF(AND(C10=""),"",IF(AND(Master!$I$4=Master!$AF$11),"",IF(AND(Master!$I$5=Master!$AC$3),$O$6,"")))</f>
        <v>3575</v>
      </c>
      <c r="P10" s="55">
        <f>IF(AND(C10=""),"",IF(AND(Master!$I$4=Master!$AF$11),"",IF(AND(Master!$I$5=Master!$AC$2),"",IF(D10&lt;18001,242,IF(D10&lt;33501,402,IF(D10&lt;54001,602,800))))))</f>
        <v>602</v>
      </c>
      <c r="Q10" s="55">
        <f>IF(AND(Master!I$4=Master!$AF$11),ROUND((D10)*0.1,0),IF(AND(Master!I$5=Master!AC$3),ROUND((D10+E10)*0.1,0),""))</f>
        <v>5365</v>
      </c>
      <c r="R10" s="52">
        <f>IF(AND(C10=""),"",IF(AND($R$6=""),"",IF(AND(Master!$I$4=Master!$AF$11),"",$R$6)))</f>
        <v>2158</v>
      </c>
      <c r="S10" s="52" t="str">
        <f>IF(AND(C10=""),"",IF(AND($S$6=""),"",IF(AND(Master!$I$4=Master!$AF$11),"",$S$6)))</f>
        <v/>
      </c>
      <c r="T10" s="52" t="str">
        <f>IF(AND(C10=""),"",IF(AND($T$6=""),"",IF(AND(Master!$I$4=Master!$AF$11),"",$T$6)))</f>
        <v/>
      </c>
      <c r="U10" s="52" t="str">
        <f>IF(AND(C10=""),"",IF(AND($U$6=""),"",IF(AND(Master!$I$4=Master!$AF$11),"",$U$6)))</f>
        <v/>
      </c>
      <c r="V10" s="52">
        <f t="shared" si="5"/>
        <v>500</v>
      </c>
      <c r="W10" s="52"/>
      <c r="X10" s="52" t="str">
        <f t="shared" si="6"/>
        <v/>
      </c>
      <c r="Y10" s="58">
        <f t="shared" si="7"/>
        <v>16200</v>
      </c>
      <c r="Z10" s="59">
        <f t="shared" si="8"/>
        <v>41280</v>
      </c>
      <c r="AA10" s="60">
        <v>31093</v>
      </c>
      <c r="AB10" s="61">
        <v>43293</v>
      </c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63"/>
      <c r="AW10" s="64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7"/>
      <c r="DT10" s="27"/>
      <c r="DU10" s="27"/>
      <c r="DV10" s="27"/>
      <c r="DW10" s="27"/>
      <c r="DX10" s="27"/>
      <c r="DY10" s="27"/>
      <c r="DZ10" s="27"/>
      <c r="EA10" s="27"/>
      <c r="EB10" s="27"/>
      <c r="EC10" s="27"/>
      <c r="ED10" s="27"/>
      <c r="EE10" s="27"/>
      <c r="EF10" s="27"/>
      <c r="EG10" s="27"/>
      <c r="EH10" s="27"/>
      <c r="EI10" s="27"/>
      <c r="EJ10" s="27"/>
      <c r="EK10" s="27"/>
      <c r="EL10" s="27"/>
      <c r="EM10" s="27"/>
      <c r="EN10" s="27"/>
      <c r="EO10" s="27"/>
      <c r="EP10" s="27"/>
      <c r="EQ10" s="27"/>
      <c r="ER10" s="27"/>
      <c r="ES10" s="27"/>
      <c r="ET10" s="27"/>
      <c r="EU10" s="27"/>
      <c r="EV10" s="27"/>
      <c r="EW10" s="27"/>
      <c r="EX10" s="27"/>
      <c r="EY10" s="27"/>
      <c r="EZ10" s="27"/>
      <c r="FA10" s="27"/>
      <c r="FB10" s="27"/>
      <c r="FC10" s="27"/>
      <c r="FD10" s="27"/>
      <c r="FE10" s="27"/>
      <c r="FF10" s="27"/>
      <c r="FG10" s="27"/>
      <c r="FH10" s="27"/>
      <c r="FI10" s="27"/>
      <c r="FJ10" s="27"/>
      <c r="FK10" s="27"/>
      <c r="FL10" s="27"/>
      <c r="FM10" s="27"/>
      <c r="FN10" s="27"/>
      <c r="FO10" s="27"/>
      <c r="FP10" s="27"/>
      <c r="FQ10" s="27"/>
      <c r="FR10" s="27"/>
      <c r="FS10" s="27"/>
      <c r="FT10" s="27"/>
      <c r="FU10" s="27"/>
      <c r="FV10" s="27"/>
      <c r="FW10" s="27"/>
      <c r="FX10" s="27"/>
      <c r="FY10" s="27"/>
      <c r="FZ10" s="27"/>
      <c r="GA10" s="27"/>
      <c r="GB10" s="27"/>
      <c r="GC10" s="27"/>
    </row>
    <row r="11" spans="1:185" ht="16.5" customHeight="1">
      <c r="A11" s="3" t="s">
        <v>78</v>
      </c>
      <c r="B11" s="49">
        <v>5</v>
      </c>
      <c r="C11" s="50">
        <f t="shared" si="0"/>
        <v>43647</v>
      </c>
      <c r="D11" s="51">
        <f t="shared" si="1"/>
        <v>49300</v>
      </c>
      <c r="E11" s="52">
        <f>IF(AND(Master!$I$4=Master!$AF$11),"",IF(AND(D11=""),"",ROUND(12%*D11,0)))</f>
        <v>5916</v>
      </c>
      <c r="F11" s="53">
        <f>IF(AND(Master!$I$4=Master!$AF$11),"",IF(AND(D11=""),"",ROUND(8%*D11,0)))</f>
        <v>3944</v>
      </c>
      <c r="G11" s="52" t="str">
        <f t="shared" si="2"/>
        <v/>
      </c>
      <c r="H11" s="52" t="str">
        <f t="shared" si="3"/>
        <v/>
      </c>
      <c r="I11" s="54"/>
      <c r="J11" s="52" t="str">
        <f>IF(AND(C11=""),"",IF(AND($J$6=""),"",IF(AND(Master!$I$4=Master!$AF$11),"",$J$6)))</f>
        <v/>
      </c>
      <c r="K11" s="55">
        <f>IF(AND(Master!I$4=Master!$AF$11),ROUND((D11)*0.1,0),IF(AND(Master!I$5=Master!AC$3),ROUND((D11+E11)*0.1,0),""))</f>
        <v>5522</v>
      </c>
      <c r="L11" s="52" t="str">
        <f>IF(AND(C11=""),"",IF(AND($L$6=""),"",IF(AND(Master!$I$4=Master!$AF$11),"",$L$6)))</f>
        <v/>
      </c>
      <c r="M11" s="56">
        <f t="shared" si="4"/>
        <v>59160</v>
      </c>
      <c r="N11" s="52">
        <f>IF(AND(C11=""),"",IF(AND(Master!$I$4=Master!$AF$11),"",$N$6))</f>
        <v>4000</v>
      </c>
      <c r="O11" s="52">
        <f>IF(AND(C11=""),"",IF(AND(Master!$I$4=Master!$AF$11),"",IF(AND(Master!$I$5=Master!$AC$3),$O$6,"")))</f>
        <v>3575</v>
      </c>
      <c r="P11" s="55">
        <f>IF(AND(C11=""),"",IF(AND(Master!$I$4=Master!$AF$11),"",IF(AND(Master!$I$5=Master!$AC$2),"",IF(D11&lt;18001,242,IF(D11&lt;33501,402,IF(D11&lt;54001,602,800))))))</f>
        <v>602</v>
      </c>
      <c r="Q11" s="55">
        <f>IF(AND(Master!I$4=Master!$AF$11),ROUND((D11)*0.1,0),IF(AND(Master!I$5=Master!AC$3),ROUND((D11+E11)*0.1,0),""))</f>
        <v>5522</v>
      </c>
      <c r="R11" s="52">
        <f>IF(AND(C11=""),"",IF(AND($R$6=""),"",IF(AND(Master!$I$4=Master!$AF$11),"",$R$6)))</f>
        <v>2158</v>
      </c>
      <c r="S11" s="52" t="str">
        <f>IF(AND(C11=""),"",IF(AND($S$6=""),"",IF(AND(Master!$I$4=Master!$AF$11),"",$S$6)))</f>
        <v/>
      </c>
      <c r="T11" s="52" t="str">
        <f>IF(AND(C11=""),"",IF(AND($T$6=""),"",IF(AND(Master!$I$4=Master!$AF$11),"",$T$6)))</f>
        <v/>
      </c>
      <c r="U11" s="52" t="str">
        <f>IF(AND(C11=""),"",IF(AND($U$6=""),"",IF(AND(Master!$I$4=Master!$AF$11),"",$U$6)))</f>
        <v/>
      </c>
      <c r="V11" s="52">
        <f t="shared" si="5"/>
        <v>500</v>
      </c>
      <c r="W11" s="52"/>
      <c r="X11" s="52" t="str">
        <f t="shared" si="6"/>
        <v/>
      </c>
      <c r="Y11" s="58">
        <f t="shared" si="7"/>
        <v>16357</v>
      </c>
      <c r="Z11" s="59">
        <f t="shared" si="8"/>
        <v>42803</v>
      </c>
      <c r="AA11" s="60">
        <v>36066</v>
      </c>
      <c r="AB11" s="61">
        <v>43313</v>
      </c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65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7"/>
      <c r="DC11" s="27"/>
      <c r="DD11" s="27"/>
      <c r="DE11" s="27"/>
      <c r="DF11" s="27"/>
      <c r="DG11" s="27"/>
      <c r="DH11" s="27"/>
      <c r="DI11" s="27"/>
      <c r="DJ11" s="27"/>
      <c r="DK11" s="27"/>
      <c r="DL11" s="27"/>
      <c r="DM11" s="27"/>
      <c r="DN11" s="27"/>
      <c r="DO11" s="27"/>
      <c r="DP11" s="27"/>
      <c r="DQ11" s="27"/>
      <c r="DR11" s="27"/>
      <c r="DS11" s="27"/>
      <c r="DT11" s="27"/>
      <c r="DU11" s="27"/>
      <c r="DV11" s="27"/>
      <c r="DW11" s="27"/>
      <c r="DX11" s="27"/>
      <c r="DY11" s="27"/>
      <c r="DZ11" s="27"/>
      <c r="EA11" s="27"/>
      <c r="EB11" s="27"/>
      <c r="EC11" s="27"/>
      <c r="ED11" s="27"/>
      <c r="EE11" s="27"/>
      <c r="EF11" s="27"/>
      <c r="EG11" s="27"/>
      <c r="EH11" s="27"/>
      <c r="EI11" s="27"/>
      <c r="EJ11" s="27"/>
      <c r="EK11" s="27"/>
      <c r="EL11" s="27"/>
      <c r="EM11" s="27"/>
      <c r="EN11" s="27"/>
      <c r="EO11" s="27"/>
      <c r="EP11" s="27"/>
      <c r="EQ11" s="27"/>
      <c r="ER11" s="27"/>
      <c r="ES11" s="27"/>
      <c r="ET11" s="27"/>
      <c r="EU11" s="27"/>
      <c r="EV11" s="27"/>
      <c r="EW11" s="27"/>
      <c r="EX11" s="27"/>
      <c r="EY11" s="27"/>
      <c r="EZ11" s="27"/>
      <c r="FA11" s="27"/>
      <c r="FB11" s="27"/>
      <c r="FC11" s="27"/>
      <c r="FD11" s="27"/>
      <c r="FE11" s="27"/>
      <c r="FF11" s="27"/>
      <c r="FG11" s="27"/>
      <c r="FH11" s="27"/>
      <c r="FI11" s="27"/>
      <c r="FJ11" s="27"/>
      <c r="FK11" s="27"/>
      <c r="FL11" s="27"/>
      <c r="FM11" s="27"/>
      <c r="FN11" s="27"/>
      <c r="FO11" s="27"/>
      <c r="FP11" s="27"/>
      <c r="FQ11" s="27"/>
      <c r="FR11" s="27"/>
      <c r="FS11" s="27"/>
      <c r="FT11" s="27"/>
      <c r="FU11" s="27"/>
      <c r="FV11" s="27"/>
      <c r="FW11" s="27"/>
      <c r="FX11" s="27"/>
      <c r="FY11" s="27"/>
      <c r="FZ11" s="27"/>
      <c r="GA11" s="27"/>
      <c r="GB11" s="27"/>
      <c r="GC11" s="27"/>
    </row>
    <row r="12" spans="1:185" ht="16.5" customHeight="1">
      <c r="A12" s="13" t="s">
        <v>79</v>
      </c>
      <c r="B12" s="49">
        <v>6</v>
      </c>
      <c r="C12" s="50">
        <f t="shared" si="0"/>
        <v>43678</v>
      </c>
      <c r="D12" s="51">
        <f t="shared" si="1"/>
        <v>49300</v>
      </c>
      <c r="E12" s="52">
        <f>IF(AND(Master!$I$4=Master!$AF$11),"",IF(AND(D12=""),"",ROUND(12%*D12,0)))</f>
        <v>5916</v>
      </c>
      <c r="F12" s="53">
        <f>IF(AND(Master!$I$4=Master!$AF$11),"",IF(AND(D12=""),"",ROUND(8%*D12,0)))</f>
        <v>3944</v>
      </c>
      <c r="G12" s="52" t="str">
        <f t="shared" si="2"/>
        <v/>
      </c>
      <c r="H12" s="52" t="str">
        <f t="shared" si="3"/>
        <v/>
      </c>
      <c r="I12" s="54"/>
      <c r="J12" s="52" t="str">
        <f>IF(AND(C12=""),"",IF(AND($J$6=""),"",IF(AND(Master!$I$4=Master!$AF$11),"",$J$6)))</f>
        <v/>
      </c>
      <c r="K12" s="55">
        <f>IF(AND(Master!I$4=Master!$AF$11),ROUND((D12)*0.1,0),IF(AND(Master!I$5=Master!AC$3),ROUND((D12+E12)*0.1,0),""))</f>
        <v>5522</v>
      </c>
      <c r="L12" s="52" t="str">
        <f>IF(AND(C12=""),"",IF(AND($L$6=""),"",IF(AND(Master!$I$4=Master!$AF$11),"",$L$6)))</f>
        <v/>
      </c>
      <c r="M12" s="56">
        <f t="shared" si="4"/>
        <v>59160</v>
      </c>
      <c r="N12" s="52">
        <f>IF(AND(C12=""),"",IF(AND(Master!$I$4=Master!$AF$11),"",$N$6))</f>
        <v>4000</v>
      </c>
      <c r="O12" s="52">
        <f>IF(AND(C12=""),"",IF(AND(Master!$I$4=Master!$AF$11),"",IF(AND(Master!$I$5=Master!$AC$3),$O$6,"")))</f>
        <v>3575</v>
      </c>
      <c r="P12" s="55">
        <f>IF(AND(C12=""),"",IF(AND(Master!$I$4=Master!$AF$11),"",IF(AND(Master!$I$5=Master!$AC$2),"",IF(D12&lt;18001,242,IF(D12&lt;33501,402,IF(D12&lt;54001,602,800))))))</f>
        <v>602</v>
      </c>
      <c r="Q12" s="55">
        <f>IF(AND(Master!I$4=Master!$AF$11),ROUND((D12)*0.1,0),IF(AND(Master!I$5=Master!AC$3),ROUND((D12+E12)*0.1,0),""))</f>
        <v>5522</v>
      </c>
      <c r="R12" s="52">
        <f>IF(AND(C12=""),"",IF(AND($R$6=""),"",IF(AND(Master!$I$4=Master!$AF$11),"",$R$6)))</f>
        <v>2158</v>
      </c>
      <c r="S12" s="52" t="str">
        <f>IF(AND(C12=""),"",IF(AND($S$6=""),"",IF(AND(Master!$I$4=Master!$AF$11),"",$S$6)))</f>
        <v/>
      </c>
      <c r="T12" s="52" t="str">
        <f>IF(AND(C12=""),"",IF(AND($T$6=""),"",IF(AND(Master!$I$4=Master!$AF$11),"",$T$6)))</f>
        <v/>
      </c>
      <c r="U12" s="52" t="str">
        <f>IF(AND(C12=""),"",IF(AND($U$6=""),"",IF(AND(Master!$I$4=Master!$AF$11),"",$U$6)))</f>
        <v/>
      </c>
      <c r="V12" s="52">
        <f t="shared" si="5"/>
        <v>500</v>
      </c>
      <c r="W12" s="52"/>
      <c r="X12" s="52" t="str">
        <f t="shared" si="6"/>
        <v/>
      </c>
      <c r="Y12" s="58">
        <f t="shared" si="7"/>
        <v>16357</v>
      </c>
      <c r="Z12" s="59">
        <f t="shared" si="8"/>
        <v>42803</v>
      </c>
      <c r="AA12" s="60">
        <v>51985</v>
      </c>
      <c r="AB12" s="61">
        <v>43344</v>
      </c>
      <c r="AC12" s="27"/>
      <c r="AD12" s="27"/>
      <c r="AE12" s="27"/>
      <c r="AF12" s="27"/>
      <c r="AG12" s="27"/>
      <c r="AH12" s="27"/>
      <c r="AI12" s="27"/>
      <c r="AJ12" s="27" t="s">
        <v>74</v>
      </c>
      <c r="AK12" s="66">
        <v>43525</v>
      </c>
      <c r="AL12" s="23">
        <v>3</v>
      </c>
      <c r="AM12" s="23"/>
      <c r="AN12" s="67">
        <f>$E$2</f>
        <v>47900</v>
      </c>
      <c r="AO12" s="68">
        <f>IF(AND(AK12&lt;$AM$16),"",IF(AND(AK12&gt;$AM$17),"",AN12))</f>
        <v>47900</v>
      </c>
      <c r="AP12" s="27">
        <f>ROUND(12%*AN12,0)</f>
        <v>5748</v>
      </c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/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/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/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/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/>
      <c r="FQ12" s="27"/>
      <c r="FR12" s="27"/>
      <c r="FS12" s="27"/>
      <c r="FT12" s="27"/>
      <c r="FU12" s="27"/>
      <c r="FV12" s="27"/>
      <c r="FW12" s="27"/>
      <c r="FX12" s="27"/>
      <c r="FY12" s="27"/>
      <c r="FZ12" s="27"/>
      <c r="GA12" s="27"/>
      <c r="GB12" s="27"/>
      <c r="GC12" s="27"/>
    </row>
    <row r="13" spans="1:185" ht="16.5" customHeight="1">
      <c r="A13" s="3" t="s">
        <v>80</v>
      </c>
      <c r="B13" s="49">
        <v>7</v>
      </c>
      <c r="C13" s="50">
        <f t="shared" si="0"/>
        <v>43709</v>
      </c>
      <c r="D13" s="51">
        <f t="shared" si="1"/>
        <v>49300</v>
      </c>
      <c r="E13" s="52">
        <f>IF(AND(Master!$I$4=Master!$AF$11),"",IF(AND(D13=""),"",ROUND(12%*D13,0)))</f>
        <v>5916</v>
      </c>
      <c r="F13" s="53">
        <f>IF(AND(Master!$I$4=Master!$AF$11),"",IF(AND(D13=""),"",ROUND(8%*D13,0)))</f>
        <v>3944</v>
      </c>
      <c r="G13" s="52" t="str">
        <f t="shared" si="2"/>
        <v/>
      </c>
      <c r="H13" s="52" t="str">
        <f t="shared" si="3"/>
        <v/>
      </c>
      <c r="I13" s="54"/>
      <c r="J13" s="52" t="str">
        <f>IF(AND(C13=""),"",IF(AND($J$6=""),"",IF(AND(Master!$I$4=Master!$AF$11),"",$J$6)))</f>
        <v/>
      </c>
      <c r="K13" s="55">
        <f>IF(AND(Master!I$4=Master!$AF$11),ROUND((D13)*0.1,0),IF(AND(Master!I$5=Master!AC$3),ROUND((D13+E13)*0.1,0),""))</f>
        <v>5522</v>
      </c>
      <c r="L13" s="52" t="str">
        <f>IF(AND(C13=""),"",IF(AND($L$6=""),"",IF(AND(Master!$I$4=Master!$AF$11),"",$L$6)))</f>
        <v/>
      </c>
      <c r="M13" s="56">
        <f t="shared" si="4"/>
        <v>59160</v>
      </c>
      <c r="N13" s="52">
        <f>IF(AND(C13=""),"",IF(AND(Master!$I$4=Master!$AF$11),"",$N$6))</f>
        <v>4000</v>
      </c>
      <c r="O13" s="52">
        <f>IF(AND(C13=""),"",IF(AND(Master!$I$4=Master!$AF$11),"",IF(AND(Master!$I$5=Master!$AC$3),$O$6,"")))</f>
        <v>3575</v>
      </c>
      <c r="P13" s="55">
        <f>IF(AND(C13=""),"",IF(AND(Master!$I$4=Master!$AF$11),"",IF(AND(Master!$I$5=Master!$AC$2),"",IF(D13&lt;18001,242,IF(D13&lt;33501,402,IF(D13&lt;54001,602,800))))))</f>
        <v>602</v>
      </c>
      <c r="Q13" s="55">
        <f>IF(AND(Master!I$4=Master!$AF$11),ROUND((D13)*0.1,0),IF(AND(Master!I$5=Master!AC$3),ROUND((D13+E13)*0.1,0),""))</f>
        <v>5522</v>
      </c>
      <c r="R13" s="52">
        <f>IF(AND(C13=""),"",IF(AND($R$6=""),"",IF(AND(Master!$I$4=Master!$AF$11),"",$R$6)))</f>
        <v>2158</v>
      </c>
      <c r="S13" s="52" t="str">
        <f>IF(AND(C13=""),"",IF(AND($S$6=""),"",IF(AND(Master!$I$4=Master!$AF$11),"",$S$6)))</f>
        <v/>
      </c>
      <c r="T13" s="52" t="str">
        <f>IF(AND(C13=""),"",IF(AND($T$6=""),"",IF(AND(Master!$I$4=Master!$AF$11),"",$T$6)))</f>
        <v/>
      </c>
      <c r="U13" s="52" t="str">
        <f>IF(AND(C13=""),"",IF(AND($U$6=""),"",IF(AND(Master!$I$4=Master!$AF$11),"",$U$6)))</f>
        <v/>
      </c>
      <c r="V13" s="52">
        <f t="shared" si="5"/>
        <v>500</v>
      </c>
      <c r="W13" s="52"/>
      <c r="X13" s="52" t="str">
        <f t="shared" si="6"/>
        <v/>
      </c>
      <c r="Y13" s="58">
        <f t="shared" si="7"/>
        <v>16357</v>
      </c>
      <c r="Z13" s="59">
        <f t="shared" si="8"/>
        <v>42803</v>
      </c>
      <c r="AA13" s="60">
        <v>61201</v>
      </c>
      <c r="AB13" s="61">
        <v>43377</v>
      </c>
      <c r="AC13" s="27"/>
      <c r="AD13" s="27"/>
      <c r="AE13" s="27"/>
      <c r="AF13" s="27"/>
      <c r="AG13" s="27"/>
      <c r="AH13" s="27"/>
      <c r="AI13" s="27"/>
      <c r="AJ13" s="27" t="s">
        <v>75</v>
      </c>
      <c r="AK13" s="66">
        <v>43556</v>
      </c>
      <c r="AL13" s="23">
        <v>4</v>
      </c>
      <c r="AM13" s="23"/>
      <c r="AN13" s="67">
        <f t="shared" ref="AN13:AN15" si="9">$E$2</f>
        <v>47900</v>
      </c>
      <c r="AO13" s="68">
        <f t="shared" ref="AO13:AO24" si="10">IF(AND(AK13&lt;$AM$16),"",IF(AND(AK13&gt;$AM$17),"",AN13))</f>
        <v>47900</v>
      </c>
      <c r="AP13" s="27">
        <f t="shared" ref="AP13:AP23" si="11">ROUND(12%*AN13,0)</f>
        <v>5748</v>
      </c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/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/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/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/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/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/>
      <c r="FQ13" s="27"/>
      <c r="FR13" s="27"/>
      <c r="FS13" s="27"/>
      <c r="FT13" s="27"/>
      <c r="FU13" s="27"/>
      <c r="FV13" s="27"/>
      <c r="FW13" s="27"/>
      <c r="FX13" s="27"/>
      <c r="FY13" s="27"/>
      <c r="FZ13" s="27"/>
      <c r="GA13" s="27"/>
      <c r="GB13" s="27"/>
      <c r="GC13" s="27"/>
    </row>
    <row r="14" spans="1:185" ht="16.5" customHeight="1">
      <c r="A14" s="13" t="s">
        <v>81</v>
      </c>
      <c r="B14" s="49">
        <v>8</v>
      </c>
      <c r="C14" s="50">
        <f t="shared" si="0"/>
        <v>43739</v>
      </c>
      <c r="D14" s="51">
        <f t="shared" si="1"/>
        <v>49300</v>
      </c>
      <c r="E14" s="52">
        <f>IF(AND(Master!$I$4=Master!$AF$11),"",IF(AND(D14=""),"",ROUND(12%*D14,0)))</f>
        <v>5916</v>
      </c>
      <c r="F14" s="53">
        <f>IF(AND(Master!$I$4=Master!$AF$11),"",IF(AND(D14=""),"",ROUND(8%*D14,0)))</f>
        <v>3944</v>
      </c>
      <c r="G14" s="52" t="str">
        <f t="shared" si="2"/>
        <v/>
      </c>
      <c r="H14" s="52" t="str">
        <f t="shared" si="3"/>
        <v/>
      </c>
      <c r="I14" s="54"/>
      <c r="J14" s="52" t="str">
        <f>IF(AND(C14=""),"",IF(AND($J$6=""),"",IF(AND(Master!$I$4=Master!$AF$11),"",$J$6)))</f>
        <v/>
      </c>
      <c r="K14" s="55">
        <f>IF(AND(Master!I$4=Master!$AF$11),ROUND((D14)*0.1,0),IF(AND(Master!I$5=Master!AC$3),ROUND((D14+E14)*0.1,0),""))</f>
        <v>5522</v>
      </c>
      <c r="L14" s="52" t="str">
        <f>IF(AND(C14=""),"",IF(AND($L$6=""),"",IF(AND(Master!$I$4=Master!$AF$11),"",$L$6)))</f>
        <v/>
      </c>
      <c r="M14" s="56">
        <f t="shared" si="4"/>
        <v>59160</v>
      </c>
      <c r="N14" s="52">
        <f>IF(AND(C14=""),"",IF(AND(Master!$I$4=Master!$AF$11),"",$N$6))</f>
        <v>4000</v>
      </c>
      <c r="O14" s="52">
        <f>IF(AND(C14=""),"",IF(AND(Master!$I$4=Master!$AF$11),"",IF(AND(Master!$I$5=Master!$AC$3),$O$6,"")))</f>
        <v>3575</v>
      </c>
      <c r="P14" s="55">
        <f>IF(AND(C14=""),"",IF(AND(Master!$I$4=Master!$AF$11),"",IF(AND(Master!$I$5=Master!$AC$2),"",IF(D14&lt;18001,242,IF(D14&lt;33501,402,IF(D14&lt;54001,602,800))))))</f>
        <v>602</v>
      </c>
      <c r="Q14" s="55">
        <f>IF(AND(Master!I$4=Master!$AF$11),ROUND((D14)*0.1,0),IF(AND(Master!I$5=Master!AC$3),ROUND((D14+E14)*0.1,0),""))</f>
        <v>5522</v>
      </c>
      <c r="R14" s="52">
        <f>IF(AND(C14=""),"",IF(AND($R$6=""),"",IF(AND(Master!$I$4=Master!$AF$11),"",$R$6)))</f>
        <v>2158</v>
      </c>
      <c r="S14" s="52" t="str">
        <f>IF(AND(C14=""),"",IF(AND($S$6=""),"",IF(AND(Master!$I$4=Master!$AF$11),"",$S$6)))</f>
        <v/>
      </c>
      <c r="T14" s="52" t="str">
        <f>IF(AND(C14=""),"",IF(AND($T$6=""),"",IF(AND(Master!$I$4=Master!$AF$11),"",$T$6)))</f>
        <v/>
      </c>
      <c r="U14" s="52" t="str">
        <f>IF(AND(C14=""),"",IF(AND($U$6=""),"",IF(AND(Master!$I$4=Master!$AF$11),"",$U$6)))</f>
        <v/>
      </c>
      <c r="V14" s="52">
        <f t="shared" si="5"/>
        <v>500</v>
      </c>
      <c r="W14" s="52"/>
      <c r="X14" s="52" t="str">
        <f t="shared" si="6"/>
        <v/>
      </c>
      <c r="Y14" s="58">
        <f t="shared" si="7"/>
        <v>16357</v>
      </c>
      <c r="Z14" s="59">
        <f t="shared" si="8"/>
        <v>42803</v>
      </c>
      <c r="AA14" s="60"/>
      <c r="AB14" s="61"/>
      <c r="AC14" s="27"/>
      <c r="AD14" s="27"/>
      <c r="AE14" s="27"/>
      <c r="AF14" s="27"/>
      <c r="AG14" s="27"/>
      <c r="AH14" s="27"/>
      <c r="AI14" s="27"/>
      <c r="AJ14" s="27" t="s">
        <v>76</v>
      </c>
      <c r="AK14" s="66">
        <v>43586</v>
      </c>
      <c r="AL14" s="23">
        <v>5</v>
      </c>
      <c r="AM14" s="23"/>
      <c r="AN14" s="67">
        <f t="shared" si="9"/>
        <v>47900</v>
      </c>
      <c r="AO14" s="68">
        <f t="shared" si="10"/>
        <v>47900</v>
      </c>
      <c r="AP14" s="27">
        <f t="shared" si="11"/>
        <v>5748</v>
      </c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/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/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/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/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/>
      <c r="FQ14" s="27"/>
      <c r="FR14" s="27"/>
      <c r="FS14" s="27"/>
      <c r="FT14" s="27"/>
      <c r="FU14" s="27"/>
      <c r="FV14" s="27"/>
      <c r="FW14" s="27"/>
      <c r="FX14" s="27"/>
      <c r="FY14" s="27"/>
      <c r="FZ14" s="27"/>
      <c r="GA14" s="27"/>
      <c r="GB14" s="27"/>
      <c r="GC14" s="27"/>
    </row>
    <row r="15" spans="1:185" ht="16.5" customHeight="1">
      <c r="A15" s="3" t="s">
        <v>82</v>
      </c>
      <c r="B15" s="49">
        <v>9</v>
      </c>
      <c r="C15" s="50">
        <f t="shared" si="0"/>
        <v>43770</v>
      </c>
      <c r="D15" s="51">
        <f t="shared" si="1"/>
        <v>49300</v>
      </c>
      <c r="E15" s="52">
        <f>IF(AND(Master!$I$4=Master!$AF$11),"",IF(AND(D15=""),"",ROUND(12%*D15,0)))</f>
        <v>5916</v>
      </c>
      <c r="F15" s="53">
        <f>IF(AND(Master!$I$4=Master!$AF$11),"",IF(AND(D15=""),"",ROUND(8%*D15,0)))</f>
        <v>3944</v>
      </c>
      <c r="G15" s="52" t="str">
        <f t="shared" si="2"/>
        <v/>
      </c>
      <c r="H15" s="52" t="str">
        <f t="shared" si="3"/>
        <v/>
      </c>
      <c r="I15" s="54"/>
      <c r="J15" s="52" t="str">
        <f>IF(AND(C15=""),"",IF(AND($J$6=""),"",IF(AND(Master!$I$4=Master!$AF$11),"",$J$6)))</f>
        <v/>
      </c>
      <c r="K15" s="55">
        <f>IF(AND(Master!I$4=Master!$AF$11),ROUND((D15)*0.1,0),IF(AND(Master!I$5=Master!AC$3),ROUND((D15+E15)*0.1,0),""))</f>
        <v>5522</v>
      </c>
      <c r="L15" s="52" t="str">
        <f>IF(AND(C15=""),"",IF(AND($L$6=""),"",IF(AND(Master!$I$4=Master!$AF$11),"",$L$6)))</f>
        <v/>
      </c>
      <c r="M15" s="56">
        <f t="shared" si="4"/>
        <v>59160</v>
      </c>
      <c r="N15" s="52">
        <f>IF(AND(C15=""),"",IF(AND(Master!$I$4=Master!$AF$11),"",$N$6))</f>
        <v>4000</v>
      </c>
      <c r="O15" s="52">
        <f>IF(AND(C15=""),"",IF(AND(Master!$I$4=Master!$AF$11),"",IF(AND(Master!$I$5=Master!$AC$3),$O$6,"")))</f>
        <v>3575</v>
      </c>
      <c r="P15" s="55">
        <f>IF(AND(C15=""),"",IF(AND(Master!$I$4=Master!$AF$11),"",IF(AND(Master!$I$5=Master!$AC$2),"",IF(D15&lt;18001,242,IF(D15&lt;33501,402,IF(D15&lt;54001,602,800))))))</f>
        <v>602</v>
      </c>
      <c r="Q15" s="55">
        <f>IF(AND(Master!I$4=Master!$AF$11),ROUND((D15)*0.1,0),IF(AND(Master!I$5=Master!AC$3),ROUND((D15+E15)*0.1,0),""))</f>
        <v>5522</v>
      </c>
      <c r="R15" s="52">
        <f>IF(AND(C15=""),"",IF(AND($R$6=""),"",IF(AND(Master!$I$4=Master!$AF$11),"",$R$6)))</f>
        <v>2158</v>
      </c>
      <c r="S15" s="52" t="str">
        <f>IF(AND(C15=""),"",IF(AND($S$6=""),"",IF(AND(Master!$I$4=Master!$AF$11),"",$S$6)))</f>
        <v/>
      </c>
      <c r="T15" s="52" t="str">
        <f>IF(AND(C15=""),"",IF(AND($T$6=""),"",IF(AND(Master!$I$4=Master!$AF$11),"",$T$6)))</f>
        <v/>
      </c>
      <c r="U15" s="52" t="str">
        <f>IF(AND(C15=""),"",IF(AND($U$6=""),"",IF(AND(Master!$I$4=Master!$AF$11),"",$U$6)))</f>
        <v/>
      </c>
      <c r="V15" s="52">
        <f t="shared" si="5"/>
        <v>500</v>
      </c>
      <c r="W15" s="52"/>
      <c r="X15" s="52" t="str">
        <f t="shared" si="6"/>
        <v/>
      </c>
      <c r="Y15" s="58">
        <f t="shared" si="7"/>
        <v>16357</v>
      </c>
      <c r="Z15" s="59">
        <f t="shared" si="8"/>
        <v>42803</v>
      </c>
      <c r="AA15" s="60"/>
      <c r="AB15" s="61"/>
      <c r="AC15" s="27"/>
      <c r="AD15" s="27"/>
      <c r="AE15" s="27"/>
      <c r="AF15" s="27"/>
      <c r="AG15" s="27"/>
      <c r="AH15" s="27"/>
      <c r="AI15" s="27"/>
      <c r="AJ15" s="27" t="s">
        <v>77</v>
      </c>
      <c r="AK15" s="66">
        <v>43617</v>
      </c>
      <c r="AL15" s="23">
        <v>6</v>
      </c>
      <c r="AM15" s="69">
        <f>IF(AND(E2=""),"",E2)</f>
        <v>47900</v>
      </c>
      <c r="AN15" s="67">
        <f t="shared" si="9"/>
        <v>47900</v>
      </c>
      <c r="AO15" s="68">
        <f t="shared" si="10"/>
        <v>47900</v>
      </c>
      <c r="AP15" s="27">
        <f t="shared" si="11"/>
        <v>5748</v>
      </c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/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/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/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/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/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/>
      <c r="FQ15" s="27"/>
      <c r="FR15" s="27"/>
      <c r="FS15" s="27"/>
      <c r="FT15" s="27"/>
      <c r="FU15" s="27"/>
      <c r="FV15" s="27"/>
      <c r="FW15" s="27"/>
      <c r="FX15" s="27"/>
      <c r="FY15" s="27"/>
      <c r="FZ15" s="27"/>
      <c r="GA15" s="27"/>
      <c r="GB15" s="27"/>
      <c r="GC15" s="27"/>
    </row>
    <row r="16" spans="1:185" ht="16.5" customHeight="1">
      <c r="A16" s="13" t="s">
        <v>83</v>
      </c>
      <c r="B16" s="49">
        <v>10</v>
      </c>
      <c r="C16" s="50">
        <f t="shared" si="0"/>
        <v>43800</v>
      </c>
      <c r="D16" s="51">
        <f t="shared" si="1"/>
        <v>49300</v>
      </c>
      <c r="E16" s="52">
        <f>IF(AND(Master!$I$4=Master!$AF$11),"",IF(AND(D16=""),"",ROUND(12%*D16,0)))</f>
        <v>5916</v>
      </c>
      <c r="F16" s="53">
        <f>IF(AND(Master!$I$4=Master!$AF$11),"",IF(AND(D16=""),"",ROUND(8%*D16,0)))</f>
        <v>3944</v>
      </c>
      <c r="G16" s="52" t="str">
        <f t="shared" si="2"/>
        <v/>
      </c>
      <c r="H16" s="52" t="str">
        <f t="shared" si="3"/>
        <v/>
      </c>
      <c r="I16" s="54"/>
      <c r="J16" s="52" t="str">
        <f>IF(AND(C16=""),"",IF(AND($J$6=""),"",IF(AND(Master!$I$4=Master!$AF$11),"",$J$6)))</f>
        <v/>
      </c>
      <c r="K16" s="55">
        <f>IF(AND(Master!I$4=Master!$AF$11),ROUND((D16)*0.1,0),IF(AND(Master!I$5=Master!AC$3),ROUND((D16+E16)*0.1,0),""))</f>
        <v>5522</v>
      </c>
      <c r="L16" s="52" t="str">
        <f>IF(AND(C16=""),"",IF(AND($L$6=""),"",IF(AND(Master!$I$4=Master!$AF$11),"",$L$6)))</f>
        <v/>
      </c>
      <c r="M16" s="56">
        <f t="shared" si="4"/>
        <v>59160</v>
      </c>
      <c r="N16" s="52">
        <f>IF(AND(C16=""),"",IF(AND(Master!$I$4=Master!$AF$11),"",$N$6))</f>
        <v>4000</v>
      </c>
      <c r="O16" s="52">
        <f>IF(AND(C16=""),"",IF(AND(Master!$I$4=Master!$AF$11),"",IF(AND(Master!$I$5=Master!$AC$3),$O$6,"")))</f>
        <v>3575</v>
      </c>
      <c r="P16" s="55">
        <f>IF(AND(C16=""),"",IF(AND(Master!$I$4=Master!$AF$11),"",IF(AND(Master!$I$5=Master!$AC$2),"",IF(D16&lt;18001,242,IF(D16&lt;33501,402,IF(D16&lt;54001,602,800))))))</f>
        <v>602</v>
      </c>
      <c r="Q16" s="55">
        <f>IF(AND(Master!I$4=Master!$AF$11),ROUND((D16)*0.1,0),IF(AND(Master!I$5=Master!AC$3),ROUND((D16+E16)*0.1,0),""))</f>
        <v>5522</v>
      </c>
      <c r="R16" s="52">
        <f>IF(AND(C16=""),"",IF(AND($R$6=""),"",IF(AND(Master!$I$4=Master!$AF$11),"",$R$6)))</f>
        <v>2158</v>
      </c>
      <c r="S16" s="52" t="str">
        <f>IF(AND(C16=""),"",IF(AND($S$6=""),"",IF(AND(Master!$I$4=Master!$AF$11),"",$S$6)))</f>
        <v/>
      </c>
      <c r="T16" s="52" t="str">
        <f>IF(AND(C16=""),"",IF(AND($T$6=""),"",IF(AND(Master!$I$4=Master!$AF$11),"",$T$6)))</f>
        <v/>
      </c>
      <c r="U16" s="52" t="str">
        <f>IF(AND(C16=""),"",IF(AND($U$6=""),"",IF(AND(Master!$I$4=Master!$AF$11),"",$U$6)))</f>
        <v/>
      </c>
      <c r="V16" s="52">
        <f t="shared" si="5"/>
        <v>500</v>
      </c>
      <c r="W16" s="52"/>
      <c r="X16" s="52" t="str">
        <f t="shared" si="6"/>
        <v/>
      </c>
      <c r="Y16" s="58">
        <f t="shared" si="7"/>
        <v>16357</v>
      </c>
      <c r="Z16" s="59">
        <f t="shared" si="8"/>
        <v>42803</v>
      </c>
      <c r="AA16" s="60"/>
      <c r="AB16" s="61"/>
      <c r="AC16" s="27"/>
      <c r="AD16" s="27"/>
      <c r="AE16" s="27"/>
      <c r="AF16" s="27"/>
      <c r="AG16" s="27"/>
      <c r="AH16" s="27"/>
      <c r="AI16" s="27"/>
      <c r="AJ16" s="27" t="s">
        <v>78</v>
      </c>
      <c r="AK16" s="66">
        <v>43647</v>
      </c>
      <c r="AL16" s="23">
        <v>7</v>
      </c>
      <c r="AM16" s="70">
        <f>E3</f>
        <v>43525</v>
      </c>
      <c r="AN16" s="71">
        <f>MROUND(AM15*1.03,100)</f>
        <v>49300</v>
      </c>
      <c r="AO16" s="68">
        <f t="shared" si="10"/>
        <v>49300</v>
      </c>
      <c r="AP16" s="27">
        <f t="shared" si="11"/>
        <v>5916</v>
      </c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/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/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/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/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/>
      <c r="FQ16" s="27"/>
      <c r="FR16" s="27"/>
      <c r="FS16" s="27"/>
      <c r="FT16" s="27"/>
      <c r="FU16" s="27"/>
      <c r="FV16" s="27"/>
      <c r="FW16" s="27"/>
      <c r="FX16" s="27"/>
      <c r="FY16" s="27"/>
      <c r="FZ16" s="27"/>
      <c r="GA16" s="27"/>
      <c r="GB16" s="27"/>
      <c r="GC16" s="27"/>
    </row>
    <row r="17" spans="1:185" ht="16.5" customHeight="1">
      <c r="A17" s="3" t="s">
        <v>84</v>
      </c>
      <c r="B17" s="49">
        <v>11</v>
      </c>
      <c r="C17" s="50">
        <f t="shared" si="0"/>
        <v>43831</v>
      </c>
      <c r="D17" s="51">
        <f t="shared" si="1"/>
        <v>49300</v>
      </c>
      <c r="E17" s="52">
        <f>IF(AND(Master!$I$4=Master!$AF$11),"",IF(AND(D17=""),"",ROUND(12%*D17,0)))</f>
        <v>5916</v>
      </c>
      <c r="F17" s="53">
        <f>IF(AND(Master!$I$4=Master!$AF$11),"",IF(AND(D17=""),"",ROUND(8%*D17,0)))</f>
        <v>3944</v>
      </c>
      <c r="G17" s="52" t="str">
        <f t="shared" si="2"/>
        <v/>
      </c>
      <c r="H17" s="52" t="str">
        <f t="shared" si="3"/>
        <v/>
      </c>
      <c r="I17" s="54"/>
      <c r="J17" s="52" t="str">
        <f>IF(AND(C17=""),"",IF(AND($J$6=""),"",IF(AND(Master!$I$4=Master!$AF$11),"",$J$6)))</f>
        <v/>
      </c>
      <c r="K17" s="55">
        <f>IF(AND(Master!I$4=Master!$AF$11),ROUND((D17)*0.1,0),IF(AND(Master!I$5=Master!AC$3),ROUND((D17+E17)*0.1,0),""))</f>
        <v>5522</v>
      </c>
      <c r="L17" s="52" t="str">
        <f>IF(AND(C17=""),"",IF(AND($L$6=""),"",IF(AND(Master!$I$4=Master!$AF$11),"",$L$6)))</f>
        <v/>
      </c>
      <c r="M17" s="56">
        <f t="shared" si="4"/>
        <v>59160</v>
      </c>
      <c r="N17" s="52">
        <f>IF(AND(C17=""),"",IF(AND(Master!$I$4=Master!$AF$11),"",$N$6))</f>
        <v>4000</v>
      </c>
      <c r="O17" s="52">
        <f>IF(AND(C17=""),"",IF(AND(Master!$I$4=Master!$AF$11),"",IF(AND(Master!$I$5=Master!$AC$3),$O$6,"")))</f>
        <v>3575</v>
      </c>
      <c r="P17" s="55">
        <f>IF(AND(C17=""),"",IF(AND(Master!$I$4=Master!$AF$11),"",IF(AND(Master!$I$5=Master!$AC$2),"",IF(D17&lt;18001,242,IF(D17&lt;33501,402,IF(D17&lt;54001,602,800))))))</f>
        <v>602</v>
      </c>
      <c r="Q17" s="55">
        <f>IF(AND(Master!I$4=Master!$AF$11),ROUND((D17)*0.1,0),IF(AND(Master!I$5=Master!AC$3),ROUND((D17+E17)*0.1,0),""))</f>
        <v>5522</v>
      </c>
      <c r="R17" s="52">
        <f>IF(AND(C17=""),"",IF(AND($R$6=""),"",IF(AND(Master!$I$4=Master!$AF$11),"",$R$6)))</f>
        <v>2158</v>
      </c>
      <c r="S17" s="52" t="str">
        <f>IF(AND(C17=""),"",IF(AND($S$6=""),"",IF(AND(Master!$I$4=Master!$AF$11),"",$S$6)))</f>
        <v/>
      </c>
      <c r="T17" s="52" t="str">
        <f>IF(AND(C17=""),"",IF(AND($T$6=""),"",IF(AND(Master!$I$4=Master!$AF$11),"",$T$6)))</f>
        <v/>
      </c>
      <c r="U17" s="52" t="str">
        <f>IF(AND(C17=""),"",IF(AND($U$6=""),"",IF(AND(Master!$I$4=Master!$AF$11),"",$U$6)))</f>
        <v/>
      </c>
      <c r="V17" s="52">
        <f t="shared" si="5"/>
        <v>500</v>
      </c>
      <c r="W17" s="52"/>
      <c r="X17" s="52" t="str">
        <f t="shared" si="6"/>
        <v/>
      </c>
      <c r="Y17" s="58">
        <f t="shared" si="7"/>
        <v>16357</v>
      </c>
      <c r="Z17" s="59">
        <f t="shared" si="8"/>
        <v>42803</v>
      </c>
      <c r="AA17" s="60"/>
      <c r="AB17" s="61"/>
      <c r="AC17" s="27"/>
      <c r="AD17" s="27"/>
      <c r="AE17" s="27"/>
      <c r="AF17" s="27"/>
      <c r="AG17" s="27"/>
      <c r="AH17" s="27"/>
      <c r="AI17" s="27"/>
      <c r="AJ17" s="27" t="s">
        <v>79</v>
      </c>
      <c r="AK17" s="66">
        <v>43678</v>
      </c>
      <c r="AL17" s="23">
        <v>8</v>
      </c>
      <c r="AM17" s="70">
        <f>J3</f>
        <v>43862</v>
      </c>
      <c r="AN17" s="71">
        <f>$AN$16</f>
        <v>49300</v>
      </c>
      <c r="AO17" s="68">
        <f t="shared" si="10"/>
        <v>49300</v>
      </c>
      <c r="AP17" s="27">
        <f t="shared" si="11"/>
        <v>5916</v>
      </c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/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/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/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/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/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/>
      <c r="FQ17" s="27"/>
      <c r="FR17" s="27"/>
      <c r="FS17" s="27"/>
      <c r="FT17" s="27"/>
      <c r="FU17" s="27"/>
      <c r="FV17" s="27"/>
      <c r="FW17" s="27"/>
      <c r="FX17" s="27"/>
      <c r="FY17" s="27"/>
      <c r="FZ17" s="27"/>
      <c r="GA17" s="27"/>
      <c r="GB17" s="27"/>
      <c r="GC17" s="27"/>
    </row>
    <row r="18" spans="1:185" ht="16.5" customHeight="1">
      <c r="A18" s="13" t="s">
        <v>85</v>
      </c>
      <c r="B18" s="49">
        <v>12</v>
      </c>
      <c r="C18" s="50">
        <f t="shared" si="0"/>
        <v>43862</v>
      </c>
      <c r="D18" s="51">
        <f t="shared" si="1"/>
        <v>49300</v>
      </c>
      <c r="E18" s="52">
        <f>IF(AND(Master!$I$4=Master!$AF$11),"",IF(AND(D18=""),"",ROUND(12%*D18,0)))</f>
        <v>5916</v>
      </c>
      <c r="F18" s="53">
        <f>IF(AND(Master!$I$4=Master!$AF$11),"",IF(AND(D18=""),"",ROUND(8%*D18,0)))</f>
        <v>3944</v>
      </c>
      <c r="G18" s="52" t="str">
        <f t="shared" si="2"/>
        <v/>
      </c>
      <c r="H18" s="52" t="str">
        <f t="shared" si="3"/>
        <v/>
      </c>
      <c r="I18" s="54"/>
      <c r="J18" s="52" t="str">
        <f>IF(AND(C18=""),"",IF(AND($J$6=""),"",IF(AND(Master!$I$4=Master!$AF$11),"",$J$6)))</f>
        <v/>
      </c>
      <c r="K18" s="55">
        <f>IF(AND(Master!I$4=Master!$AF$11),ROUND((D18)*0.1,0),IF(AND(Master!I$5=Master!AC$3),ROUND((D18+E18)*0.1,0),""))</f>
        <v>5522</v>
      </c>
      <c r="L18" s="52" t="str">
        <f>IF(AND(C18=""),"",IF(AND($L$6=""),"",IF(AND(Master!$I$4=Master!$AF$11),"",$L$6)))</f>
        <v/>
      </c>
      <c r="M18" s="56">
        <f t="shared" si="4"/>
        <v>59160</v>
      </c>
      <c r="N18" s="52">
        <f>IF(AND(C18=""),"",IF(AND(Master!$I$4=Master!$AF$11),"",$N$6))</f>
        <v>4000</v>
      </c>
      <c r="O18" s="52">
        <f>IF(AND(C18=""),"",IF(AND(Master!$I$4=Master!$AF$11),"",IF(AND(Master!$I$5=Master!$AC$3),$O$6,"")))</f>
        <v>3575</v>
      </c>
      <c r="P18" s="55">
        <f>IF(AND(C18=""),"",IF(AND(Master!$I$4=Master!$AF$11),"",IF(AND(Master!$I$5=Master!$AC$2),"",IF(D18&lt;18001,242,IF(D18&lt;33501,402,IF(D18&lt;54001,602,800))))))</f>
        <v>602</v>
      </c>
      <c r="Q18" s="55">
        <f>IF(AND(Master!I$4=Master!$AF$11),ROUND((D18)*0.1,0),IF(AND(Master!I$5=Master!AC$3),ROUND((D18+E18)*0.1,0),""))</f>
        <v>5522</v>
      </c>
      <c r="R18" s="52">
        <f>IF(AND(C18=""),"",IF(AND($R$6=""),"",IF(AND(Master!$I$4=Master!$AF$11),"",$R$6)))</f>
        <v>2158</v>
      </c>
      <c r="S18" s="52" t="str">
        <f>IF(AND(C18=""),"",IF(AND($S$6=""),"",IF(AND(Master!$I$4=Master!$AF$11),"",$S$6)))</f>
        <v/>
      </c>
      <c r="T18" s="52" t="str">
        <f>IF(AND(C18=""),"",IF(AND($T$6=""),"",IF(AND(Master!$I$4=Master!$AF$11),"",$T$6)))</f>
        <v/>
      </c>
      <c r="U18" s="52" t="str">
        <f>IF(AND(C18=""),"",IF(AND($U$6=""),"",IF(AND(Master!$I$4=Master!$AF$11),"",$U$6)))</f>
        <v/>
      </c>
      <c r="V18" s="52">
        <f t="shared" si="5"/>
        <v>500</v>
      </c>
      <c r="W18" s="52"/>
      <c r="X18" s="52" t="str">
        <f>IF(AND(C18=""),"",IF(AND($X$6=""),"",$X$6))</f>
        <v/>
      </c>
      <c r="Y18" s="58">
        <f t="shared" si="7"/>
        <v>16357</v>
      </c>
      <c r="Z18" s="59">
        <f t="shared" si="8"/>
        <v>42803</v>
      </c>
      <c r="AA18" s="60"/>
      <c r="AB18" s="61"/>
      <c r="AC18" s="72"/>
      <c r="AD18" s="27"/>
      <c r="AE18" s="27"/>
      <c r="AF18" s="27"/>
      <c r="AG18" s="27"/>
      <c r="AH18" s="27"/>
      <c r="AI18" s="27"/>
      <c r="AJ18" s="27" t="s">
        <v>80</v>
      </c>
      <c r="AK18" s="66">
        <v>43709</v>
      </c>
      <c r="AL18" s="23">
        <v>9</v>
      </c>
      <c r="AM18" s="23">
        <f>IF(AND(AM15=""),"",MROUND(AM15*1.03,100))</f>
        <v>49300</v>
      </c>
      <c r="AN18" s="71">
        <f t="shared" ref="AN18:AN23" si="12">$AN$16</f>
        <v>49300</v>
      </c>
      <c r="AO18" s="68">
        <f t="shared" si="10"/>
        <v>49300</v>
      </c>
      <c r="AP18" s="27">
        <f t="shared" si="11"/>
        <v>5916</v>
      </c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/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/>
      <c r="DY18" s="27"/>
      <c r="DZ18" s="27"/>
      <c r="EA18" s="27"/>
      <c r="EB18" s="27"/>
      <c r="EC18" s="27"/>
      <c r="ED18" s="27"/>
      <c r="EE18" s="27"/>
      <c r="EF18" s="27"/>
      <c r="EG18" s="27"/>
      <c r="EH18" s="27"/>
      <c r="EI18" s="27"/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/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/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/>
      <c r="FQ18" s="27"/>
      <c r="FR18" s="27"/>
      <c r="FS18" s="27"/>
      <c r="FT18" s="27"/>
      <c r="FU18" s="27"/>
      <c r="FV18" s="27"/>
      <c r="FW18" s="27"/>
      <c r="FX18" s="27"/>
      <c r="FY18" s="27"/>
      <c r="FZ18" s="27"/>
      <c r="GA18" s="27"/>
      <c r="GB18" s="27"/>
      <c r="GC18" s="27"/>
    </row>
    <row r="19" spans="1:185" s="73" customFormat="1" ht="16.5" customHeight="1">
      <c r="B19" s="49">
        <v>13</v>
      </c>
      <c r="C19" s="74" t="s">
        <v>9</v>
      </c>
      <c r="D19" s="75"/>
      <c r="E19" s="76"/>
      <c r="F19" s="77"/>
      <c r="G19" s="75"/>
      <c r="H19" s="75"/>
      <c r="I19" s="78">
        <f>IF(AND(Master!I3=""),"",IF(AND(Master!I3=Master!AB3),Master!J3,IF(AND(Master!I3=Master!AB2),"0","")))</f>
        <v>6774</v>
      </c>
      <c r="J19" s="75"/>
      <c r="K19" s="55"/>
      <c r="L19" s="75"/>
      <c r="M19" s="56">
        <f t="shared" si="4"/>
        <v>6774</v>
      </c>
      <c r="N19" s="75"/>
      <c r="O19" s="75"/>
      <c r="P19" s="55"/>
      <c r="Q19" s="55"/>
      <c r="R19" s="75"/>
      <c r="S19" s="75"/>
      <c r="T19" s="75"/>
      <c r="U19" s="75"/>
      <c r="V19" s="79"/>
      <c r="W19" s="75"/>
      <c r="X19" s="80"/>
      <c r="Y19" s="58">
        <f t="shared" si="7"/>
        <v>0</v>
      </c>
      <c r="Z19" s="59">
        <f t="shared" si="8"/>
        <v>6774</v>
      </c>
      <c r="AA19" s="81"/>
      <c r="AB19" s="82"/>
      <c r="AC19" s="83"/>
      <c r="AD19" s="83"/>
      <c r="AE19" s="83"/>
      <c r="AF19" s="83"/>
      <c r="AG19" s="83"/>
      <c r="AH19" s="83"/>
      <c r="AI19" s="83"/>
      <c r="AJ19" s="27" t="s">
        <v>81</v>
      </c>
      <c r="AK19" s="66">
        <v>43739</v>
      </c>
      <c r="AL19" s="23">
        <v>10</v>
      </c>
      <c r="AM19" s="23"/>
      <c r="AN19" s="71">
        <f t="shared" si="12"/>
        <v>49300</v>
      </c>
      <c r="AO19" s="68">
        <f t="shared" si="10"/>
        <v>49300</v>
      </c>
      <c r="AP19" s="27">
        <f t="shared" si="11"/>
        <v>5916</v>
      </c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83"/>
      <c r="BB19" s="83"/>
      <c r="BC19" s="83"/>
      <c r="BD19" s="83"/>
      <c r="BE19" s="83"/>
      <c r="BF19" s="83"/>
      <c r="BG19" s="83"/>
      <c r="BH19" s="83"/>
      <c r="BI19" s="83"/>
      <c r="BJ19" s="83"/>
      <c r="BK19" s="83"/>
      <c r="BL19" s="83"/>
      <c r="BM19" s="83"/>
      <c r="BN19" s="83"/>
      <c r="BO19" s="83"/>
      <c r="BP19" s="83"/>
      <c r="BQ19" s="83"/>
      <c r="BR19" s="83"/>
      <c r="BS19" s="83"/>
      <c r="BT19" s="83"/>
      <c r="BU19" s="83"/>
      <c r="BV19" s="83"/>
      <c r="BW19" s="83"/>
      <c r="BX19" s="83"/>
      <c r="BY19" s="83"/>
      <c r="BZ19" s="83"/>
      <c r="CA19" s="83"/>
      <c r="CB19" s="83"/>
      <c r="CC19" s="83"/>
      <c r="CD19" s="83"/>
      <c r="CE19" s="83"/>
      <c r="CF19" s="83"/>
      <c r="CG19" s="83"/>
      <c r="CH19" s="83"/>
      <c r="CI19" s="83"/>
      <c r="CJ19" s="83"/>
      <c r="CK19" s="83"/>
      <c r="CL19" s="83"/>
      <c r="CM19" s="83"/>
      <c r="CN19" s="83"/>
      <c r="CO19" s="83"/>
      <c r="CP19" s="83"/>
      <c r="CQ19" s="83"/>
      <c r="CR19" s="83"/>
      <c r="CS19" s="83"/>
      <c r="CT19" s="83"/>
      <c r="CU19" s="83"/>
      <c r="CV19" s="83"/>
      <c r="CW19" s="83"/>
      <c r="CX19" s="83"/>
      <c r="CY19" s="83"/>
      <c r="CZ19" s="83"/>
      <c r="DA19" s="83"/>
      <c r="DB19" s="83"/>
      <c r="DC19" s="83"/>
      <c r="DD19" s="83"/>
      <c r="DE19" s="83"/>
      <c r="DF19" s="83"/>
      <c r="DG19" s="83"/>
      <c r="DH19" s="83"/>
      <c r="DI19" s="83"/>
      <c r="DJ19" s="83"/>
      <c r="DK19" s="83"/>
      <c r="DL19" s="83"/>
      <c r="DM19" s="83"/>
      <c r="DN19" s="83"/>
      <c r="DO19" s="83"/>
      <c r="DP19" s="83"/>
      <c r="DQ19" s="83"/>
      <c r="DR19" s="83"/>
      <c r="DS19" s="83"/>
      <c r="DT19" s="83"/>
      <c r="DU19" s="83"/>
      <c r="DV19" s="83"/>
      <c r="DW19" s="83"/>
      <c r="DX19" s="83"/>
      <c r="DY19" s="83"/>
      <c r="DZ19" s="83"/>
      <c r="EA19" s="83"/>
      <c r="EB19" s="83"/>
      <c r="EC19" s="83"/>
      <c r="ED19" s="83"/>
      <c r="EE19" s="83"/>
      <c r="EF19" s="83"/>
      <c r="EG19" s="83"/>
      <c r="EH19" s="83"/>
      <c r="EI19" s="83"/>
      <c r="EJ19" s="83"/>
      <c r="EK19" s="83"/>
      <c r="EL19" s="83"/>
      <c r="EM19" s="83"/>
      <c r="EN19" s="83"/>
      <c r="EO19" s="83"/>
      <c r="EP19" s="83"/>
      <c r="EQ19" s="83"/>
      <c r="ER19" s="83"/>
      <c r="ES19" s="83"/>
      <c r="ET19" s="83"/>
      <c r="EU19" s="83"/>
      <c r="EV19" s="83"/>
      <c r="EW19" s="83"/>
      <c r="EX19" s="83"/>
      <c r="EY19" s="83"/>
      <c r="EZ19" s="83"/>
      <c r="FA19" s="83"/>
      <c r="FB19" s="83"/>
      <c r="FC19" s="83"/>
      <c r="FD19" s="83"/>
      <c r="FE19" s="83"/>
      <c r="FF19" s="83"/>
      <c r="FG19" s="83"/>
      <c r="FH19" s="83"/>
      <c r="FI19" s="83"/>
      <c r="FJ19" s="83"/>
      <c r="FK19" s="83"/>
      <c r="FL19" s="83"/>
      <c r="FM19" s="83"/>
      <c r="FN19" s="83"/>
      <c r="FO19" s="83"/>
      <c r="FP19" s="83"/>
      <c r="FQ19" s="83"/>
      <c r="FR19" s="83"/>
      <c r="FS19" s="83"/>
      <c r="FT19" s="83"/>
      <c r="FU19" s="83"/>
      <c r="FV19" s="83"/>
      <c r="FW19" s="83"/>
      <c r="FX19" s="83"/>
      <c r="FY19" s="83"/>
      <c r="FZ19" s="83"/>
      <c r="GA19" s="83"/>
      <c r="GB19" s="83"/>
      <c r="GC19" s="83"/>
    </row>
    <row r="20" spans="1:185" s="84" customFormat="1" ht="16.5" customHeight="1">
      <c r="B20" s="49">
        <v>14</v>
      </c>
      <c r="C20" s="50" t="s">
        <v>125</v>
      </c>
      <c r="D20" s="85">
        <f>IF(AND(Master!$I$4=Master!$AF$11),"",IF(Master!E2=Master!AB2,0,VLOOKUP(Master!I2,Bills!AJ12:AP24,5,0))/2)</f>
        <v>24650</v>
      </c>
      <c r="E20" s="53">
        <f>IF(AND(Master!$I$4=Master!$AF$11),"",IF(Master!E2=Master!AB2,0,VLOOKUP(Master!I2,Bills!AJ12:AP24,7,0))/2)</f>
        <v>2958</v>
      </c>
      <c r="F20" s="77"/>
      <c r="G20" s="75"/>
      <c r="H20" s="75"/>
      <c r="I20" s="75"/>
      <c r="J20" s="75"/>
      <c r="K20" s="55"/>
      <c r="L20" s="75"/>
      <c r="M20" s="56">
        <f t="shared" si="4"/>
        <v>27608</v>
      </c>
      <c r="N20" s="75"/>
      <c r="O20" s="55"/>
      <c r="P20" s="55"/>
      <c r="Q20" s="55"/>
      <c r="R20" s="75"/>
      <c r="S20" s="75"/>
      <c r="T20" s="75"/>
      <c r="U20" s="75"/>
      <c r="V20" s="79"/>
      <c r="W20" s="75"/>
      <c r="X20" s="80"/>
      <c r="Y20" s="58">
        <f t="shared" si="7"/>
        <v>0</v>
      </c>
      <c r="Z20" s="59">
        <f t="shared" si="8"/>
        <v>27608</v>
      </c>
      <c r="AA20" s="86"/>
      <c r="AB20" s="87"/>
      <c r="AC20" s="88"/>
      <c r="AD20" s="88"/>
      <c r="AE20" s="88"/>
      <c r="AF20" s="88"/>
      <c r="AG20" s="88"/>
      <c r="AH20" s="88"/>
      <c r="AI20" s="88"/>
      <c r="AJ20" s="27" t="s">
        <v>82</v>
      </c>
      <c r="AK20" s="66">
        <v>43770</v>
      </c>
      <c r="AL20" s="23">
        <v>11</v>
      </c>
      <c r="AM20" s="23"/>
      <c r="AN20" s="71">
        <f t="shared" si="12"/>
        <v>49300</v>
      </c>
      <c r="AO20" s="68">
        <f t="shared" si="10"/>
        <v>49300</v>
      </c>
      <c r="AP20" s="27">
        <f t="shared" si="11"/>
        <v>5916</v>
      </c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  <c r="BY20" s="88"/>
      <c r="BZ20" s="88"/>
      <c r="CA20" s="88"/>
      <c r="CB20" s="88"/>
      <c r="CC20" s="88"/>
      <c r="CD20" s="88"/>
      <c r="CE20" s="88"/>
      <c r="CF20" s="88"/>
      <c r="CG20" s="88"/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8"/>
      <c r="CT20" s="88"/>
      <c r="CU20" s="88"/>
      <c r="CV20" s="88"/>
      <c r="CW20" s="88"/>
      <c r="CX20" s="88"/>
      <c r="CY20" s="88"/>
      <c r="CZ20" s="88"/>
      <c r="DA20" s="88"/>
      <c r="DB20" s="88"/>
      <c r="DC20" s="88"/>
      <c r="DD20" s="88"/>
      <c r="DE20" s="88"/>
      <c r="DF20" s="88"/>
      <c r="DG20" s="88"/>
      <c r="DH20" s="88"/>
      <c r="DI20" s="88"/>
      <c r="DJ20" s="88"/>
      <c r="DK20" s="88"/>
      <c r="DL20" s="88"/>
      <c r="DM20" s="88"/>
      <c r="DN20" s="88"/>
      <c r="DO20" s="88"/>
      <c r="DP20" s="88"/>
      <c r="DQ20" s="88"/>
      <c r="DR20" s="88"/>
      <c r="DS20" s="88"/>
      <c r="DT20" s="88"/>
      <c r="DU20" s="88"/>
      <c r="DV20" s="88"/>
      <c r="DW20" s="88"/>
      <c r="DX20" s="88"/>
      <c r="DY20" s="88"/>
      <c r="DZ20" s="88"/>
      <c r="EA20" s="88"/>
      <c r="EB20" s="88"/>
      <c r="EC20" s="88"/>
      <c r="ED20" s="88"/>
      <c r="EE20" s="88"/>
      <c r="EF20" s="88"/>
      <c r="EG20" s="88"/>
      <c r="EH20" s="88"/>
      <c r="EI20" s="88"/>
      <c r="EJ20" s="88"/>
      <c r="EK20" s="88"/>
      <c r="EL20" s="88"/>
      <c r="EM20" s="88"/>
      <c r="EN20" s="88"/>
      <c r="EO20" s="88"/>
      <c r="EP20" s="88"/>
      <c r="EQ20" s="88"/>
      <c r="ER20" s="88"/>
      <c r="ES20" s="88"/>
      <c r="ET20" s="88"/>
      <c r="EU20" s="88"/>
      <c r="EV20" s="88"/>
      <c r="EW20" s="88"/>
      <c r="EX20" s="88"/>
      <c r="EY20" s="88"/>
      <c r="EZ20" s="88"/>
      <c r="FA20" s="88"/>
      <c r="FB20" s="88"/>
      <c r="FC20" s="88"/>
      <c r="FD20" s="88"/>
      <c r="FE20" s="88"/>
      <c r="FF20" s="88"/>
      <c r="FG20" s="88"/>
      <c r="FH20" s="88"/>
      <c r="FI20" s="88"/>
      <c r="FJ20" s="88"/>
      <c r="FK20" s="88"/>
      <c r="FL20" s="88"/>
      <c r="FM20" s="88"/>
      <c r="FN20" s="88"/>
      <c r="FO20" s="88"/>
      <c r="FP20" s="88"/>
      <c r="FQ20" s="88"/>
      <c r="FR20" s="88"/>
      <c r="FS20" s="88"/>
      <c r="FT20" s="88"/>
      <c r="FU20" s="88"/>
      <c r="FV20" s="88"/>
      <c r="FW20" s="88"/>
      <c r="FX20" s="88"/>
      <c r="FY20" s="88"/>
      <c r="FZ20" s="88"/>
      <c r="GA20" s="88"/>
      <c r="GB20" s="88"/>
      <c r="GC20" s="88"/>
    </row>
    <row r="21" spans="1:185" s="84" customFormat="1" ht="16.5" customHeight="1">
      <c r="B21" s="49">
        <v>15</v>
      </c>
      <c r="C21" s="89" t="s">
        <v>128</v>
      </c>
      <c r="D21" s="90"/>
      <c r="E21" s="52">
        <f>IF(AND(Master!$I$4=Master!$AF$11),"",(ROUND(12%*AN12,0)-ROUND(9%*AN12,0))*2)</f>
        <v>2874</v>
      </c>
      <c r="F21" s="77"/>
      <c r="G21" s="75"/>
      <c r="H21" s="75"/>
      <c r="I21" s="75"/>
      <c r="J21" s="75"/>
      <c r="K21" s="55" t="str">
        <f>IF(AND(C21=""),"",IF(AND(Master!$I$4=Master!$AF$11),"",IF(AND(Master!$I$5=Master!$AC$2),ROUND((D21+E21)*0.1,0),"")))</f>
        <v/>
      </c>
      <c r="L21" s="75"/>
      <c r="M21" s="56">
        <f t="shared" si="4"/>
        <v>2874</v>
      </c>
      <c r="N21" s="75"/>
      <c r="O21" s="55" t="str">
        <f>IF(AND(Master!$I$4=Master!$AF$11),Bills!E21,"")</f>
        <v/>
      </c>
      <c r="P21" s="55"/>
      <c r="Q21" s="55" t="str">
        <f>IF(AND(C21=""),"",IF(AND(Master!$I$4=Master!$AF$11),"",IF(AND(Master!$I$5=Master!$AC$2),ROUND((D21+E21)*0.1,0),"")))</f>
        <v/>
      </c>
      <c r="R21" s="75"/>
      <c r="S21" s="75"/>
      <c r="T21" s="75"/>
      <c r="U21" s="75"/>
      <c r="V21" s="79"/>
      <c r="W21" s="75"/>
      <c r="X21" s="80"/>
      <c r="Y21" s="58">
        <f t="shared" si="7"/>
        <v>0</v>
      </c>
      <c r="Z21" s="59">
        <f t="shared" si="8"/>
        <v>2874</v>
      </c>
      <c r="AA21" s="86"/>
      <c r="AB21" s="91"/>
      <c r="AC21" s="88"/>
      <c r="AD21" s="88"/>
      <c r="AE21" s="88"/>
      <c r="AF21" s="88"/>
      <c r="AG21" s="88"/>
      <c r="AH21" s="88"/>
      <c r="AI21" s="88"/>
      <c r="AJ21" s="27" t="s">
        <v>83</v>
      </c>
      <c r="AK21" s="66">
        <v>43800</v>
      </c>
      <c r="AL21" s="23">
        <v>12</v>
      </c>
      <c r="AM21" s="23"/>
      <c r="AN21" s="71">
        <f t="shared" si="12"/>
        <v>49300</v>
      </c>
      <c r="AO21" s="68">
        <f t="shared" si="10"/>
        <v>49300</v>
      </c>
      <c r="AP21" s="27">
        <f t="shared" si="11"/>
        <v>5916</v>
      </c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8"/>
      <c r="BU21" s="88"/>
      <c r="BV21" s="88"/>
      <c r="BW21" s="88"/>
      <c r="BX21" s="88"/>
      <c r="BY21" s="88"/>
      <c r="BZ21" s="88"/>
      <c r="CA21" s="88"/>
      <c r="CB21" s="88"/>
      <c r="CC21" s="88"/>
      <c r="CD21" s="88"/>
      <c r="CE21" s="88"/>
      <c r="CF21" s="88"/>
      <c r="CG21" s="88"/>
      <c r="CH21" s="88"/>
      <c r="CI21" s="88"/>
      <c r="CJ21" s="88"/>
      <c r="CK21" s="88"/>
      <c r="CL21" s="88"/>
      <c r="CM21" s="88"/>
      <c r="CN21" s="88"/>
      <c r="CO21" s="88"/>
      <c r="CP21" s="88"/>
      <c r="CQ21" s="88"/>
      <c r="CR21" s="88"/>
      <c r="CS21" s="88"/>
      <c r="CT21" s="88"/>
      <c r="CU21" s="88"/>
      <c r="CV21" s="88"/>
      <c r="CW21" s="88"/>
      <c r="CX21" s="88"/>
      <c r="CY21" s="88"/>
      <c r="CZ21" s="88"/>
      <c r="DA21" s="88"/>
      <c r="DB21" s="88"/>
      <c r="DC21" s="88"/>
      <c r="DD21" s="88"/>
      <c r="DE21" s="88"/>
      <c r="DF21" s="88"/>
      <c r="DG21" s="88"/>
      <c r="DH21" s="88"/>
      <c r="DI21" s="88"/>
      <c r="DJ21" s="88"/>
      <c r="DK21" s="88"/>
      <c r="DL21" s="88"/>
      <c r="DM21" s="88"/>
      <c r="DN21" s="88"/>
      <c r="DO21" s="88"/>
      <c r="DP21" s="88"/>
      <c r="DQ21" s="88"/>
      <c r="DR21" s="88"/>
      <c r="DS21" s="88"/>
      <c r="DT21" s="88"/>
      <c r="DU21" s="88"/>
      <c r="DV21" s="88"/>
      <c r="DW21" s="88"/>
      <c r="DX21" s="88"/>
      <c r="DY21" s="88"/>
      <c r="DZ21" s="88"/>
      <c r="EA21" s="88"/>
      <c r="EB21" s="88"/>
      <c r="EC21" s="88"/>
      <c r="ED21" s="88"/>
      <c r="EE21" s="88"/>
      <c r="EF21" s="88"/>
      <c r="EG21" s="88"/>
      <c r="EH21" s="88"/>
      <c r="EI21" s="88"/>
      <c r="EJ21" s="88"/>
      <c r="EK21" s="88"/>
      <c r="EL21" s="88"/>
      <c r="EM21" s="88"/>
      <c r="EN21" s="88"/>
      <c r="EO21" s="88"/>
      <c r="EP21" s="88"/>
      <c r="EQ21" s="88"/>
      <c r="ER21" s="88"/>
      <c r="ES21" s="88"/>
      <c r="ET21" s="88"/>
      <c r="EU21" s="88"/>
      <c r="EV21" s="88"/>
      <c r="EW21" s="88"/>
      <c r="EX21" s="88"/>
      <c r="EY21" s="88"/>
      <c r="EZ21" s="88"/>
      <c r="FA21" s="88"/>
      <c r="FB21" s="88"/>
      <c r="FC21" s="88"/>
      <c r="FD21" s="88"/>
      <c r="FE21" s="88"/>
      <c r="FF21" s="88"/>
      <c r="FG21" s="88"/>
      <c r="FH21" s="88"/>
      <c r="FI21" s="88"/>
      <c r="FJ21" s="88"/>
      <c r="FK21" s="88"/>
      <c r="FL21" s="88"/>
      <c r="FM21" s="88"/>
      <c r="FN21" s="88"/>
      <c r="FO21" s="88"/>
      <c r="FP21" s="88"/>
      <c r="FQ21" s="88"/>
      <c r="FR21" s="88"/>
      <c r="FS21" s="88"/>
      <c r="FT21" s="88"/>
      <c r="FU21" s="88"/>
      <c r="FV21" s="88"/>
      <c r="FW21" s="88"/>
      <c r="FX21" s="88"/>
      <c r="FY21" s="88"/>
      <c r="FZ21" s="88"/>
      <c r="GA21" s="88"/>
      <c r="GB21" s="88"/>
      <c r="GC21" s="88"/>
    </row>
    <row r="22" spans="1:185" ht="16.5" customHeight="1">
      <c r="B22" s="49">
        <v>16</v>
      </c>
      <c r="C22" s="89" t="s">
        <v>129</v>
      </c>
      <c r="D22" s="52"/>
      <c r="E22" s="52"/>
      <c r="F22" s="77"/>
      <c r="G22" s="76"/>
      <c r="H22" s="76"/>
      <c r="I22" s="76"/>
      <c r="J22" s="92"/>
      <c r="K22" s="55" t="str">
        <f>IF(AND(C22=""),"",IF(AND(Master!$I$4=Master!$AF$11),"",IF(AND(Master!$I$5=Master!$AC$2),ROUND((D22+E22)*0.1,0),"")))</f>
        <v/>
      </c>
      <c r="L22" s="92"/>
      <c r="M22" s="56">
        <f t="shared" si="4"/>
        <v>0</v>
      </c>
      <c r="N22" s="92"/>
      <c r="O22" s="55" t="str">
        <f>IF(AND(Master!$I$4=Master!$AF$11),Bills!E22,"")</f>
        <v/>
      </c>
      <c r="P22" s="93"/>
      <c r="Q22" s="55" t="str">
        <f>IF(AND(C22=""),"",IF(AND(Master!$I$4=Master!$AF$11),"",IF(AND(Master!$I$5=Master!$AC$2),ROUND((D22+E22)*0.1,0),"")))</f>
        <v/>
      </c>
      <c r="R22" s="92"/>
      <c r="S22" s="92"/>
      <c r="T22" s="92"/>
      <c r="U22" s="92"/>
      <c r="V22" s="94"/>
      <c r="W22" s="92"/>
      <c r="X22" s="95"/>
      <c r="Y22" s="58">
        <f>IF(AND(C22=""),"",SUM(N22:X22))</f>
        <v>0</v>
      </c>
      <c r="Z22" s="59">
        <f t="shared" si="8"/>
        <v>0</v>
      </c>
      <c r="AA22" s="60"/>
      <c r="AB22" s="96"/>
      <c r="AC22" s="27"/>
      <c r="AD22" s="27"/>
      <c r="AE22" s="27"/>
      <c r="AF22" s="27"/>
      <c r="AG22" s="27"/>
      <c r="AH22" s="27"/>
      <c r="AI22" s="27"/>
      <c r="AJ22" s="27" t="s">
        <v>84</v>
      </c>
      <c r="AK22" s="66">
        <v>43831</v>
      </c>
      <c r="AL22" s="23">
        <v>1</v>
      </c>
      <c r="AM22" s="23"/>
      <c r="AN22" s="71">
        <f t="shared" si="12"/>
        <v>49300</v>
      </c>
      <c r="AO22" s="68">
        <f t="shared" si="10"/>
        <v>49300</v>
      </c>
      <c r="AP22" s="27">
        <f t="shared" si="11"/>
        <v>5916</v>
      </c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/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/>
      <c r="DY22" s="27"/>
      <c r="DZ22" s="27"/>
      <c r="EA22" s="27"/>
      <c r="EB22" s="27"/>
      <c r="EC22" s="27"/>
      <c r="ED22" s="27"/>
      <c r="EE22" s="27"/>
      <c r="EF22" s="27"/>
      <c r="EG22" s="27"/>
      <c r="EH22" s="27"/>
      <c r="EI22" s="27"/>
      <c r="EJ22" s="27"/>
      <c r="EK22" s="27"/>
      <c r="EL22" s="27"/>
      <c r="EM22" s="27"/>
      <c r="EN22" s="27"/>
      <c r="EO22" s="27"/>
      <c r="EP22" s="27"/>
      <c r="EQ22" s="27"/>
      <c r="ER22" s="27"/>
      <c r="ES22" s="27"/>
      <c r="ET22" s="27"/>
      <c r="EU22" s="27"/>
      <c r="EV22" s="27"/>
      <c r="EW22" s="27"/>
      <c r="EX22" s="27"/>
      <c r="EY22" s="27"/>
      <c r="EZ22" s="27"/>
      <c r="FA22" s="27"/>
      <c r="FB22" s="27"/>
      <c r="FC22" s="27"/>
      <c r="FD22" s="27"/>
      <c r="FE22" s="27"/>
      <c r="FF22" s="27"/>
      <c r="FG22" s="27"/>
      <c r="FH22" s="27"/>
      <c r="FI22" s="27"/>
      <c r="FJ22" s="27"/>
      <c r="FK22" s="27"/>
      <c r="FL22" s="27"/>
      <c r="FM22" s="27"/>
      <c r="FN22" s="27"/>
      <c r="FO22" s="27"/>
      <c r="FP22" s="27"/>
      <c r="FQ22" s="27"/>
      <c r="FR22" s="27"/>
      <c r="FS22" s="27"/>
      <c r="FT22" s="27"/>
      <c r="FU22" s="27"/>
      <c r="FV22" s="27"/>
      <c r="FW22" s="27"/>
      <c r="FX22" s="27"/>
      <c r="FY22" s="27"/>
      <c r="FZ22" s="27"/>
      <c r="GA22" s="27"/>
      <c r="GB22" s="27"/>
      <c r="GC22" s="27"/>
    </row>
    <row r="23" spans="1:185" ht="16.5" customHeight="1">
      <c r="B23" s="49">
        <v>17</v>
      </c>
      <c r="C23" s="97" t="s">
        <v>127</v>
      </c>
      <c r="D23" s="98"/>
      <c r="E23" s="98"/>
      <c r="F23" s="99"/>
      <c r="G23" s="99"/>
      <c r="H23" s="99"/>
      <c r="I23" s="99"/>
      <c r="J23" s="99"/>
      <c r="K23" s="100" t="str">
        <f>IF(AND(C23=""),"",IF(AND(Master!$I$4=Master!$AF$11),"",IF(AND(Master!$I$5=Master!$AC$2),ROUND((D23+E23)*0.1,0),"")))</f>
        <v/>
      </c>
      <c r="L23" s="53"/>
      <c r="M23" s="56">
        <f t="shared" si="4"/>
        <v>0</v>
      </c>
      <c r="N23" s="101"/>
      <c r="O23" s="98"/>
      <c r="P23" s="52"/>
      <c r="Q23" s="100" t="str">
        <f>IF(AND(C23=""),"",IF(AND(Master!$I$4=Master!$AF$11),"",IF(AND(Master!$I$5=Master!$AC$2),ROUND((D23+E23)*0.1,0),"")))</f>
        <v/>
      </c>
      <c r="R23" s="76"/>
      <c r="S23" s="76"/>
      <c r="T23" s="76"/>
      <c r="U23" s="76"/>
      <c r="V23" s="53"/>
      <c r="W23" s="76"/>
      <c r="X23" s="102"/>
      <c r="Y23" s="58">
        <f t="shared" si="7"/>
        <v>0</v>
      </c>
      <c r="Z23" s="59">
        <f t="shared" si="8"/>
        <v>0</v>
      </c>
      <c r="AA23" s="60"/>
      <c r="AB23" s="61"/>
      <c r="AC23" s="27"/>
      <c r="AD23" s="27"/>
      <c r="AE23" s="27"/>
      <c r="AF23" s="27"/>
      <c r="AG23" s="27"/>
      <c r="AH23" s="27"/>
      <c r="AI23" s="27"/>
      <c r="AJ23" s="27" t="s">
        <v>85</v>
      </c>
      <c r="AK23" s="66">
        <v>43862</v>
      </c>
      <c r="AL23" s="23">
        <v>2</v>
      </c>
      <c r="AM23" s="23"/>
      <c r="AN23" s="71">
        <f t="shared" si="12"/>
        <v>49300</v>
      </c>
      <c r="AO23" s="68">
        <f t="shared" si="10"/>
        <v>49300</v>
      </c>
      <c r="AP23" s="27">
        <f t="shared" si="11"/>
        <v>5916</v>
      </c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/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/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/>
      <c r="DY23" s="27"/>
      <c r="DZ23" s="27"/>
      <c r="EA23" s="27"/>
      <c r="EB23" s="27"/>
      <c r="EC23" s="27"/>
      <c r="ED23" s="27"/>
      <c r="EE23" s="27"/>
      <c r="EF23" s="27"/>
      <c r="EG23" s="27"/>
      <c r="EH23" s="27"/>
      <c r="EI23" s="27"/>
      <c r="EJ23" s="27"/>
      <c r="EK23" s="27"/>
      <c r="EL23" s="27"/>
      <c r="EM23" s="27"/>
      <c r="EN23" s="27"/>
      <c r="EO23" s="27"/>
      <c r="EP23" s="27"/>
      <c r="EQ23" s="27"/>
      <c r="ER23" s="27"/>
      <c r="ES23" s="27"/>
      <c r="ET23" s="27"/>
      <c r="EU23" s="27"/>
      <c r="EV23" s="27"/>
      <c r="EW23" s="27"/>
      <c r="EX23" s="27"/>
      <c r="EY23" s="27"/>
      <c r="EZ23" s="27"/>
      <c r="FA23" s="27"/>
      <c r="FB23" s="27"/>
      <c r="FC23" s="27"/>
      <c r="FD23" s="27"/>
      <c r="FE23" s="27"/>
      <c r="FF23" s="27"/>
      <c r="FG23" s="27"/>
      <c r="FH23" s="27"/>
      <c r="FI23" s="27"/>
      <c r="FJ23" s="27"/>
      <c r="FK23" s="27"/>
      <c r="FL23" s="27"/>
      <c r="FM23" s="27"/>
      <c r="FN23" s="27"/>
      <c r="FO23" s="27"/>
      <c r="FP23" s="27"/>
      <c r="FQ23" s="27"/>
      <c r="FR23" s="27"/>
      <c r="FS23" s="27"/>
      <c r="FT23" s="27"/>
      <c r="FU23" s="27"/>
      <c r="FV23" s="27"/>
      <c r="FW23" s="27"/>
      <c r="FX23" s="27"/>
      <c r="FY23" s="27"/>
      <c r="FZ23" s="27"/>
      <c r="GA23" s="27"/>
      <c r="GB23" s="27"/>
      <c r="GC23" s="27"/>
    </row>
    <row r="24" spans="1:185" ht="16.5" customHeight="1">
      <c r="B24" s="49">
        <v>18</v>
      </c>
      <c r="C24" s="97" t="s">
        <v>126</v>
      </c>
      <c r="D24" s="98"/>
      <c r="E24" s="98"/>
      <c r="F24" s="99"/>
      <c r="G24" s="98"/>
      <c r="H24" s="98"/>
      <c r="I24" s="98"/>
      <c r="J24" s="98"/>
      <c r="K24" s="100" t="str">
        <f>IF(AND(C24=""),"",IF(AND(Master!$I$4=Master!$AF$11),"",IF(AND(Master!$I$5=Master!$AC$2),ROUND((D24+E24)*0.1,0),"")))</f>
        <v/>
      </c>
      <c r="L24" s="98"/>
      <c r="M24" s="56">
        <f t="shared" si="4"/>
        <v>0</v>
      </c>
      <c r="N24" s="101"/>
      <c r="O24" s="98"/>
      <c r="P24" s="52"/>
      <c r="Q24" s="100" t="str">
        <f>IF(AND(C24=""),"",IF(AND(Master!$I$4=Master!$AF$11),"",IF(AND(Master!$I$5=Master!$AC$2),ROUND((D24+E24)*0.1,0),"")))</f>
        <v/>
      </c>
      <c r="R24" s="76"/>
      <c r="S24" s="76"/>
      <c r="T24" s="76"/>
      <c r="U24" s="76"/>
      <c r="V24" s="53"/>
      <c r="W24" s="76"/>
      <c r="X24" s="102"/>
      <c r="Y24" s="58">
        <f t="shared" si="7"/>
        <v>0</v>
      </c>
      <c r="Z24" s="59">
        <f t="shared" si="8"/>
        <v>0</v>
      </c>
      <c r="AA24" s="60"/>
      <c r="AB24" s="61"/>
      <c r="AC24" s="27"/>
      <c r="AD24" s="27"/>
      <c r="AE24" s="27"/>
      <c r="AF24" s="27"/>
      <c r="AG24" s="27"/>
      <c r="AH24" s="27"/>
      <c r="AI24" s="27"/>
      <c r="AJ24" s="27"/>
      <c r="AK24" s="66"/>
      <c r="AL24" s="23"/>
      <c r="AM24" s="23"/>
      <c r="AN24" s="71"/>
      <c r="AO24" s="68" t="str">
        <f t="shared" si="10"/>
        <v/>
      </c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/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/>
      <c r="DY24" s="27"/>
      <c r="DZ24" s="27"/>
      <c r="EA24" s="27"/>
      <c r="EB24" s="27"/>
      <c r="EC24" s="27"/>
      <c r="ED24" s="27"/>
      <c r="EE24" s="27"/>
      <c r="EF24" s="27"/>
      <c r="EG24" s="27"/>
      <c r="EH24" s="27"/>
      <c r="EI24" s="27"/>
      <c r="EJ24" s="27"/>
      <c r="EK24" s="27"/>
      <c r="EL24" s="27"/>
      <c r="EM24" s="27"/>
      <c r="EN24" s="27"/>
      <c r="EO24" s="27"/>
      <c r="EP24" s="27"/>
      <c r="EQ24" s="27"/>
      <c r="ER24" s="27"/>
      <c r="ES24" s="27"/>
      <c r="ET24" s="27"/>
      <c r="EU24" s="27"/>
      <c r="EV24" s="27"/>
      <c r="EW24" s="27"/>
      <c r="EX24" s="27"/>
      <c r="EY24" s="27"/>
      <c r="EZ24" s="27"/>
      <c r="FA24" s="27"/>
      <c r="FB24" s="27"/>
      <c r="FC24" s="27"/>
      <c r="FD24" s="27"/>
      <c r="FE24" s="27"/>
      <c r="FF24" s="27"/>
      <c r="FG24" s="27"/>
      <c r="FH24" s="27"/>
      <c r="FI24" s="27"/>
      <c r="FJ24" s="27"/>
      <c r="FK24" s="27"/>
      <c r="FL24" s="27"/>
      <c r="FM24" s="27"/>
      <c r="FN24" s="27"/>
      <c r="FO24" s="27"/>
      <c r="FP24" s="27"/>
      <c r="FQ24" s="27"/>
      <c r="FR24" s="27"/>
      <c r="FS24" s="27"/>
      <c r="FT24" s="27"/>
      <c r="FU24" s="27"/>
      <c r="FV24" s="27"/>
      <c r="FW24" s="27"/>
      <c r="FX24" s="27"/>
      <c r="FY24" s="27"/>
      <c r="FZ24" s="27"/>
      <c r="GA24" s="27"/>
      <c r="GB24" s="27"/>
      <c r="GC24" s="27"/>
    </row>
    <row r="25" spans="1:185" ht="16.5" customHeight="1">
      <c r="B25" s="49">
        <v>19</v>
      </c>
      <c r="C25" s="97"/>
      <c r="D25" s="103"/>
      <c r="E25" s="104"/>
      <c r="F25" s="105"/>
      <c r="G25" s="104"/>
      <c r="H25" s="104"/>
      <c r="I25" s="104"/>
      <c r="J25" s="104"/>
      <c r="K25" s="100" t="str">
        <f>IF(AND(C25=""),"",IF(AND(Master!$I$4=Master!$AF$11),"",IF(AND(Master!$I$5=Master!$AC$2),ROUND((D25+E25)*0.1,0),"")))</f>
        <v/>
      </c>
      <c r="L25" s="104"/>
      <c r="M25" s="56" t="str">
        <f t="shared" si="4"/>
        <v/>
      </c>
      <c r="N25" s="106"/>
      <c r="O25" s="98"/>
      <c r="P25" s="107"/>
      <c r="Q25" s="100" t="str">
        <f>IF(AND(C25=""),"",IF(AND(Master!$I$4=Master!$AF$11),"",IF(AND(Master!$I$5=Master!$AC$2),ROUND((D25+E25)*0.1,0),"")))</f>
        <v/>
      </c>
      <c r="R25" s="108"/>
      <c r="S25" s="108"/>
      <c r="T25" s="108"/>
      <c r="U25" s="108"/>
      <c r="V25" s="53"/>
      <c r="W25" s="108"/>
      <c r="X25" s="102"/>
      <c r="Y25" s="58" t="str">
        <f t="shared" si="7"/>
        <v/>
      </c>
      <c r="Z25" s="59" t="str">
        <f t="shared" si="8"/>
        <v/>
      </c>
      <c r="AA25" s="109"/>
      <c r="AB25" s="61"/>
      <c r="AC25" s="27"/>
      <c r="AD25" s="27"/>
      <c r="AE25" s="27"/>
      <c r="AF25" s="27"/>
      <c r="AG25" s="27"/>
      <c r="AH25" s="27"/>
      <c r="AI25" s="27"/>
      <c r="AJ25" s="27"/>
      <c r="AK25" s="66"/>
      <c r="AL25" s="23"/>
      <c r="AM25" s="23"/>
      <c r="AN25" s="110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/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/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/>
      <c r="DY25" s="27"/>
      <c r="DZ25" s="27"/>
      <c r="EA25" s="27"/>
      <c r="EB25" s="27"/>
      <c r="EC25" s="27"/>
      <c r="ED25" s="27"/>
      <c r="EE25" s="27"/>
      <c r="EF25" s="27"/>
      <c r="EG25" s="27"/>
      <c r="EH25" s="27"/>
      <c r="EI25" s="27"/>
      <c r="EJ25" s="27"/>
      <c r="EK25" s="27"/>
      <c r="EL25" s="27"/>
      <c r="EM25" s="27"/>
      <c r="EN25" s="27"/>
      <c r="EO25" s="27"/>
      <c r="EP25" s="27"/>
      <c r="EQ25" s="27"/>
      <c r="ER25" s="27"/>
      <c r="ES25" s="27"/>
      <c r="ET25" s="27"/>
      <c r="EU25" s="27"/>
      <c r="EV25" s="27"/>
      <c r="EW25" s="27"/>
      <c r="EX25" s="27"/>
      <c r="EY25" s="27"/>
      <c r="EZ25" s="27"/>
      <c r="FA25" s="27"/>
      <c r="FB25" s="27"/>
      <c r="FC25" s="27"/>
      <c r="FD25" s="27"/>
      <c r="FE25" s="27"/>
      <c r="FF25" s="27"/>
      <c r="FG25" s="27"/>
      <c r="FH25" s="27"/>
      <c r="FI25" s="27"/>
      <c r="FJ25" s="27"/>
      <c r="FK25" s="27"/>
      <c r="FL25" s="27"/>
      <c r="FM25" s="27"/>
      <c r="FN25" s="27"/>
      <c r="FO25" s="27"/>
      <c r="FP25" s="27"/>
      <c r="FQ25" s="27"/>
      <c r="FR25" s="27"/>
      <c r="FS25" s="27"/>
      <c r="FT25" s="27"/>
      <c r="FU25" s="27"/>
      <c r="FV25" s="27"/>
      <c r="FW25" s="27"/>
      <c r="FX25" s="27"/>
      <c r="FY25" s="27"/>
      <c r="FZ25" s="27"/>
      <c r="GA25" s="27"/>
      <c r="GB25" s="27"/>
      <c r="GC25" s="27"/>
    </row>
    <row r="26" spans="1:185" ht="16.5" customHeight="1">
      <c r="B26" s="49">
        <v>20</v>
      </c>
      <c r="C26" s="97"/>
      <c r="D26" s="98"/>
      <c r="E26" s="98"/>
      <c r="F26" s="99"/>
      <c r="G26" s="98"/>
      <c r="H26" s="98"/>
      <c r="I26" s="98"/>
      <c r="J26" s="98"/>
      <c r="K26" s="100" t="str">
        <f>IF(AND(C26=""),"",IF(AND(Master!$I$4=Master!$AF$11),"",IF(AND(Master!$I$5=Master!$AC$2),ROUND((D26+E26)*0.1,0),"")))</f>
        <v/>
      </c>
      <c r="L26" s="98"/>
      <c r="M26" s="56" t="str">
        <f t="shared" si="4"/>
        <v/>
      </c>
      <c r="N26" s="101"/>
      <c r="O26" s="98"/>
      <c r="P26" s="52"/>
      <c r="Q26" s="100" t="str">
        <f>IF(AND(C26=""),"",IF(AND(Master!$I$4=Master!$AF$11),"",IF(AND(Master!$I$5=Master!$AC$2),ROUND((D26+E26)*0.1,0),"")))</f>
        <v/>
      </c>
      <c r="R26" s="76"/>
      <c r="S26" s="76"/>
      <c r="T26" s="76"/>
      <c r="U26" s="76"/>
      <c r="V26" s="53"/>
      <c r="W26" s="76"/>
      <c r="X26" s="102"/>
      <c r="Y26" s="58" t="str">
        <f t="shared" si="7"/>
        <v/>
      </c>
      <c r="Z26" s="59" t="str">
        <f t="shared" si="8"/>
        <v/>
      </c>
      <c r="AA26" s="60"/>
      <c r="AB26" s="61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/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/>
      <c r="DY26" s="27"/>
      <c r="DZ26" s="27"/>
      <c r="EA26" s="27"/>
      <c r="EB26" s="27"/>
      <c r="EC26" s="27"/>
      <c r="ED26" s="27"/>
      <c r="EE26" s="27"/>
      <c r="EF26" s="27"/>
      <c r="EG26" s="27"/>
      <c r="EH26" s="27"/>
      <c r="EI26" s="27"/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/>
      <c r="EU26" s="27"/>
      <c r="EV26" s="27"/>
      <c r="EW26" s="27"/>
      <c r="EX26" s="27"/>
      <c r="EY26" s="27"/>
      <c r="EZ26" s="27"/>
      <c r="FA26" s="27"/>
      <c r="FB26" s="27"/>
      <c r="FC26" s="27"/>
      <c r="FD26" s="27"/>
      <c r="FE26" s="27"/>
      <c r="FF26" s="27"/>
      <c r="FG26" s="27"/>
      <c r="FH26" s="27"/>
      <c r="FI26" s="27"/>
      <c r="FJ26" s="27"/>
      <c r="FK26" s="27"/>
      <c r="FL26" s="27"/>
      <c r="FM26" s="27"/>
      <c r="FN26" s="27"/>
      <c r="FO26" s="27"/>
      <c r="FP26" s="27"/>
      <c r="FQ26" s="27"/>
      <c r="FR26" s="27"/>
      <c r="FS26" s="27"/>
      <c r="FT26" s="27"/>
      <c r="FU26" s="27"/>
      <c r="FV26" s="27"/>
      <c r="FW26" s="27"/>
      <c r="FX26" s="27"/>
      <c r="FY26" s="27"/>
      <c r="FZ26" s="27"/>
      <c r="GA26" s="27"/>
      <c r="GB26" s="27"/>
      <c r="GC26" s="27"/>
    </row>
    <row r="27" spans="1:185" s="111" customFormat="1" ht="16.5" customHeight="1">
      <c r="A27" s="112"/>
      <c r="B27" s="49">
        <v>21</v>
      </c>
      <c r="C27" s="113"/>
      <c r="D27" s="114"/>
      <c r="E27" s="114"/>
      <c r="F27" s="115"/>
      <c r="G27" s="114"/>
      <c r="H27" s="114"/>
      <c r="I27" s="114"/>
      <c r="J27" s="114"/>
      <c r="K27" s="51" t="str">
        <f>IF(AND(C27=""),"",IF(AND(#REF!=#REF!),"",IF(AND(#REF!=#REF!),ROUND((D27+E27)*0.1,0),"")))</f>
        <v/>
      </c>
      <c r="L27" s="114"/>
      <c r="M27" s="56" t="str">
        <f t="shared" si="4"/>
        <v/>
      </c>
      <c r="N27" s="116"/>
      <c r="O27" s="114"/>
      <c r="P27" s="117"/>
      <c r="Q27" s="51" t="str">
        <f>IF(AND(C27=""),"",IF(AND(#REF!=#REF!),"",IF(AND(#REF!=#REF!),ROUND((D27+E27)*0.1,0),"")))</f>
        <v/>
      </c>
      <c r="R27" s="118"/>
      <c r="S27" s="118"/>
      <c r="T27" s="118"/>
      <c r="U27" s="118"/>
      <c r="V27" s="53"/>
      <c r="W27" s="118"/>
      <c r="X27" s="119"/>
      <c r="Y27" s="58" t="str">
        <f t="shared" si="7"/>
        <v/>
      </c>
      <c r="Z27" s="59" t="str">
        <f t="shared" si="8"/>
        <v/>
      </c>
      <c r="AA27" s="60"/>
      <c r="AB27" s="61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2"/>
      <c r="BB27" s="72"/>
      <c r="BC27" s="72"/>
      <c r="BD27" s="72"/>
      <c r="BE27" s="72"/>
      <c r="BF27" s="72"/>
      <c r="BG27" s="72"/>
      <c r="BH27" s="72"/>
      <c r="BI27" s="72"/>
      <c r="BJ27" s="72"/>
      <c r="BK27" s="72"/>
      <c r="BL27" s="72"/>
      <c r="BM27" s="72"/>
      <c r="BN27" s="72"/>
      <c r="BO27" s="72"/>
      <c r="BP27" s="72"/>
      <c r="BQ27" s="72"/>
      <c r="BR27" s="72"/>
      <c r="BS27" s="72"/>
      <c r="BT27" s="72"/>
      <c r="BU27" s="72"/>
      <c r="BV27" s="72"/>
      <c r="BW27" s="72"/>
      <c r="BX27" s="72"/>
      <c r="BY27" s="72"/>
      <c r="BZ27" s="72"/>
      <c r="CA27" s="72"/>
      <c r="CB27" s="72"/>
      <c r="CC27" s="72"/>
      <c r="CD27" s="72"/>
      <c r="CE27" s="72"/>
      <c r="CF27" s="72"/>
      <c r="CG27" s="72"/>
      <c r="CH27" s="72"/>
      <c r="CI27" s="72"/>
      <c r="CJ27" s="72"/>
      <c r="CK27" s="72"/>
      <c r="CL27" s="72"/>
      <c r="CM27" s="72"/>
      <c r="CN27" s="72"/>
      <c r="CO27" s="72"/>
      <c r="CP27" s="72"/>
      <c r="CQ27" s="72"/>
      <c r="CR27" s="72"/>
      <c r="CS27" s="72"/>
      <c r="CT27" s="72"/>
      <c r="CU27" s="72"/>
      <c r="CV27" s="72"/>
      <c r="CW27" s="72"/>
      <c r="CX27" s="72"/>
      <c r="CY27" s="72"/>
      <c r="CZ27" s="72"/>
      <c r="DA27" s="72"/>
      <c r="DB27" s="72"/>
      <c r="DC27" s="72"/>
      <c r="DD27" s="72"/>
      <c r="DE27" s="72"/>
      <c r="DF27" s="72"/>
      <c r="DG27" s="72"/>
      <c r="DH27" s="72"/>
      <c r="DI27" s="72"/>
      <c r="DJ27" s="72"/>
      <c r="DK27" s="72"/>
      <c r="DL27" s="72"/>
      <c r="DM27" s="72"/>
      <c r="DN27" s="72"/>
      <c r="DO27" s="72"/>
      <c r="DP27" s="72"/>
      <c r="DQ27" s="72"/>
      <c r="DR27" s="72"/>
      <c r="DS27" s="72"/>
      <c r="DT27" s="72"/>
      <c r="DU27" s="72"/>
      <c r="DV27" s="72"/>
      <c r="DW27" s="72"/>
      <c r="DX27" s="72"/>
      <c r="DY27" s="72"/>
      <c r="DZ27" s="72"/>
      <c r="EA27" s="72"/>
      <c r="EB27" s="72"/>
      <c r="EC27" s="72"/>
      <c r="ED27" s="72"/>
      <c r="EE27" s="72"/>
      <c r="EF27" s="72"/>
      <c r="EG27" s="72"/>
      <c r="EH27" s="72"/>
      <c r="EI27" s="72"/>
      <c r="EJ27" s="72"/>
      <c r="EK27" s="72"/>
      <c r="EL27" s="72"/>
      <c r="EM27" s="72"/>
      <c r="EN27" s="72"/>
      <c r="EO27" s="72"/>
      <c r="EP27" s="72"/>
      <c r="EQ27" s="72"/>
      <c r="ER27" s="72"/>
      <c r="ES27" s="72"/>
      <c r="ET27" s="72"/>
      <c r="EU27" s="72"/>
      <c r="EV27" s="72"/>
      <c r="EW27" s="72"/>
      <c r="EX27" s="72"/>
      <c r="EY27" s="72"/>
      <c r="EZ27" s="72"/>
      <c r="FA27" s="72"/>
      <c r="FB27" s="72"/>
      <c r="FC27" s="72"/>
      <c r="FD27" s="72"/>
      <c r="FE27" s="72"/>
      <c r="FF27" s="72"/>
      <c r="FG27" s="72"/>
      <c r="FH27" s="72"/>
      <c r="FI27" s="72"/>
      <c r="FJ27" s="72"/>
      <c r="FK27" s="72"/>
      <c r="FL27" s="72"/>
      <c r="FM27" s="72"/>
      <c r="FN27" s="72"/>
      <c r="FO27" s="72"/>
      <c r="FP27" s="72"/>
      <c r="FQ27" s="72"/>
      <c r="FR27" s="72"/>
      <c r="FS27" s="72"/>
      <c r="FT27" s="72"/>
      <c r="FU27" s="72"/>
      <c r="FV27" s="72"/>
      <c r="FW27" s="72"/>
      <c r="FX27" s="72"/>
      <c r="FY27" s="72"/>
      <c r="FZ27" s="72"/>
      <c r="GA27" s="72"/>
      <c r="GB27" s="72"/>
      <c r="GC27" s="72"/>
    </row>
    <row r="28" spans="1:185" s="120" customFormat="1">
      <c r="B28" s="121"/>
      <c r="C28" s="122"/>
      <c r="D28" s="123"/>
      <c r="E28" s="124"/>
      <c r="F28" s="124"/>
      <c r="G28" s="124"/>
      <c r="H28" s="124"/>
      <c r="I28" s="124"/>
      <c r="J28" s="124"/>
      <c r="K28" s="124"/>
      <c r="L28" s="124"/>
      <c r="M28" s="125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3"/>
      <c r="Y28" s="125"/>
      <c r="Z28" s="125"/>
      <c r="AA28" s="126"/>
      <c r="AB28" s="126"/>
      <c r="AC28" s="33"/>
      <c r="AD28" s="33"/>
      <c r="AE28" s="33"/>
      <c r="AF28" s="33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/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/>
      <c r="DY28" s="27"/>
      <c r="DZ28" s="27"/>
      <c r="EA28" s="27"/>
      <c r="EB28" s="27"/>
      <c r="EC28" s="27"/>
      <c r="ED28" s="27"/>
      <c r="EE28" s="27"/>
      <c r="EF28" s="27"/>
      <c r="EG28" s="27"/>
      <c r="EH28" s="27"/>
      <c r="EI28" s="27"/>
      <c r="EJ28" s="27"/>
      <c r="EK28" s="27"/>
      <c r="EL28" s="27"/>
      <c r="EM28" s="27"/>
      <c r="EN28" s="27"/>
      <c r="EO28" s="27"/>
      <c r="EP28" s="27"/>
      <c r="EQ28" s="27"/>
      <c r="ER28" s="27"/>
      <c r="ES28" s="27"/>
      <c r="ET28" s="27"/>
      <c r="EU28" s="27"/>
      <c r="EV28" s="27"/>
      <c r="EW28" s="27"/>
      <c r="EX28" s="27"/>
      <c r="EY28" s="27"/>
      <c r="EZ28" s="27"/>
      <c r="FA28" s="27"/>
      <c r="FB28" s="27"/>
      <c r="FC28" s="27"/>
      <c r="FD28" s="27"/>
      <c r="FE28" s="27"/>
      <c r="FF28" s="27"/>
      <c r="FG28" s="27"/>
      <c r="FH28" s="27"/>
      <c r="FI28" s="27"/>
      <c r="FJ28" s="27"/>
      <c r="FK28" s="27"/>
      <c r="FL28" s="27"/>
      <c r="FM28" s="27"/>
      <c r="FN28" s="27"/>
      <c r="FO28" s="27"/>
      <c r="FP28" s="27"/>
      <c r="FQ28" s="27"/>
      <c r="FR28" s="27"/>
      <c r="FS28" s="27"/>
      <c r="FT28" s="27"/>
      <c r="FU28" s="27"/>
      <c r="FV28" s="27"/>
      <c r="FW28" s="27"/>
      <c r="FX28" s="27"/>
      <c r="FY28" s="27"/>
      <c r="FZ28" s="27"/>
      <c r="GA28" s="27"/>
      <c r="GB28" s="27"/>
      <c r="GC28" s="27"/>
    </row>
    <row r="29" spans="1:185" s="120" customFormat="1" hidden="1">
      <c r="B29" s="127"/>
      <c r="C29" s="122"/>
      <c r="D29" s="123"/>
      <c r="E29" s="124"/>
      <c r="F29" s="124"/>
      <c r="G29" s="124"/>
      <c r="H29" s="124"/>
      <c r="I29" s="124"/>
      <c r="J29" s="124"/>
      <c r="K29" s="124"/>
      <c r="L29" s="124"/>
      <c r="M29" s="125"/>
      <c r="N29" s="124"/>
      <c r="O29" s="124"/>
      <c r="P29" s="124"/>
      <c r="Q29" s="124"/>
      <c r="R29" s="124"/>
      <c r="S29" s="124"/>
      <c r="T29" s="124"/>
      <c r="U29" s="124"/>
      <c r="V29" s="124"/>
      <c r="W29" s="124"/>
      <c r="X29" s="123"/>
      <c r="Y29" s="125"/>
      <c r="Z29" s="125"/>
      <c r="AA29" s="126"/>
      <c r="AB29" s="126"/>
      <c r="AC29" s="33"/>
      <c r="AD29" s="33"/>
      <c r="AE29" s="33"/>
      <c r="AF29" s="33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/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/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/>
      <c r="DY29" s="27"/>
      <c r="DZ29" s="27"/>
      <c r="EA29" s="27"/>
      <c r="EB29" s="27"/>
      <c r="EC29" s="27"/>
      <c r="ED29" s="27"/>
      <c r="EE29" s="27"/>
      <c r="EF29" s="27"/>
      <c r="EG29" s="27"/>
      <c r="EH29" s="27"/>
      <c r="EI29" s="27"/>
      <c r="EJ29" s="27"/>
      <c r="EK29" s="27"/>
      <c r="EL29" s="27"/>
      <c r="EM29" s="27"/>
      <c r="EN29" s="27"/>
      <c r="EO29" s="27"/>
      <c r="EP29" s="27"/>
      <c r="EQ29" s="27"/>
      <c r="ER29" s="27"/>
      <c r="ES29" s="27"/>
      <c r="ET29" s="27"/>
      <c r="EU29" s="27"/>
      <c r="EV29" s="27"/>
      <c r="EW29" s="27"/>
      <c r="EX29" s="27"/>
      <c r="EY29" s="27"/>
      <c r="EZ29" s="27"/>
      <c r="FA29" s="27"/>
      <c r="FB29" s="27"/>
      <c r="FC29" s="27"/>
      <c r="FD29" s="27"/>
      <c r="FE29" s="27"/>
      <c r="FF29" s="27"/>
      <c r="FG29" s="27"/>
      <c r="FH29" s="27"/>
      <c r="FI29" s="27"/>
      <c r="FJ29" s="27"/>
      <c r="FK29" s="27"/>
      <c r="FL29" s="27"/>
      <c r="FM29" s="27"/>
      <c r="FN29" s="27"/>
      <c r="FO29" s="27"/>
      <c r="FP29" s="27"/>
      <c r="FQ29" s="27"/>
      <c r="FR29" s="27"/>
      <c r="FS29" s="27"/>
      <c r="FT29" s="27"/>
      <c r="FU29" s="27"/>
      <c r="FV29" s="27"/>
      <c r="FW29" s="27"/>
      <c r="FX29" s="27"/>
      <c r="FY29" s="27"/>
      <c r="FZ29" s="27"/>
      <c r="GA29" s="27"/>
      <c r="GB29" s="27"/>
      <c r="GC29" s="27"/>
    </row>
    <row r="30" spans="1:185" s="120" customFormat="1" hidden="1">
      <c r="B30" s="127"/>
      <c r="C30" s="122"/>
      <c r="D30" s="123"/>
      <c r="E30" s="124"/>
      <c r="F30" s="124"/>
      <c r="G30" s="124"/>
      <c r="H30" s="124"/>
      <c r="I30" s="124"/>
      <c r="J30" s="124"/>
      <c r="K30" s="124"/>
      <c r="L30" s="124"/>
      <c r="M30" s="125"/>
      <c r="N30" s="124"/>
      <c r="O30" s="124"/>
      <c r="P30" s="124"/>
      <c r="Q30" s="124"/>
      <c r="R30" s="124"/>
      <c r="S30" s="124"/>
      <c r="T30" s="124"/>
      <c r="U30" s="124"/>
      <c r="V30" s="124"/>
      <c r="W30" s="124"/>
      <c r="X30" s="123"/>
      <c r="Y30" s="125"/>
      <c r="Z30" s="125"/>
      <c r="AA30" s="126"/>
      <c r="AB30" s="126"/>
      <c r="AC30" s="33"/>
      <c r="AD30" s="33"/>
      <c r="AE30" s="33"/>
      <c r="AF30" s="33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/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M30" s="27"/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/>
      <c r="DY30" s="27"/>
      <c r="DZ30" s="27"/>
      <c r="EA30" s="27"/>
      <c r="EB30" s="27"/>
      <c r="EC30" s="27"/>
      <c r="ED30" s="27"/>
      <c r="EE30" s="27"/>
      <c r="EF30" s="27"/>
      <c r="EG30" s="27"/>
      <c r="EH30" s="27"/>
      <c r="EI30" s="27"/>
      <c r="EJ30" s="27"/>
      <c r="EK30" s="27"/>
      <c r="EL30" s="27"/>
      <c r="EM30" s="27"/>
      <c r="EN30" s="27"/>
      <c r="EO30" s="27"/>
      <c r="EP30" s="27"/>
      <c r="EQ30" s="27"/>
      <c r="ER30" s="27"/>
      <c r="ES30" s="27"/>
      <c r="ET30" s="27"/>
      <c r="EU30" s="27"/>
      <c r="EV30" s="27"/>
      <c r="EW30" s="27"/>
      <c r="EX30" s="27"/>
      <c r="EY30" s="27"/>
      <c r="EZ30" s="27"/>
      <c r="FA30" s="27"/>
      <c r="FB30" s="27"/>
      <c r="FC30" s="27"/>
      <c r="FD30" s="27"/>
      <c r="FE30" s="27"/>
      <c r="FF30" s="27"/>
      <c r="FG30" s="27"/>
      <c r="FH30" s="27"/>
      <c r="FI30" s="27"/>
      <c r="FJ30" s="27"/>
      <c r="FK30" s="27"/>
      <c r="FL30" s="27"/>
      <c r="FM30" s="27"/>
      <c r="FN30" s="27"/>
      <c r="FO30" s="27"/>
      <c r="FP30" s="27"/>
      <c r="FQ30" s="27"/>
      <c r="FR30" s="27"/>
      <c r="FS30" s="27"/>
      <c r="FT30" s="27"/>
      <c r="FU30" s="27"/>
      <c r="FV30" s="27"/>
      <c r="FW30" s="27"/>
      <c r="FX30" s="27"/>
      <c r="FY30" s="27"/>
      <c r="FZ30" s="27"/>
      <c r="GA30" s="27"/>
      <c r="GB30" s="27"/>
      <c r="GC30" s="27"/>
    </row>
    <row r="31" spans="1:185" s="120" customFormat="1" hidden="1">
      <c r="B31" s="127"/>
      <c r="C31" s="122"/>
      <c r="D31" s="123"/>
      <c r="E31" s="124"/>
      <c r="F31" s="124"/>
      <c r="G31" s="124"/>
      <c r="H31" s="124"/>
      <c r="I31" s="124"/>
      <c r="J31" s="124"/>
      <c r="K31" s="124"/>
      <c r="L31" s="124"/>
      <c r="M31" s="125"/>
      <c r="N31" s="124"/>
      <c r="O31" s="124"/>
      <c r="P31" s="124"/>
      <c r="Q31" s="124"/>
      <c r="R31" s="124"/>
      <c r="S31" s="124"/>
      <c r="T31" s="124"/>
      <c r="U31" s="124"/>
      <c r="V31" s="124"/>
      <c r="W31" s="124"/>
      <c r="X31" s="123"/>
      <c r="Y31" s="125"/>
      <c r="Z31" s="125"/>
      <c r="AA31" s="126"/>
      <c r="AB31" s="126"/>
      <c r="AC31" s="33"/>
      <c r="AD31" s="33"/>
      <c r="AE31" s="33"/>
      <c r="AF31" s="33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/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/>
      <c r="DA31" s="27"/>
      <c r="DB31" s="27"/>
      <c r="DC31" s="27"/>
      <c r="DD31" s="27"/>
      <c r="DE31" s="27"/>
      <c r="DF31" s="27"/>
      <c r="DG31" s="27"/>
      <c r="DH31" s="27"/>
      <c r="DI31" s="27"/>
      <c r="DJ31" s="27"/>
      <c r="DK31" s="27"/>
      <c r="DL31" s="27"/>
      <c r="DM31" s="27"/>
      <c r="DN31" s="27"/>
      <c r="DO31" s="27"/>
      <c r="DP31" s="27"/>
      <c r="DQ31" s="27"/>
      <c r="DR31" s="27"/>
      <c r="DS31" s="27"/>
      <c r="DT31" s="27"/>
      <c r="DU31" s="27"/>
      <c r="DV31" s="27"/>
      <c r="DW31" s="27"/>
      <c r="DX31" s="27"/>
      <c r="DY31" s="27"/>
      <c r="DZ31" s="27"/>
      <c r="EA31" s="27"/>
      <c r="EB31" s="27"/>
      <c r="EC31" s="27"/>
      <c r="ED31" s="27"/>
      <c r="EE31" s="27"/>
      <c r="EF31" s="27"/>
      <c r="EG31" s="27"/>
      <c r="EH31" s="27"/>
      <c r="EI31" s="27"/>
      <c r="EJ31" s="27"/>
      <c r="EK31" s="27"/>
      <c r="EL31" s="27"/>
      <c r="EM31" s="27"/>
      <c r="EN31" s="27"/>
      <c r="EO31" s="27"/>
      <c r="EP31" s="27"/>
      <c r="EQ31" s="27"/>
      <c r="ER31" s="27"/>
      <c r="ES31" s="27"/>
      <c r="ET31" s="27"/>
      <c r="EU31" s="27"/>
      <c r="EV31" s="27"/>
      <c r="EW31" s="27"/>
      <c r="EX31" s="27"/>
      <c r="EY31" s="27"/>
      <c r="EZ31" s="27"/>
      <c r="FA31" s="27"/>
      <c r="FB31" s="27"/>
      <c r="FC31" s="27"/>
      <c r="FD31" s="27"/>
      <c r="FE31" s="27"/>
      <c r="FF31" s="27"/>
      <c r="FG31" s="27"/>
      <c r="FH31" s="27"/>
      <c r="FI31" s="27"/>
      <c r="FJ31" s="27"/>
      <c r="FK31" s="27"/>
      <c r="FL31" s="27"/>
      <c r="FM31" s="27"/>
      <c r="FN31" s="27"/>
      <c r="FO31" s="27"/>
      <c r="FP31" s="27"/>
      <c r="FQ31" s="27"/>
      <c r="FR31" s="27"/>
      <c r="FS31" s="27"/>
      <c r="FT31" s="27"/>
      <c r="FU31" s="27"/>
      <c r="FV31" s="27"/>
      <c r="FW31" s="27"/>
      <c r="FX31" s="27"/>
      <c r="FY31" s="27"/>
      <c r="FZ31" s="27"/>
      <c r="GA31" s="27"/>
      <c r="GB31" s="27"/>
      <c r="GC31" s="27"/>
    </row>
    <row r="32" spans="1:185" s="120" customFormat="1" hidden="1">
      <c r="B32" s="29"/>
      <c r="C32" s="128"/>
      <c r="D32" s="129"/>
      <c r="E32" s="130"/>
      <c r="F32" s="130"/>
      <c r="G32" s="130"/>
      <c r="H32" s="130"/>
      <c r="I32" s="130"/>
      <c r="J32" s="130"/>
      <c r="K32" s="130"/>
      <c r="L32" s="130"/>
      <c r="M32" s="131"/>
      <c r="N32" s="130"/>
      <c r="O32" s="130"/>
      <c r="P32" s="130"/>
      <c r="Q32" s="130"/>
      <c r="R32" s="130"/>
      <c r="S32" s="130"/>
      <c r="T32" s="130"/>
      <c r="U32" s="130"/>
      <c r="V32" s="130"/>
      <c r="W32" s="130"/>
      <c r="X32" s="129"/>
      <c r="Y32" s="131"/>
      <c r="Z32" s="131"/>
      <c r="AA32" s="132"/>
      <c r="AB32" s="132"/>
      <c r="AC32" s="33"/>
      <c r="AD32" s="33"/>
      <c r="AE32" s="33"/>
      <c r="AF32" s="33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/>
      <c r="CR32" s="27"/>
      <c r="CS32" s="27"/>
      <c r="CT32" s="27"/>
      <c r="CU32" s="27"/>
      <c r="CV32" s="27"/>
      <c r="CW32" s="27"/>
      <c r="CX32" s="27"/>
      <c r="CY32" s="27"/>
      <c r="CZ32" s="27"/>
      <c r="DA32" s="27"/>
      <c r="DB32" s="27"/>
      <c r="DC32" s="27"/>
      <c r="DD32" s="27"/>
      <c r="DE32" s="27"/>
      <c r="DF32" s="27"/>
      <c r="DG32" s="27"/>
      <c r="DH32" s="27"/>
      <c r="DI32" s="27"/>
      <c r="DJ32" s="27"/>
      <c r="DK32" s="27"/>
      <c r="DL32" s="27"/>
      <c r="DM32" s="27"/>
      <c r="DN32" s="27"/>
      <c r="DO32" s="27"/>
      <c r="DP32" s="27"/>
      <c r="DQ32" s="27"/>
      <c r="DR32" s="27"/>
      <c r="DS32" s="27"/>
      <c r="DT32" s="27"/>
      <c r="DU32" s="27"/>
      <c r="DV32" s="27"/>
      <c r="DW32" s="27"/>
      <c r="DX32" s="27"/>
      <c r="DY32" s="27"/>
      <c r="DZ32" s="27"/>
      <c r="EA32" s="27"/>
      <c r="EB32" s="27"/>
      <c r="EC32" s="27"/>
      <c r="ED32" s="27"/>
      <c r="EE32" s="27"/>
      <c r="EF32" s="27"/>
      <c r="EG32" s="27"/>
      <c r="EH32" s="27"/>
      <c r="EI32" s="27"/>
      <c r="EJ32" s="27"/>
      <c r="EK32" s="27"/>
      <c r="EL32" s="27"/>
      <c r="EM32" s="27"/>
      <c r="EN32" s="27"/>
      <c r="EO32" s="27"/>
      <c r="EP32" s="27"/>
      <c r="EQ32" s="27"/>
      <c r="ER32" s="27"/>
      <c r="ES32" s="27"/>
      <c r="ET32" s="27"/>
      <c r="EU32" s="27"/>
      <c r="EV32" s="27"/>
      <c r="EW32" s="27"/>
      <c r="EX32" s="27"/>
      <c r="EY32" s="27"/>
      <c r="EZ32" s="27"/>
      <c r="FA32" s="27"/>
      <c r="FB32" s="27"/>
      <c r="FC32" s="27"/>
      <c r="FD32" s="27"/>
      <c r="FE32" s="27"/>
      <c r="FF32" s="27"/>
      <c r="FG32" s="27"/>
      <c r="FH32" s="27"/>
      <c r="FI32" s="27"/>
      <c r="FJ32" s="27"/>
      <c r="FK32" s="27"/>
      <c r="FL32" s="27"/>
      <c r="FM32" s="27"/>
      <c r="FN32" s="27"/>
      <c r="FO32" s="27"/>
      <c r="FP32" s="27"/>
      <c r="FQ32" s="27"/>
      <c r="FR32" s="27"/>
      <c r="FS32" s="27"/>
      <c r="FT32" s="27"/>
      <c r="FU32" s="27"/>
      <c r="FV32" s="27"/>
      <c r="FW32" s="27"/>
      <c r="FX32" s="27"/>
      <c r="FY32" s="27"/>
      <c r="FZ32" s="27"/>
      <c r="GA32" s="27"/>
      <c r="GB32" s="27"/>
      <c r="GC32" s="27"/>
    </row>
    <row r="33" spans="2:185" s="120" customFormat="1" hidden="1">
      <c r="B33" s="29"/>
      <c r="C33" s="128"/>
      <c r="D33" s="129"/>
      <c r="E33" s="130"/>
      <c r="F33" s="130"/>
      <c r="G33" s="130"/>
      <c r="H33" s="130"/>
      <c r="I33" s="130"/>
      <c r="J33" s="130"/>
      <c r="K33" s="130"/>
      <c r="L33" s="130"/>
      <c r="M33" s="131"/>
      <c r="N33" s="130"/>
      <c r="O33" s="130"/>
      <c r="P33" s="130"/>
      <c r="Q33" s="130"/>
      <c r="R33" s="130"/>
      <c r="S33" s="130"/>
      <c r="T33" s="130"/>
      <c r="U33" s="130"/>
      <c r="V33" s="130"/>
      <c r="W33" s="130"/>
      <c r="X33" s="129"/>
      <c r="Y33" s="131"/>
      <c r="Z33" s="131"/>
      <c r="AA33" s="132"/>
      <c r="AB33" s="132"/>
      <c r="AC33" s="33"/>
      <c r="AD33" s="33"/>
      <c r="AE33" s="33"/>
      <c r="AF33" s="33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/>
      <c r="DA33" s="27"/>
      <c r="DB33" s="27"/>
      <c r="DC33" s="27"/>
      <c r="DD33" s="27"/>
      <c r="DE33" s="27"/>
      <c r="DF33" s="27"/>
      <c r="DG33" s="27"/>
      <c r="DH33" s="27"/>
      <c r="DI33" s="27"/>
      <c r="DJ33" s="27"/>
      <c r="DK33" s="27"/>
      <c r="DL33" s="27"/>
      <c r="DM33" s="27"/>
      <c r="DN33" s="27"/>
      <c r="DO33" s="27"/>
      <c r="DP33" s="27"/>
      <c r="DQ33" s="27"/>
      <c r="DR33" s="27"/>
      <c r="DS33" s="27"/>
      <c r="DT33" s="27"/>
      <c r="DU33" s="27"/>
      <c r="DV33" s="27"/>
      <c r="DW33" s="27"/>
      <c r="DX33" s="27"/>
      <c r="DY33" s="27"/>
      <c r="DZ33" s="27"/>
      <c r="EA33" s="27"/>
      <c r="EB33" s="27"/>
      <c r="EC33" s="27"/>
      <c r="ED33" s="27"/>
      <c r="EE33" s="27"/>
      <c r="EF33" s="27"/>
      <c r="EG33" s="27"/>
      <c r="EH33" s="27"/>
      <c r="EI33" s="27"/>
      <c r="EJ33" s="27"/>
      <c r="EK33" s="27"/>
      <c r="EL33" s="27"/>
      <c r="EM33" s="27"/>
      <c r="EN33" s="27"/>
      <c r="EO33" s="27"/>
      <c r="EP33" s="27"/>
      <c r="EQ33" s="27"/>
      <c r="ER33" s="27"/>
      <c r="ES33" s="27"/>
      <c r="ET33" s="27"/>
      <c r="EU33" s="27"/>
      <c r="EV33" s="27"/>
      <c r="EW33" s="27"/>
      <c r="EX33" s="27"/>
      <c r="EY33" s="27"/>
      <c r="EZ33" s="27"/>
      <c r="FA33" s="27"/>
      <c r="FB33" s="27"/>
      <c r="FC33" s="27"/>
      <c r="FD33" s="27"/>
      <c r="FE33" s="27"/>
      <c r="FF33" s="27"/>
      <c r="FG33" s="27"/>
      <c r="FH33" s="27"/>
      <c r="FI33" s="27"/>
      <c r="FJ33" s="27"/>
      <c r="FK33" s="27"/>
      <c r="FL33" s="27"/>
      <c r="FM33" s="27"/>
      <c r="FN33" s="27"/>
      <c r="FO33" s="27"/>
      <c r="FP33" s="27"/>
      <c r="FQ33" s="27"/>
      <c r="FR33" s="27"/>
      <c r="FS33" s="27"/>
      <c r="FT33" s="27"/>
      <c r="FU33" s="27"/>
      <c r="FV33" s="27"/>
      <c r="FW33" s="27"/>
      <c r="FX33" s="27"/>
      <c r="FY33" s="27"/>
      <c r="FZ33" s="27"/>
      <c r="GA33" s="27"/>
      <c r="GB33" s="27"/>
      <c r="GC33" s="27"/>
    </row>
    <row r="34" spans="2:185" s="120" customFormat="1" hidden="1">
      <c r="B34" s="29"/>
      <c r="C34" s="128"/>
      <c r="D34" s="129"/>
      <c r="E34" s="130"/>
      <c r="F34" s="130"/>
      <c r="G34" s="130"/>
      <c r="H34" s="130"/>
      <c r="I34" s="130"/>
      <c r="J34" s="130"/>
      <c r="K34" s="130"/>
      <c r="L34" s="130"/>
      <c r="M34" s="131"/>
      <c r="N34" s="130"/>
      <c r="O34" s="130"/>
      <c r="P34" s="130"/>
      <c r="Q34" s="130"/>
      <c r="R34" s="130"/>
      <c r="S34" s="130"/>
      <c r="T34" s="130"/>
      <c r="U34" s="130"/>
      <c r="V34" s="130"/>
      <c r="W34" s="130"/>
      <c r="X34" s="129"/>
      <c r="Y34" s="131"/>
      <c r="Z34" s="131"/>
      <c r="AA34" s="132"/>
      <c r="AB34" s="132"/>
      <c r="AC34" s="33"/>
      <c r="AD34" s="33"/>
      <c r="AE34" s="33"/>
      <c r="AF34" s="33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/>
      <c r="CR34" s="27"/>
      <c r="CS34" s="27"/>
      <c r="CT34" s="27"/>
      <c r="CU34" s="27"/>
      <c r="CV34" s="27"/>
      <c r="CW34" s="27"/>
      <c r="CX34" s="27"/>
      <c r="CY34" s="27"/>
      <c r="CZ34" s="27"/>
      <c r="DA34" s="27"/>
      <c r="DB34" s="27"/>
      <c r="DC34" s="27"/>
      <c r="DD34" s="27"/>
      <c r="DE34" s="27"/>
      <c r="DF34" s="27"/>
      <c r="DG34" s="27"/>
      <c r="DH34" s="27"/>
      <c r="DI34" s="27"/>
      <c r="DJ34" s="27"/>
      <c r="DK34" s="27"/>
      <c r="DL34" s="27"/>
      <c r="DM34" s="27"/>
      <c r="DN34" s="27"/>
      <c r="DO34" s="27"/>
      <c r="DP34" s="27"/>
      <c r="DQ34" s="27"/>
      <c r="DR34" s="27"/>
      <c r="DS34" s="27"/>
      <c r="DT34" s="27"/>
      <c r="DU34" s="27"/>
      <c r="DV34" s="27"/>
      <c r="DW34" s="27"/>
      <c r="DX34" s="27"/>
      <c r="DY34" s="27"/>
      <c r="DZ34" s="27"/>
      <c r="EA34" s="27"/>
      <c r="EB34" s="27"/>
      <c r="EC34" s="27"/>
      <c r="ED34" s="27"/>
      <c r="EE34" s="27"/>
      <c r="EF34" s="27"/>
      <c r="EG34" s="27"/>
      <c r="EH34" s="27"/>
      <c r="EI34" s="27"/>
      <c r="EJ34" s="27"/>
      <c r="EK34" s="27"/>
      <c r="EL34" s="27"/>
      <c r="EM34" s="27"/>
      <c r="EN34" s="27"/>
      <c r="EO34" s="27"/>
      <c r="EP34" s="27"/>
      <c r="EQ34" s="27"/>
      <c r="ER34" s="27"/>
      <c r="ES34" s="27"/>
      <c r="ET34" s="27"/>
      <c r="EU34" s="27"/>
      <c r="EV34" s="27"/>
      <c r="EW34" s="27"/>
      <c r="EX34" s="27"/>
      <c r="EY34" s="27"/>
      <c r="EZ34" s="27"/>
      <c r="FA34" s="27"/>
      <c r="FB34" s="27"/>
      <c r="FC34" s="27"/>
      <c r="FD34" s="27"/>
      <c r="FE34" s="27"/>
      <c r="FF34" s="27"/>
      <c r="FG34" s="27"/>
      <c r="FH34" s="27"/>
      <c r="FI34" s="27"/>
      <c r="FJ34" s="27"/>
      <c r="FK34" s="27"/>
      <c r="FL34" s="27"/>
      <c r="FM34" s="27"/>
      <c r="FN34" s="27"/>
      <c r="FO34" s="27"/>
      <c r="FP34" s="27"/>
      <c r="FQ34" s="27"/>
      <c r="FR34" s="27"/>
      <c r="FS34" s="27"/>
      <c r="FT34" s="27"/>
      <c r="FU34" s="27"/>
      <c r="FV34" s="27"/>
      <c r="FW34" s="27"/>
      <c r="FX34" s="27"/>
      <c r="FY34" s="27"/>
      <c r="FZ34" s="27"/>
      <c r="GA34" s="27"/>
      <c r="GB34" s="27"/>
      <c r="GC34" s="27"/>
    </row>
    <row r="35" spans="2:185" s="120" customFormat="1" hidden="1">
      <c r="B35" s="29"/>
      <c r="C35" s="128"/>
      <c r="D35" s="129"/>
      <c r="E35" s="130"/>
      <c r="F35" s="130"/>
      <c r="G35" s="130"/>
      <c r="H35" s="130"/>
      <c r="I35" s="130"/>
      <c r="J35" s="130"/>
      <c r="K35" s="130"/>
      <c r="L35" s="130"/>
      <c r="M35" s="131"/>
      <c r="N35" s="130"/>
      <c r="O35" s="130"/>
      <c r="P35" s="130"/>
      <c r="Q35" s="130"/>
      <c r="R35" s="130"/>
      <c r="S35" s="130"/>
      <c r="T35" s="130"/>
      <c r="U35" s="130"/>
      <c r="V35" s="130"/>
      <c r="W35" s="130"/>
      <c r="X35" s="129"/>
      <c r="Y35" s="131"/>
      <c r="Z35" s="131"/>
      <c r="AA35" s="132"/>
      <c r="AB35" s="132"/>
      <c r="AC35" s="33"/>
      <c r="AD35" s="33"/>
      <c r="AE35" s="33"/>
      <c r="AF35" s="33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/>
      <c r="CR35" s="27"/>
      <c r="CS35" s="27"/>
      <c r="CT35" s="27"/>
      <c r="CU35" s="27"/>
      <c r="CV35" s="27"/>
      <c r="CW35" s="27"/>
      <c r="CX35" s="27"/>
      <c r="CY35" s="27"/>
      <c r="CZ35" s="27"/>
      <c r="DA35" s="27"/>
      <c r="DB35" s="27"/>
      <c r="DC35" s="27"/>
      <c r="DD35" s="27"/>
      <c r="DE35" s="27"/>
      <c r="DF35" s="27"/>
      <c r="DG35" s="27"/>
      <c r="DH35" s="27"/>
      <c r="DI35" s="27"/>
      <c r="DJ35" s="27"/>
      <c r="DK35" s="27"/>
      <c r="DL35" s="27"/>
      <c r="DM35" s="27"/>
      <c r="DN35" s="27"/>
      <c r="DO35" s="27"/>
      <c r="DP35" s="27"/>
      <c r="DQ35" s="27"/>
      <c r="DR35" s="27"/>
      <c r="DS35" s="27"/>
      <c r="DT35" s="27"/>
      <c r="DU35" s="27"/>
      <c r="DV35" s="27"/>
      <c r="DW35" s="27"/>
      <c r="DX35" s="27"/>
      <c r="DY35" s="27"/>
      <c r="DZ35" s="27"/>
      <c r="EA35" s="27"/>
      <c r="EB35" s="27"/>
      <c r="EC35" s="27"/>
      <c r="ED35" s="27"/>
      <c r="EE35" s="27"/>
      <c r="EF35" s="27"/>
      <c r="EG35" s="27"/>
      <c r="EH35" s="27"/>
      <c r="EI35" s="27"/>
      <c r="EJ35" s="27"/>
      <c r="EK35" s="27"/>
      <c r="EL35" s="27"/>
      <c r="EM35" s="27"/>
      <c r="EN35" s="27"/>
      <c r="EO35" s="27"/>
      <c r="EP35" s="27"/>
      <c r="EQ35" s="27"/>
      <c r="ER35" s="27"/>
      <c r="ES35" s="27"/>
      <c r="ET35" s="27"/>
      <c r="EU35" s="27"/>
      <c r="EV35" s="27"/>
      <c r="EW35" s="27"/>
      <c r="EX35" s="27"/>
      <c r="EY35" s="27"/>
      <c r="EZ35" s="27"/>
      <c r="FA35" s="27"/>
      <c r="FB35" s="27"/>
      <c r="FC35" s="27"/>
      <c r="FD35" s="27"/>
      <c r="FE35" s="27"/>
      <c r="FF35" s="27"/>
      <c r="FG35" s="27"/>
      <c r="FH35" s="27"/>
      <c r="FI35" s="27"/>
      <c r="FJ35" s="27"/>
      <c r="FK35" s="27"/>
      <c r="FL35" s="27"/>
      <c r="FM35" s="27"/>
      <c r="FN35" s="27"/>
      <c r="FO35" s="27"/>
      <c r="FP35" s="27"/>
      <c r="FQ35" s="27"/>
      <c r="FR35" s="27"/>
      <c r="FS35" s="27"/>
      <c r="FT35" s="27"/>
      <c r="FU35" s="27"/>
      <c r="FV35" s="27"/>
      <c r="FW35" s="27"/>
      <c r="FX35" s="27"/>
      <c r="FY35" s="27"/>
      <c r="FZ35" s="27"/>
      <c r="GA35" s="27"/>
      <c r="GB35" s="27"/>
      <c r="GC35" s="27"/>
    </row>
    <row r="36" spans="2:185" s="120" customFormat="1" hidden="1">
      <c r="B36" s="29"/>
      <c r="C36" s="128"/>
      <c r="D36" s="129"/>
      <c r="E36" s="130"/>
      <c r="F36" s="130"/>
      <c r="G36" s="130"/>
      <c r="H36" s="130"/>
      <c r="I36" s="130"/>
      <c r="J36" s="130"/>
      <c r="K36" s="130"/>
      <c r="L36" s="130"/>
      <c r="M36" s="131"/>
      <c r="N36" s="130"/>
      <c r="O36" s="130"/>
      <c r="P36" s="130"/>
      <c r="Q36" s="130"/>
      <c r="R36" s="130"/>
      <c r="S36" s="130"/>
      <c r="T36" s="130"/>
      <c r="U36" s="130"/>
      <c r="V36" s="130"/>
      <c r="W36" s="130"/>
      <c r="X36" s="129"/>
      <c r="Y36" s="131"/>
      <c r="Z36" s="131"/>
      <c r="AA36" s="132"/>
      <c r="AB36" s="132"/>
      <c r="AC36" s="33"/>
      <c r="AD36" s="33"/>
      <c r="AE36" s="33"/>
      <c r="AF36" s="33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27"/>
      <c r="CV36" s="27"/>
      <c r="CW36" s="27"/>
      <c r="CX36" s="27"/>
      <c r="CY36" s="27"/>
      <c r="CZ36" s="27"/>
      <c r="DA36" s="27"/>
      <c r="DB36" s="27"/>
      <c r="DC36" s="27"/>
      <c r="DD36" s="27"/>
      <c r="DE36" s="27"/>
      <c r="DF36" s="27"/>
      <c r="DG36" s="27"/>
      <c r="DH36" s="27"/>
      <c r="DI36" s="27"/>
      <c r="DJ36" s="27"/>
      <c r="DK36" s="27"/>
      <c r="DL36" s="27"/>
      <c r="DM36" s="27"/>
      <c r="DN36" s="27"/>
      <c r="DO36" s="27"/>
      <c r="DP36" s="27"/>
      <c r="DQ36" s="27"/>
      <c r="DR36" s="27"/>
      <c r="DS36" s="27"/>
      <c r="DT36" s="27"/>
      <c r="DU36" s="27"/>
      <c r="DV36" s="27"/>
      <c r="DW36" s="27"/>
      <c r="DX36" s="27"/>
      <c r="DY36" s="27"/>
      <c r="DZ36" s="27"/>
      <c r="EA36" s="27"/>
      <c r="EB36" s="27"/>
      <c r="EC36" s="27"/>
      <c r="ED36" s="27"/>
      <c r="EE36" s="27"/>
      <c r="EF36" s="27"/>
      <c r="EG36" s="27"/>
      <c r="EH36" s="27"/>
      <c r="EI36" s="27"/>
      <c r="EJ36" s="27"/>
      <c r="EK36" s="27"/>
      <c r="EL36" s="27"/>
      <c r="EM36" s="27"/>
      <c r="EN36" s="27"/>
      <c r="EO36" s="27"/>
      <c r="EP36" s="27"/>
      <c r="EQ36" s="27"/>
      <c r="ER36" s="27"/>
      <c r="ES36" s="27"/>
      <c r="ET36" s="27"/>
      <c r="EU36" s="27"/>
      <c r="EV36" s="27"/>
      <c r="EW36" s="27"/>
      <c r="EX36" s="27"/>
      <c r="EY36" s="27"/>
      <c r="EZ36" s="27"/>
      <c r="FA36" s="27"/>
      <c r="FB36" s="27"/>
      <c r="FC36" s="27"/>
      <c r="FD36" s="27"/>
      <c r="FE36" s="27"/>
      <c r="FF36" s="27"/>
      <c r="FG36" s="27"/>
      <c r="FH36" s="27"/>
      <c r="FI36" s="27"/>
      <c r="FJ36" s="27"/>
      <c r="FK36" s="27"/>
      <c r="FL36" s="27"/>
      <c r="FM36" s="27"/>
      <c r="FN36" s="27"/>
      <c r="FO36" s="27"/>
      <c r="FP36" s="27"/>
      <c r="FQ36" s="27"/>
      <c r="FR36" s="27"/>
      <c r="FS36" s="27"/>
      <c r="FT36" s="27"/>
      <c r="FU36" s="27"/>
      <c r="FV36" s="27"/>
      <c r="FW36" s="27"/>
      <c r="FX36" s="27"/>
      <c r="FY36" s="27"/>
      <c r="FZ36" s="27"/>
      <c r="GA36" s="27"/>
      <c r="GB36" s="27"/>
      <c r="GC36" s="27"/>
    </row>
    <row r="37" spans="2:185" s="120" customFormat="1" hidden="1">
      <c r="B37" s="29"/>
      <c r="C37" s="128"/>
      <c r="D37" s="129"/>
      <c r="E37" s="130"/>
      <c r="F37" s="130"/>
      <c r="G37" s="130"/>
      <c r="H37" s="130"/>
      <c r="I37" s="130"/>
      <c r="J37" s="130"/>
      <c r="K37" s="130"/>
      <c r="L37" s="130"/>
      <c r="M37" s="131"/>
      <c r="N37" s="130"/>
      <c r="O37" s="130"/>
      <c r="P37" s="130"/>
      <c r="Q37" s="130"/>
      <c r="R37" s="130"/>
      <c r="S37" s="130"/>
      <c r="T37" s="130"/>
      <c r="U37" s="130"/>
      <c r="V37" s="130"/>
      <c r="W37" s="130"/>
      <c r="X37" s="129"/>
      <c r="Y37" s="131"/>
      <c r="Z37" s="131"/>
      <c r="AA37" s="132"/>
      <c r="AB37" s="132"/>
      <c r="AC37" s="33"/>
      <c r="AD37" s="33"/>
      <c r="AE37" s="33"/>
      <c r="AF37" s="33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/>
      <c r="CG37" s="27"/>
      <c r="CH37" s="27"/>
      <c r="CI37" s="27"/>
      <c r="CJ37" s="27"/>
      <c r="CK37" s="27"/>
      <c r="CL37" s="27"/>
      <c r="CM37" s="27"/>
      <c r="CN37" s="27"/>
      <c r="CO37" s="27"/>
      <c r="CP37" s="27"/>
      <c r="CQ37" s="27"/>
      <c r="CR37" s="27"/>
      <c r="CS37" s="27"/>
      <c r="CT37" s="27"/>
      <c r="CU37" s="27"/>
      <c r="CV37" s="27"/>
      <c r="CW37" s="27"/>
      <c r="CX37" s="27"/>
      <c r="CY37" s="27"/>
      <c r="CZ37" s="27"/>
      <c r="DA37" s="27"/>
      <c r="DB37" s="27"/>
      <c r="DC37" s="27"/>
      <c r="DD37" s="27"/>
      <c r="DE37" s="27"/>
      <c r="DF37" s="27"/>
      <c r="DG37" s="27"/>
      <c r="DH37" s="27"/>
      <c r="DI37" s="27"/>
      <c r="DJ37" s="27"/>
      <c r="DK37" s="27"/>
      <c r="DL37" s="27"/>
      <c r="DM37" s="27"/>
      <c r="DN37" s="27"/>
      <c r="DO37" s="27"/>
      <c r="DP37" s="27"/>
      <c r="DQ37" s="27"/>
      <c r="DR37" s="27"/>
      <c r="DS37" s="27"/>
      <c r="DT37" s="27"/>
      <c r="DU37" s="27"/>
      <c r="DV37" s="27"/>
      <c r="DW37" s="27"/>
      <c r="DX37" s="27"/>
      <c r="DY37" s="27"/>
      <c r="DZ37" s="27"/>
      <c r="EA37" s="27"/>
      <c r="EB37" s="27"/>
      <c r="EC37" s="27"/>
      <c r="ED37" s="27"/>
      <c r="EE37" s="27"/>
      <c r="EF37" s="27"/>
      <c r="EG37" s="27"/>
      <c r="EH37" s="27"/>
      <c r="EI37" s="27"/>
      <c r="EJ37" s="27"/>
      <c r="EK37" s="27"/>
      <c r="EL37" s="27"/>
      <c r="EM37" s="27"/>
      <c r="EN37" s="27"/>
      <c r="EO37" s="27"/>
      <c r="EP37" s="27"/>
      <c r="EQ37" s="27"/>
      <c r="ER37" s="27"/>
      <c r="ES37" s="27"/>
      <c r="ET37" s="27"/>
      <c r="EU37" s="27"/>
      <c r="EV37" s="27"/>
      <c r="EW37" s="27"/>
      <c r="EX37" s="27"/>
      <c r="EY37" s="27"/>
      <c r="EZ37" s="27"/>
      <c r="FA37" s="27"/>
      <c r="FB37" s="27"/>
      <c r="FC37" s="27"/>
      <c r="FD37" s="27"/>
      <c r="FE37" s="27"/>
      <c r="FF37" s="27"/>
      <c r="FG37" s="27"/>
      <c r="FH37" s="27"/>
      <c r="FI37" s="27"/>
      <c r="FJ37" s="27"/>
      <c r="FK37" s="27"/>
      <c r="FL37" s="27"/>
      <c r="FM37" s="27"/>
      <c r="FN37" s="27"/>
      <c r="FO37" s="27"/>
      <c r="FP37" s="27"/>
      <c r="FQ37" s="27"/>
      <c r="FR37" s="27"/>
      <c r="FS37" s="27"/>
      <c r="FT37" s="27"/>
      <c r="FU37" s="27"/>
      <c r="FV37" s="27"/>
      <c r="FW37" s="27"/>
      <c r="FX37" s="27"/>
      <c r="FY37" s="27"/>
      <c r="FZ37" s="27"/>
      <c r="GA37" s="27"/>
      <c r="GB37" s="27"/>
      <c r="GC37" s="27"/>
    </row>
    <row r="38" spans="2:185" s="120" customFormat="1" hidden="1">
      <c r="B38" s="29"/>
      <c r="C38" s="128"/>
      <c r="D38" s="129"/>
      <c r="E38" s="130"/>
      <c r="F38" s="130"/>
      <c r="G38" s="130"/>
      <c r="H38" s="130"/>
      <c r="I38" s="130"/>
      <c r="J38" s="130"/>
      <c r="K38" s="130"/>
      <c r="L38" s="130"/>
      <c r="M38" s="131"/>
      <c r="N38" s="130"/>
      <c r="O38" s="130"/>
      <c r="P38" s="130"/>
      <c r="Q38" s="130"/>
      <c r="R38" s="130"/>
      <c r="S38" s="130"/>
      <c r="T38" s="130"/>
      <c r="U38" s="130"/>
      <c r="V38" s="130"/>
      <c r="W38" s="130"/>
      <c r="X38" s="129"/>
      <c r="Y38" s="131"/>
      <c r="Z38" s="131"/>
      <c r="AA38" s="132"/>
      <c r="AB38" s="132"/>
      <c r="AC38" s="33"/>
      <c r="AD38" s="33"/>
      <c r="AE38" s="33"/>
      <c r="AF38" s="33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F38" s="27"/>
      <c r="CG38" s="27"/>
      <c r="CH38" s="27"/>
      <c r="CI38" s="27"/>
      <c r="CJ38" s="27"/>
      <c r="CK38" s="27"/>
      <c r="CL38" s="27"/>
      <c r="CM38" s="27"/>
      <c r="CN38" s="27"/>
      <c r="CO38" s="27"/>
      <c r="CP38" s="27"/>
      <c r="CQ38" s="27"/>
      <c r="CR38" s="27"/>
      <c r="CS38" s="27"/>
      <c r="CT38" s="27"/>
      <c r="CU38" s="27"/>
      <c r="CV38" s="27"/>
      <c r="CW38" s="27"/>
      <c r="CX38" s="27"/>
      <c r="CY38" s="27"/>
      <c r="CZ38" s="27"/>
      <c r="DA38" s="27"/>
      <c r="DB38" s="27"/>
      <c r="DC38" s="27"/>
      <c r="DD38" s="27"/>
      <c r="DE38" s="27"/>
      <c r="DF38" s="27"/>
      <c r="DG38" s="27"/>
      <c r="DH38" s="27"/>
      <c r="DI38" s="27"/>
      <c r="DJ38" s="27"/>
      <c r="DK38" s="27"/>
      <c r="DL38" s="27"/>
      <c r="DM38" s="27"/>
      <c r="DN38" s="27"/>
      <c r="DO38" s="27"/>
      <c r="DP38" s="27"/>
      <c r="DQ38" s="27"/>
      <c r="DR38" s="27"/>
      <c r="DS38" s="27"/>
      <c r="DT38" s="27"/>
      <c r="DU38" s="27"/>
      <c r="DV38" s="27"/>
      <c r="DW38" s="27"/>
      <c r="DX38" s="27"/>
      <c r="DY38" s="27"/>
      <c r="DZ38" s="27"/>
      <c r="EA38" s="27"/>
      <c r="EB38" s="27"/>
      <c r="EC38" s="27"/>
      <c r="ED38" s="27"/>
      <c r="EE38" s="27"/>
      <c r="EF38" s="27"/>
      <c r="EG38" s="27"/>
      <c r="EH38" s="27"/>
      <c r="EI38" s="27"/>
      <c r="EJ38" s="27"/>
      <c r="EK38" s="27"/>
      <c r="EL38" s="27"/>
      <c r="EM38" s="27"/>
      <c r="EN38" s="27"/>
      <c r="EO38" s="27"/>
      <c r="EP38" s="27"/>
      <c r="EQ38" s="27"/>
      <c r="ER38" s="27"/>
      <c r="ES38" s="27"/>
      <c r="ET38" s="27"/>
      <c r="EU38" s="27"/>
      <c r="EV38" s="27"/>
      <c r="EW38" s="27"/>
      <c r="EX38" s="27"/>
      <c r="EY38" s="27"/>
      <c r="EZ38" s="27"/>
      <c r="FA38" s="27"/>
      <c r="FB38" s="27"/>
      <c r="FC38" s="27"/>
      <c r="FD38" s="27"/>
      <c r="FE38" s="27"/>
      <c r="FF38" s="27"/>
      <c r="FG38" s="27"/>
      <c r="FH38" s="27"/>
      <c r="FI38" s="27"/>
      <c r="FJ38" s="27"/>
      <c r="FK38" s="27"/>
      <c r="FL38" s="27"/>
      <c r="FM38" s="27"/>
      <c r="FN38" s="27"/>
      <c r="FO38" s="27"/>
      <c r="FP38" s="27"/>
      <c r="FQ38" s="27"/>
      <c r="FR38" s="27"/>
      <c r="FS38" s="27"/>
      <c r="FT38" s="27"/>
      <c r="FU38" s="27"/>
      <c r="FV38" s="27"/>
      <c r="FW38" s="27"/>
      <c r="FX38" s="27"/>
      <c r="FY38" s="27"/>
      <c r="FZ38" s="27"/>
      <c r="GA38" s="27"/>
      <c r="GB38" s="27"/>
      <c r="GC38" s="27"/>
    </row>
    <row r="39" spans="2:185" s="120" customFormat="1" hidden="1">
      <c r="B39" s="29"/>
      <c r="C39" s="128"/>
      <c r="D39" s="129"/>
      <c r="E39" s="130"/>
      <c r="F39" s="130"/>
      <c r="G39" s="130"/>
      <c r="H39" s="130"/>
      <c r="I39" s="130"/>
      <c r="J39" s="130"/>
      <c r="K39" s="130"/>
      <c r="L39" s="130"/>
      <c r="M39" s="131"/>
      <c r="N39" s="130"/>
      <c r="O39" s="130"/>
      <c r="P39" s="130"/>
      <c r="Q39" s="130"/>
      <c r="R39" s="130"/>
      <c r="S39" s="130"/>
      <c r="T39" s="130"/>
      <c r="U39" s="130"/>
      <c r="V39" s="130"/>
      <c r="W39" s="130"/>
      <c r="X39" s="129"/>
      <c r="Y39" s="131"/>
      <c r="Z39" s="131"/>
      <c r="AA39" s="132"/>
      <c r="AB39" s="132"/>
      <c r="AC39" s="33"/>
      <c r="AD39" s="33"/>
      <c r="AE39" s="33"/>
      <c r="AF39" s="33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/>
      <c r="CG39" s="27"/>
      <c r="CH39" s="27"/>
      <c r="CI39" s="27"/>
      <c r="CJ39" s="27"/>
      <c r="CK39" s="27"/>
      <c r="CL39" s="27"/>
      <c r="CM39" s="27"/>
      <c r="CN39" s="27"/>
      <c r="CO39" s="27"/>
      <c r="CP39" s="27"/>
      <c r="CQ39" s="27"/>
      <c r="CR39" s="27"/>
      <c r="CS39" s="27"/>
      <c r="CT39" s="27"/>
      <c r="CU39" s="27"/>
      <c r="CV39" s="27"/>
      <c r="CW39" s="27"/>
      <c r="CX39" s="27"/>
      <c r="CY39" s="27"/>
      <c r="CZ39" s="27"/>
      <c r="DA39" s="27"/>
      <c r="DB39" s="27"/>
      <c r="DC39" s="27"/>
      <c r="DD39" s="27"/>
      <c r="DE39" s="27"/>
      <c r="DF39" s="27"/>
      <c r="DG39" s="27"/>
      <c r="DH39" s="27"/>
      <c r="DI39" s="27"/>
      <c r="DJ39" s="27"/>
      <c r="DK39" s="27"/>
      <c r="DL39" s="27"/>
      <c r="DM39" s="27"/>
      <c r="DN39" s="27"/>
      <c r="DO39" s="27"/>
      <c r="DP39" s="27"/>
      <c r="DQ39" s="27"/>
      <c r="DR39" s="27"/>
      <c r="DS39" s="27"/>
      <c r="DT39" s="27"/>
      <c r="DU39" s="27"/>
      <c r="DV39" s="27"/>
      <c r="DW39" s="27"/>
      <c r="DX39" s="27"/>
      <c r="DY39" s="27"/>
      <c r="DZ39" s="27"/>
      <c r="EA39" s="27"/>
      <c r="EB39" s="27"/>
      <c r="EC39" s="27"/>
      <c r="ED39" s="27"/>
      <c r="EE39" s="27"/>
      <c r="EF39" s="27"/>
      <c r="EG39" s="27"/>
      <c r="EH39" s="27"/>
      <c r="EI39" s="27"/>
      <c r="EJ39" s="27"/>
      <c r="EK39" s="27"/>
      <c r="EL39" s="27"/>
      <c r="EM39" s="27"/>
      <c r="EN39" s="27"/>
      <c r="EO39" s="27"/>
      <c r="EP39" s="27"/>
      <c r="EQ39" s="27"/>
      <c r="ER39" s="27"/>
      <c r="ES39" s="27"/>
      <c r="ET39" s="27"/>
      <c r="EU39" s="27"/>
      <c r="EV39" s="27"/>
      <c r="EW39" s="27"/>
      <c r="EX39" s="27"/>
      <c r="EY39" s="27"/>
      <c r="EZ39" s="27"/>
      <c r="FA39" s="27"/>
      <c r="FB39" s="27"/>
      <c r="FC39" s="27"/>
      <c r="FD39" s="27"/>
      <c r="FE39" s="27"/>
      <c r="FF39" s="27"/>
      <c r="FG39" s="27"/>
      <c r="FH39" s="27"/>
      <c r="FI39" s="27"/>
      <c r="FJ39" s="27"/>
      <c r="FK39" s="27"/>
      <c r="FL39" s="27"/>
      <c r="FM39" s="27"/>
      <c r="FN39" s="27"/>
      <c r="FO39" s="27"/>
      <c r="FP39" s="27"/>
      <c r="FQ39" s="27"/>
      <c r="FR39" s="27"/>
      <c r="FS39" s="27"/>
      <c r="FT39" s="27"/>
      <c r="FU39" s="27"/>
      <c r="FV39" s="27"/>
      <c r="FW39" s="27"/>
      <c r="FX39" s="27"/>
      <c r="FY39" s="27"/>
      <c r="FZ39" s="27"/>
      <c r="GA39" s="27"/>
      <c r="GB39" s="27"/>
      <c r="GC39" s="27"/>
    </row>
    <row r="40" spans="2:185" s="120" customFormat="1" hidden="1">
      <c r="B40" s="29"/>
      <c r="C40" s="128"/>
      <c r="D40" s="129"/>
      <c r="E40" s="130"/>
      <c r="F40" s="130"/>
      <c r="G40" s="130"/>
      <c r="H40" s="130"/>
      <c r="I40" s="130"/>
      <c r="J40" s="130"/>
      <c r="K40" s="130"/>
      <c r="L40" s="130"/>
      <c r="M40" s="131"/>
      <c r="N40" s="130"/>
      <c r="O40" s="130"/>
      <c r="P40" s="130"/>
      <c r="Q40" s="130"/>
      <c r="R40" s="130"/>
      <c r="S40" s="130"/>
      <c r="T40" s="130"/>
      <c r="U40" s="130"/>
      <c r="V40" s="130"/>
      <c r="W40" s="130"/>
      <c r="X40" s="129"/>
      <c r="Y40" s="131"/>
      <c r="Z40" s="131"/>
      <c r="AA40" s="132"/>
      <c r="AB40" s="132"/>
      <c r="AC40" s="33"/>
      <c r="AD40" s="33"/>
      <c r="AE40" s="33"/>
      <c r="AF40" s="33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  <c r="CB40" s="27"/>
      <c r="CC40" s="27"/>
      <c r="CD40" s="27"/>
      <c r="CE40" s="27"/>
      <c r="CF40" s="27"/>
      <c r="CG40" s="27"/>
      <c r="CH40" s="27"/>
      <c r="CI40" s="27"/>
      <c r="CJ40" s="27"/>
      <c r="CK40" s="27"/>
      <c r="CL40" s="27"/>
      <c r="CM40" s="27"/>
      <c r="CN40" s="27"/>
      <c r="CO40" s="27"/>
      <c r="CP40" s="27"/>
      <c r="CQ40" s="27"/>
      <c r="CR40" s="27"/>
      <c r="CS40" s="27"/>
      <c r="CT40" s="27"/>
      <c r="CU40" s="27"/>
      <c r="CV40" s="27"/>
      <c r="CW40" s="27"/>
      <c r="CX40" s="27"/>
      <c r="CY40" s="27"/>
      <c r="CZ40" s="27"/>
      <c r="DA40" s="27"/>
      <c r="DB40" s="27"/>
      <c r="DC40" s="27"/>
      <c r="DD40" s="27"/>
      <c r="DE40" s="27"/>
      <c r="DF40" s="27"/>
      <c r="DG40" s="27"/>
      <c r="DH40" s="27"/>
      <c r="DI40" s="27"/>
      <c r="DJ40" s="27"/>
      <c r="DK40" s="27"/>
      <c r="DL40" s="27"/>
      <c r="DM40" s="27"/>
      <c r="DN40" s="27"/>
      <c r="DO40" s="27"/>
      <c r="DP40" s="27"/>
      <c r="DQ40" s="27"/>
      <c r="DR40" s="27"/>
      <c r="DS40" s="27"/>
      <c r="DT40" s="27"/>
      <c r="DU40" s="27"/>
      <c r="DV40" s="27"/>
      <c r="DW40" s="27"/>
      <c r="DX40" s="27"/>
      <c r="DY40" s="27"/>
      <c r="DZ40" s="27"/>
      <c r="EA40" s="27"/>
      <c r="EB40" s="27"/>
      <c r="EC40" s="27"/>
      <c r="ED40" s="27"/>
      <c r="EE40" s="27"/>
      <c r="EF40" s="27"/>
      <c r="EG40" s="27"/>
      <c r="EH40" s="27"/>
      <c r="EI40" s="27"/>
      <c r="EJ40" s="27"/>
      <c r="EK40" s="27"/>
      <c r="EL40" s="27"/>
      <c r="EM40" s="27"/>
      <c r="EN40" s="27"/>
      <c r="EO40" s="27"/>
      <c r="EP40" s="27"/>
      <c r="EQ40" s="27"/>
      <c r="ER40" s="27"/>
      <c r="ES40" s="27"/>
      <c r="ET40" s="27"/>
      <c r="EU40" s="27"/>
      <c r="EV40" s="27"/>
      <c r="EW40" s="27"/>
      <c r="EX40" s="27"/>
      <c r="EY40" s="27"/>
      <c r="EZ40" s="27"/>
      <c r="FA40" s="27"/>
      <c r="FB40" s="27"/>
      <c r="FC40" s="27"/>
      <c r="FD40" s="27"/>
      <c r="FE40" s="27"/>
      <c r="FF40" s="27"/>
      <c r="FG40" s="27"/>
      <c r="FH40" s="27"/>
      <c r="FI40" s="27"/>
      <c r="FJ40" s="27"/>
      <c r="FK40" s="27"/>
      <c r="FL40" s="27"/>
      <c r="FM40" s="27"/>
      <c r="FN40" s="27"/>
      <c r="FO40" s="27"/>
      <c r="FP40" s="27"/>
      <c r="FQ40" s="27"/>
      <c r="FR40" s="27"/>
      <c r="FS40" s="27"/>
      <c r="FT40" s="27"/>
      <c r="FU40" s="27"/>
      <c r="FV40" s="27"/>
      <c r="FW40" s="27"/>
      <c r="FX40" s="27"/>
      <c r="FY40" s="27"/>
      <c r="FZ40" s="27"/>
      <c r="GA40" s="27"/>
      <c r="GB40" s="27"/>
      <c r="GC40" s="27"/>
    </row>
    <row r="41" spans="2:185" s="120" customFormat="1" hidden="1">
      <c r="B41" s="29"/>
      <c r="C41" s="128"/>
      <c r="D41" s="129"/>
      <c r="E41" s="130"/>
      <c r="F41" s="130"/>
      <c r="G41" s="130"/>
      <c r="H41" s="130"/>
      <c r="I41" s="130"/>
      <c r="J41" s="130"/>
      <c r="K41" s="130"/>
      <c r="L41" s="130"/>
      <c r="M41" s="131"/>
      <c r="N41" s="130"/>
      <c r="O41" s="130"/>
      <c r="P41" s="130"/>
      <c r="Q41" s="130"/>
      <c r="R41" s="130"/>
      <c r="S41" s="130"/>
      <c r="T41" s="130"/>
      <c r="U41" s="130"/>
      <c r="V41" s="130"/>
      <c r="W41" s="130"/>
      <c r="X41" s="129"/>
      <c r="Y41" s="131"/>
      <c r="Z41" s="131"/>
      <c r="AA41" s="132"/>
      <c r="AB41" s="132"/>
      <c r="AC41" s="33"/>
      <c r="AD41" s="33"/>
      <c r="AE41" s="33"/>
      <c r="AF41" s="33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  <c r="BZ41" s="27"/>
      <c r="CA41" s="27"/>
      <c r="CB41" s="27"/>
      <c r="CC41" s="27"/>
      <c r="CD41" s="27"/>
      <c r="CE41" s="27"/>
      <c r="CF41" s="27"/>
      <c r="CG41" s="27"/>
      <c r="CH41" s="27"/>
      <c r="CI41" s="27"/>
      <c r="CJ41" s="27"/>
      <c r="CK41" s="27"/>
      <c r="CL41" s="27"/>
      <c r="CM41" s="27"/>
      <c r="CN41" s="27"/>
      <c r="CO41" s="27"/>
      <c r="CP41" s="27"/>
      <c r="CQ41" s="27"/>
      <c r="CR41" s="27"/>
      <c r="CS41" s="27"/>
      <c r="CT41" s="27"/>
      <c r="CU41" s="27"/>
      <c r="CV41" s="27"/>
      <c r="CW41" s="27"/>
      <c r="CX41" s="27"/>
      <c r="CY41" s="27"/>
      <c r="CZ41" s="27"/>
      <c r="DA41" s="27"/>
      <c r="DB41" s="27"/>
      <c r="DC41" s="27"/>
      <c r="DD41" s="27"/>
      <c r="DE41" s="27"/>
      <c r="DF41" s="27"/>
      <c r="DG41" s="27"/>
      <c r="DH41" s="27"/>
      <c r="DI41" s="27"/>
      <c r="DJ41" s="27"/>
      <c r="DK41" s="27"/>
      <c r="DL41" s="27"/>
      <c r="DM41" s="27"/>
      <c r="DN41" s="27"/>
      <c r="DO41" s="27"/>
      <c r="DP41" s="27"/>
      <c r="DQ41" s="27"/>
      <c r="DR41" s="27"/>
      <c r="DS41" s="27"/>
      <c r="DT41" s="27"/>
      <c r="DU41" s="27"/>
      <c r="DV41" s="27"/>
      <c r="DW41" s="27"/>
      <c r="DX41" s="27"/>
      <c r="DY41" s="27"/>
      <c r="DZ41" s="27"/>
      <c r="EA41" s="27"/>
      <c r="EB41" s="27"/>
      <c r="EC41" s="27"/>
      <c r="ED41" s="27"/>
      <c r="EE41" s="27"/>
      <c r="EF41" s="27"/>
      <c r="EG41" s="27"/>
      <c r="EH41" s="27"/>
      <c r="EI41" s="27"/>
      <c r="EJ41" s="27"/>
      <c r="EK41" s="27"/>
      <c r="EL41" s="27"/>
      <c r="EM41" s="27"/>
      <c r="EN41" s="27"/>
      <c r="EO41" s="27"/>
      <c r="EP41" s="27"/>
      <c r="EQ41" s="27"/>
      <c r="ER41" s="27"/>
      <c r="ES41" s="27"/>
      <c r="ET41" s="27"/>
      <c r="EU41" s="27"/>
      <c r="EV41" s="27"/>
      <c r="EW41" s="27"/>
      <c r="EX41" s="27"/>
      <c r="EY41" s="27"/>
      <c r="EZ41" s="27"/>
      <c r="FA41" s="27"/>
      <c r="FB41" s="27"/>
      <c r="FC41" s="27"/>
      <c r="FD41" s="27"/>
      <c r="FE41" s="27"/>
      <c r="FF41" s="27"/>
      <c r="FG41" s="27"/>
      <c r="FH41" s="27"/>
      <c r="FI41" s="27"/>
      <c r="FJ41" s="27"/>
      <c r="FK41" s="27"/>
      <c r="FL41" s="27"/>
      <c r="FM41" s="27"/>
      <c r="FN41" s="27"/>
      <c r="FO41" s="27"/>
      <c r="FP41" s="27"/>
      <c r="FQ41" s="27"/>
      <c r="FR41" s="27"/>
      <c r="FS41" s="27"/>
      <c r="FT41" s="27"/>
      <c r="FU41" s="27"/>
      <c r="FV41" s="27"/>
      <c r="FW41" s="27"/>
      <c r="FX41" s="27"/>
      <c r="FY41" s="27"/>
      <c r="FZ41" s="27"/>
      <c r="GA41" s="27"/>
      <c r="GB41" s="27"/>
      <c r="GC41" s="27"/>
    </row>
    <row r="42" spans="2:185" s="120" customFormat="1" hidden="1">
      <c r="B42" s="29"/>
      <c r="C42" s="128"/>
      <c r="D42" s="129"/>
      <c r="E42" s="130"/>
      <c r="F42" s="130"/>
      <c r="G42" s="130"/>
      <c r="H42" s="130"/>
      <c r="I42" s="130"/>
      <c r="J42" s="130"/>
      <c r="K42" s="130"/>
      <c r="L42" s="130"/>
      <c r="M42" s="131"/>
      <c r="N42" s="130"/>
      <c r="O42" s="130"/>
      <c r="P42" s="130"/>
      <c r="Q42" s="130"/>
      <c r="R42" s="130"/>
      <c r="S42" s="130"/>
      <c r="T42" s="130"/>
      <c r="U42" s="130"/>
      <c r="V42" s="130"/>
      <c r="W42" s="130"/>
      <c r="X42" s="129"/>
      <c r="Y42" s="131"/>
      <c r="Z42" s="131"/>
      <c r="AA42" s="132"/>
      <c r="AB42" s="132"/>
      <c r="AC42" s="33"/>
      <c r="AD42" s="33"/>
      <c r="AE42" s="33"/>
      <c r="AF42" s="33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  <c r="BZ42" s="27"/>
      <c r="CA42" s="27"/>
      <c r="CB42" s="27"/>
      <c r="CC42" s="27"/>
      <c r="CD42" s="27"/>
      <c r="CE42" s="27"/>
      <c r="CF42" s="27"/>
      <c r="CG42" s="27"/>
      <c r="CH42" s="27"/>
      <c r="CI42" s="27"/>
      <c r="CJ42" s="27"/>
      <c r="CK42" s="27"/>
      <c r="CL42" s="27"/>
      <c r="CM42" s="27"/>
      <c r="CN42" s="27"/>
      <c r="CO42" s="27"/>
      <c r="CP42" s="27"/>
      <c r="CQ42" s="27"/>
      <c r="CR42" s="27"/>
      <c r="CS42" s="27"/>
      <c r="CT42" s="27"/>
      <c r="CU42" s="27"/>
      <c r="CV42" s="27"/>
      <c r="CW42" s="27"/>
      <c r="CX42" s="27"/>
      <c r="CY42" s="27"/>
      <c r="CZ42" s="27"/>
      <c r="DA42" s="27"/>
      <c r="DB42" s="27"/>
      <c r="DC42" s="27"/>
      <c r="DD42" s="27"/>
      <c r="DE42" s="27"/>
      <c r="DF42" s="27"/>
      <c r="DG42" s="27"/>
      <c r="DH42" s="27"/>
      <c r="DI42" s="27"/>
      <c r="DJ42" s="27"/>
      <c r="DK42" s="27"/>
      <c r="DL42" s="27"/>
      <c r="DM42" s="27"/>
      <c r="DN42" s="27"/>
      <c r="DO42" s="27"/>
      <c r="DP42" s="27"/>
      <c r="DQ42" s="27"/>
      <c r="DR42" s="27"/>
      <c r="DS42" s="27"/>
      <c r="DT42" s="27"/>
      <c r="DU42" s="27"/>
      <c r="DV42" s="27"/>
      <c r="DW42" s="27"/>
      <c r="DX42" s="27"/>
      <c r="DY42" s="27"/>
      <c r="DZ42" s="27"/>
      <c r="EA42" s="27"/>
      <c r="EB42" s="27"/>
      <c r="EC42" s="27"/>
      <c r="ED42" s="27"/>
      <c r="EE42" s="27"/>
      <c r="EF42" s="27"/>
      <c r="EG42" s="27"/>
      <c r="EH42" s="27"/>
      <c r="EI42" s="27"/>
      <c r="EJ42" s="27"/>
      <c r="EK42" s="27"/>
      <c r="EL42" s="27"/>
      <c r="EM42" s="27"/>
      <c r="EN42" s="27"/>
      <c r="EO42" s="27"/>
      <c r="EP42" s="27"/>
      <c r="EQ42" s="27"/>
      <c r="ER42" s="27"/>
      <c r="ES42" s="27"/>
      <c r="ET42" s="27"/>
      <c r="EU42" s="27"/>
      <c r="EV42" s="27"/>
      <c r="EW42" s="27"/>
      <c r="EX42" s="27"/>
      <c r="EY42" s="27"/>
      <c r="EZ42" s="27"/>
      <c r="FA42" s="27"/>
      <c r="FB42" s="27"/>
      <c r="FC42" s="27"/>
      <c r="FD42" s="27"/>
      <c r="FE42" s="27"/>
      <c r="FF42" s="27"/>
      <c r="FG42" s="27"/>
      <c r="FH42" s="27"/>
      <c r="FI42" s="27"/>
      <c r="FJ42" s="27"/>
      <c r="FK42" s="27"/>
      <c r="FL42" s="27"/>
      <c r="FM42" s="27"/>
      <c r="FN42" s="27"/>
      <c r="FO42" s="27"/>
      <c r="FP42" s="27"/>
      <c r="FQ42" s="27"/>
      <c r="FR42" s="27"/>
      <c r="FS42" s="27"/>
      <c r="FT42" s="27"/>
      <c r="FU42" s="27"/>
      <c r="FV42" s="27"/>
      <c r="FW42" s="27"/>
      <c r="FX42" s="27"/>
      <c r="FY42" s="27"/>
      <c r="FZ42" s="27"/>
      <c r="GA42" s="27"/>
      <c r="GB42" s="27"/>
      <c r="GC42" s="27"/>
    </row>
    <row r="43" spans="2:185" s="120" customFormat="1" hidden="1">
      <c r="B43" s="29"/>
      <c r="C43" s="128"/>
      <c r="D43" s="129"/>
      <c r="E43" s="130"/>
      <c r="F43" s="130"/>
      <c r="G43" s="130"/>
      <c r="H43" s="130"/>
      <c r="I43" s="130"/>
      <c r="J43" s="130"/>
      <c r="K43" s="130"/>
      <c r="L43" s="130"/>
      <c r="M43" s="131"/>
      <c r="N43" s="130"/>
      <c r="O43" s="130"/>
      <c r="P43" s="130"/>
      <c r="Q43" s="130"/>
      <c r="R43" s="130"/>
      <c r="S43" s="130"/>
      <c r="T43" s="130"/>
      <c r="U43" s="130"/>
      <c r="V43" s="130"/>
      <c r="W43" s="130"/>
      <c r="X43" s="129"/>
      <c r="Y43" s="131"/>
      <c r="Z43" s="131"/>
      <c r="AA43" s="132"/>
      <c r="AB43" s="132"/>
      <c r="AC43" s="33"/>
      <c r="AD43" s="33"/>
      <c r="AE43" s="33"/>
      <c r="AF43" s="33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 s="27"/>
      <c r="CJ43" s="27"/>
      <c r="CK43" s="27"/>
      <c r="CL43" s="27"/>
      <c r="CM43" s="27"/>
      <c r="CN43" s="27"/>
      <c r="CO43" s="27"/>
      <c r="CP43" s="27"/>
      <c r="CQ43" s="27"/>
      <c r="CR43" s="27"/>
      <c r="CS43" s="27"/>
      <c r="CT43" s="27"/>
      <c r="CU43" s="27"/>
      <c r="CV43" s="27"/>
      <c r="CW43" s="27"/>
      <c r="CX43" s="27"/>
      <c r="CY43" s="27"/>
      <c r="CZ43" s="27"/>
      <c r="DA43" s="27"/>
      <c r="DB43" s="27"/>
      <c r="DC43" s="27"/>
      <c r="DD43" s="27"/>
      <c r="DE43" s="27"/>
      <c r="DF43" s="27"/>
      <c r="DG43" s="27"/>
      <c r="DH43" s="27"/>
      <c r="DI43" s="27"/>
      <c r="DJ43" s="27"/>
      <c r="DK43" s="27"/>
      <c r="DL43" s="27"/>
      <c r="DM43" s="27"/>
      <c r="DN43" s="27"/>
      <c r="DO43" s="27"/>
      <c r="DP43" s="27"/>
      <c r="DQ43" s="27"/>
      <c r="DR43" s="27"/>
      <c r="DS43" s="27"/>
      <c r="DT43" s="27"/>
      <c r="DU43" s="27"/>
      <c r="DV43" s="27"/>
      <c r="DW43" s="27"/>
      <c r="DX43" s="27"/>
      <c r="DY43" s="27"/>
      <c r="DZ43" s="27"/>
      <c r="EA43" s="27"/>
      <c r="EB43" s="27"/>
      <c r="EC43" s="27"/>
      <c r="ED43" s="27"/>
      <c r="EE43" s="27"/>
      <c r="EF43" s="27"/>
      <c r="EG43" s="27"/>
      <c r="EH43" s="27"/>
      <c r="EI43" s="27"/>
      <c r="EJ43" s="27"/>
      <c r="EK43" s="27"/>
      <c r="EL43" s="27"/>
      <c r="EM43" s="27"/>
      <c r="EN43" s="27"/>
      <c r="EO43" s="27"/>
      <c r="EP43" s="27"/>
      <c r="EQ43" s="27"/>
      <c r="ER43" s="27"/>
      <c r="ES43" s="27"/>
      <c r="ET43" s="27"/>
      <c r="EU43" s="27"/>
      <c r="EV43" s="27"/>
      <c r="EW43" s="27"/>
      <c r="EX43" s="27"/>
      <c r="EY43" s="27"/>
      <c r="EZ43" s="27"/>
      <c r="FA43" s="27"/>
      <c r="FB43" s="27"/>
      <c r="FC43" s="27"/>
      <c r="FD43" s="27"/>
      <c r="FE43" s="27"/>
      <c r="FF43" s="27"/>
      <c r="FG43" s="27"/>
      <c r="FH43" s="27"/>
      <c r="FI43" s="27"/>
      <c r="FJ43" s="27"/>
      <c r="FK43" s="27"/>
      <c r="FL43" s="27"/>
      <c r="FM43" s="27"/>
      <c r="FN43" s="27"/>
      <c r="FO43" s="27"/>
      <c r="FP43" s="27"/>
      <c r="FQ43" s="27"/>
      <c r="FR43" s="27"/>
      <c r="FS43" s="27"/>
      <c r="FT43" s="27"/>
      <c r="FU43" s="27"/>
      <c r="FV43" s="27"/>
      <c r="FW43" s="27"/>
      <c r="FX43" s="27"/>
      <c r="FY43" s="27"/>
      <c r="FZ43" s="27"/>
      <c r="GA43" s="27"/>
      <c r="GB43" s="27"/>
      <c r="GC43" s="27"/>
    </row>
    <row r="44" spans="2:185" s="120" customFormat="1" hidden="1">
      <c r="B44" s="29"/>
      <c r="C44" s="128"/>
      <c r="D44" s="129"/>
      <c r="E44" s="129"/>
      <c r="F44" s="129"/>
      <c r="G44" s="129"/>
      <c r="H44" s="129"/>
      <c r="I44" s="129"/>
      <c r="J44" s="129"/>
      <c r="K44" s="129"/>
      <c r="L44" s="129"/>
      <c r="M44" s="131"/>
      <c r="N44" s="129"/>
      <c r="O44" s="129"/>
      <c r="P44" s="129"/>
      <c r="Q44" s="129"/>
      <c r="R44" s="129"/>
      <c r="S44" s="129"/>
      <c r="T44" s="129"/>
      <c r="U44" s="129"/>
      <c r="V44" s="129"/>
      <c r="W44" s="129"/>
      <c r="X44" s="129"/>
      <c r="Y44" s="131"/>
      <c r="Z44" s="131"/>
      <c r="AA44" s="132"/>
      <c r="AB44" s="132"/>
      <c r="AC44" s="33"/>
      <c r="AD44" s="33"/>
      <c r="AE44" s="33"/>
      <c r="AF44" s="33"/>
      <c r="AG44" s="27"/>
      <c r="AH44" s="27"/>
      <c r="AI44" s="27"/>
      <c r="AJ44" s="27"/>
      <c r="AK44" s="27"/>
      <c r="AL44" s="27"/>
      <c r="AM44" s="27"/>
      <c r="AN44" s="27"/>
      <c r="AO44" s="27"/>
      <c r="AP44" s="27"/>
    </row>
    <row r="45" spans="2:185" s="120" customFormat="1" hidden="1">
      <c r="B45" s="29"/>
      <c r="C45" s="128"/>
      <c r="D45" s="129"/>
      <c r="E45" s="129"/>
      <c r="F45" s="129"/>
      <c r="G45" s="129"/>
      <c r="H45" s="129"/>
      <c r="I45" s="129"/>
      <c r="J45" s="129"/>
      <c r="K45" s="129"/>
      <c r="L45" s="129"/>
      <c r="M45" s="131"/>
      <c r="N45" s="129"/>
      <c r="O45" s="129"/>
      <c r="P45" s="129"/>
      <c r="Q45" s="129"/>
      <c r="R45" s="129"/>
      <c r="S45" s="129"/>
      <c r="T45" s="129"/>
      <c r="U45" s="129"/>
      <c r="V45" s="129"/>
      <c r="W45" s="129"/>
      <c r="X45" s="129"/>
      <c r="Y45" s="131"/>
      <c r="Z45" s="131"/>
      <c r="AA45" s="132"/>
      <c r="AB45" s="132"/>
      <c r="AC45" s="33"/>
      <c r="AD45" s="33"/>
      <c r="AE45" s="33"/>
      <c r="AF45" s="33"/>
      <c r="AG45" s="27"/>
      <c r="AH45" s="27"/>
      <c r="AI45" s="27"/>
      <c r="AJ45" s="27"/>
      <c r="AK45" s="27"/>
      <c r="AL45" s="27"/>
      <c r="AM45" s="27"/>
      <c r="AN45" s="27"/>
      <c r="AO45" s="27"/>
      <c r="AP45" s="27"/>
    </row>
    <row r="46" spans="2:185" s="120" customFormat="1" hidden="1">
      <c r="B46" s="29"/>
      <c r="C46" s="128"/>
      <c r="D46" s="129"/>
      <c r="E46" s="129"/>
      <c r="F46" s="129"/>
      <c r="G46" s="129"/>
      <c r="H46" s="129"/>
      <c r="I46" s="129"/>
      <c r="J46" s="129"/>
      <c r="K46" s="129"/>
      <c r="L46" s="129"/>
      <c r="M46" s="131"/>
      <c r="N46" s="129"/>
      <c r="O46" s="129"/>
      <c r="P46" s="129"/>
      <c r="Q46" s="129"/>
      <c r="R46" s="129"/>
      <c r="S46" s="129"/>
      <c r="T46" s="129"/>
      <c r="U46" s="129"/>
      <c r="V46" s="129"/>
      <c r="W46" s="129"/>
      <c r="X46" s="129"/>
      <c r="Y46" s="131"/>
      <c r="Z46" s="131"/>
      <c r="AA46" s="132"/>
      <c r="AB46" s="132"/>
      <c r="AC46" s="33"/>
      <c r="AD46" s="33"/>
      <c r="AE46" s="33"/>
      <c r="AF46" s="33"/>
      <c r="AG46" s="27"/>
      <c r="AH46" s="27"/>
      <c r="AI46" s="27"/>
      <c r="AJ46" s="27"/>
      <c r="AK46" s="27"/>
      <c r="AL46" s="27"/>
      <c r="AM46" s="27"/>
      <c r="AN46" s="27"/>
      <c r="AO46" s="27"/>
      <c r="AP46" s="27"/>
    </row>
    <row r="47" spans="2:185" s="120" customFormat="1" hidden="1">
      <c r="B47" s="29"/>
      <c r="C47" s="128"/>
      <c r="D47" s="129"/>
      <c r="E47" s="129"/>
      <c r="F47" s="129"/>
      <c r="G47" s="129"/>
      <c r="H47" s="129"/>
      <c r="I47" s="129"/>
      <c r="J47" s="129"/>
      <c r="K47" s="129"/>
      <c r="L47" s="129"/>
      <c r="M47" s="131"/>
      <c r="N47" s="129"/>
      <c r="O47" s="129"/>
      <c r="P47" s="129"/>
      <c r="Q47" s="129"/>
      <c r="R47" s="129"/>
      <c r="S47" s="129"/>
      <c r="T47" s="129"/>
      <c r="U47" s="129"/>
      <c r="V47" s="129"/>
      <c r="W47" s="129"/>
      <c r="X47" s="129"/>
      <c r="Y47" s="131"/>
      <c r="Z47" s="131"/>
      <c r="AA47" s="132"/>
      <c r="AB47" s="132"/>
      <c r="AC47" s="33"/>
      <c r="AD47" s="33"/>
      <c r="AE47" s="33"/>
      <c r="AF47" s="33"/>
      <c r="AG47" s="27"/>
      <c r="AH47" s="27"/>
      <c r="AI47" s="27"/>
      <c r="AJ47" s="27"/>
      <c r="AK47" s="27"/>
      <c r="AL47" s="27"/>
      <c r="AM47" s="27"/>
      <c r="AN47" s="27"/>
      <c r="AO47" s="27"/>
      <c r="AP47" s="27"/>
    </row>
    <row r="48" spans="2:185" s="120" customFormat="1" hidden="1">
      <c r="B48" s="29"/>
      <c r="C48" s="128"/>
      <c r="D48" s="129"/>
      <c r="E48" s="129"/>
      <c r="F48" s="129"/>
      <c r="G48" s="129"/>
      <c r="H48" s="129"/>
      <c r="I48" s="129"/>
      <c r="J48" s="129"/>
      <c r="K48" s="129"/>
      <c r="L48" s="129"/>
      <c r="M48" s="131"/>
      <c r="N48" s="129"/>
      <c r="O48" s="129"/>
      <c r="P48" s="129"/>
      <c r="Q48" s="129"/>
      <c r="R48" s="129"/>
      <c r="S48" s="129"/>
      <c r="T48" s="129"/>
      <c r="U48" s="129"/>
      <c r="V48" s="129"/>
      <c r="W48" s="129"/>
      <c r="X48" s="129"/>
      <c r="Y48" s="131"/>
      <c r="Z48" s="131"/>
      <c r="AA48" s="132"/>
      <c r="AB48" s="132"/>
      <c r="AC48" s="33"/>
      <c r="AD48" s="33"/>
      <c r="AE48" s="33"/>
      <c r="AF48" s="33"/>
      <c r="AG48" s="27"/>
      <c r="AH48" s="27"/>
      <c r="AI48" s="27"/>
      <c r="AJ48" s="27"/>
      <c r="AK48" s="27"/>
      <c r="AL48" s="27"/>
      <c r="AM48" s="27"/>
      <c r="AN48" s="27"/>
      <c r="AO48" s="27"/>
      <c r="AP48" s="27"/>
    </row>
    <row r="49" spans="2:42" s="120" customFormat="1" hidden="1">
      <c r="B49" s="29"/>
      <c r="C49" s="128"/>
      <c r="D49" s="129"/>
      <c r="E49" s="129"/>
      <c r="F49" s="129"/>
      <c r="G49" s="129"/>
      <c r="H49" s="129"/>
      <c r="I49" s="129"/>
      <c r="J49" s="129"/>
      <c r="K49" s="129"/>
      <c r="L49" s="129"/>
      <c r="M49" s="131"/>
      <c r="N49" s="129"/>
      <c r="O49" s="129"/>
      <c r="P49" s="129"/>
      <c r="Q49" s="129"/>
      <c r="R49" s="129"/>
      <c r="S49" s="129"/>
      <c r="T49" s="129"/>
      <c r="U49" s="129"/>
      <c r="V49" s="129"/>
      <c r="W49" s="129"/>
      <c r="X49" s="129"/>
      <c r="Y49" s="131"/>
      <c r="Z49" s="131"/>
      <c r="AA49" s="132"/>
      <c r="AB49" s="132"/>
      <c r="AC49" s="33"/>
      <c r="AD49" s="33"/>
      <c r="AE49" s="33"/>
      <c r="AF49" s="33"/>
      <c r="AG49" s="27"/>
      <c r="AH49" s="27"/>
      <c r="AI49" s="27"/>
      <c r="AJ49" s="27"/>
      <c r="AK49" s="27"/>
      <c r="AL49" s="27"/>
      <c r="AM49" s="27"/>
      <c r="AN49" s="27"/>
      <c r="AO49" s="27"/>
      <c r="AP49" s="27"/>
    </row>
    <row r="50" spans="2:42" s="120" customFormat="1" hidden="1">
      <c r="B50" s="29"/>
      <c r="C50" s="128"/>
      <c r="D50" s="129"/>
      <c r="E50" s="129"/>
      <c r="F50" s="129"/>
      <c r="G50" s="129"/>
      <c r="H50" s="129"/>
      <c r="I50" s="129"/>
      <c r="J50" s="129"/>
      <c r="K50" s="129"/>
      <c r="L50" s="129"/>
      <c r="M50" s="131"/>
      <c r="N50" s="129"/>
      <c r="O50" s="129"/>
      <c r="P50" s="129"/>
      <c r="Q50" s="129"/>
      <c r="R50" s="129"/>
      <c r="S50" s="129"/>
      <c r="T50" s="129"/>
      <c r="U50" s="129"/>
      <c r="V50" s="129"/>
      <c r="W50" s="129"/>
      <c r="X50" s="129"/>
      <c r="Y50" s="131"/>
      <c r="Z50" s="131"/>
      <c r="AA50" s="132"/>
      <c r="AB50" s="132"/>
      <c r="AC50" s="33"/>
      <c r="AD50" s="33"/>
      <c r="AE50" s="33"/>
      <c r="AF50" s="33"/>
      <c r="AG50" s="27"/>
      <c r="AH50" s="27"/>
      <c r="AI50" s="27"/>
      <c r="AJ50" s="27"/>
      <c r="AK50" s="27"/>
      <c r="AL50" s="27"/>
      <c r="AM50" s="27"/>
      <c r="AN50" s="27"/>
      <c r="AO50" s="27"/>
      <c r="AP50" s="27"/>
    </row>
    <row r="51" spans="2:42" s="120" customFormat="1" hidden="1">
      <c r="B51" s="29"/>
      <c r="C51" s="128"/>
      <c r="D51" s="129"/>
      <c r="E51" s="129"/>
      <c r="F51" s="129"/>
      <c r="G51" s="129"/>
      <c r="H51" s="129"/>
      <c r="I51" s="129"/>
      <c r="J51" s="129"/>
      <c r="K51" s="129"/>
      <c r="L51" s="129"/>
      <c r="M51" s="131"/>
      <c r="N51" s="129"/>
      <c r="O51" s="129"/>
      <c r="P51" s="129"/>
      <c r="Q51" s="129"/>
      <c r="R51" s="129"/>
      <c r="S51" s="129"/>
      <c r="T51" s="129"/>
      <c r="U51" s="129"/>
      <c r="V51" s="129"/>
      <c r="W51" s="129"/>
      <c r="X51" s="129"/>
      <c r="Y51" s="131"/>
      <c r="Z51" s="131"/>
      <c r="AA51" s="132"/>
      <c r="AB51" s="132"/>
      <c r="AC51" s="33"/>
      <c r="AD51" s="33"/>
      <c r="AE51" s="33"/>
      <c r="AF51" s="33"/>
      <c r="AG51" s="27"/>
      <c r="AH51" s="27"/>
      <c r="AI51" s="27"/>
      <c r="AJ51" s="27"/>
      <c r="AK51" s="27"/>
      <c r="AL51" s="27"/>
      <c r="AM51" s="27"/>
      <c r="AN51" s="27"/>
      <c r="AO51" s="27"/>
      <c r="AP51" s="27"/>
    </row>
    <row r="52" spans="2:42" s="120" customFormat="1" hidden="1">
      <c r="B52" s="29"/>
      <c r="C52" s="128"/>
      <c r="D52" s="129"/>
      <c r="E52" s="129"/>
      <c r="F52" s="129"/>
      <c r="G52" s="129"/>
      <c r="H52" s="129"/>
      <c r="I52" s="129"/>
      <c r="J52" s="129"/>
      <c r="K52" s="129"/>
      <c r="L52" s="129"/>
      <c r="M52" s="131"/>
      <c r="N52" s="129"/>
      <c r="O52" s="129"/>
      <c r="P52" s="129"/>
      <c r="Q52" s="129"/>
      <c r="R52" s="129"/>
      <c r="S52" s="129"/>
      <c r="T52" s="129"/>
      <c r="U52" s="129"/>
      <c r="V52" s="129"/>
      <c r="W52" s="129"/>
      <c r="X52" s="129"/>
      <c r="Y52" s="131"/>
      <c r="Z52" s="131"/>
      <c r="AA52" s="132"/>
      <c r="AB52" s="132"/>
      <c r="AC52" s="33"/>
      <c r="AD52" s="33"/>
      <c r="AE52" s="33"/>
      <c r="AF52" s="33"/>
      <c r="AG52" s="27"/>
      <c r="AH52" s="27"/>
      <c r="AI52" s="27"/>
      <c r="AJ52" s="27"/>
      <c r="AK52" s="27"/>
      <c r="AL52" s="27"/>
      <c r="AM52" s="27"/>
      <c r="AN52" s="27"/>
      <c r="AO52" s="27"/>
      <c r="AP52" s="27"/>
    </row>
    <row r="53" spans="2:42" s="120" customFormat="1" hidden="1">
      <c r="B53" s="29"/>
      <c r="C53" s="128"/>
      <c r="D53" s="129"/>
      <c r="E53" s="129"/>
      <c r="F53" s="129"/>
      <c r="G53" s="129"/>
      <c r="H53" s="129"/>
      <c r="I53" s="129"/>
      <c r="J53" s="129"/>
      <c r="K53" s="129"/>
      <c r="L53" s="129"/>
      <c r="M53" s="131"/>
      <c r="N53" s="129"/>
      <c r="O53" s="129"/>
      <c r="P53" s="129"/>
      <c r="Q53" s="129"/>
      <c r="R53" s="129"/>
      <c r="S53" s="129"/>
      <c r="T53" s="129"/>
      <c r="U53" s="129"/>
      <c r="V53" s="129"/>
      <c r="W53" s="129"/>
      <c r="X53" s="129"/>
      <c r="Y53" s="131"/>
      <c r="Z53" s="131"/>
      <c r="AA53" s="132"/>
      <c r="AB53" s="132"/>
      <c r="AC53" s="33"/>
      <c r="AD53" s="33"/>
      <c r="AE53" s="33"/>
      <c r="AF53" s="33"/>
      <c r="AG53" s="27"/>
      <c r="AH53" s="27"/>
      <c r="AI53" s="27"/>
      <c r="AJ53" s="27"/>
      <c r="AK53" s="27"/>
      <c r="AL53" s="27"/>
      <c r="AM53" s="27"/>
      <c r="AN53" s="27"/>
      <c r="AO53" s="27"/>
      <c r="AP53" s="27"/>
    </row>
    <row r="54" spans="2:42" s="120" customFormat="1" hidden="1">
      <c r="B54" s="29"/>
      <c r="C54" s="128"/>
      <c r="D54" s="129"/>
      <c r="E54" s="129"/>
      <c r="F54" s="129"/>
      <c r="G54" s="129"/>
      <c r="H54" s="129"/>
      <c r="I54" s="129"/>
      <c r="J54" s="129"/>
      <c r="K54" s="129"/>
      <c r="L54" s="129"/>
      <c r="M54" s="131"/>
      <c r="N54" s="129"/>
      <c r="O54" s="129"/>
      <c r="P54" s="129"/>
      <c r="Q54" s="129"/>
      <c r="R54" s="129"/>
      <c r="S54" s="129"/>
      <c r="T54" s="129"/>
      <c r="U54" s="129"/>
      <c r="V54" s="129"/>
      <c r="W54" s="129"/>
      <c r="X54" s="129"/>
      <c r="Y54" s="131"/>
      <c r="Z54" s="131"/>
      <c r="AA54" s="132"/>
      <c r="AB54" s="132"/>
      <c r="AC54" s="33"/>
      <c r="AD54" s="33"/>
      <c r="AE54" s="33"/>
      <c r="AF54" s="33"/>
      <c r="AG54" s="27"/>
      <c r="AH54" s="27"/>
      <c r="AI54" s="27"/>
      <c r="AJ54" s="27"/>
      <c r="AK54" s="27"/>
      <c r="AL54" s="27"/>
      <c r="AM54" s="27"/>
      <c r="AN54" s="27"/>
      <c r="AO54" s="27"/>
      <c r="AP54" s="27"/>
    </row>
    <row r="55" spans="2:42" s="120" customFormat="1" hidden="1">
      <c r="B55" s="29"/>
      <c r="C55" s="128"/>
      <c r="D55" s="129"/>
      <c r="E55" s="129"/>
      <c r="F55" s="129"/>
      <c r="G55" s="129"/>
      <c r="H55" s="129"/>
      <c r="I55" s="129"/>
      <c r="J55" s="129"/>
      <c r="K55" s="129"/>
      <c r="L55" s="129"/>
      <c r="M55" s="131"/>
      <c r="N55" s="129"/>
      <c r="O55" s="129"/>
      <c r="P55" s="129"/>
      <c r="Q55" s="129"/>
      <c r="R55" s="129"/>
      <c r="S55" s="129"/>
      <c r="T55" s="129"/>
      <c r="U55" s="129"/>
      <c r="V55" s="129"/>
      <c r="W55" s="129"/>
      <c r="X55" s="129"/>
      <c r="Y55" s="131"/>
      <c r="Z55" s="131"/>
      <c r="AA55" s="132"/>
      <c r="AB55" s="132"/>
      <c r="AC55" s="33"/>
      <c r="AD55" s="33"/>
      <c r="AE55" s="33"/>
      <c r="AF55" s="33"/>
      <c r="AG55" s="27"/>
      <c r="AH55" s="27"/>
      <c r="AI55" s="27"/>
      <c r="AJ55" s="27"/>
      <c r="AK55" s="27"/>
      <c r="AL55" s="27"/>
      <c r="AM55" s="27"/>
      <c r="AN55" s="27"/>
      <c r="AO55" s="27"/>
      <c r="AP55" s="27"/>
    </row>
    <row r="56" spans="2:42" s="120" customFormat="1" hidden="1">
      <c r="B56" s="29"/>
      <c r="C56" s="128"/>
      <c r="D56" s="129"/>
      <c r="E56" s="129"/>
      <c r="F56" s="129"/>
      <c r="G56" s="129"/>
      <c r="H56" s="129"/>
      <c r="I56" s="129"/>
      <c r="J56" s="129"/>
      <c r="K56" s="129"/>
      <c r="L56" s="129"/>
      <c r="M56" s="131"/>
      <c r="N56" s="129"/>
      <c r="O56" s="129"/>
      <c r="P56" s="129"/>
      <c r="Q56" s="129"/>
      <c r="R56" s="129"/>
      <c r="S56" s="129"/>
      <c r="T56" s="129"/>
      <c r="U56" s="129"/>
      <c r="V56" s="129"/>
      <c r="W56" s="129"/>
      <c r="X56" s="129"/>
      <c r="Y56" s="131"/>
      <c r="Z56" s="131"/>
      <c r="AA56" s="132"/>
      <c r="AB56" s="132"/>
      <c r="AC56" s="33"/>
      <c r="AD56" s="33"/>
      <c r="AE56" s="33"/>
      <c r="AF56" s="33"/>
      <c r="AG56" s="27"/>
      <c r="AH56" s="27"/>
      <c r="AI56" s="27"/>
      <c r="AJ56" s="27"/>
      <c r="AK56" s="27"/>
      <c r="AL56" s="27"/>
      <c r="AM56" s="27"/>
      <c r="AN56" s="27"/>
      <c r="AO56" s="27"/>
      <c r="AP56" s="27"/>
    </row>
    <row r="57" spans="2:42" s="120" customFormat="1" hidden="1">
      <c r="B57" s="29"/>
      <c r="C57" s="128"/>
      <c r="D57" s="129"/>
      <c r="E57" s="129"/>
      <c r="F57" s="129"/>
      <c r="G57" s="129"/>
      <c r="H57" s="129"/>
      <c r="I57" s="129"/>
      <c r="J57" s="129"/>
      <c r="K57" s="129"/>
      <c r="L57" s="129"/>
      <c r="M57" s="131"/>
      <c r="N57" s="129"/>
      <c r="O57" s="129"/>
      <c r="P57" s="129"/>
      <c r="Q57" s="129"/>
      <c r="R57" s="129"/>
      <c r="S57" s="129"/>
      <c r="T57" s="129"/>
      <c r="U57" s="129"/>
      <c r="V57" s="129"/>
      <c r="W57" s="129"/>
      <c r="X57" s="129"/>
      <c r="Y57" s="131"/>
      <c r="Z57" s="131"/>
      <c r="AA57" s="132"/>
      <c r="AB57" s="132"/>
      <c r="AC57" s="33"/>
      <c r="AD57" s="33"/>
      <c r="AE57" s="33"/>
      <c r="AF57" s="33"/>
      <c r="AG57" s="27"/>
      <c r="AH57" s="27"/>
      <c r="AI57" s="27"/>
      <c r="AJ57" s="27"/>
      <c r="AK57" s="27"/>
      <c r="AL57" s="27"/>
      <c r="AM57" s="27"/>
      <c r="AN57" s="27"/>
      <c r="AO57" s="27"/>
      <c r="AP57" s="27"/>
    </row>
    <row r="58" spans="2:42" s="120" customFormat="1" hidden="1">
      <c r="B58" s="29"/>
      <c r="C58" s="128"/>
      <c r="D58" s="129"/>
      <c r="E58" s="129"/>
      <c r="F58" s="129"/>
      <c r="G58" s="129"/>
      <c r="H58" s="129"/>
      <c r="I58" s="129"/>
      <c r="J58" s="129"/>
      <c r="K58" s="129"/>
      <c r="L58" s="129"/>
      <c r="M58" s="131"/>
      <c r="N58" s="129"/>
      <c r="O58" s="129"/>
      <c r="P58" s="129"/>
      <c r="Q58" s="129"/>
      <c r="R58" s="129"/>
      <c r="S58" s="129"/>
      <c r="T58" s="129"/>
      <c r="U58" s="129"/>
      <c r="V58" s="129"/>
      <c r="W58" s="129"/>
      <c r="X58" s="129"/>
      <c r="Y58" s="131"/>
      <c r="Z58" s="131"/>
      <c r="AA58" s="132"/>
      <c r="AB58" s="132"/>
      <c r="AC58" s="33"/>
      <c r="AD58" s="33"/>
      <c r="AE58" s="33"/>
      <c r="AF58" s="33"/>
      <c r="AG58" s="27"/>
      <c r="AH58" s="27"/>
      <c r="AI58" s="27"/>
      <c r="AJ58" s="27"/>
      <c r="AK58" s="27"/>
      <c r="AL58" s="27"/>
      <c r="AM58" s="27"/>
      <c r="AN58" s="27"/>
      <c r="AO58" s="27"/>
      <c r="AP58" s="27"/>
    </row>
    <row r="59" spans="2:42" s="120" customFormat="1" hidden="1">
      <c r="B59" s="29"/>
      <c r="C59" s="128"/>
      <c r="D59" s="129"/>
      <c r="E59" s="129"/>
      <c r="F59" s="129"/>
      <c r="G59" s="129"/>
      <c r="H59" s="129"/>
      <c r="I59" s="129"/>
      <c r="J59" s="129"/>
      <c r="K59" s="129"/>
      <c r="L59" s="129"/>
      <c r="M59" s="131"/>
      <c r="N59" s="129"/>
      <c r="O59" s="129"/>
      <c r="P59" s="129"/>
      <c r="Q59" s="129"/>
      <c r="R59" s="129"/>
      <c r="S59" s="129"/>
      <c r="T59" s="129"/>
      <c r="U59" s="129"/>
      <c r="V59" s="129"/>
      <c r="W59" s="129"/>
      <c r="X59" s="129"/>
      <c r="Y59" s="131"/>
      <c r="Z59" s="131"/>
      <c r="AA59" s="132"/>
      <c r="AB59" s="132"/>
      <c r="AC59" s="33"/>
      <c r="AD59" s="33"/>
      <c r="AE59" s="33"/>
      <c r="AF59" s="33"/>
      <c r="AG59" s="27"/>
      <c r="AH59" s="27"/>
      <c r="AI59" s="27"/>
      <c r="AJ59" s="27"/>
      <c r="AK59" s="27"/>
      <c r="AL59" s="27"/>
      <c r="AM59" s="27"/>
      <c r="AN59" s="27"/>
      <c r="AO59" s="27"/>
      <c r="AP59" s="27"/>
    </row>
    <row r="60" spans="2:42" s="120" customFormat="1" hidden="1">
      <c r="B60" s="29"/>
      <c r="C60" s="128"/>
      <c r="D60" s="129"/>
      <c r="E60" s="129"/>
      <c r="F60" s="129"/>
      <c r="G60" s="129"/>
      <c r="H60" s="129"/>
      <c r="I60" s="129"/>
      <c r="J60" s="129"/>
      <c r="K60" s="129"/>
      <c r="L60" s="129"/>
      <c r="M60" s="131"/>
      <c r="N60" s="129"/>
      <c r="O60" s="129"/>
      <c r="P60" s="129"/>
      <c r="Q60" s="129"/>
      <c r="R60" s="129"/>
      <c r="S60" s="129"/>
      <c r="T60" s="129"/>
      <c r="U60" s="129"/>
      <c r="V60" s="129"/>
      <c r="W60" s="129"/>
      <c r="X60" s="129"/>
      <c r="Y60" s="131"/>
      <c r="Z60" s="131"/>
      <c r="AA60" s="132"/>
      <c r="AB60" s="132"/>
      <c r="AC60" s="33"/>
      <c r="AD60" s="33"/>
      <c r="AE60" s="33"/>
      <c r="AF60" s="33"/>
      <c r="AG60" s="27"/>
      <c r="AH60" s="27"/>
      <c r="AI60" s="27"/>
      <c r="AJ60" s="27"/>
      <c r="AK60" s="27"/>
      <c r="AL60" s="27"/>
      <c r="AM60" s="27"/>
      <c r="AN60" s="27"/>
      <c r="AO60" s="27"/>
      <c r="AP60" s="27"/>
    </row>
    <row r="61" spans="2:42" s="120" customFormat="1" hidden="1">
      <c r="B61" s="29"/>
      <c r="C61" s="128"/>
      <c r="D61" s="129"/>
      <c r="E61" s="129"/>
      <c r="F61" s="129"/>
      <c r="G61" s="129"/>
      <c r="H61" s="129"/>
      <c r="I61" s="129"/>
      <c r="J61" s="129"/>
      <c r="K61" s="129"/>
      <c r="L61" s="129"/>
      <c r="M61" s="131"/>
      <c r="N61" s="129"/>
      <c r="O61" s="129"/>
      <c r="P61" s="129"/>
      <c r="Q61" s="129"/>
      <c r="R61" s="129"/>
      <c r="S61" s="129"/>
      <c r="T61" s="129"/>
      <c r="U61" s="129"/>
      <c r="V61" s="129"/>
      <c r="W61" s="129"/>
      <c r="X61" s="129"/>
      <c r="Y61" s="131"/>
      <c r="Z61" s="131"/>
      <c r="AA61" s="132"/>
      <c r="AB61" s="132"/>
      <c r="AC61" s="33"/>
      <c r="AD61" s="33"/>
      <c r="AE61" s="33"/>
      <c r="AF61" s="33"/>
      <c r="AG61" s="27"/>
      <c r="AH61" s="27"/>
      <c r="AI61" s="27"/>
      <c r="AJ61" s="27"/>
      <c r="AK61" s="27"/>
      <c r="AL61" s="27"/>
      <c r="AM61" s="27"/>
      <c r="AN61" s="27"/>
      <c r="AO61" s="27"/>
      <c r="AP61" s="27"/>
    </row>
    <row r="62" spans="2:42" s="120" customFormat="1" hidden="1">
      <c r="B62" s="29"/>
      <c r="C62" s="128"/>
      <c r="D62" s="129"/>
      <c r="E62" s="129"/>
      <c r="F62" s="129"/>
      <c r="G62" s="129"/>
      <c r="H62" s="129"/>
      <c r="I62" s="129"/>
      <c r="J62" s="129"/>
      <c r="K62" s="129"/>
      <c r="L62" s="129"/>
      <c r="M62" s="131"/>
      <c r="N62" s="129"/>
      <c r="O62" s="129"/>
      <c r="P62" s="129"/>
      <c r="Q62" s="129"/>
      <c r="R62" s="129"/>
      <c r="S62" s="129"/>
      <c r="T62" s="129"/>
      <c r="U62" s="129"/>
      <c r="V62" s="129"/>
      <c r="W62" s="129"/>
      <c r="X62" s="129"/>
      <c r="Y62" s="131"/>
      <c r="Z62" s="131"/>
      <c r="AA62" s="132"/>
      <c r="AB62" s="132"/>
      <c r="AC62" s="33"/>
      <c r="AD62" s="33"/>
      <c r="AE62" s="33"/>
      <c r="AF62" s="33"/>
      <c r="AG62" s="27"/>
      <c r="AH62" s="27"/>
      <c r="AI62" s="27"/>
      <c r="AJ62" s="27"/>
      <c r="AK62" s="27"/>
      <c r="AL62" s="27"/>
      <c r="AM62" s="27"/>
      <c r="AN62" s="27"/>
      <c r="AO62" s="27"/>
      <c r="AP62" s="27"/>
    </row>
    <row r="63" spans="2:42" s="120" customFormat="1" hidden="1">
      <c r="B63" s="29"/>
      <c r="C63" s="128"/>
      <c r="D63" s="129"/>
      <c r="E63" s="129"/>
      <c r="F63" s="129"/>
      <c r="G63" s="129"/>
      <c r="H63" s="129"/>
      <c r="I63" s="129"/>
      <c r="J63" s="129"/>
      <c r="K63" s="129"/>
      <c r="L63" s="129"/>
      <c r="M63" s="131"/>
      <c r="N63" s="129"/>
      <c r="O63" s="129"/>
      <c r="P63" s="129"/>
      <c r="Q63" s="129"/>
      <c r="R63" s="129"/>
      <c r="S63" s="129"/>
      <c r="T63" s="129"/>
      <c r="U63" s="129"/>
      <c r="V63" s="129"/>
      <c r="W63" s="129"/>
      <c r="X63" s="129"/>
      <c r="Y63" s="131"/>
      <c r="Z63" s="131"/>
      <c r="AA63" s="132"/>
      <c r="AB63" s="132"/>
      <c r="AC63" s="33"/>
      <c r="AD63" s="33"/>
      <c r="AE63" s="33"/>
      <c r="AF63" s="33"/>
      <c r="AG63" s="27"/>
      <c r="AH63" s="27"/>
      <c r="AI63" s="27"/>
      <c r="AJ63" s="27"/>
      <c r="AK63" s="27"/>
      <c r="AL63" s="27"/>
      <c r="AM63" s="27"/>
      <c r="AN63" s="27"/>
      <c r="AO63" s="27"/>
      <c r="AP63" s="27"/>
    </row>
    <row r="64" spans="2:42" s="120" customFormat="1" hidden="1">
      <c r="B64" s="29"/>
      <c r="C64" s="128"/>
      <c r="D64" s="129"/>
      <c r="E64" s="129"/>
      <c r="F64" s="129"/>
      <c r="G64" s="129"/>
      <c r="H64" s="129"/>
      <c r="I64" s="129"/>
      <c r="J64" s="129"/>
      <c r="K64" s="129"/>
      <c r="L64" s="129"/>
      <c r="M64" s="131"/>
      <c r="N64" s="129"/>
      <c r="O64" s="129"/>
      <c r="P64" s="129"/>
      <c r="Q64" s="129"/>
      <c r="R64" s="129"/>
      <c r="S64" s="129"/>
      <c r="T64" s="129"/>
      <c r="U64" s="129"/>
      <c r="V64" s="129"/>
      <c r="W64" s="129"/>
      <c r="X64" s="129"/>
      <c r="Y64" s="131"/>
      <c r="Z64" s="131"/>
      <c r="AA64" s="132"/>
      <c r="AB64" s="132"/>
      <c r="AC64" s="33"/>
      <c r="AD64" s="33"/>
      <c r="AE64" s="33"/>
      <c r="AF64" s="33"/>
      <c r="AG64" s="27"/>
      <c r="AH64" s="27"/>
      <c r="AI64" s="27"/>
      <c r="AJ64" s="27"/>
      <c r="AK64" s="27"/>
      <c r="AL64" s="27"/>
      <c r="AM64" s="27"/>
      <c r="AN64" s="27"/>
      <c r="AO64" s="27"/>
      <c r="AP64" s="27"/>
    </row>
    <row r="65" spans="2:42" s="120" customFormat="1" hidden="1">
      <c r="B65" s="29"/>
      <c r="C65" s="128"/>
      <c r="D65" s="129"/>
      <c r="E65" s="129"/>
      <c r="F65" s="129"/>
      <c r="G65" s="129"/>
      <c r="H65" s="129"/>
      <c r="I65" s="129"/>
      <c r="J65" s="129"/>
      <c r="K65" s="129"/>
      <c r="L65" s="129"/>
      <c r="M65" s="131"/>
      <c r="N65" s="129"/>
      <c r="O65" s="129"/>
      <c r="P65" s="129"/>
      <c r="Q65" s="129"/>
      <c r="R65" s="129"/>
      <c r="S65" s="129"/>
      <c r="T65" s="129"/>
      <c r="U65" s="129"/>
      <c r="V65" s="129"/>
      <c r="W65" s="129"/>
      <c r="X65" s="129"/>
      <c r="Y65" s="131"/>
      <c r="Z65" s="131"/>
      <c r="AA65" s="132"/>
      <c r="AB65" s="132"/>
      <c r="AC65" s="33"/>
      <c r="AD65" s="33"/>
      <c r="AE65" s="33"/>
      <c r="AF65" s="33"/>
      <c r="AG65" s="27"/>
      <c r="AH65" s="27"/>
      <c r="AI65" s="27"/>
      <c r="AJ65" s="27"/>
      <c r="AK65" s="27"/>
      <c r="AL65" s="27"/>
      <c r="AM65" s="27"/>
      <c r="AN65" s="27"/>
      <c r="AO65" s="27"/>
      <c r="AP65" s="27"/>
    </row>
    <row r="66" spans="2:42" s="120" customFormat="1" hidden="1">
      <c r="B66" s="29"/>
      <c r="C66" s="128"/>
      <c r="D66" s="129"/>
      <c r="E66" s="129"/>
      <c r="F66" s="129"/>
      <c r="G66" s="129"/>
      <c r="H66" s="129"/>
      <c r="I66" s="129"/>
      <c r="J66" s="129"/>
      <c r="K66" s="129"/>
      <c r="L66" s="129"/>
      <c r="M66" s="131"/>
      <c r="N66" s="129"/>
      <c r="O66" s="129"/>
      <c r="P66" s="129"/>
      <c r="Q66" s="129"/>
      <c r="R66" s="129"/>
      <c r="S66" s="129"/>
      <c r="T66" s="129"/>
      <c r="U66" s="129"/>
      <c r="V66" s="129"/>
      <c r="W66" s="129"/>
      <c r="X66" s="129"/>
      <c r="Y66" s="131"/>
      <c r="Z66" s="131"/>
      <c r="AA66" s="132"/>
      <c r="AB66" s="132"/>
      <c r="AC66" s="33"/>
      <c r="AD66" s="33"/>
      <c r="AE66" s="33"/>
      <c r="AF66" s="33"/>
      <c r="AG66" s="27"/>
      <c r="AH66" s="27"/>
      <c r="AI66" s="27"/>
      <c r="AJ66" s="27"/>
      <c r="AK66" s="27"/>
      <c r="AL66" s="27"/>
      <c r="AM66" s="27"/>
      <c r="AN66" s="27"/>
      <c r="AO66" s="27"/>
      <c r="AP66" s="27"/>
    </row>
    <row r="67" spans="2:42" s="120" customFormat="1" hidden="1">
      <c r="B67" s="29"/>
      <c r="C67" s="128"/>
      <c r="D67" s="129"/>
      <c r="E67" s="129"/>
      <c r="F67" s="129"/>
      <c r="G67" s="129"/>
      <c r="H67" s="129"/>
      <c r="I67" s="129"/>
      <c r="J67" s="129"/>
      <c r="K67" s="129"/>
      <c r="L67" s="129"/>
      <c r="M67" s="131"/>
      <c r="N67" s="129"/>
      <c r="O67" s="129"/>
      <c r="P67" s="129"/>
      <c r="Q67" s="129"/>
      <c r="R67" s="129"/>
      <c r="S67" s="129"/>
      <c r="T67" s="129"/>
      <c r="U67" s="129"/>
      <c r="V67" s="129"/>
      <c r="W67" s="129"/>
      <c r="X67" s="129"/>
      <c r="Y67" s="131"/>
      <c r="Z67" s="131"/>
      <c r="AA67" s="132"/>
      <c r="AB67" s="132"/>
      <c r="AC67" s="33"/>
      <c r="AD67" s="33"/>
      <c r="AE67" s="33"/>
      <c r="AF67" s="33"/>
      <c r="AG67" s="27"/>
      <c r="AH67" s="27"/>
      <c r="AI67" s="27"/>
      <c r="AJ67" s="27"/>
      <c r="AK67" s="27"/>
      <c r="AL67" s="27"/>
      <c r="AM67" s="27"/>
      <c r="AN67" s="27"/>
      <c r="AO67" s="27"/>
      <c r="AP67" s="27"/>
    </row>
    <row r="68" spans="2:42" s="120" customFormat="1" hidden="1">
      <c r="B68" s="29"/>
      <c r="C68" s="128"/>
      <c r="D68" s="129"/>
      <c r="E68" s="129"/>
      <c r="F68" s="129"/>
      <c r="G68" s="129"/>
      <c r="H68" s="129"/>
      <c r="I68" s="129"/>
      <c r="J68" s="129"/>
      <c r="K68" s="129"/>
      <c r="L68" s="129"/>
      <c r="M68" s="131"/>
      <c r="N68" s="129"/>
      <c r="O68" s="129"/>
      <c r="P68" s="129"/>
      <c r="Q68" s="129"/>
      <c r="R68" s="129"/>
      <c r="S68" s="129"/>
      <c r="T68" s="129"/>
      <c r="U68" s="129"/>
      <c r="V68" s="129"/>
      <c r="W68" s="129"/>
      <c r="X68" s="129"/>
      <c r="Y68" s="131"/>
      <c r="Z68" s="131"/>
      <c r="AA68" s="132"/>
      <c r="AB68" s="132"/>
      <c r="AC68" s="33"/>
      <c r="AD68" s="33"/>
      <c r="AE68" s="33"/>
      <c r="AF68" s="33"/>
      <c r="AG68" s="27"/>
      <c r="AH68" s="27"/>
      <c r="AI68" s="27"/>
      <c r="AJ68" s="27"/>
      <c r="AK68" s="27"/>
      <c r="AL68" s="27"/>
      <c r="AM68" s="27"/>
      <c r="AN68" s="27"/>
      <c r="AO68" s="27"/>
      <c r="AP68" s="27"/>
    </row>
    <row r="69" spans="2:42" s="120" customFormat="1" hidden="1">
      <c r="B69" s="29"/>
      <c r="C69" s="128"/>
      <c r="D69" s="129"/>
      <c r="E69" s="129"/>
      <c r="F69" s="129"/>
      <c r="G69" s="129"/>
      <c r="H69" s="129"/>
      <c r="I69" s="129"/>
      <c r="J69" s="129"/>
      <c r="K69" s="129"/>
      <c r="L69" s="129"/>
      <c r="M69" s="131"/>
      <c r="N69" s="129"/>
      <c r="O69" s="129"/>
      <c r="P69" s="129"/>
      <c r="Q69" s="129"/>
      <c r="R69" s="129"/>
      <c r="S69" s="129"/>
      <c r="T69" s="129"/>
      <c r="U69" s="129"/>
      <c r="V69" s="129"/>
      <c r="W69" s="129"/>
      <c r="X69" s="129"/>
      <c r="Y69" s="131"/>
      <c r="Z69" s="131"/>
      <c r="AA69" s="132"/>
      <c r="AB69" s="132"/>
      <c r="AC69" s="33"/>
      <c r="AD69" s="33"/>
      <c r="AE69" s="33"/>
      <c r="AF69" s="33"/>
      <c r="AG69" s="27"/>
      <c r="AH69" s="27"/>
      <c r="AI69" s="27"/>
      <c r="AJ69" s="27"/>
      <c r="AK69" s="27"/>
      <c r="AL69" s="27"/>
      <c r="AM69" s="27"/>
      <c r="AN69" s="27"/>
      <c r="AO69" s="27"/>
      <c r="AP69" s="27"/>
    </row>
    <row r="70" spans="2:42" s="120" customFormat="1" hidden="1">
      <c r="B70" s="29"/>
      <c r="C70" s="128"/>
      <c r="D70" s="129"/>
      <c r="E70" s="129"/>
      <c r="F70" s="129"/>
      <c r="G70" s="129"/>
      <c r="H70" s="129"/>
      <c r="I70" s="129"/>
      <c r="J70" s="129"/>
      <c r="K70" s="129"/>
      <c r="L70" s="129"/>
      <c r="M70" s="131"/>
      <c r="N70" s="129"/>
      <c r="O70" s="129"/>
      <c r="P70" s="129"/>
      <c r="Q70" s="129"/>
      <c r="R70" s="129"/>
      <c r="S70" s="129"/>
      <c r="T70" s="129"/>
      <c r="U70" s="129"/>
      <c r="V70" s="129"/>
      <c r="W70" s="129"/>
      <c r="X70" s="129"/>
      <c r="Y70" s="131"/>
      <c r="Z70" s="131"/>
      <c r="AA70" s="132"/>
      <c r="AB70" s="132"/>
      <c r="AC70" s="33"/>
      <c r="AD70" s="33"/>
      <c r="AE70" s="33"/>
      <c r="AF70" s="33"/>
      <c r="AG70" s="27"/>
      <c r="AH70" s="27"/>
      <c r="AI70" s="27"/>
      <c r="AJ70" s="27"/>
      <c r="AK70" s="27"/>
      <c r="AL70" s="27"/>
      <c r="AM70" s="27"/>
      <c r="AN70" s="27"/>
      <c r="AO70" s="27"/>
      <c r="AP70" s="27"/>
    </row>
    <row r="71" spans="2:42" s="120" customFormat="1" hidden="1">
      <c r="B71" s="29"/>
      <c r="C71" s="128"/>
      <c r="D71" s="129"/>
      <c r="E71" s="129"/>
      <c r="F71" s="129"/>
      <c r="G71" s="129"/>
      <c r="H71" s="129"/>
      <c r="I71" s="129"/>
      <c r="J71" s="129"/>
      <c r="K71" s="129"/>
      <c r="L71" s="129"/>
      <c r="M71" s="131"/>
      <c r="N71" s="129"/>
      <c r="O71" s="129"/>
      <c r="P71" s="129"/>
      <c r="Q71" s="129"/>
      <c r="R71" s="129"/>
      <c r="S71" s="129"/>
      <c r="T71" s="129"/>
      <c r="U71" s="129"/>
      <c r="V71" s="129"/>
      <c r="W71" s="129"/>
      <c r="X71" s="129"/>
      <c r="Y71" s="131"/>
      <c r="Z71" s="131"/>
      <c r="AA71" s="132"/>
      <c r="AB71" s="132"/>
      <c r="AC71" s="33"/>
      <c r="AD71" s="33"/>
      <c r="AE71" s="33"/>
      <c r="AF71" s="33"/>
      <c r="AG71" s="27"/>
      <c r="AH71" s="27"/>
      <c r="AI71" s="27"/>
      <c r="AJ71" s="27"/>
      <c r="AK71" s="27"/>
      <c r="AL71" s="27"/>
      <c r="AM71" s="27"/>
      <c r="AN71" s="27"/>
      <c r="AO71" s="27"/>
      <c r="AP71" s="27"/>
    </row>
    <row r="72" spans="2:42" s="120" customFormat="1" hidden="1">
      <c r="B72" s="29"/>
      <c r="C72" s="128"/>
      <c r="D72" s="129"/>
      <c r="E72" s="129"/>
      <c r="F72" s="129"/>
      <c r="G72" s="129"/>
      <c r="H72" s="129"/>
      <c r="I72" s="129"/>
      <c r="J72" s="129"/>
      <c r="K72" s="129"/>
      <c r="L72" s="129"/>
      <c r="M72" s="131"/>
      <c r="N72" s="129"/>
      <c r="O72" s="129"/>
      <c r="P72" s="129"/>
      <c r="Q72" s="129"/>
      <c r="R72" s="129"/>
      <c r="S72" s="129"/>
      <c r="T72" s="129"/>
      <c r="U72" s="129"/>
      <c r="V72" s="129"/>
      <c r="W72" s="129"/>
      <c r="X72" s="129"/>
      <c r="Y72" s="131"/>
      <c r="Z72" s="131"/>
      <c r="AA72" s="132"/>
      <c r="AB72" s="132"/>
      <c r="AC72" s="33"/>
      <c r="AD72" s="33"/>
      <c r="AE72" s="33"/>
      <c r="AF72" s="33"/>
      <c r="AG72" s="27"/>
      <c r="AH72" s="27"/>
      <c r="AI72" s="27"/>
      <c r="AJ72" s="27"/>
      <c r="AK72" s="27"/>
      <c r="AL72" s="27"/>
      <c r="AM72" s="27"/>
      <c r="AN72" s="27"/>
      <c r="AO72" s="27"/>
      <c r="AP72" s="27"/>
    </row>
    <row r="73" spans="2:42" s="120" customFormat="1" hidden="1">
      <c r="B73" s="29"/>
      <c r="C73" s="128"/>
      <c r="D73" s="129"/>
      <c r="E73" s="129"/>
      <c r="F73" s="129"/>
      <c r="G73" s="129"/>
      <c r="H73" s="129"/>
      <c r="I73" s="129"/>
      <c r="J73" s="129"/>
      <c r="K73" s="129"/>
      <c r="L73" s="129"/>
      <c r="M73" s="131"/>
      <c r="N73" s="129"/>
      <c r="O73" s="129"/>
      <c r="P73" s="129"/>
      <c r="Q73" s="129"/>
      <c r="R73" s="129"/>
      <c r="S73" s="129"/>
      <c r="T73" s="129"/>
      <c r="U73" s="129"/>
      <c r="V73" s="129"/>
      <c r="W73" s="129"/>
      <c r="X73" s="129"/>
      <c r="Y73" s="131"/>
      <c r="Z73" s="131"/>
      <c r="AA73" s="132"/>
      <c r="AB73" s="132"/>
      <c r="AC73" s="33"/>
      <c r="AD73" s="33"/>
      <c r="AE73" s="33"/>
      <c r="AF73" s="33"/>
      <c r="AG73" s="27"/>
      <c r="AH73" s="27"/>
      <c r="AI73" s="27"/>
      <c r="AJ73" s="27"/>
      <c r="AK73" s="27"/>
      <c r="AL73" s="27"/>
      <c r="AM73" s="27"/>
      <c r="AN73" s="27"/>
      <c r="AO73" s="27"/>
      <c r="AP73" s="27"/>
    </row>
    <row r="74" spans="2:42" s="120" customFormat="1" hidden="1">
      <c r="B74" s="29"/>
      <c r="C74" s="128"/>
      <c r="D74" s="129"/>
      <c r="E74" s="129"/>
      <c r="F74" s="129"/>
      <c r="G74" s="129"/>
      <c r="H74" s="129"/>
      <c r="I74" s="129"/>
      <c r="J74" s="129"/>
      <c r="K74" s="129"/>
      <c r="L74" s="129"/>
      <c r="M74" s="131"/>
      <c r="N74" s="129"/>
      <c r="O74" s="129"/>
      <c r="P74" s="129"/>
      <c r="Q74" s="129"/>
      <c r="R74" s="129"/>
      <c r="S74" s="129"/>
      <c r="T74" s="129"/>
      <c r="U74" s="129"/>
      <c r="V74" s="129"/>
      <c r="W74" s="129"/>
      <c r="X74" s="129"/>
      <c r="Y74" s="131"/>
      <c r="Z74" s="131"/>
      <c r="AA74" s="132"/>
      <c r="AB74" s="132"/>
      <c r="AC74" s="33"/>
      <c r="AD74" s="33"/>
      <c r="AE74" s="33"/>
      <c r="AF74" s="33"/>
      <c r="AG74" s="27"/>
      <c r="AH74" s="27"/>
      <c r="AI74" s="27"/>
      <c r="AJ74" s="27"/>
      <c r="AK74" s="27"/>
      <c r="AL74" s="27"/>
      <c r="AM74" s="27"/>
      <c r="AN74" s="27"/>
      <c r="AO74" s="27"/>
      <c r="AP74" s="27"/>
    </row>
    <row r="75" spans="2:42" s="120" customFormat="1" hidden="1">
      <c r="B75" s="29"/>
      <c r="C75" s="128"/>
      <c r="D75" s="129"/>
      <c r="E75" s="129"/>
      <c r="F75" s="129"/>
      <c r="G75" s="129"/>
      <c r="H75" s="129"/>
      <c r="I75" s="129"/>
      <c r="J75" s="129"/>
      <c r="K75" s="129"/>
      <c r="L75" s="129"/>
      <c r="M75" s="131"/>
      <c r="N75" s="129"/>
      <c r="O75" s="129"/>
      <c r="P75" s="129"/>
      <c r="Q75" s="129"/>
      <c r="R75" s="129"/>
      <c r="S75" s="129"/>
      <c r="T75" s="129"/>
      <c r="U75" s="129"/>
      <c r="V75" s="129"/>
      <c r="W75" s="129"/>
      <c r="X75" s="129"/>
      <c r="Y75" s="131"/>
      <c r="Z75" s="131"/>
      <c r="AA75" s="132"/>
      <c r="AB75" s="132"/>
      <c r="AC75" s="33"/>
      <c r="AD75" s="33"/>
      <c r="AE75" s="33"/>
      <c r="AF75" s="33"/>
      <c r="AG75" s="27"/>
      <c r="AH75" s="27"/>
      <c r="AI75" s="27"/>
      <c r="AJ75" s="27"/>
      <c r="AK75" s="27"/>
      <c r="AL75" s="27"/>
      <c r="AM75" s="27"/>
      <c r="AN75" s="27"/>
      <c r="AO75" s="27"/>
      <c r="AP75" s="27"/>
    </row>
    <row r="76" spans="2:42" s="120" customFormat="1" hidden="1">
      <c r="B76" s="29"/>
      <c r="C76" s="128"/>
      <c r="D76" s="129"/>
      <c r="E76" s="129"/>
      <c r="F76" s="129"/>
      <c r="G76" s="129"/>
      <c r="H76" s="129"/>
      <c r="I76" s="129"/>
      <c r="J76" s="129"/>
      <c r="K76" s="129"/>
      <c r="L76" s="129"/>
      <c r="M76" s="131"/>
      <c r="N76" s="129"/>
      <c r="O76" s="129"/>
      <c r="P76" s="129"/>
      <c r="Q76" s="129"/>
      <c r="R76" s="129"/>
      <c r="S76" s="129"/>
      <c r="T76" s="129"/>
      <c r="U76" s="129"/>
      <c r="V76" s="129"/>
      <c r="W76" s="129"/>
      <c r="X76" s="129"/>
      <c r="Y76" s="131"/>
      <c r="Z76" s="131"/>
      <c r="AA76" s="132"/>
      <c r="AB76" s="132"/>
      <c r="AC76" s="33"/>
      <c r="AD76" s="33"/>
      <c r="AE76" s="33"/>
      <c r="AF76" s="33"/>
      <c r="AG76" s="27"/>
      <c r="AH76" s="27"/>
      <c r="AI76" s="27"/>
      <c r="AJ76" s="27"/>
      <c r="AK76" s="27"/>
      <c r="AL76" s="27"/>
      <c r="AM76" s="27"/>
      <c r="AN76" s="27"/>
      <c r="AO76" s="27"/>
      <c r="AP76" s="27"/>
    </row>
    <row r="77" spans="2:42" s="120" customFormat="1" hidden="1">
      <c r="B77" s="29"/>
      <c r="C77" s="128"/>
      <c r="D77" s="129"/>
      <c r="E77" s="129"/>
      <c r="F77" s="129"/>
      <c r="G77" s="129"/>
      <c r="H77" s="129"/>
      <c r="I77" s="129"/>
      <c r="J77" s="129"/>
      <c r="K77" s="129"/>
      <c r="L77" s="129"/>
      <c r="M77" s="131"/>
      <c r="N77" s="129"/>
      <c r="O77" s="129"/>
      <c r="P77" s="129"/>
      <c r="Q77" s="129"/>
      <c r="R77" s="129"/>
      <c r="S77" s="129"/>
      <c r="T77" s="129"/>
      <c r="U77" s="129"/>
      <c r="V77" s="129"/>
      <c r="W77" s="129"/>
      <c r="X77" s="129"/>
      <c r="Y77" s="131"/>
      <c r="Z77" s="131"/>
      <c r="AA77" s="132"/>
      <c r="AB77" s="132"/>
      <c r="AC77" s="33"/>
      <c r="AD77" s="33"/>
      <c r="AE77" s="33"/>
      <c r="AF77" s="33"/>
      <c r="AG77" s="27"/>
      <c r="AH77" s="27"/>
      <c r="AI77" s="27"/>
      <c r="AJ77" s="27"/>
      <c r="AK77" s="27"/>
      <c r="AL77" s="27"/>
      <c r="AM77" s="27"/>
      <c r="AN77" s="27"/>
      <c r="AO77" s="27"/>
      <c r="AP77" s="27"/>
    </row>
    <row r="78" spans="2:42" s="120" customFormat="1" hidden="1">
      <c r="B78" s="29"/>
      <c r="C78" s="128"/>
      <c r="D78" s="129"/>
      <c r="E78" s="129"/>
      <c r="F78" s="129"/>
      <c r="G78" s="129"/>
      <c r="H78" s="129"/>
      <c r="I78" s="129"/>
      <c r="J78" s="129"/>
      <c r="K78" s="129"/>
      <c r="L78" s="129"/>
      <c r="M78" s="131"/>
      <c r="N78" s="129"/>
      <c r="O78" s="129"/>
      <c r="P78" s="129"/>
      <c r="Q78" s="129"/>
      <c r="R78" s="129"/>
      <c r="S78" s="129"/>
      <c r="T78" s="129"/>
      <c r="U78" s="129"/>
      <c r="V78" s="129"/>
      <c r="W78" s="129"/>
      <c r="X78" s="129"/>
      <c r="Y78" s="131"/>
      <c r="Z78" s="131"/>
      <c r="AA78" s="132"/>
      <c r="AB78" s="132"/>
      <c r="AC78" s="33"/>
      <c r="AD78" s="33"/>
      <c r="AE78" s="33"/>
      <c r="AF78" s="33"/>
      <c r="AG78" s="27"/>
      <c r="AH78" s="27"/>
      <c r="AI78" s="27"/>
      <c r="AJ78" s="27"/>
      <c r="AK78" s="27"/>
      <c r="AL78" s="27"/>
      <c r="AM78" s="27"/>
      <c r="AN78" s="27"/>
      <c r="AO78" s="27"/>
      <c r="AP78" s="27"/>
    </row>
    <row r="79" spans="2:42" s="120" customFormat="1" hidden="1">
      <c r="B79" s="29"/>
      <c r="C79" s="128"/>
      <c r="D79" s="129"/>
      <c r="E79" s="129"/>
      <c r="F79" s="129"/>
      <c r="G79" s="129"/>
      <c r="H79" s="129"/>
      <c r="I79" s="129"/>
      <c r="J79" s="129"/>
      <c r="K79" s="129"/>
      <c r="L79" s="129"/>
      <c r="M79" s="131"/>
      <c r="N79" s="129"/>
      <c r="O79" s="129"/>
      <c r="P79" s="129"/>
      <c r="Q79" s="129"/>
      <c r="R79" s="129"/>
      <c r="S79" s="129"/>
      <c r="T79" s="129"/>
      <c r="U79" s="129"/>
      <c r="V79" s="129"/>
      <c r="W79" s="129"/>
      <c r="X79" s="129"/>
      <c r="Y79" s="131"/>
      <c r="Z79" s="131"/>
      <c r="AA79" s="132"/>
      <c r="AB79" s="132"/>
      <c r="AC79" s="33"/>
      <c r="AD79" s="33"/>
      <c r="AE79" s="33"/>
      <c r="AF79" s="33"/>
      <c r="AG79" s="27"/>
      <c r="AH79" s="27"/>
      <c r="AI79" s="27"/>
      <c r="AJ79" s="27"/>
      <c r="AK79" s="27"/>
      <c r="AL79" s="27"/>
      <c r="AM79" s="27"/>
      <c r="AN79" s="27"/>
      <c r="AO79" s="27"/>
      <c r="AP79" s="27"/>
    </row>
    <row r="80" spans="2:42" s="120" customFormat="1" hidden="1">
      <c r="B80" s="29"/>
      <c r="C80" s="128"/>
      <c r="D80" s="129"/>
      <c r="E80" s="129"/>
      <c r="F80" s="129"/>
      <c r="G80" s="129"/>
      <c r="H80" s="129"/>
      <c r="I80" s="129"/>
      <c r="J80" s="129"/>
      <c r="K80" s="129"/>
      <c r="L80" s="129"/>
      <c r="M80" s="131"/>
      <c r="N80" s="129"/>
      <c r="O80" s="129"/>
      <c r="P80" s="129"/>
      <c r="Q80" s="129"/>
      <c r="R80" s="129"/>
      <c r="S80" s="129"/>
      <c r="T80" s="129"/>
      <c r="U80" s="129"/>
      <c r="V80" s="129"/>
      <c r="W80" s="129"/>
      <c r="X80" s="129"/>
      <c r="Y80" s="131"/>
      <c r="Z80" s="131"/>
      <c r="AA80" s="132"/>
      <c r="AB80" s="132"/>
      <c r="AC80" s="33"/>
      <c r="AD80" s="33"/>
      <c r="AE80" s="33"/>
      <c r="AF80" s="33"/>
      <c r="AG80" s="27"/>
      <c r="AH80" s="27"/>
      <c r="AI80" s="27"/>
      <c r="AJ80" s="27"/>
      <c r="AK80" s="27"/>
      <c r="AL80" s="27"/>
      <c r="AM80" s="27"/>
      <c r="AN80" s="27"/>
      <c r="AO80" s="27"/>
      <c r="AP80" s="27"/>
    </row>
    <row r="81" spans="2:42" s="120" customFormat="1" hidden="1">
      <c r="B81" s="29"/>
      <c r="C81" s="128"/>
      <c r="D81" s="129"/>
      <c r="E81" s="129"/>
      <c r="F81" s="129"/>
      <c r="G81" s="129"/>
      <c r="H81" s="129"/>
      <c r="I81" s="129"/>
      <c r="J81" s="129"/>
      <c r="K81" s="129"/>
      <c r="L81" s="129"/>
      <c r="M81" s="131"/>
      <c r="N81" s="129"/>
      <c r="O81" s="129"/>
      <c r="P81" s="129"/>
      <c r="Q81" s="129"/>
      <c r="R81" s="129"/>
      <c r="S81" s="129"/>
      <c r="T81" s="129"/>
      <c r="U81" s="129"/>
      <c r="V81" s="129"/>
      <c r="W81" s="129"/>
      <c r="X81" s="129"/>
      <c r="Y81" s="131"/>
      <c r="Z81" s="131"/>
      <c r="AA81" s="132"/>
      <c r="AB81" s="132"/>
      <c r="AC81" s="33"/>
      <c r="AD81" s="33"/>
      <c r="AE81" s="33"/>
      <c r="AF81" s="33"/>
      <c r="AG81" s="27"/>
      <c r="AH81" s="27"/>
      <c r="AI81" s="27"/>
      <c r="AJ81" s="27"/>
      <c r="AK81" s="27"/>
      <c r="AL81" s="27"/>
      <c r="AM81" s="27"/>
      <c r="AN81" s="27"/>
      <c r="AO81" s="27"/>
      <c r="AP81" s="27"/>
    </row>
    <row r="82" spans="2:42" s="120" customFormat="1" hidden="1">
      <c r="B82" s="29"/>
      <c r="C82" s="128"/>
      <c r="D82" s="129"/>
      <c r="E82" s="129"/>
      <c r="F82" s="129"/>
      <c r="G82" s="129"/>
      <c r="H82" s="129"/>
      <c r="I82" s="129"/>
      <c r="J82" s="129"/>
      <c r="K82" s="129"/>
      <c r="L82" s="129"/>
      <c r="M82" s="131"/>
      <c r="N82" s="129"/>
      <c r="O82" s="129"/>
      <c r="P82" s="129"/>
      <c r="Q82" s="129"/>
      <c r="R82" s="129"/>
      <c r="S82" s="129"/>
      <c r="T82" s="129"/>
      <c r="U82" s="129"/>
      <c r="V82" s="129"/>
      <c r="W82" s="129"/>
      <c r="X82" s="129"/>
      <c r="Y82" s="131"/>
      <c r="Z82" s="131"/>
      <c r="AA82" s="132"/>
      <c r="AB82" s="132"/>
      <c r="AC82" s="33"/>
      <c r="AD82" s="33"/>
      <c r="AE82" s="33"/>
      <c r="AF82" s="33"/>
      <c r="AG82" s="27"/>
      <c r="AH82" s="27"/>
      <c r="AI82" s="27"/>
      <c r="AJ82" s="27"/>
      <c r="AK82" s="27"/>
      <c r="AL82" s="27"/>
      <c r="AM82" s="27"/>
      <c r="AN82" s="27"/>
      <c r="AO82" s="27"/>
      <c r="AP82" s="27"/>
    </row>
    <row r="83" spans="2:42" s="120" customFormat="1" hidden="1">
      <c r="B83" s="29"/>
      <c r="C83" s="128"/>
      <c r="D83" s="129"/>
      <c r="E83" s="129"/>
      <c r="F83" s="129"/>
      <c r="G83" s="129"/>
      <c r="H83" s="129"/>
      <c r="I83" s="129"/>
      <c r="J83" s="129"/>
      <c r="K83" s="129"/>
      <c r="L83" s="129"/>
      <c r="M83" s="131"/>
      <c r="N83" s="129"/>
      <c r="O83" s="129"/>
      <c r="P83" s="129"/>
      <c r="Q83" s="129"/>
      <c r="R83" s="129"/>
      <c r="S83" s="129"/>
      <c r="T83" s="129"/>
      <c r="U83" s="129"/>
      <c r="V83" s="129"/>
      <c r="W83" s="129"/>
      <c r="X83" s="129"/>
      <c r="Y83" s="131"/>
      <c r="Z83" s="131"/>
      <c r="AA83" s="132"/>
      <c r="AB83" s="132"/>
      <c r="AC83" s="33"/>
      <c r="AD83" s="33"/>
      <c r="AE83" s="33"/>
      <c r="AF83" s="33"/>
      <c r="AG83" s="27"/>
      <c r="AH83" s="27"/>
      <c r="AI83" s="27"/>
      <c r="AJ83" s="27"/>
      <c r="AK83" s="27"/>
      <c r="AL83" s="27"/>
      <c r="AM83" s="27"/>
      <c r="AN83" s="27"/>
      <c r="AO83" s="27"/>
      <c r="AP83" s="27"/>
    </row>
    <row r="84" spans="2:42" s="120" customFormat="1" hidden="1">
      <c r="B84" s="29"/>
      <c r="C84" s="128"/>
      <c r="D84" s="129"/>
      <c r="E84" s="129"/>
      <c r="F84" s="129"/>
      <c r="G84" s="129"/>
      <c r="H84" s="129"/>
      <c r="I84" s="129"/>
      <c r="J84" s="129"/>
      <c r="K84" s="129"/>
      <c r="L84" s="129"/>
      <c r="M84" s="131"/>
      <c r="N84" s="129"/>
      <c r="O84" s="129"/>
      <c r="P84" s="129"/>
      <c r="Q84" s="129"/>
      <c r="R84" s="129"/>
      <c r="S84" s="129"/>
      <c r="T84" s="129"/>
      <c r="U84" s="129"/>
      <c r="V84" s="129"/>
      <c r="W84" s="129"/>
      <c r="X84" s="129"/>
      <c r="Y84" s="131"/>
      <c r="Z84" s="131"/>
      <c r="AA84" s="132"/>
      <c r="AB84" s="132"/>
      <c r="AC84" s="33"/>
      <c r="AD84" s="33"/>
      <c r="AE84" s="33"/>
      <c r="AF84" s="33"/>
      <c r="AG84" s="27"/>
      <c r="AH84" s="27"/>
      <c r="AI84" s="27"/>
      <c r="AJ84" s="27"/>
      <c r="AK84" s="27"/>
      <c r="AL84" s="27"/>
      <c r="AM84" s="27"/>
      <c r="AN84" s="27"/>
      <c r="AO84" s="27"/>
      <c r="AP84" s="27"/>
    </row>
    <row r="85" spans="2:42" s="120" customFormat="1" hidden="1">
      <c r="B85" s="29"/>
      <c r="C85" s="128"/>
      <c r="D85" s="129"/>
      <c r="E85" s="129"/>
      <c r="F85" s="129"/>
      <c r="G85" s="129"/>
      <c r="H85" s="129"/>
      <c r="I85" s="129"/>
      <c r="J85" s="129"/>
      <c r="K85" s="129"/>
      <c r="L85" s="129"/>
      <c r="M85" s="131"/>
      <c r="N85" s="129"/>
      <c r="O85" s="129"/>
      <c r="P85" s="129"/>
      <c r="Q85" s="129"/>
      <c r="R85" s="129"/>
      <c r="S85" s="129"/>
      <c r="T85" s="129"/>
      <c r="U85" s="129"/>
      <c r="V85" s="129"/>
      <c r="W85" s="129"/>
      <c r="X85" s="129"/>
      <c r="Y85" s="131"/>
      <c r="Z85" s="131"/>
      <c r="AA85" s="132"/>
      <c r="AB85" s="132"/>
      <c r="AC85" s="33"/>
      <c r="AD85" s="33"/>
      <c r="AE85" s="33"/>
      <c r="AF85" s="33"/>
      <c r="AG85" s="27"/>
      <c r="AH85" s="27"/>
      <c r="AI85" s="27"/>
      <c r="AJ85" s="27"/>
      <c r="AK85" s="27"/>
      <c r="AL85" s="27"/>
      <c r="AM85" s="27"/>
      <c r="AN85" s="27"/>
      <c r="AO85" s="27"/>
      <c r="AP85" s="27"/>
    </row>
    <row r="86" spans="2:42" s="120" customFormat="1" hidden="1">
      <c r="B86" s="29"/>
      <c r="C86" s="128"/>
      <c r="D86" s="129"/>
      <c r="E86" s="129"/>
      <c r="F86" s="129"/>
      <c r="G86" s="129"/>
      <c r="H86" s="129"/>
      <c r="I86" s="129"/>
      <c r="J86" s="129"/>
      <c r="K86" s="129"/>
      <c r="L86" s="129"/>
      <c r="M86" s="131"/>
      <c r="N86" s="129"/>
      <c r="O86" s="129"/>
      <c r="P86" s="129"/>
      <c r="Q86" s="129"/>
      <c r="R86" s="129"/>
      <c r="S86" s="129"/>
      <c r="T86" s="129"/>
      <c r="U86" s="129"/>
      <c r="V86" s="129"/>
      <c r="W86" s="129"/>
      <c r="X86" s="129"/>
      <c r="Y86" s="131"/>
      <c r="Z86" s="131"/>
      <c r="AA86" s="132"/>
      <c r="AB86" s="132"/>
      <c r="AC86" s="33"/>
      <c r="AD86" s="33"/>
      <c r="AE86" s="33"/>
      <c r="AF86" s="33"/>
      <c r="AG86" s="27"/>
      <c r="AH86" s="27"/>
      <c r="AI86" s="27"/>
      <c r="AJ86" s="27"/>
      <c r="AK86" s="27"/>
      <c r="AL86" s="27"/>
      <c r="AM86" s="27"/>
      <c r="AN86" s="27"/>
      <c r="AO86" s="27"/>
      <c r="AP86" s="27"/>
    </row>
    <row r="87" spans="2:42" s="120" customFormat="1" hidden="1">
      <c r="B87" s="29"/>
      <c r="C87" s="128"/>
      <c r="D87" s="129"/>
      <c r="E87" s="129"/>
      <c r="F87" s="129"/>
      <c r="G87" s="129"/>
      <c r="H87" s="129"/>
      <c r="I87" s="129"/>
      <c r="J87" s="129"/>
      <c r="K87" s="129"/>
      <c r="L87" s="129"/>
      <c r="M87" s="131"/>
      <c r="N87" s="129"/>
      <c r="O87" s="129"/>
      <c r="P87" s="129"/>
      <c r="Q87" s="129"/>
      <c r="R87" s="129"/>
      <c r="S87" s="129"/>
      <c r="T87" s="129"/>
      <c r="U87" s="129"/>
      <c r="V87" s="129"/>
      <c r="W87" s="129"/>
      <c r="X87" s="129"/>
      <c r="Y87" s="131"/>
      <c r="Z87" s="131"/>
      <c r="AA87" s="132"/>
      <c r="AB87" s="132"/>
      <c r="AC87" s="33"/>
      <c r="AD87" s="33"/>
      <c r="AE87" s="33"/>
      <c r="AF87" s="33"/>
      <c r="AG87" s="27"/>
      <c r="AH87" s="27"/>
      <c r="AI87" s="27"/>
      <c r="AJ87" s="27"/>
      <c r="AK87" s="27"/>
      <c r="AL87" s="27"/>
      <c r="AM87" s="27"/>
      <c r="AN87" s="27"/>
      <c r="AO87" s="27"/>
      <c r="AP87" s="27"/>
    </row>
    <row r="88" spans="2:42" s="120" customFormat="1" hidden="1">
      <c r="B88" s="29"/>
      <c r="C88" s="128"/>
      <c r="D88" s="129"/>
      <c r="E88" s="129"/>
      <c r="F88" s="129"/>
      <c r="G88" s="129"/>
      <c r="H88" s="129"/>
      <c r="I88" s="129"/>
      <c r="J88" s="129"/>
      <c r="K88" s="129"/>
      <c r="L88" s="129"/>
      <c r="M88" s="131"/>
      <c r="N88" s="129"/>
      <c r="O88" s="129"/>
      <c r="P88" s="129"/>
      <c r="Q88" s="129"/>
      <c r="R88" s="129"/>
      <c r="S88" s="129"/>
      <c r="T88" s="129"/>
      <c r="U88" s="129"/>
      <c r="V88" s="129"/>
      <c r="W88" s="129"/>
      <c r="X88" s="129"/>
      <c r="Y88" s="131"/>
      <c r="Z88" s="131"/>
      <c r="AA88" s="132"/>
      <c r="AB88" s="132"/>
      <c r="AC88" s="33"/>
      <c r="AD88" s="33"/>
      <c r="AE88" s="33"/>
      <c r="AF88" s="33"/>
      <c r="AG88" s="27"/>
      <c r="AH88" s="27"/>
      <c r="AI88" s="27"/>
      <c r="AJ88" s="27"/>
      <c r="AK88" s="27"/>
      <c r="AL88" s="27"/>
      <c r="AM88" s="27"/>
      <c r="AN88" s="27"/>
      <c r="AO88" s="27"/>
      <c r="AP88" s="27"/>
    </row>
    <row r="89" spans="2:42" s="120" customFormat="1" hidden="1">
      <c r="B89" s="29"/>
      <c r="C89" s="128"/>
      <c r="D89" s="129"/>
      <c r="E89" s="129"/>
      <c r="F89" s="129"/>
      <c r="G89" s="129"/>
      <c r="H89" s="129"/>
      <c r="I89" s="129"/>
      <c r="J89" s="129"/>
      <c r="K89" s="129"/>
      <c r="L89" s="129"/>
      <c r="M89" s="131"/>
      <c r="N89" s="129"/>
      <c r="O89" s="129"/>
      <c r="P89" s="129"/>
      <c r="Q89" s="129"/>
      <c r="R89" s="129"/>
      <c r="S89" s="129"/>
      <c r="T89" s="129"/>
      <c r="U89" s="129"/>
      <c r="V89" s="129"/>
      <c r="W89" s="129"/>
      <c r="X89" s="129"/>
      <c r="Y89" s="131"/>
      <c r="Z89" s="131"/>
      <c r="AA89" s="132"/>
      <c r="AB89" s="132"/>
      <c r="AC89" s="33"/>
      <c r="AD89" s="33"/>
      <c r="AE89" s="33"/>
      <c r="AF89" s="33"/>
      <c r="AG89" s="27"/>
      <c r="AH89" s="27"/>
      <c r="AI89" s="27"/>
      <c r="AJ89" s="27"/>
      <c r="AK89" s="27"/>
      <c r="AL89" s="27"/>
      <c r="AM89" s="27"/>
      <c r="AN89" s="27"/>
      <c r="AO89" s="27"/>
      <c r="AP89" s="27"/>
    </row>
    <row r="90" spans="2:42" s="120" customFormat="1" hidden="1">
      <c r="B90" s="29"/>
      <c r="C90" s="128"/>
      <c r="D90" s="129"/>
      <c r="E90" s="129"/>
      <c r="F90" s="129"/>
      <c r="G90" s="129"/>
      <c r="H90" s="129"/>
      <c r="I90" s="129"/>
      <c r="J90" s="129"/>
      <c r="K90" s="129"/>
      <c r="L90" s="129"/>
      <c r="M90" s="131"/>
      <c r="N90" s="129"/>
      <c r="O90" s="129"/>
      <c r="P90" s="129"/>
      <c r="Q90" s="129"/>
      <c r="R90" s="129"/>
      <c r="S90" s="129"/>
      <c r="T90" s="129"/>
      <c r="U90" s="129"/>
      <c r="V90" s="129"/>
      <c r="W90" s="129"/>
      <c r="X90" s="129"/>
      <c r="Y90" s="131"/>
      <c r="Z90" s="131"/>
      <c r="AA90" s="132"/>
      <c r="AB90" s="132"/>
      <c r="AC90" s="33"/>
      <c r="AD90" s="33"/>
      <c r="AE90" s="33"/>
      <c r="AF90" s="33"/>
      <c r="AG90" s="27"/>
      <c r="AH90" s="27"/>
      <c r="AI90" s="27"/>
      <c r="AJ90" s="27"/>
      <c r="AK90" s="27"/>
      <c r="AL90" s="27"/>
      <c r="AM90" s="27"/>
      <c r="AN90" s="27"/>
      <c r="AO90" s="27"/>
      <c r="AP90" s="27"/>
    </row>
    <row r="91" spans="2:42" s="120" customFormat="1" hidden="1">
      <c r="B91" s="29"/>
      <c r="C91" s="128"/>
      <c r="D91" s="129"/>
      <c r="E91" s="129"/>
      <c r="F91" s="129"/>
      <c r="G91" s="129"/>
      <c r="H91" s="129"/>
      <c r="I91" s="129"/>
      <c r="J91" s="129"/>
      <c r="K91" s="129"/>
      <c r="L91" s="129"/>
      <c r="M91" s="131"/>
      <c r="N91" s="129"/>
      <c r="O91" s="129"/>
      <c r="P91" s="129"/>
      <c r="Q91" s="129"/>
      <c r="R91" s="129"/>
      <c r="S91" s="129"/>
      <c r="T91" s="129"/>
      <c r="U91" s="129"/>
      <c r="V91" s="129"/>
      <c r="W91" s="129"/>
      <c r="X91" s="129"/>
      <c r="Y91" s="131"/>
      <c r="Z91" s="131"/>
      <c r="AA91" s="132"/>
      <c r="AB91" s="132"/>
      <c r="AC91" s="33"/>
      <c r="AD91" s="33"/>
      <c r="AE91" s="33"/>
      <c r="AF91" s="33"/>
      <c r="AG91" s="27"/>
      <c r="AH91" s="27"/>
      <c r="AI91" s="27"/>
      <c r="AJ91" s="27"/>
      <c r="AK91" s="27"/>
      <c r="AL91" s="27"/>
      <c r="AM91" s="27"/>
      <c r="AN91" s="27"/>
      <c r="AO91" s="27"/>
      <c r="AP91" s="27"/>
    </row>
    <row r="92" spans="2:42" s="120" customFormat="1" hidden="1">
      <c r="B92" s="29"/>
      <c r="C92" s="128"/>
      <c r="D92" s="129"/>
      <c r="E92" s="129"/>
      <c r="F92" s="129"/>
      <c r="G92" s="129"/>
      <c r="H92" s="129"/>
      <c r="I92" s="129"/>
      <c r="J92" s="129"/>
      <c r="K92" s="129"/>
      <c r="L92" s="129"/>
      <c r="M92" s="131"/>
      <c r="N92" s="129"/>
      <c r="O92" s="129"/>
      <c r="P92" s="129"/>
      <c r="Q92" s="129"/>
      <c r="R92" s="129"/>
      <c r="S92" s="129"/>
      <c r="T92" s="129"/>
      <c r="U92" s="129"/>
      <c r="V92" s="129"/>
      <c r="W92" s="129"/>
      <c r="X92" s="129"/>
      <c r="Y92" s="131"/>
      <c r="Z92" s="131"/>
      <c r="AA92" s="132"/>
      <c r="AB92" s="132"/>
      <c r="AC92" s="33"/>
      <c r="AD92" s="33"/>
      <c r="AE92" s="33"/>
      <c r="AF92" s="33"/>
      <c r="AG92" s="27"/>
      <c r="AH92" s="27"/>
      <c r="AI92" s="27"/>
      <c r="AJ92" s="27"/>
      <c r="AK92" s="27"/>
      <c r="AL92" s="27"/>
      <c r="AM92" s="27"/>
      <c r="AN92" s="27"/>
      <c r="AO92" s="27"/>
      <c r="AP92" s="27"/>
    </row>
    <row r="93" spans="2:42" s="120" customFormat="1" hidden="1">
      <c r="B93" s="29"/>
      <c r="C93" s="128"/>
      <c r="D93" s="129"/>
      <c r="E93" s="129"/>
      <c r="F93" s="129"/>
      <c r="G93" s="129"/>
      <c r="H93" s="129"/>
      <c r="I93" s="129"/>
      <c r="J93" s="129"/>
      <c r="K93" s="129"/>
      <c r="L93" s="129"/>
      <c r="M93" s="131"/>
      <c r="N93" s="129"/>
      <c r="O93" s="129"/>
      <c r="P93" s="129"/>
      <c r="Q93" s="129"/>
      <c r="R93" s="129"/>
      <c r="S93" s="129"/>
      <c r="T93" s="129"/>
      <c r="U93" s="129"/>
      <c r="V93" s="129"/>
      <c r="W93" s="129"/>
      <c r="X93" s="129"/>
      <c r="Y93" s="131"/>
      <c r="Z93" s="131"/>
      <c r="AA93" s="132"/>
      <c r="AB93" s="132"/>
      <c r="AC93" s="33"/>
      <c r="AD93" s="33"/>
      <c r="AE93" s="33"/>
      <c r="AF93" s="33"/>
      <c r="AG93" s="27"/>
      <c r="AH93" s="27"/>
      <c r="AI93" s="27"/>
      <c r="AJ93" s="27"/>
      <c r="AK93" s="27"/>
      <c r="AL93" s="27"/>
      <c r="AM93" s="27"/>
      <c r="AN93" s="27"/>
      <c r="AO93" s="27"/>
      <c r="AP93" s="27"/>
    </row>
    <row r="94" spans="2:42" s="120" customFormat="1" hidden="1">
      <c r="B94" s="29"/>
      <c r="C94" s="128"/>
      <c r="D94" s="129"/>
      <c r="E94" s="129"/>
      <c r="F94" s="129"/>
      <c r="G94" s="129"/>
      <c r="H94" s="129"/>
      <c r="I94" s="129"/>
      <c r="J94" s="129"/>
      <c r="K94" s="129"/>
      <c r="L94" s="129"/>
      <c r="M94" s="131"/>
      <c r="N94" s="129"/>
      <c r="O94" s="129"/>
      <c r="P94" s="129"/>
      <c r="Q94" s="129"/>
      <c r="R94" s="129"/>
      <c r="S94" s="129"/>
      <c r="T94" s="129"/>
      <c r="U94" s="129"/>
      <c r="V94" s="129"/>
      <c r="W94" s="129"/>
      <c r="X94" s="129"/>
      <c r="Y94" s="131"/>
      <c r="Z94" s="131"/>
      <c r="AA94" s="132"/>
      <c r="AB94" s="132"/>
      <c r="AC94" s="33"/>
      <c r="AD94" s="33"/>
      <c r="AE94" s="33"/>
      <c r="AF94" s="33"/>
      <c r="AG94" s="27"/>
      <c r="AH94" s="27"/>
      <c r="AI94" s="27"/>
      <c r="AJ94" s="27"/>
      <c r="AK94" s="27"/>
      <c r="AL94" s="27"/>
      <c r="AM94" s="27"/>
      <c r="AN94" s="27"/>
      <c r="AO94" s="27"/>
      <c r="AP94" s="27"/>
    </row>
    <row r="95" spans="2:42" s="120" customFormat="1" hidden="1">
      <c r="B95" s="29"/>
      <c r="C95" s="128"/>
      <c r="D95" s="129"/>
      <c r="E95" s="129"/>
      <c r="F95" s="129"/>
      <c r="G95" s="129"/>
      <c r="H95" s="129"/>
      <c r="I95" s="129"/>
      <c r="J95" s="129"/>
      <c r="K95" s="129"/>
      <c r="L95" s="129"/>
      <c r="M95" s="131"/>
      <c r="N95" s="129"/>
      <c r="O95" s="129"/>
      <c r="P95" s="129"/>
      <c r="Q95" s="129"/>
      <c r="R95" s="129"/>
      <c r="S95" s="129"/>
      <c r="T95" s="129"/>
      <c r="U95" s="129"/>
      <c r="V95" s="129"/>
      <c r="W95" s="129"/>
      <c r="X95" s="129"/>
      <c r="Y95" s="131"/>
      <c r="Z95" s="131"/>
      <c r="AA95" s="132"/>
      <c r="AB95" s="132"/>
      <c r="AC95" s="33"/>
      <c r="AD95" s="33"/>
      <c r="AE95" s="33"/>
      <c r="AF95" s="33"/>
      <c r="AG95" s="27"/>
      <c r="AH95" s="27"/>
      <c r="AI95" s="27"/>
      <c r="AJ95" s="27"/>
      <c r="AK95" s="27"/>
      <c r="AL95" s="27"/>
      <c r="AM95" s="27"/>
      <c r="AN95" s="27"/>
      <c r="AO95" s="27"/>
      <c r="AP95" s="27"/>
    </row>
    <row r="96" spans="2:42" s="120" customFormat="1" hidden="1">
      <c r="B96" s="29"/>
      <c r="C96" s="128"/>
      <c r="D96" s="129"/>
      <c r="E96" s="129"/>
      <c r="F96" s="129"/>
      <c r="G96" s="129"/>
      <c r="H96" s="129"/>
      <c r="I96" s="129"/>
      <c r="J96" s="129"/>
      <c r="K96" s="129"/>
      <c r="L96" s="129"/>
      <c r="M96" s="131"/>
      <c r="N96" s="129"/>
      <c r="O96" s="129"/>
      <c r="P96" s="129"/>
      <c r="Q96" s="129"/>
      <c r="R96" s="129"/>
      <c r="S96" s="129"/>
      <c r="T96" s="129"/>
      <c r="U96" s="129"/>
      <c r="V96" s="129"/>
      <c r="W96" s="129"/>
      <c r="X96" s="129"/>
      <c r="Y96" s="131"/>
      <c r="Z96" s="131"/>
      <c r="AA96" s="132"/>
      <c r="AB96" s="132"/>
      <c r="AC96" s="33"/>
      <c r="AD96" s="33"/>
      <c r="AE96" s="33"/>
      <c r="AF96" s="33"/>
      <c r="AG96" s="27"/>
      <c r="AH96" s="27"/>
      <c r="AI96" s="27"/>
      <c r="AJ96" s="27"/>
      <c r="AK96" s="27"/>
      <c r="AL96" s="27"/>
      <c r="AM96" s="27"/>
      <c r="AN96" s="27"/>
      <c r="AO96" s="27"/>
      <c r="AP96" s="27"/>
    </row>
    <row r="97" spans="2:42" s="120" customFormat="1" hidden="1">
      <c r="B97" s="29"/>
      <c r="C97" s="128"/>
      <c r="D97" s="129"/>
      <c r="E97" s="129"/>
      <c r="F97" s="129"/>
      <c r="G97" s="129"/>
      <c r="H97" s="129"/>
      <c r="I97" s="129"/>
      <c r="J97" s="129"/>
      <c r="K97" s="129"/>
      <c r="L97" s="129"/>
      <c r="M97" s="131"/>
      <c r="N97" s="129"/>
      <c r="O97" s="129"/>
      <c r="P97" s="129"/>
      <c r="Q97" s="129"/>
      <c r="R97" s="129"/>
      <c r="S97" s="129"/>
      <c r="T97" s="129"/>
      <c r="U97" s="129"/>
      <c r="V97" s="129"/>
      <c r="W97" s="129"/>
      <c r="X97" s="129"/>
      <c r="Y97" s="131"/>
      <c r="Z97" s="131"/>
      <c r="AA97" s="132"/>
      <c r="AB97" s="132"/>
      <c r="AC97" s="33"/>
      <c r="AD97" s="33"/>
      <c r="AE97" s="33"/>
      <c r="AF97" s="33"/>
      <c r="AG97" s="27"/>
      <c r="AH97" s="27"/>
      <c r="AI97" s="27"/>
      <c r="AJ97" s="27"/>
      <c r="AK97" s="27"/>
      <c r="AL97" s="27"/>
      <c r="AM97" s="27"/>
      <c r="AN97" s="27"/>
      <c r="AO97" s="27"/>
      <c r="AP97" s="27"/>
    </row>
    <row r="98" spans="2:42" s="120" customFormat="1" hidden="1">
      <c r="B98" s="29"/>
      <c r="C98" s="128"/>
      <c r="D98" s="129"/>
      <c r="E98" s="129"/>
      <c r="F98" s="129"/>
      <c r="G98" s="129"/>
      <c r="H98" s="129"/>
      <c r="I98" s="129"/>
      <c r="J98" s="129"/>
      <c r="K98" s="129"/>
      <c r="L98" s="129"/>
      <c r="M98" s="131"/>
      <c r="N98" s="129"/>
      <c r="O98" s="129"/>
      <c r="P98" s="129"/>
      <c r="Q98" s="129"/>
      <c r="R98" s="129"/>
      <c r="S98" s="129"/>
      <c r="T98" s="129"/>
      <c r="U98" s="129"/>
      <c r="V98" s="129"/>
      <c r="W98" s="129"/>
      <c r="X98" s="129"/>
      <c r="Y98" s="131"/>
      <c r="Z98" s="131"/>
      <c r="AA98" s="132"/>
      <c r="AB98" s="132"/>
      <c r="AC98" s="33"/>
      <c r="AD98" s="33"/>
      <c r="AE98" s="33"/>
      <c r="AF98" s="33"/>
      <c r="AG98" s="27"/>
      <c r="AH98" s="27"/>
      <c r="AI98" s="27"/>
      <c r="AJ98" s="27"/>
      <c r="AK98" s="27"/>
      <c r="AL98" s="27"/>
      <c r="AM98" s="27"/>
      <c r="AN98" s="27"/>
      <c r="AO98" s="27"/>
      <c r="AP98" s="27"/>
    </row>
    <row r="99" spans="2:42" s="120" customFormat="1" hidden="1">
      <c r="B99" s="29"/>
      <c r="C99" s="128"/>
      <c r="D99" s="129"/>
      <c r="E99" s="129"/>
      <c r="F99" s="129"/>
      <c r="G99" s="129"/>
      <c r="H99" s="129"/>
      <c r="I99" s="129"/>
      <c r="J99" s="129"/>
      <c r="K99" s="129"/>
      <c r="L99" s="129"/>
      <c r="M99" s="131"/>
      <c r="N99" s="129"/>
      <c r="O99" s="129"/>
      <c r="P99" s="129"/>
      <c r="Q99" s="129"/>
      <c r="R99" s="129"/>
      <c r="S99" s="129"/>
      <c r="T99" s="129"/>
      <c r="U99" s="129"/>
      <c r="V99" s="129"/>
      <c r="W99" s="129"/>
      <c r="X99" s="129"/>
      <c r="Y99" s="131"/>
      <c r="Z99" s="131"/>
      <c r="AA99" s="132"/>
      <c r="AB99" s="132"/>
      <c r="AC99" s="33"/>
      <c r="AD99" s="33"/>
      <c r="AE99" s="33"/>
      <c r="AF99" s="33"/>
      <c r="AG99" s="27"/>
      <c r="AH99" s="27"/>
      <c r="AI99" s="27"/>
      <c r="AJ99" s="27"/>
      <c r="AK99" s="27"/>
      <c r="AL99" s="27"/>
      <c r="AM99" s="27"/>
      <c r="AN99" s="27"/>
      <c r="AO99" s="27"/>
      <c r="AP99" s="27"/>
    </row>
    <row r="100" spans="2:42" s="120" customFormat="1" hidden="1">
      <c r="B100" s="29"/>
      <c r="C100" s="128"/>
      <c r="D100" s="129"/>
      <c r="E100" s="129"/>
      <c r="F100" s="129"/>
      <c r="G100" s="129"/>
      <c r="H100" s="129"/>
      <c r="I100" s="129"/>
      <c r="J100" s="129"/>
      <c r="K100" s="129"/>
      <c r="L100" s="129"/>
      <c r="M100" s="131"/>
      <c r="N100" s="129"/>
      <c r="O100" s="129"/>
      <c r="P100" s="129"/>
      <c r="Q100" s="129"/>
      <c r="R100" s="129"/>
      <c r="S100" s="129"/>
      <c r="T100" s="129"/>
      <c r="U100" s="129"/>
      <c r="V100" s="129"/>
      <c r="W100" s="129"/>
      <c r="X100" s="129"/>
      <c r="Y100" s="131"/>
      <c r="Z100" s="131"/>
      <c r="AA100" s="132"/>
      <c r="AB100" s="132"/>
      <c r="AC100" s="33"/>
      <c r="AD100" s="33"/>
      <c r="AE100" s="33"/>
      <c r="AF100" s="33"/>
      <c r="AG100" s="27"/>
      <c r="AH100" s="27"/>
      <c r="AI100" s="27"/>
      <c r="AJ100" s="27"/>
      <c r="AK100" s="27"/>
      <c r="AL100" s="27"/>
      <c r="AM100" s="27"/>
      <c r="AN100" s="27"/>
      <c r="AO100" s="27"/>
      <c r="AP100" s="27"/>
    </row>
    <row r="101" spans="2:42" s="120" customFormat="1" hidden="1">
      <c r="B101" s="29"/>
      <c r="C101" s="128"/>
      <c r="D101" s="129"/>
      <c r="E101" s="129"/>
      <c r="F101" s="129"/>
      <c r="G101" s="129"/>
      <c r="H101" s="129"/>
      <c r="I101" s="129"/>
      <c r="J101" s="129"/>
      <c r="K101" s="129"/>
      <c r="L101" s="129"/>
      <c r="M101" s="131"/>
      <c r="N101" s="129"/>
      <c r="O101" s="129"/>
      <c r="P101" s="129"/>
      <c r="Q101" s="129"/>
      <c r="R101" s="129"/>
      <c r="S101" s="129"/>
      <c r="T101" s="129"/>
      <c r="U101" s="129"/>
      <c r="V101" s="129"/>
      <c r="W101" s="129"/>
      <c r="X101" s="129"/>
      <c r="Y101" s="131"/>
      <c r="Z101" s="131"/>
      <c r="AA101" s="132"/>
      <c r="AB101" s="132"/>
      <c r="AC101" s="33"/>
      <c r="AD101" s="33"/>
      <c r="AE101" s="33"/>
      <c r="AF101" s="33"/>
      <c r="AG101" s="27"/>
      <c r="AH101" s="27"/>
      <c r="AI101" s="27"/>
      <c r="AJ101" s="27"/>
      <c r="AK101" s="27"/>
      <c r="AL101" s="27"/>
      <c r="AM101" s="27"/>
      <c r="AN101" s="27"/>
      <c r="AO101" s="27"/>
      <c r="AP101" s="27"/>
    </row>
    <row r="102" spans="2:42" s="120" customFormat="1" hidden="1">
      <c r="B102" s="29"/>
      <c r="C102" s="128"/>
      <c r="D102" s="129"/>
      <c r="E102" s="129"/>
      <c r="F102" s="129"/>
      <c r="G102" s="129"/>
      <c r="H102" s="129"/>
      <c r="I102" s="129"/>
      <c r="J102" s="129"/>
      <c r="K102" s="129"/>
      <c r="L102" s="129"/>
      <c r="M102" s="131"/>
      <c r="N102" s="129"/>
      <c r="O102" s="129"/>
      <c r="P102" s="129"/>
      <c r="Q102" s="129"/>
      <c r="R102" s="129"/>
      <c r="S102" s="129"/>
      <c r="T102" s="129"/>
      <c r="U102" s="129"/>
      <c r="V102" s="129"/>
      <c r="W102" s="129"/>
      <c r="X102" s="129"/>
      <c r="Y102" s="131"/>
      <c r="Z102" s="131"/>
      <c r="AA102" s="132"/>
      <c r="AB102" s="132"/>
      <c r="AC102" s="33"/>
      <c r="AD102" s="33"/>
      <c r="AE102" s="33"/>
      <c r="AF102" s="33"/>
      <c r="AG102" s="27"/>
      <c r="AH102" s="27"/>
      <c r="AI102" s="27"/>
      <c r="AJ102" s="27"/>
      <c r="AK102" s="27"/>
      <c r="AL102" s="27"/>
      <c r="AM102" s="27"/>
      <c r="AN102" s="27"/>
      <c r="AO102" s="27"/>
      <c r="AP102" s="27"/>
    </row>
    <row r="103" spans="2:42" s="120" customFormat="1" hidden="1">
      <c r="B103" s="29"/>
      <c r="C103" s="128"/>
      <c r="D103" s="129"/>
      <c r="E103" s="129"/>
      <c r="F103" s="129"/>
      <c r="G103" s="129"/>
      <c r="H103" s="129"/>
      <c r="I103" s="129"/>
      <c r="J103" s="129"/>
      <c r="K103" s="129"/>
      <c r="L103" s="129"/>
      <c r="M103" s="131"/>
      <c r="N103" s="129"/>
      <c r="O103" s="129"/>
      <c r="P103" s="129"/>
      <c r="Q103" s="129"/>
      <c r="R103" s="129"/>
      <c r="S103" s="129"/>
      <c r="T103" s="129"/>
      <c r="U103" s="129"/>
      <c r="V103" s="129"/>
      <c r="W103" s="129"/>
      <c r="X103" s="129"/>
      <c r="Y103" s="131"/>
      <c r="Z103" s="131"/>
      <c r="AA103" s="132"/>
      <c r="AB103" s="132"/>
      <c r="AC103" s="33"/>
      <c r="AD103" s="33"/>
      <c r="AE103" s="33"/>
      <c r="AF103" s="33"/>
      <c r="AG103" s="27"/>
      <c r="AH103" s="27"/>
      <c r="AI103" s="27"/>
      <c r="AJ103" s="27"/>
      <c r="AK103" s="27"/>
      <c r="AL103" s="27"/>
      <c r="AM103" s="27"/>
      <c r="AN103" s="27"/>
      <c r="AO103" s="27"/>
      <c r="AP103" s="27"/>
    </row>
    <row r="104" spans="2:42" s="120" customFormat="1" hidden="1">
      <c r="B104" s="29"/>
      <c r="C104" s="128"/>
      <c r="D104" s="129"/>
      <c r="E104" s="129"/>
      <c r="F104" s="129"/>
      <c r="G104" s="129"/>
      <c r="H104" s="129"/>
      <c r="I104" s="129"/>
      <c r="J104" s="129"/>
      <c r="K104" s="129"/>
      <c r="L104" s="129"/>
      <c r="M104" s="131"/>
      <c r="N104" s="129"/>
      <c r="O104" s="129"/>
      <c r="P104" s="129"/>
      <c r="Q104" s="129"/>
      <c r="R104" s="129"/>
      <c r="S104" s="129"/>
      <c r="T104" s="129"/>
      <c r="U104" s="129"/>
      <c r="V104" s="129"/>
      <c r="W104" s="129"/>
      <c r="X104" s="129"/>
      <c r="Y104" s="131"/>
      <c r="Z104" s="131"/>
      <c r="AA104" s="132"/>
      <c r="AB104" s="132"/>
      <c r="AC104" s="33"/>
      <c r="AD104" s="33"/>
      <c r="AE104" s="33"/>
      <c r="AF104" s="33"/>
      <c r="AG104" s="27"/>
      <c r="AH104" s="27"/>
      <c r="AI104" s="27"/>
      <c r="AJ104" s="27"/>
      <c r="AK104" s="27"/>
      <c r="AL104" s="27"/>
      <c r="AM104" s="27"/>
      <c r="AN104" s="27"/>
      <c r="AO104" s="27"/>
      <c r="AP104" s="27"/>
    </row>
    <row r="105" spans="2:42" s="120" customFormat="1" hidden="1">
      <c r="B105" s="29"/>
      <c r="C105" s="128"/>
      <c r="D105" s="129"/>
      <c r="E105" s="129"/>
      <c r="F105" s="129"/>
      <c r="G105" s="129"/>
      <c r="H105" s="129"/>
      <c r="I105" s="129"/>
      <c r="J105" s="129"/>
      <c r="K105" s="129"/>
      <c r="L105" s="129"/>
      <c r="M105" s="131"/>
      <c r="N105" s="129"/>
      <c r="O105" s="129"/>
      <c r="P105" s="129"/>
      <c r="Q105" s="129"/>
      <c r="R105" s="129"/>
      <c r="S105" s="129"/>
      <c r="T105" s="129"/>
      <c r="U105" s="129"/>
      <c r="V105" s="129"/>
      <c r="W105" s="129"/>
      <c r="X105" s="129"/>
      <c r="Y105" s="131"/>
      <c r="Z105" s="131"/>
      <c r="AA105" s="132"/>
      <c r="AB105" s="132"/>
      <c r="AC105" s="33"/>
      <c r="AD105" s="33"/>
      <c r="AE105" s="33"/>
      <c r="AF105" s="33"/>
      <c r="AG105" s="27"/>
      <c r="AH105" s="27"/>
      <c r="AI105" s="27"/>
      <c r="AJ105" s="27"/>
      <c r="AK105" s="27"/>
      <c r="AL105" s="27"/>
      <c r="AM105" s="27"/>
      <c r="AN105" s="27"/>
      <c r="AO105" s="27"/>
      <c r="AP105" s="27"/>
    </row>
    <row r="106" spans="2:42" s="120" customFormat="1" hidden="1">
      <c r="B106" s="29"/>
      <c r="C106" s="128"/>
      <c r="D106" s="129"/>
      <c r="E106" s="129"/>
      <c r="F106" s="129"/>
      <c r="G106" s="129"/>
      <c r="H106" s="129"/>
      <c r="I106" s="129"/>
      <c r="J106" s="129"/>
      <c r="K106" s="129"/>
      <c r="L106" s="129"/>
      <c r="M106" s="131"/>
      <c r="N106" s="129"/>
      <c r="O106" s="129"/>
      <c r="P106" s="129"/>
      <c r="Q106" s="129"/>
      <c r="R106" s="129"/>
      <c r="S106" s="129"/>
      <c r="T106" s="129"/>
      <c r="U106" s="129"/>
      <c r="V106" s="129"/>
      <c r="W106" s="129"/>
      <c r="X106" s="129"/>
      <c r="Y106" s="131"/>
      <c r="Z106" s="131"/>
      <c r="AA106" s="132"/>
      <c r="AB106" s="132"/>
      <c r="AC106" s="33"/>
      <c r="AD106" s="33"/>
      <c r="AE106" s="33"/>
      <c r="AF106" s="33"/>
      <c r="AG106" s="27"/>
      <c r="AH106" s="27"/>
      <c r="AI106" s="27"/>
      <c r="AJ106" s="27"/>
      <c r="AK106" s="27"/>
      <c r="AL106" s="27"/>
      <c r="AM106" s="27"/>
      <c r="AN106" s="27"/>
      <c r="AO106" s="27"/>
      <c r="AP106" s="27"/>
    </row>
    <row r="107" spans="2:42" s="120" customFormat="1" hidden="1">
      <c r="B107" s="29"/>
      <c r="C107" s="128"/>
      <c r="D107" s="129"/>
      <c r="E107" s="129"/>
      <c r="F107" s="129"/>
      <c r="G107" s="129"/>
      <c r="H107" s="129"/>
      <c r="I107" s="129"/>
      <c r="J107" s="129"/>
      <c r="K107" s="129"/>
      <c r="L107" s="129"/>
      <c r="M107" s="131"/>
      <c r="N107" s="129"/>
      <c r="O107" s="129"/>
      <c r="P107" s="129"/>
      <c r="Q107" s="129"/>
      <c r="R107" s="129"/>
      <c r="S107" s="129"/>
      <c r="T107" s="129"/>
      <c r="U107" s="129"/>
      <c r="V107" s="129"/>
      <c r="W107" s="129"/>
      <c r="X107" s="129"/>
      <c r="Y107" s="131"/>
      <c r="Z107" s="131"/>
      <c r="AA107" s="132"/>
      <c r="AB107" s="132"/>
      <c r="AC107" s="33"/>
      <c r="AD107" s="33"/>
      <c r="AE107" s="33"/>
      <c r="AF107" s="33"/>
      <c r="AG107" s="27"/>
      <c r="AH107" s="27"/>
      <c r="AI107" s="27"/>
      <c r="AJ107" s="27"/>
      <c r="AK107" s="27"/>
      <c r="AL107" s="27"/>
      <c r="AM107" s="27"/>
      <c r="AN107" s="27"/>
      <c r="AO107" s="27"/>
      <c r="AP107" s="27"/>
    </row>
    <row r="108" spans="2:42" s="120" customFormat="1" hidden="1">
      <c r="B108" s="29"/>
      <c r="C108" s="128"/>
      <c r="D108" s="129"/>
      <c r="E108" s="129"/>
      <c r="F108" s="129"/>
      <c r="G108" s="129"/>
      <c r="H108" s="129"/>
      <c r="I108" s="129"/>
      <c r="J108" s="129"/>
      <c r="K108" s="129"/>
      <c r="L108" s="129"/>
      <c r="M108" s="131"/>
      <c r="N108" s="129"/>
      <c r="O108" s="129"/>
      <c r="P108" s="129"/>
      <c r="Q108" s="129"/>
      <c r="R108" s="129"/>
      <c r="S108" s="129"/>
      <c r="T108" s="129"/>
      <c r="U108" s="129"/>
      <c r="V108" s="129"/>
      <c r="W108" s="129"/>
      <c r="X108" s="129"/>
      <c r="Y108" s="131"/>
      <c r="Z108" s="131"/>
      <c r="AA108" s="132"/>
      <c r="AB108" s="132"/>
      <c r="AC108" s="33"/>
      <c r="AD108" s="33"/>
      <c r="AE108" s="33"/>
      <c r="AF108" s="33"/>
      <c r="AG108" s="27"/>
      <c r="AH108" s="27"/>
      <c r="AI108" s="27"/>
      <c r="AJ108" s="27"/>
      <c r="AK108" s="27"/>
      <c r="AL108" s="27"/>
      <c r="AM108" s="27"/>
      <c r="AN108" s="27"/>
      <c r="AO108" s="27"/>
      <c r="AP108" s="27"/>
    </row>
    <row r="109" spans="2:42" s="120" customFormat="1" hidden="1">
      <c r="B109" s="29"/>
      <c r="C109" s="128"/>
      <c r="D109" s="129"/>
      <c r="E109" s="129"/>
      <c r="F109" s="129"/>
      <c r="G109" s="129"/>
      <c r="H109" s="129"/>
      <c r="I109" s="129"/>
      <c r="J109" s="129"/>
      <c r="K109" s="129"/>
      <c r="L109" s="129"/>
      <c r="M109" s="131"/>
      <c r="N109" s="129"/>
      <c r="O109" s="129"/>
      <c r="P109" s="129"/>
      <c r="Q109" s="129"/>
      <c r="R109" s="129"/>
      <c r="S109" s="129"/>
      <c r="T109" s="129"/>
      <c r="U109" s="129"/>
      <c r="V109" s="129"/>
      <c r="W109" s="129"/>
      <c r="X109" s="129"/>
      <c r="Y109" s="131"/>
      <c r="Z109" s="131"/>
      <c r="AA109" s="132"/>
      <c r="AB109" s="132"/>
      <c r="AC109" s="33"/>
      <c r="AD109" s="33"/>
      <c r="AE109" s="33"/>
      <c r="AF109" s="33"/>
      <c r="AG109" s="27"/>
      <c r="AH109" s="27"/>
      <c r="AI109" s="27"/>
      <c r="AJ109" s="27"/>
      <c r="AK109" s="27"/>
      <c r="AL109" s="27"/>
      <c r="AM109" s="27"/>
      <c r="AN109" s="27"/>
      <c r="AO109" s="27"/>
      <c r="AP109" s="27"/>
    </row>
    <row r="110" spans="2:42" s="120" customFormat="1" hidden="1">
      <c r="B110" s="29"/>
      <c r="C110" s="128"/>
      <c r="D110" s="129"/>
      <c r="E110" s="129"/>
      <c r="F110" s="129"/>
      <c r="G110" s="129"/>
      <c r="H110" s="129"/>
      <c r="I110" s="129"/>
      <c r="J110" s="129"/>
      <c r="K110" s="129"/>
      <c r="L110" s="129"/>
      <c r="M110" s="131"/>
      <c r="N110" s="129"/>
      <c r="O110" s="129"/>
      <c r="P110" s="129"/>
      <c r="Q110" s="129"/>
      <c r="R110" s="129"/>
      <c r="S110" s="129"/>
      <c r="T110" s="129"/>
      <c r="U110" s="129"/>
      <c r="V110" s="129"/>
      <c r="W110" s="129"/>
      <c r="X110" s="129"/>
      <c r="Y110" s="131"/>
      <c r="Z110" s="131"/>
      <c r="AA110" s="132"/>
      <c r="AB110" s="132"/>
      <c r="AC110" s="33"/>
      <c r="AD110" s="33"/>
      <c r="AE110" s="33"/>
      <c r="AF110" s="33"/>
      <c r="AG110" s="27"/>
      <c r="AH110" s="27"/>
      <c r="AI110" s="27"/>
      <c r="AJ110" s="27"/>
      <c r="AK110" s="27"/>
      <c r="AL110" s="27"/>
      <c r="AM110" s="27"/>
      <c r="AN110" s="27"/>
      <c r="AO110" s="27"/>
      <c r="AP110" s="27"/>
    </row>
    <row r="111" spans="2:42" s="120" customFormat="1" hidden="1">
      <c r="B111" s="29"/>
      <c r="C111" s="128"/>
      <c r="D111" s="129"/>
      <c r="E111" s="129"/>
      <c r="F111" s="129"/>
      <c r="G111" s="129"/>
      <c r="H111" s="129"/>
      <c r="I111" s="129"/>
      <c r="J111" s="129"/>
      <c r="K111" s="129"/>
      <c r="L111" s="129"/>
      <c r="M111" s="131"/>
      <c r="N111" s="129"/>
      <c r="O111" s="129"/>
      <c r="P111" s="129"/>
      <c r="Q111" s="129"/>
      <c r="R111" s="129"/>
      <c r="S111" s="129"/>
      <c r="T111" s="129"/>
      <c r="U111" s="129"/>
      <c r="V111" s="129"/>
      <c r="W111" s="129"/>
      <c r="X111" s="129"/>
      <c r="Y111" s="131"/>
      <c r="Z111" s="131"/>
      <c r="AA111" s="132"/>
      <c r="AB111" s="132"/>
      <c r="AC111" s="33"/>
      <c r="AD111" s="33"/>
      <c r="AE111" s="33"/>
      <c r="AF111" s="33"/>
      <c r="AG111" s="27"/>
      <c r="AH111" s="27"/>
      <c r="AI111" s="27"/>
      <c r="AJ111" s="27"/>
      <c r="AK111" s="27"/>
      <c r="AL111" s="27"/>
      <c r="AM111" s="27"/>
      <c r="AN111" s="27"/>
      <c r="AO111" s="27"/>
      <c r="AP111" s="27"/>
    </row>
    <row r="112" spans="2:42" s="120" customFormat="1" hidden="1">
      <c r="B112" s="29"/>
      <c r="C112" s="128"/>
      <c r="D112" s="129"/>
      <c r="E112" s="129"/>
      <c r="F112" s="129"/>
      <c r="G112" s="129"/>
      <c r="H112" s="129"/>
      <c r="I112" s="129"/>
      <c r="J112" s="129"/>
      <c r="K112" s="129"/>
      <c r="L112" s="129"/>
      <c r="M112" s="131"/>
      <c r="N112" s="129"/>
      <c r="O112" s="129"/>
      <c r="P112" s="129"/>
      <c r="Q112" s="129"/>
      <c r="R112" s="129"/>
      <c r="S112" s="129"/>
      <c r="T112" s="129"/>
      <c r="U112" s="129"/>
      <c r="V112" s="129"/>
      <c r="W112" s="129"/>
      <c r="X112" s="129"/>
      <c r="Y112" s="131"/>
      <c r="Z112" s="131"/>
      <c r="AA112" s="132"/>
      <c r="AB112" s="132"/>
      <c r="AC112" s="33"/>
      <c r="AD112" s="33"/>
      <c r="AE112" s="33"/>
      <c r="AF112" s="33"/>
      <c r="AG112" s="27"/>
      <c r="AH112" s="27"/>
      <c r="AI112" s="27"/>
      <c r="AJ112" s="27"/>
      <c r="AK112" s="27"/>
      <c r="AL112" s="27"/>
      <c r="AM112" s="27"/>
      <c r="AN112" s="27"/>
      <c r="AO112" s="27"/>
      <c r="AP112" s="27"/>
    </row>
    <row r="113" spans="2:42" s="120" customFormat="1" hidden="1">
      <c r="B113" s="29"/>
      <c r="C113" s="128"/>
      <c r="D113" s="129"/>
      <c r="E113" s="129"/>
      <c r="F113" s="129"/>
      <c r="G113" s="129"/>
      <c r="H113" s="129"/>
      <c r="I113" s="129"/>
      <c r="J113" s="129"/>
      <c r="K113" s="129"/>
      <c r="L113" s="129"/>
      <c r="M113" s="131"/>
      <c r="N113" s="129"/>
      <c r="O113" s="129"/>
      <c r="P113" s="129"/>
      <c r="Q113" s="129"/>
      <c r="R113" s="129"/>
      <c r="S113" s="129"/>
      <c r="T113" s="129"/>
      <c r="U113" s="129"/>
      <c r="V113" s="129"/>
      <c r="W113" s="129"/>
      <c r="X113" s="129"/>
      <c r="Y113" s="131"/>
      <c r="Z113" s="131"/>
      <c r="AA113" s="132"/>
      <c r="AB113" s="132"/>
      <c r="AC113" s="33"/>
      <c r="AD113" s="33"/>
      <c r="AE113" s="33"/>
      <c r="AF113" s="33"/>
      <c r="AG113" s="27"/>
      <c r="AH113" s="27"/>
      <c r="AI113" s="27"/>
      <c r="AJ113" s="27"/>
      <c r="AK113" s="27"/>
      <c r="AL113" s="27"/>
      <c r="AM113" s="27"/>
      <c r="AN113" s="27"/>
      <c r="AO113" s="27"/>
      <c r="AP113" s="27"/>
    </row>
    <row r="114" spans="2:42" s="120" customFormat="1" hidden="1">
      <c r="B114" s="29"/>
      <c r="C114" s="128"/>
      <c r="D114" s="129"/>
      <c r="E114" s="129"/>
      <c r="F114" s="129"/>
      <c r="G114" s="129"/>
      <c r="H114" s="129"/>
      <c r="I114" s="129"/>
      <c r="J114" s="129"/>
      <c r="K114" s="129"/>
      <c r="L114" s="129"/>
      <c r="M114" s="131"/>
      <c r="N114" s="129"/>
      <c r="O114" s="129"/>
      <c r="P114" s="129"/>
      <c r="Q114" s="129"/>
      <c r="R114" s="129"/>
      <c r="S114" s="129"/>
      <c r="T114" s="129"/>
      <c r="U114" s="129"/>
      <c r="V114" s="129"/>
      <c r="W114" s="129"/>
      <c r="X114" s="129"/>
      <c r="Y114" s="131"/>
      <c r="Z114" s="131"/>
      <c r="AA114" s="132"/>
      <c r="AB114" s="132"/>
      <c r="AC114" s="33"/>
      <c r="AD114" s="33"/>
      <c r="AE114" s="33"/>
      <c r="AF114" s="33"/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</row>
    <row r="115" spans="2:42" s="120" customFormat="1" hidden="1">
      <c r="B115" s="29"/>
      <c r="C115" s="128"/>
      <c r="D115" s="129"/>
      <c r="E115" s="129"/>
      <c r="F115" s="129"/>
      <c r="G115" s="129"/>
      <c r="H115" s="129"/>
      <c r="I115" s="129"/>
      <c r="J115" s="129"/>
      <c r="K115" s="129"/>
      <c r="L115" s="129"/>
      <c r="M115" s="131"/>
      <c r="N115" s="129"/>
      <c r="O115" s="129"/>
      <c r="P115" s="129"/>
      <c r="Q115" s="129"/>
      <c r="R115" s="129"/>
      <c r="S115" s="129"/>
      <c r="T115" s="129"/>
      <c r="U115" s="129"/>
      <c r="V115" s="129"/>
      <c r="W115" s="129"/>
      <c r="X115" s="129"/>
      <c r="Y115" s="131"/>
      <c r="Z115" s="131"/>
      <c r="AA115" s="132"/>
      <c r="AB115" s="132"/>
      <c r="AC115" s="33"/>
      <c r="AD115" s="33"/>
      <c r="AE115" s="33"/>
      <c r="AF115" s="33"/>
      <c r="AG115" s="27"/>
      <c r="AH115" s="27"/>
      <c r="AI115" s="27"/>
      <c r="AJ115" s="27"/>
      <c r="AK115" s="27"/>
      <c r="AL115" s="27"/>
      <c r="AM115" s="27"/>
      <c r="AN115" s="27"/>
      <c r="AO115" s="27"/>
      <c r="AP115" s="27"/>
    </row>
    <row r="116" spans="2:42" s="120" customFormat="1" hidden="1">
      <c r="B116" s="29"/>
      <c r="C116" s="128"/>
      <c r="D116" s="129"/>
      <c r="E116" s="129"/>
      <c r="F116" s="129"/>
      <c r="G116" s="129"/>
      <c r="H116" s="129"/>
      <c r="I116" s="129"/>
      <c r="J116" s="129"/>
      <c r="K116" s="129"/>
      <c r="L116" s="129"/>
      <c r="M116" s="131"/>
      <c r="N116" s="129"/>
      <c r="O116" s="129"/>
      <c r="P116" s="129"/>
      <c r="Q116" s="129"/>
      <c r="R116" s="129"/>
      <c r="S116" s="129"/>
      <c r="T116" s="129"/>
      <c r="U116" s="129"/>
      <c r="V116" s="129"/>
      <c r="W116" s="129"/>
      <c r="X116" s="129"/>
      <c r="Y116" s="131"/>
      <c r="Z116" s="131"/>
      <c r="AA116" s="132"/>
      <c r="AB116" s="132"/>
      <c r="AC116" s="33"/>
      <c r="AD116" s="33"/>
      <c r="AE116" s="33"/>
      <c r="AF116" s="33"/>
      <c r="AG116" s="27"/>
      <c r="AH116" s="27"/>
      <c r="AI116" s="27"/>
      <c r="AJ116" s="27"/>
      <c r="AK116" s="27"/>
      <c r="AL116" s="27"/>
      <c r="AM116" s="27"/>
      <c r="AN116" s="27"/>
      <c r="AO116" s="27"/>
      <c r="AP116" s="27"/>
    </row>
    <row r="117" spans="2:42" s="120" customFormat="1" hidden="1">
      <c r="B117" s="29"/>
      <c r="C117" s="128"/>
      <c r="D117" s="129"/>
      <c r="E117" s="129"/>
      <c r="F117" s="129"/>
      <c r="G117" s="129"/>
      <c r="H117" s="129"/>
      <c r="I117" s="129"/>
      <c r="J117" s="129"/>
      <c r="K117" s="129"/>
      <c r="L117" s="129"/>
      <c r="M117" s="131"/>
      <c r="N117" s="129"/>
      <c r="O117" s="129"/>
      <c r="P117" s="129"/>
      <c r="Q117" s="129"/>
      <c r="R117" s="129"/>
      <c r="S117" s="129"/>
      <c r="T117" s="129"/>
      <c r="U117" s="129"/>
      <c r="V117" s="129"/>
      <c r="W117" s="129"/>
      <c r="X117" s="129"/>
      <c r="Y117" s="131"/>
      <c r="Z117" s="131"/>
      <c r="AA117" s="132"/>
      <c r="AB117" s="132"/>
      <c r="AC117" s="33"/>
      <c r="AD117" s="33"/>
      <c r="AE117" s="33"/>
      <c r="AF117" s="33"/>
      <c r="AG117" s="27"/>
      <c r="AH117" s="27"/>
      <c r="AI117" s="27"/>
      <c r="AJ117" s="27"/>
      <c r="AK117" s="27"/>
      <c r="AL117" s="27"/>
      <c r="AM117" s="27"/>
      <c r="AN117" s="27"/>
      <c r="AO117" s="27"/>
      <c r="AP117" s="27"/>
    </row>
    <row r="118" spans="2:42" s="120" customFormat="1" hidden="1">
      <c r="B118" s="29"/>
      <c r="C118" s="128"/>
      <c r="D118" s="129"/>
      <c r="E118" s="129"/>
      <c r="F118" s="129"/>
      <c r="G118" s="129"/>
      <c r="H118" s="129"/>
      <c r="I118" s="129"/>
      <c r="J118" s="129"/>
      <c r="K118" s="129"/>
      <c r="L118" s="129"/>
      <c r="M118" s="131"/>
      <c r="N118" s="129"/>
      <c r="O118" s="129"/>
      <c r="P118" s="129"/>
      <c r="Q118" s="129"/>
      <c r="R118" s="129"/>
      <c r="S118" s="129"/>
      <c r="T118" s="129"/>
      <c r="U118" s="129"/>
      <c r="V118" s="129"/>
      <c r="W118" s="129"/>
      <c r="X118" s="129"/>
      <c r="Y118" s="131"/>
      <c r="Z118" s="131"/>
      <c r="AA118" s="132"/>
      <c r="AB118" s="132"/>
      <c r="AC118" s="33"/>
      <c r="AD118" s="33"/>
      <c r="AE118" s="33"/>
      <c r="AF118" s="33"/>
      <c r="AG118" s="27"/>
      <c r="AH118" s="27"/>
      <c r="AI118" s="27"/>
      <c r="AJ118" s="27"/>
      <c r="AK118" s="27"/>
      <c r="AL118" s="27"/>
      <c r="AM118" s="27"/>
      <c r="AN118" s="27"/>
      <c r="AO118" s="27"/>
      <c r="AP118" s="27"/>
    </row>
    <row r="119" spans="2:42" s="120" customFormat="1" hidden="1">
      <c r="B119" s="29"/>
      <c r="C119" s="128"/>
      <c r="D119" s="129"/>
      <c r="E119" s="129"/>
      <c r="F119" s="129"/>
      <c r="G119" s="129"/>
      <c r="H119" s="129"/>
      <c r="I119" s="129"/>
      <c r="J119" s="129"/>
      <c r="K119" s="129"/>
      <c r="L119" s="129"/>
      <c r="M119" s="131"/>
      <c r="N119" s="129"/>
      <c r="O119" s="129"/>
      <c r="P119" s="129"/>
      <c r="Q119" s="129"/>
      <c r="R119" s="129"/>
      <c r="S119" s="129"/>
      <c r="T119" s="129"/>
      <c r="U119" s="129"/>
      <c r="V119" s="129"/>
      <c r="W119" s="129"/>
      <c r="X119" s="129"/>
      <c r="Y119" s="131"/>
      <c r="Z119" s="131"/>
      <c r="AA119" s="132"/>
      <c r="AB119" s="132"/>
      <c r="AC119" s="33"/>
      <c r="AD119" s="33"/>
      <c r="AE119" s="33"/>
      <c r="AF119" s="33"/>
      <c r="AG119" s="27"/>
      <c r="AH119" s="27"/>
      <c r="AI119" s="27"/>
      <c r="AJ119" s="27"/>
      <c r="AK119" s="27"/>
      <c r="AL119" s="27"/>
      <c r="AM119" s="27"/>
      <c r="AN119" s="27"/>
      <c r="AO119" s="27"/>
      <c r="AP119" s="27"/>
    </row>
    <row r="120" spans="2:42" s="120" customFormat="1" hidden="1">
      <c r="B120" s="29"/>
      <c r="C120" s="128"/>
      <c r="D120" s="129"/>
      <c r="E120" s="129"/>
      <c r="F120" s="129"/>
      <c r="G120" s="129"/>
      <c r="H120" s="129"/>
      <c r="I120" s="129"/>
      <c r="J120" s="129"/>
      <c r="K120" s="129"/>
      <c r="L120" s="129"/>
      <c r="M120" s="131"/>
      <c r="N120" s="129"/>
      <c r="O120" s="129"/>
      <c r="P120" s="129"/>
      <c r="Q120" s="129"/>
      <c r="R120" s="129"/>
      <c r="S120" s="129"/>
      <c r="T120" s="129"/>
      <c r="U120" s="129"/>
      <c r="V120" s="129"/>
      <c r="W120" s="129"/>
      <c r="X120" s="129"/>
      <c r="Y120" s="131"/>
      <c r="Z120" s="131"/>
      <c r="AA120" s="132"/>
      <c r="AB120" s="132"/>
      <c r="AC120" s="33"/>
      <c r="AD120" s="33"/>
      <c r="AE120" s="33"/>
      <c r="AF120" s="33"/>
      <c r="AG120" s="27"/>
      <c r="AH120" s="27"/>
      <c r="AI120" s="27"/>
      <c r="AJ120" s="27"/>
      <c r="AK120" s="27"/>
      <c r="AL120" s="27"/>
      <c r="AM120" s="27"/>
      <c r="AN120" s="27"/>
      <c r="AO120" s="27"/>
      <c r="AP120" s="27"/>
    </row>
    <row r="121" spans="2:42" s="120" customFormat="1" hidden="1">
      <c r="B121" s="29"/>
      <c r="C121" s="128"/>
      <c r="D121" s="129"/>
      <c r="E121" s="129"/>
      <c r="F121" s="129"/>
      <c r="G121" s="129"/>
      <c r="H121" s="129"/>
      <c r="I121" s="129"/>
      <c r="J121" s="129"/>
      <c r="K121" s="129"/>
      <c r="L121" s="129"/>
      <c r="M121" s="131"/>
      <c r="N121" s="129"/>
      <c r="O121" s="129"/>
      <c r="P121" s="129"/>
      <c r="Q121" s="129"/>
      <c r="R121" s="129"/>
      <c r="S121" s="129"/>
      <c r="T121" s="129"/>
      <c r="U121" s="129"/>
      <c r="V121" s="129"/>
      <c r="W121" s="129"/>
      <c r="X121" s="129"/>
      <c r="Y121" s="131"/>
      <c r="Z121" s="131"/>
      <c r="AA121" s="132"/>
      <c r="AB121" s="132"/>
      <c r="AC121" s="33"/>
      <c r="AD121" s="33"/>
      <c r="AE121" s="33"/>
      <c r="AF121" s="33"/>
      <c r="AG121" s="27"/>
      <c r="AH121" s="27"/>
      <c r="AI121" s="27"/>
      <c r="AJ121" s="27"/>
      <c r="AK121" s="27"/>
      <c r="AL121" s="27"/>
      <c r="AM121" s="27"/>
      <c r="AN121" s="27"/>
      <c r="AO121" s="27"/>
      <c r="AP121" s="27"/>
    </row>
    <row r="122" spans="2:42" s="120" customFormat="1" hidden="1">
      <c r="B122" s="29"/>
      <c r="C122" s="128"/>
      <c r="D122" s="129"/>
      <c r="E122" s="129"/>
      <c r="F122" s="129"/>
      <c r="G122" s="129"/>
      <c r="H122" s="129"/>
      <c r="I122" s="129"/>
      <c r="J122" s="129"/>
      <c r="K122" s="129"/>
      <c r="L122" s="129"/>
      <c r="M122" s="131"/>
      <c r="N122" s="129"/>
      <c r="O122" s="129"/>
      <c r="P122" s="129"/>
      <c r="Q122" s="129"/>
      <c r="R122" s="129"/>
      <c r="S122" s="129"/>
      <c r="T122" s="129"/>
      <c r="U122" s="129"/>
      <c r="V122" s="129"/>
      <c r="W122" s="129"/>
      <c r="X122" s="129"/>
      <c r="Y122" s="131"/>
      <c r="Z122" s="131"/>
      <c r="AA122" s="132"/>
      <c r="AB122" s="132"/>
      <c r="AC122" s="33"/>
      <c r="AD122" s="33"/>
      <c r="AE122" s="33"/>
      <c r="AF122" s="33"/>
      <c r="AG122" s="27"/>
      <c r="AH122" s="27"/>
      <c r="AI122" s="27"/>
      <c r="AJ122" s="27"/>
      <c r="AK122" s="27"/>
      <c r="AL122" s="27"/>
      <c r="AM122" s="27"/>
      <c r="AN122" s="27"/>
      <c r="AO122" s="27"/>
      <c r="AP122" s="27"/>
    </row>
    <row r="123" spans="2:42" s="120" customFormat="1" hidden="1">
      <c r="B123" s="29"/>
      <c r="C123" s="128"/>
      <c r="D123" s="129"/>
      <c r="E123" s="129"/>
      <c r="F123" s="129"/>
      <c r="G123" s="129"/>
      <c r="H123" s="129"/>
      <c r="I123" s="129"/>
      <c r="J123" s="129"/>
      <c r="K123" s="129"/>
      <c r="L123" s="129"/>
      <c r="M123" s="131"/>
      <c r="N123" s="129"/>
      <c r="O123" s="129"/>
      <c r="P123" s="129"/>
      <c r="Q123" s="129"/>
      <c r="R123" s="129"/>
      <c r="S123" s="129"/>
      <c r="T123" s="129"/>
      <c r="U123" s="129"/>
      <c r="V123" s="129"/>
      <c r="W123" s="129"/>
      <c r="X123" s="129"/>
      <c r="Y123" s="131"/>
      <c r="Z123" s="131"/>
      <c r="AA123" s="132"/>
      <c r="AB123" s="132"/>
      <c r="AC123" s="33"/>
      <c r="AD123" s="33"/>
      <c r="AE123" s="33"/>
      <c r="AF123" s="33"/>
      <c r="AG123" s="27"/>
      <c r="AH123" s="27"/>
      <c r="AI123" s="27"/>
      <c r="AJ123" s="27"/>
      <c r="AK123" s="27"/>
      <c r="AL123" s="27"/>
      <c r="AM123" s="27"/>
      <c r="AN123" s="27"/>
      <c r="AO123" s="27"/>
      <c r="AP123" s="27"/>
    </row>
    <row r="124" spans="2:42" s="120" customFormat="1" hidden="1">
      <c r="B124" s="29"/>
      <c r="C124" s="128"/>
      <c r="D124" s="129"/>
      <c r="E124" s="129"/>
      <c r="F124" s="129"/>
      <c r="G124" s="129"/>
      <c r="H124" s="129"/>
      <c r="I124" s="129"/>
      <c r="J124" s="129"/>
      <c r="K124" s="129"/>
      <c r="L124" s="129"/>
      <c r="M124" s="131"/>
      <c r="N124" s="129"/>
      <c r="O124" s="129"/>
      <c r="P124" s="129"/>
      <c r="Q124" s="129"/>
      <c r="R124" s="129"/>
      <c r="S124" s="129"/>
      <c r="T124" s="129"/>
      <c r="U124" s="129"/>
      <c r="V124" s="129"/>
      <c r="W124" s="129"/>
      <c r="X124" s="129"/>
      <c r="Y124" s="131"/>
      <c r="Z124" s="131"/>
      <c r="AA124" s="132"/>
      <c r="AB124" s="132"/>
      <c r="AC124" s="33"/>
      <c r="AD124" s="33"/>
      <c r="AE124" s="33"/>
      <c r="AF124" s="33"/>
      <c r="AG124" s="27"/>
      <c r="AH124" s="27"/>
      <c r="AI124" s="27"/>
      <c r="AJ124" s="27"/>
      <c r="AK124" s="27"/>
      <c r="AL124" s="27"/>
      <c r="AM124" s="27"/>
      <c r="AN124" s="27"/>
      <c r="AO124" s="27"/>
      <c r="AP124" s="27"/>
    </row>
    <row r="125" spans="2:42" s="120" customFormat="1" hidden="1">
      <c r="B125" s="29"/>
      <c r="C125" s="128"/>
      <c r="D125" s="129"/>
      <c r="E125" s="129"/>
      <c r="F125" s="129"/>
      <c r="G125" s="129"/>
      <c r="H125" s="129"/>
      <c r="I125" s="129"/>
      <c r="J125" s="129"/>
      <c r="K125" s="129"/>
      <c r="L125" s="129"/>
      <c r="M125" s="131"/>
      <c r="N125" s="129"/>
      <c r="O125" s="129"/>
      <c r="P125" s="129"/>
      <c r="Q125" s="129"/>
      <c r="R125" s="129"/>
      <c r="S125" s="129"/>
      <c r="T125" s="129"/>
      <c r="U125" s="129"/>
      <c r="V125" s="129"/>
      <c r="W125" s="129"/>
      <c r="X125" s="129"/>
      <c r="Y125" s="131"/>
      <c r="Z125" s="131"/>
      <c r="AA125" s="132"/>
      <c r="AB125" s="132"/>
      <c r="AC125" s="33"/>
      <c r="AD125" s="33"/>
      <c r="AE125" s="33"/>
      <c r="AF125" s="33"/>
      <c r="AG125" s="27"/>
      <c r="AH125" s="27"/>
      <c r="AI125" s="27"/>
      <c r="AJ125" s="27"/>
      <c r="AK125" s="27"/>
      <c r="AL125" s="27"/>
      <c r="AM125" s="27"/>
      <c r="AN125" s="27"/>
      <c r="AO125" s="27"/>
      <c r="AP125" s="27"/>
    </row>
    <row r="126" spans="2:42" s="120" customFormat="1" hidden="1">
      <c r="B126" s="29"/>
      <c r="C126" s="128"/>
      <c r="D126" s="129"/>
      <c r="E126" s="129"/>
      <c r="F126" s="129"/>
      <c r="G126" s="129"/>
      <c r="H126" s="129"/>
      <c r="I126" s="129"/>
      <c r="J126" s="129"/>
      <c r="K126" s="129"/>
      <c r="L126" s="129"/>
      <c r="M126" s="131"/>
      <c r="N126" s="129"/>
      <c r="O126" s="129"/>
      <c r="P126" s="129"/>
      <c r="Q126" s="129"/>
      <c r="R126" s="129"/>
      <c r="S126" s="129"/>
      <c r="T126" s="129"/>
      <c r="U126" s="129"/>
      <c r="V126" s="129"/>
      <c r="W126" s="129"/>
      <c r="X126" s="129"/>
      <c r="Y126" s="131"/>
      <c r="Z126" s="131"/>
      <c r="AA126" s="132"/>
      <c r="AB126" s="132"/>
      <c r="AC126" s="33"/>
      <c r="AD126" s="33"/>
      <c r="AE126" s="33"/>
      <c r="AF126" s="33"/>
      <c r="AG126" s="27"/>
      <c r="AH126" s="27"/>
      <c r="AI126" s="27"/>
      <c r="AJ126" s="27"/>
      <c r="AK126" s="27"/>
      <c r="AL126" s="27"/>
      <c r="AM126" s="27"/>
      <c r="AN126" s="27"/>
      <c r="AO126" s="27"/>
      <c r="AP126" s="27"/>
    </row>
    <row r="127" spans="2:42" s="120" customFormat="1" hidden="1">
      <c r="B127" s="29"/>
      <c r="C127" s="128"/>
      <c r="D127" s="129"/>
      <c r="E127" s="129"/>
      <c r="F127" s="129"/>
      <c r="G127" s="129"/>
      <c r="H127" s="129"/>
      <c r="I127" s="129"/>
      <c r="J127" s="129"/>
      <c r="K127" s="129"/>
      <c r="L127" s="129"/>
      <c r="M127" s="131"/>
      <c r="N127" s="129"/>
      <c r="O127" s="129"/>
      <c r="P127" s="129"/>
      <c r="Q127" s="129"/>
      <c r="R127" s="129"/>
      <c r="S127" s="129"/>
      <c r="T127" s="129"/>
      <c r="U127" s="129"/>
      <c r="V127" s="129"/>
      <c r="W127" s="129"/>
      <c r="X127" s="129"/>
      <c r="Y127" s="131"/>
      <c r="Z127" s="131"/>
      <c r="AA127" s="132"/>
      <c r="AB127" s="132"/>
      <c r="AC127" s="33"/>
      <c r="AD127" s="33"/>
      <c r="AE127" s="33"/>
      <c r="AF127" s="33"/>
      <c r="AG127" s="27"/>
      <c r="AH127" s="27"/>
      <c r="AI127" s="27"/>
      <c r="AJ127" s="27"/>
      <c r="AK127" s="27"/>
      <c r="AL127" s="27"/>
      <c r="AM127" s="27"/>
      <c r="AN127" s="27"/>
      <c r="AO127" s="27"/>
      <c r="AP127" s="27"/>
    </row>
    <row r="128" spans="2:42" s="120" customFormat="1" hidden="1">
      <c r="B128" s="29"/>
      <c r="C128" s="128"/>
      <c r="D128" s="129"/>
      <c r="E128" s="129"/>
      <c r="F128" s="129"/>
      <c r="G128" s="129"/>
      <c r="H128" s="129"/>
      <c r="I128" s="129"/>
      <c r="J128" s="129"/>
      <c r="K128" s="129"/>
      <c r="L128" s="129"/>
      <c r="M128" s="131"/>
      <c r="N128" s="129"/>
      <c r="O128" s="129"/>
      <c r="P128" s="129"/>
      <c r="Q128" s="129"/>
      <c r="R128" s="129"/>
      <c r="S128" s="129"/>
      <c r="T128" s="129"/>
      <c r="U128" s="129"/>
      <c r="V128" s="129"/>
      <c r="W128" s="129"/>
      <c r="X128" s="129"/>
      <c r="Y128" s="131"/>
      <c r="Z128" s="131"/>
      <c r="AA128" s="132"/>
      <c r="AB128" s="132"/>
      <c r="AC128" s="33"/>
      <c r="AD128" s="33"/>
      <c r="AE128" s="33"/>
      <c r="AF128" s="33"/>
      <c r="AG128" s="27"/>
      <c r="AH128" s="27"/>
      <c r="AI128" s="27"/>
      <c r="AJ128" s="27"/>
      <c r="AK128" s="27"/>
      <c r="AL128" s="27"/>
      <c r="AM128" s="27"/>
      <c r="AN128" s="27"/>
      <c r="AO128" s="27"/>
      <c r="AP128" s="27"/>
    </row>
    <row r="129" spans="2:42" s="120" customFormat="1" hidden="1">
      <c r="B129" s="29"/>
      <c r="C129" s="128"/>
      <c r="D129" s="129"/>
      <c r="E129" s="129"/>
      <c r="F129" s="129"/>
      <c r="G129" s="129"/>
      <c r="H129" s="129"/>
      <c r="I129" s="129"/>
      <c r="J129" s="129"/>
      <c r="K129" s="129"/>
      <c r="L129" s="129"/>
      <c r="M129" s="131"/>
      <c r="N129" s="129"/>
      <c r="O129" s="129"/>
      <c r="P129" s="129"/>
      <c r="Q129" s="129"/>
      <c r="R129" s="129"/>
      <c r="S129" s="129"/>
      <c r="T129" s="129"/>
      <c r="U129" s="129"/>
      <c r="V129" s="129"/>
      <c r="W129" s="129"/>
      <c r="X129" s="129"/>
      <c r="Y129" s="131"/>
      <c r="Z129" s="131"/>
      <c r="AA129" s="132"/>
      <c r="AB129" s="132"/>
      <c r="AC129" s="33"/>
      <c r="AD129" s="33"/>
      <c r="AE129" s="33"/>
      <c r="AF129" s="33"/>
      <c r="AG129" s="27"/>
      <c r="AH129" s="27"/>
      <c r="AI129" s="27"/>
      <c r="AJ129" s="27"/>
      <c r="AK129" s="27"/>
      <c r="AL129" s="27"/>
      <c r="AM129" s="27"/>
      <c r="AN129" s="27"/>
      <c r="AO129" s="27"/>
      <c r="AP129" s="27"/>
    </row>
    <row r="130" spans="2:42" s="120" customFormat="1" hidden="1">
      <c r="B130" s="29"/>
      <c r="C130" s="128"/>
      <c r="D130" s="129"/>
      <c r="E130" s="129"/>
      <c r="F130" s="129"/>
      <c r="G130" s="129"/>
      <c r="H130" s="129"/>
      <c r="I130" s="129"/>
      <c r="J130" s="129"/>
      <c r="K130" s="129"/>
      <c r="L130" s="129"/>
      <c r="M130" s="131"/>
      <c r="N130" s="129"/>
      <c r="O130" s="129"/>
      <c r="P130" s="129"/>
      <c r="Q130" s="129"/>
      <c r="R130" s="129"/>
      <c r="S130" s="129"/>
      <c r="T130" s="129"/>
      <c r="U130" s="129"/>
      <c r="V130" s="129"/>
      <c r="W130" s="129"/>
      <c r="X130" s="129"/>
      <c r="Y130" s="131"/>
      <c r="Z130" s="131"/>
      <c r="AA130" s="132"/>
      <c r="AB130" s="132"/>
      <c r="AC130" s="33"/>
      <c r="AD130" s="33"/>
      <c r="AE130" s="33"/>
      <c r="AF130" s="33"/>
      <c r="AG130" s="27"/>
      <c r="AH130" s="27"/>
      <c r="AI130" s="27"/>
      <c r="AJ130" s="27"/>
      <c r="AK130" s="27"/>
      <c r="AL130" s="27"/>
      <c r="AM130" s="27"/>
      <c r="AN130" s="27"/>
      <c r="AO130" s="27"/>
      <c r="AP130" s="27"/>
    </row>
    <row r="131" spans="2:42" s="120" customFormat="1" hidden="1">
      <c r="B131" s="29"/>
      <c r="C131" s="128"/>
      <c r="D131" s="129"/>
      <c r="E131" s="129"/>
      <c r="F131" s="129"/>
      <c r="G131" s="129"/>
      <c r="H131" s="129"/>
      <c r="I131" s="129"/>
      <c r="J131" s="129"/>
      <c r="K131" s="129"/>
      <c r="L131" s="129"/>
      <c r="M131" s="131"/>
      <c r="N131" s="129"/>
      <c r="O131" s="129"/>
      <c r="P131" s="129"/>
      <c r="Q131" s="129"/>
      <c r="R131" s="129"/>
      <c r="S131" s="129"/>
      <c r="T131" s="129"/>
      <c r="U131" s="129"/>
      <c r="V131" s="129"/>
      <c r="W131" s="129"/>
      <c r="X131" s="129"/>
      <c r="Y131" s="131"/>
      <c r="Z131" s="131"/>
      <c r="AA131" s="132"/>
      <c r="AB131" s="132"/>
      <c r="AC131" s="33"/>
      <c r="AD131" s="33"/>
      <c r="AE131" s="33"/>
      <c r="AF131" s="33"/>
      <c r="AG131" s="27"/>
      <c r="AH131" s="27"/>
      <c r="AI131" s="27"/>
      <c r="AJ131" s="27"/>
      <c r="AK131" s="27"/>
      <c r="AL131" s="27"/>
      <c r="AM131" s="27"/>
      <c r="AN131" s="27"/>
      <c r="AO131" s="27"/>
      <c r="AP131" s="27"/>
    </row>
    <row r="132" spans="2:42" s="120" customFormat="1" hidden="1">
      <c r="B132" s="29"/>
      <c r="C132" s="128"/>
      <c r="D132" s="129"/>
      <c r="E132" s="129"/>
      <c r="F132" s="129"/>
      <c r="G132" s="129"/>
      <c r="H132" s="129"/>
      <c r="I132" s="129"/>
      <c r="J132" s="129"/>
      <c r="K132" s="129"/>
      <c r="L132" s="129"/>
      <c r="M132" s="131"/>
      <c r="N132" s="129"/>
      <c r="O132" s="129"/>
      <c r="P132" s="129"/>
      <c r="Q132" s="129"/>
      <c r="R132" s="129"/>
      <c r="S132" s="129"/>
      <c r="T132" s="129"/>
      <c r="U132" s="129"/>
      <c r="V132" s="129"/>
      <c r="W132" s="129"/>
      <c r="X132" s="129"/>
      <c r="Y132" s="131"/>
      <c r="Z132" s="131"/>
      <c r="AA132" s="132"/>
      <c r="AB132" s="132"/>
      <c r="AC132" s="33"/>
      <c r="AD132" s="33"/>
      <c r="AE132" s="33"/>
      <c r="AF132" s="33"/>
      <c r="AG132" s="27"/>
      <c r="AH132" s="27"/>
      <c r="AI132" s="27"/>
      <c r="AJ132" s="27"/>
      <c r="AK132" s="27"/>
      <c r="AL132" s="27"/>
      <c r="AM132" s="27"/>
      <c r="AN132" s="27"/>
      <c r="AO132" s="27"/>
      <c r="AP132" s="27"/>
    </row>
    <row r="133" spans="2:42" s="120" customFormat="1" hidden="1">
      <c r="B133" s="29"/>
      <c r="C133" s="128"/>
      <c r="D133" s="129"/>
      <c r="E133" s="129"/>
      <c r="F133" s="129"/>
      <c r="G133" s="129"/>
      <c r="H133" s="129"/>
      <c r="I133" s="129"/>
      <c r="J133" s="129"/>
      <c r="K133" s="129"/>
      <c r="L133" s="129"/>
      <c r="M133" s="131"/>
      <c r="N133" s="129"/>
      <c r="O133" s="129"/>
      <c r="P133" s="129"/>
      <c r="Q133" s="129"/>
      <c r="R133" s="129"/>
      <c r="S133" s="129"/>
      <c r="T133" s="129"/>
      <c r="U133" s="129"/>
      <c r="V133" s="129"/>
      <c r="W133" s="129"/>
      <c r="X133" s="129"/>
      <c r="Y133" s="131"/>
      <c r="Z133" s="131"/>
      <c r="AA133" s="132"/>
      <c r="AB133" s="132"/>
      <c r="AC133" s="33"/>
      <c r="AD133" s="33"/>
      <c r="AE133" s="33"/>
      <c r="AF133" s="33"/>
      <c r="AG133" s="27"/>
      <c r="AH133" s="27"/>
      <c r="AI133" s="27"/>
      <c r="AJ133" s="27"/>
      <c r="AK133" s="27"/>
      <c r="AL133" s="27"/>
      <c r="AM133" s="27"/>
      <c r="AN133" s="27"/>
      <c r="AO133" s="27"/>
      <c r="AP133" s="27"/>
    </row>
    <row r="134" spans="2:42" s="120" customFormat="1" hidden="1">
      <c r="B134" s="29"/>
      <c r="C134" s="128"/>
      <c r="D134" s="129"/>
      <c r="E134" s="129"/>
      <c r="F134" s="129"/>
      <c r="G134" s="129"/>
      <c r="H134" s="129"/>
      <c r="I134" s="129"/>
      <c r="J134" s="129"/>
      <c r="K134" s="129"/>
      <c r="L134" s="129"/>
      <c r="M134" s="131"/>
      <c r="N134" s="129"/>
      <c r="O134" s="129"/>
      <c r="P134" s="129"/>
      <c r="Q134" s="129"/>
      <c r="R134" s="129"/>
      <c r="S134" s="129"/>
      <c r="T134" s="129"/>
      <c r="U134" s="129"/>
      <c r="V134" s="129"/>
      <c r="W134" s="129"/>
      <c r="X134" s="129"/>
      <c r="Y134" s="131"/>
      <c r="Z134" s="131"/>
      <c r="AA134" s="132"/>
      <c r="AB134" s="132"/>
      <c r="AC134" s="33"/>
      <c r="AD134" s="33"/>
      <c r="AE134" s="33"/>
      <c r="AF134" s="33"/>
      <c r="AG134" s="27"/>
      <c r="AH134" s="27"/>
      <c r="AI134" s="27"/>
      <c r="AJ134" s="27"/>
      <c r="AK134" s="27"/>
      <c r="AL134" s="27"/>
      <c r="AM134" s="27"/>
      <c r="AN134" s="27"/>
      <c r="AO134" s="27"/>
      <c r="AP134" s="27"/>
    </row>
    <row r="135" spans="2:42" s="120" customFormat="1" hidden="1">
      <c r="B135" s="29"/>
      <c r="C135" s="128"/>
      <c r="D135" s="129"/>
      <c r="E135" s="129"/>
      <c r="F135" s="129"/>
      <c r="G135" s="129"/>
      <c r="H135" s="129"/>
      <c r="I135" s="129"/>
      <c r="J135" s="129"/>
      <c r="K135" s="129"/>
      <c r="L135" s="129"/>
      <c r="M135" s="131"/>
      <c r="N135" s="129"/>
      <c r="O135" s="129"/>
      <c r="P135" s="129"/>
      <c r="Q135" s="129"/>
      <c r="R135" s="129"/>
      <c r="S135" s="129"/>
      <c r="T135" s="129"/>
      <c r="U135" s="129"/>
      <c r="V135" s="129"/>
      <c r="W135" s="129"/>
      <c r="X135" s="129"/>
      <c r="Y135" s="131"/>
      <c r="Z135" s="131"/>
      <c r="AA135" s="132"/>
      <c r="AB135" s="132"/>
      <c r="AC135" s="33"/>
      <c r="AD135" s="33"/>
      <c r="AE135" s="33"/>
      <c r="AF135" s="33"/>
      <c r="AG135" s="27"/>
      <c r="AH135" s="27"/>
      <c r="AI135" s="27"/>
      <c r="AJ135" s="27"/>
      <c r="AK135" s="27"/>
      <c r="AL135" s="27"/>
      <c r="AM135" s="27"/>
      <c r="AN135" s="27"/>
      <c r="AO135" s="27"/>
      <c r="AP135" s="27"/>
    </row>
    <row r="136" spans="2:42" s="120" customFormat="1" hidden="1">
      <c r="B136" s="29"/>
      <c r="C136" s="128"/>
      <c r="D136" s="129"/>
      <c r="E136" s="129"/>
      <c r="F136" s="129"/>
      <c r="G136" s="129"/>
      <c r="H136" s="129"/>
      <c r="I136" s="129"/>
      <c r="J136" s="129"/>
      <c r="K136" s="129"/>
      <c r="L136" s="129"/>
      <c r="M136" s="131"/>
      <c r="N136" s="129"/>
      <c r="O136" s="129"/>
      <c r="P136" s="129"/>
      <c r="Q136" s="129"/>
      <c r="R136" s="129"/>
      <c r="S136" s="129"/>
      <c r="T136" s="129"/>
      <c r="U136" s="129"/>
      <c r="V136" s="129"/>
      <c r="W136" s="129"/>
      <c r="X136" s="129"/>
      <c r="Y136" s="131"/>
      <c r="Z136" s="131"/>
      <c r="AA136" s="132"/>
      <c r="AB136" s="132"/>
      <c r="AC136" s="33"/>
      <c r="AD136" s="33"/>
      <c r="AE136" s="33"/>
      <c r="AF136" s="33"/>
      <c r="AG136" s="27"/>
      <c r="AH136" s="27"/>
      <c r="AI136" s="27"/>
      <c r="AJ136" s="27"/>
      <c r="AK136" s="27"/>
      <c r="AL136" s="27"/>
      <c r="AM136" s="27"/>
      <c r="AN136" s="27"/>
      <c r="AO136" s="27"/>
      <c r="AP136" s="27"/>
    </row>
    <row r="137" spans="2:42" s="120" customFormat="1" hidden="1">
      <c r="B137" s="29"/>
      <c r="C137" s="128"/>
      <c r="D137" s="129"/>
      <c r="E137" s="129"/>
      <c r="F137" s="129"/>
      <c r="G137" s="129"/>
      <c r="H137" s="129"/>
      <c r="I137" s="129"/>
      <c r="J137" s="129"/>
      <c r="K137" s="129"/>
      <c r="L137" s="129"/>
      <c r="M137" s="131"/>
      <c r="N137" s="129"/>
      <c r="O137" s="129"/>
      <c r="P137" s="129"/>
      <c r="Q137" s="129"/>
      <c r="R137" s="129"/>
      <c r="S137" s="129"/>
      <c r="T137" s="129"/>
      <c r="U137" s="129"/>
      <c r="V137" s="129"/>
      <c r="W137" s="129"/>
      <c r="X137" s="129"/>
      <c r="Y137" s="131"/>
      <c r="Z137" s="131"/>
      <c r="AA137" s="132"/>
      <c r="AB137" s="132"/>
      <c r="AC137" s="33"/>
      <c r="AD137" s="33"/>
      <c r="AE137" s="33"/>
      <c r="AF137" s="33"/>
      <c r="AG137" s="27"/>
      <c r="AH137" s="27"/>
      <c r="AI137" s="27"/>
      <c r="AJ137" s="27"/>
      <c r="AK137" s="27"/>
      <c r="AL137" s="27"/>
      <c r="AM137" s="27"/>
      <c r="AN137" s="27"/>
      <c r="AO137" s="27"/>
      <c r="AP137" s="27"/>
    </row>
    <row r="138" spans="2:42" s="120" customFormat="1" hidden="1">
      <c r="B138" s="29"/>
      <c r="C138" s="128"/>
      <c r="D138" s="129"/>
      <c r="E138" s="129"/>
      <c r="F138" s="129"/>
      <c r="G138" s="129"/>
      <c r="H138" s="129"/>
      <c r="I138" s="129"/>
      <c r="J138" s="129"/>
      <c r="K138" s="129"/>
      <c r="L138" s="129"/>
      <c r="M138" s="131"/>
      <c r="N138" s="129"/>
      <c r="O138" s="129"/>
      <c r="P138" s="129"/>
      <c r="Q138" s="129"/>
      <c r="R138" s="129"/>
      <c r="S138" s="129"/>
      <c r="T138" s="129"/>
      <c r="U138" s="129"/>
      <c r="V138" s="129"/>
      <c r="W138" s="129"/>
      <c r="X138" s="129"/>
      <c r="Y138" s="131"/>
      <c r="Z138" s="131"/>
      <c r="AA138" s="132"/>
      <c r="AB138" s="132"/>
      <c r="AC138" s="33"/>
      <c r="AD138" s="33"/>
      <c r="AE138" s="33"/>
      <c r="AF138" s="33"/>
      <c r="AG138" s="27"/>
      <c r="AH138" s="27"/>
      <c r="AI138" s="27"/>
      <c r="AJ138" s="27"/>
      <c r="AK138" s="27"/>
      <c r="AL138" s="27"/>
      <c r="AM138" s="27"/>
      <c r="AN138" s="27"/>
      <c r="AO138" s="27"/>
      <c r="AP138" s="27"/>
    </row>
    <row r="139" spans="2:42" s="120" customFormat="1" hidden="1">
      <c r="B139" s="29"/>
      <c r="C139" s="128"/>
      <c r="D139" s="129"/>
      <c r="E139" s="129"/>
      <c r="F139" s="129"/>
      <c r="G139" s="129"/>
      <c r="H139" s="129"/>
      <c r="I139" s="129"/>
      <c r="J139" s="129"/>
      <c r="K139" s="129"/>
      <c r="L139" s="129"/>
      <c r="M139" s="131"/>
      <c r="N139" s="129"/>
      <c r="O139" s="129"/>
      <c r="P139" s="129"/>
      <c r="Q139" s="129"/>
      <c r="R139" s="129"/>
      <c r="S139" s="129"/>
      <c r="T139" s="129"/>
      <c r="U139" s="129"/>
      <c r="V139" s="129"/>
      <c r="W139" s="129"/>
      <c r="X139" s="129"/>
      <c r="Y139" s="131"/>
      <c r="Z139" s="131"/>
      <c r="AA139" s="132"/>
      <c r="AB139" s="132"/>
      <c r="AC139" s="33"/>
      <c r="AD139" s="33"/>
      <c r="AE139" s="33"/>
      <c r="AF139" s="33"/>
      <c r="AG139" s="27"/>
      <c r="AH139" s="27"/>
      <c r="AI139" s="27"/>
      <c r="AJ139" s="27"/>
      <c r="AK139" s="27"/>
      <c r="AL139" s="27"/>
      <c r="AM139" s="27"/>
      <c r="AN139" s="27"/>
      <c r="AO139" s="27"/>
      <c r="AP139" s="27"/>
    </row>
    <row r="140" spans="2:42" s="120" customFormat="1" hidden="1">
      <c r="B140" s="29"/>
      <c r="C140" s="128"/>
      <c r="D140" s="129"/>
      <c r="E140" s="129"/>
      <c r="F140" s="129"/>
      <c r="G140" s="129"/>
      <c r="H140" s="129"/>
      <c r="I140" s="129"/>
      <c r="J140" s="129"/>
      <c r="K140" s="129"/>
      <c r="L140" s="129"/>
      <c r="M140" s="131"/>
      <c r="N140" s="129"/>
      <c r="O140" s="129"/>
      <c r="P140" s="129"/>
      <c r="Q140" s="129"/>
      <c r="R140" s="129"/>
      <c r="S140" s="129"/>
      <c r="T140" s="129"/>
      <c r="U140" s="129"/>
      <c r="V140" s="129"/>
      <c r="W140" s="129"/>
      <c r="X140" s="129"/>
      <c r="Y140" s="131"/>
      <c r="Z140" s="131"/>
      <c r="AA140" s="132"/>
      <c r="AB140" s="132"/>
      <c r="AC140" s="33"/>
      <c r="AD140" s="33"/>
      <c r="AE140" s="33"/>
      <c r="AF140" s="33"/>
      <c r="AG140" s="27"/>
      <c r="AH140" s="27"/>
      <c r="AI140" s="27"/>
      <c r="AJ140" s="27"/>
      <c r="AK140" s="27"/>
      <c r="AL140" s="27"/>
      <c r="AM140" s="27"/>
      <c r="AN140" s="27"/>
      <c r="AO140" s="27"/>
      <c r="AP140" s="27"/>
    </row>
    <row r="141" spans="2:42" s="120" customFormat="1" hidden="1">
      <c r="B141" s="29"/>
      <c r="C141" s="128"/>
      <c r="D141" s="129"/>
      <c r="E141" s="129"/>
      <c r="F141" s="129"/>
      <c r="G141" s="129"/>
      <c r="H141" s="129"/>
      <c r="I141" s="129"/>
      <c r="J141" s="129"/>
      <c r="K141" s="129"/>
      <c r="L141" s="129"/>
      <c r="M141" s="131"/>
      <c r="N141" s="129"/>
      <c r="O141" s="129"/>
      <c r="P141" s="129"/>
      <c r="Q141" s="129"/>
      <c r="R141" s="129"/>
      <c r="S141" s="129"/>
      <c r="T141" s="129"/>
      <c r="U141" s="129"/>
      <c r="V141" s="129"/>
      <c r="W141" s="129"/>
      <c r="X141" s="129"/>
      <c r="Y141" s="131"/>
      <c r="Z141" s="131"/>
      <c r="AA141" s="132"/>
      <c r="AB141" s="132"/>
      <c r="AC141" s="33"/>
      <c r="AD141" s="33"/>
      <c r="AE141" s="33"/>
      <c r="AF141" s="33"/>
      <c r="AG141" s="27"/>
      <c r="AH141" s="27"/>
      <c r="AI141" s="27"/>
      <c r="AJ141" s="27"/>
      <c r="AK141" s="27"/>
      <c r="AL141" s="27"/>
      <c r="AM141" s="27"/>
      <c r="AN141" s="27"/>
      <c r="AO141" s="27"/>
      <c r="AP141" s="27"/>
    </row>
    <row r="142" spans="2:42" s="120" customFormat="1" hidden="1">
      <c r="B142" s="29"/>
      <c r="C142" s="128"/>
      <c r="D142" s="129"/>
      <c r="E142" s="129"/>
      <c r="F142" s="129"/>
      <c r="G142" s="129"/>
      <c r="H142" s="129"/>
      <c r="I142" s="129"/>
      <c r="J142" s="129"/>
      <c r="K142" s="129"/>
      <c r="L142" s="129"/>
      <c r="M142" s="131"/>
      <c r="N142" s="129"/>
      <c r="O142" s="129"/>
      <c r="P142" s="129"/>
      <c r="Q142" s="129"/>
      <c r="R142" s="129"/>
      <c r="S142" s="129"/>
      <c r="T142" s="129"/>
      <c r="U142" s="129"/>
      <c r="V142" s="129"/>
      <c r="W142" s="129"/>
      <c r="X142" s="129"/>
      <c r="Y142" s="131"/>
      <c r="Z142" s="131"/>
      <c r="AA142" s="132"/>
      <c r="AB142" s="132"/>
      <c r="AC142" s="33"/>
      <c r="AD142" s="33"/>
      <c r="AE142" s="33"/>
      <c r="AF142" s="33"/>
      <c r="AG142" s="27"/>
      <c r="AH142" s="27"/>
      <c r="AI142" s="27"/>
      <c r="AJ142" s="27"/>
      <c r="AK142" s="27"/>
      <c r="AL142" s="27"/>
      <c r="AM142" s="27"/>
      <c r="AN142" s="27"/>
      <c r="AO142" s="27"/>
      <c r="AP142" s="27"/>
    </row>
    <row r="143" spans="2:42" s="120" customFormat="1" hidden="1">
      <c r="B143" s="29"/>
      <c r="C143" s="128"/>
      <c r="D143" s="129"/>
      <c r="E143" s="129"/>
      <c r="F143" s="129"/>
      <c r="G143" s="129"/>
      <c r="H143" s="129"/>
      <c r="I143" s="129"/>
      <c r="J143" s="129"/>
      <c r="K143" s="129"/>
      <c r="L143" s="129"/>
      <c r="M143" s="131"/>
      <c r="N143" s="129"/>
      <c r="O143" s="129"/>
      <c r="P143" s="129"/>
      <c r="Q143" s="129"/>
      <c r="R143" s="129"/>
      <c r="S143" s="129"/>
      <c r="T143" s="129"/>
      <c r="U143" s="129"/>
      <c r="V143" s="129"/>
      <c r="W143" s="129"/>
      <c r="X143" s="129"/>
      <c r="Y143" s="131"/>
      <c r="Z143" s="131"/>
      <c r="AA143" s="132"/>
      <c r="AB143" s="132"/>
      <c r="AC143" s="33"/>
      <c r="AD143" s="33"/>
      <c r="AE143" s="33"/>
      <c r="AF143" s="33"/>
      <c r="AG143" s="27"/>
      <c r="AH143" s="27"/>
      <c r="AI143" s="27"/>
      <c r="AJ143" s="27"/>
      <c r="AK143" s="27"/>
      <c r="AL143" s="27"/>
      <c r="AM143" s="27"/>
      <c r="AN143" s="27"/>
      <c r="AO143" s="27"/>
      <c r="AP143" s="27"/>
    </row>
    <row r="144" spans="2:42" s="120" customFormat="1" hidden="1">
      <c r="B144" s="29"/>
      <c r="C144" s="128"/>
      <c r="D144" s="129"/>
      <c r="E144" s="129"/>
      <c r="F144" s="129"/>
      <c r="G144" s="129"/>
      <c r="H144" s="129"/>
      <c r="I144" s="129"/>
      <c r="J144" s="129"/>
      <c r="K144" s="129"/>
      <c r="L144" s="129"/>
      <c r="M144" s="131"/>
      <c r="N144" s="129"/>
      <c r="O144" s="129"/>
      <c r="P144" s="129"/>
      <c r="Q144" s="129"/>
      <c r="R144" s="129"/>
      <c r="S144" s="129"/>
      <c r="T144" s="129"/>
      <c r="U144" s="129"/>
      <c r="V144" s="129"/>
      <c r="W144" s="129"/>
      <c r="X144" s="129"/>
      <c r="Y144" s="131"/>
      <c r="Z144" s="131"/>
      <c r="AA144" s="132"/>
      <c r="AB144" s="132"/>
      <c r="AC144" s="33"/>
      <c r="AD144" s="33"/>
      <c r="AE144" s="33"/>
      <c r="AF144" s="33"/>
      <c r="AG144" s="27"/>
      <c r="AH144" s="27"/>
      <c r="AI144" s="27"/>
      <c r="AJ144" s="27"/>
      <c r="AK144" s="27"/>
      <c r="AL144" s="27"/>
      <c r="AM144" s="27"/>
      <c r="AN144" s="27"/>
      <c r="AO144" s="27"/>
      <c r="AP144" s="27"/>
    </row>
    <row r="145" spans="2:42" s="120" customFormat="1" hidden="1">
      <c r="B145" s="29"/>
      <c r="C145" s="128"/>
      <c r="D145" s="129"/>
      <c r="E145" s="129"/>
      <c r="F145" s="129"/>
      <c r="G145" s="129"/>
      <c r="H145" s="129"/>
      <c r="I145" s="129"/>
      <c r="J145" s="129"/>
      <c r="K145" s="129"/>
      <c r="L145" s="129"/>
      <c r="M145" s="131"/>
      <c r="N145" s="129"/>
      <c r="O145" s="129"/>
      <c r="P145" s="129"/>
      <c r="Q145" s="129"/>
      <c r="R145" s="129"/>
      <c r="S145" s="129"/>
      <c r="T145" s="129"/>
      <c r="U145" s="129"/>
      <c r="V145" s="129"/>
      <c r="W145" s="129"/>
      <c r="X145" s="129"/>
      <c r="Y145" s="131"/>
      <c r="Z145" s="131"/>
      <c r="AA145" s="132"/>
      <c r="AB145" s="132"/>
      <c r="AC145" s="33"/>
      <c r="AD145" s="33"/>
      <c r="AE145" s="33"/>
      <c r="AF145" s="33"/>
      <c r="AG145" s="27"/>
      <c r="AH145" s="27"/>
      <c r="AI145" s="27"/>
      <c r="AJ145" s="27"/>
      <c r="AK145" s="27"/>
      <c r="AL145" s="27"/>
      <c r="AM145" s="27"/>
      <c r="AN145" s="27"/>
      <c r="AO145" s="27"/>
      <c r="AP145" s="27"/>
    </row>
    <row r="146" spans="2:42" s="120" customFormat="1" hidden="1">
      <c r="B146" s="29"/>
      <c r="C146" s="128"/>
      <c r="D146" s="129"/>
      <c r="E146" s="129"/>
      <c r="F146" s="129"/>
      <c r="G146" s="129"/>
      <c r="H146" s="129"/>
      <c r="I146" s="129"/>
      <c r="J146" s="129"/>
      <c r="K146" s="129"/>
      <c r="L146" s="129"/>
      <c r="M146" s="131"/>
      <c r="N146" s="129"/>
      <c r="O146" s="129"/>
      <c r="P146" s="129"/>
      <c r="Q146" s="129"/>
      <c r="R146" s="129"/>
      <c r="S146" s="129"/>
      <c r="T146" s="129"/>
      <c r="U146" s="129"/>
      <c r="V146" s="129"/>
      <c r="W146" s="129"/>
      <c r="X146" s="129"/>
      <c r="Y146" s="131"/>
      <c r="Z146" s="131"/>
      <c r="AA146" s="132"/>
      <c r="AB146" s="132"/>
      <c r="AC146" s="33"/>
      <c r="AD146" s="33"/>
      <c r="AE146" s="33"/>
      <c r="AF146" s="33"/>
      <c r="AG146" s="27"/>
      <c r="AH146" s="27"/>
      <c r="AI146" s="27"/>
      <c r="AJ146" s="27"/>
      <c r="AK146" s="27"/>
      <c r="AL146" s="27"/>
      <c r="AM146" s="27"/>
      <c r="AN146" s="27"/>
      <c r="AO146" s="27"/>
      <c r="AP146" s="27"/>
    </row>
    <row r="147" spans="2:42" s="120" customFormat="1" hidden="1">
      <c r="B147" s="29"/>
      <c r="C147" s="128"/>
      <c r="D147" s="129"/>
      <c r="E147" s="129"/>
      <c r="F147" s="129"/>
      <c r="G147" s="129"/>
      <c r="H147" s="129"/>
      <c r="I147" s="129"/>
      <c r="J147" s="129"/>
      <c r="K147" s="129"/>
      <c r="L147" s="129"/>
      <c r="M147" s="131"/>
      <c r="N147" s="129"/>
      <c r="O147" s="129"/>
      <c r="P147" s="129"/>
      <c r="Q147" s="129"/>
      <c r="R147" s="129"/>
      <c r="S147" s="129"/>
      <c r="T147" s="129"/>
      <c r="U147" s="129"/>
      <c r="V147" s="129"/>
      <c r="W147" s="129"/>
      <c r="X147" s="129"/>
      <c r="Y147" s="131"/>
      <c r="Z147" s="131"/>
      <c r="AA147" s="132"/>
      <c r="AB147" s="132"/>
      <c r="AC147" s="33"/>
      <c r="AD147" s="33"/>
      <c r="AE147" s="33"/>
      <c r="AF147" s="33"/>
      <c r="AG147" s="27"/>
      <c r="AH147" s="27"/>
      <c r="AI147" s="27"/>
      <c r="AJ147" s="27"/>
      <c r="AK147" s="27"/>
      <c r="AL147" s="27"/>
      <c r="AM147" s="27"/>
      <c r="AN147" s="27"/>
      <c r="AO147" s="27"/>
      <c r="AP147" s="27"/>
    </row>
    <row r="148" spans="2:42" s="120" customFormat="1" hidden="1">
      <c r="B148" s="29"/>
      <c r="C148" s="128"/>
      <c r="D148" s="129"/>
      <c r="E148" s="129"/>
      <c r="F148" s="129"/>
      <c r="G148" s="129"/>
      <c r="H148" s="129"/>
      <c r="I148" s="129"/>
      <c r="J148" s="129"/>
      <c r="K148" s="129"/>
      <c r="L148" s="129"/>
      <c r="M148" s="131"/>
      <c r="N148" s="129"/>
      <c r="O148" s="129"/>
      <c r="P148" s="129"/>
      <c r="Q148" s="129"/>
      <c r="R148" s="129"/>
      <c r="S148" s="129"/>
      <c r="T148" s="129"/>
      <c r="U148" s="129"/>
      <c r="V148" s="129"/>
      <c r="W148" s="129"/>
      <c r="X148" s="129"/>
      <c r="Y148" s="131"/>
      <c r="Z148" s="131"/>
      <c r="AA148" s="132"/>
      <c r="AB148" s="132"/>
      <c r="AC148" s="33"/>
      <c r="AD148" s="33"/>
      <c r="AE148" s="33"/>
      <c r="AF148" s="33"/>
      <c r="AG148" s="27"/>
      <c r="AH148" s="27"/>
      <c r="AI148" s="27"/>
      <c r="AJ148" s="27"/>
      <c r="AK148" s="27"/>
      <c r="AL148" s="27"/>
      <c r="AM148" s="27"/>
      <c r="AN148" s="27"/>
      <c r="AO148" s="27"/>
      <c r="AP148" s="27"/>
    </row>
    <row r="149" spans="2:42" s="120" customFormat="1" hidden="1">
      <c r="B149" s="29"/>
      <c r="C149" s="128"/>
      <c r="D149" s="129"/>
      <c r="E149" s="129"/>
      <c r="F149" s="129"/>
      <c r="G149" s="129"/>
      <c r="H149" s="129"/>
      <c r="I149" s="129"/>
      <c r="J149" s="129"/>
      <c r="K149" s="129"/>
      <c r="L149" s="129"/>
      <c r="M149" s="131"/>
      <c r="N149" s="129"/>
      <c r="O149" s="129"/>
      <c r="P149" s="129"/>
      <c r="Q149" s="129"/>
      <c r="R149" s="129"/>
      <c r="S149" s="129"/>
      <c r="T149" s="129"/>
      <c r="U149" s="129"/>
      <c r="V149" s="129"/>
      <c r="W149" s="129"/>
      <c r="X149" s="129"/>
      <c r="Y149" s="131"/>
      <c r="Z149" s="131"/>
      <c r="AA149" s="132"/>
      <c r="AB149" s="132"/>
      <c r="AC149" s="33"/>
      <c r="AD149" s="33"/>
      <c r="AE149" s="33"/>
      <c r="AF149" s="33"/>
      <c r="AG149" s="27"/>
      <c r="AH149" s="27"/>
      <c r="AI149" s="27"/>
      <c r="AJ149" s="27"/>
      <c r="AK149" s="27"/>
      <c r="AL149" s="27"/>
      <c r="AM149" s="27"/>
      <c r="AN149" s="27"/>
      <c r="AO149" s="27"/>
      <c r="AP149" s="27"/>
    </row>
    <row r="150" spans="2:42" s="120" customFormat="1" hidden="1">
      <c r="B150" s="29"/>
      <c r="C150" s="128"/>
      <c r="D150" s="129"/>
      <c r="E150" s="129"/>
      <c r="F150" s="129"/>
      <c r="G150" s="129"/>
      <c r="H150" s="129"/>
      <c r="I150" s="129"/>
      <c r="J150" s="129"/>
      <c r="K150" s="129"/>
      <c r="L150" s="129"/>
      <c r="M150" s="131"/>
      <c r="N150" s="129"/>
      <c r="O150" s="129"/>
      <c r="P150" s="129"/>
      <c r="Q150" s="129"/>
      <c r="R150" s="129"/>
      <c r="S150" s="129"/>
      <c r="T150" s="129"/>
      <c r="U150" s="129"/>
      <c r="V150" s="129"/>
      <c r="W150" s="129"/>
      <c r="X150" s="129"/>
      <c r="Y150" s="131"/>
      <c r="Z150" s="131"/>
      <c r="AA150" s="132"/>
      <c r="AB150" s="132"/>
      <c r="AC150" s="33"/>
      <c r="AD150" s="33"/>
      <c r="AE150" s="33"/>
      <c r="AF150" s="33"/>
      <c r="AG150" s="27"/>
      <c r="AH150" s="27"/>
      <c r="AI150" s="27"/>
      <c r="AJ150" s="27"/>
      <c r="AK150" s="27"/>
      <c r="AL150" s="27"/>
      <c r="AM150" s="27"/>
      <c r="AN150" s="27"/>
      <c r="AO150" s="27"/>
      <c r="AP150" s="27"/>
    </row>
    <row r="151" spans="2:42" s="120" customFormat="1" hidden="1">
      <c r="B151" s="29"/>
      <c r="C151" s="128"/>
      <c r="D151" s="129"/>
      <c r="E151" s="129"/>
      <c r="F151" s="129"/>
      <c r="G151" s="129"/>
      <c r="H151" s="129"/>
      <c r="I151" s="129"/>
      <c r="J151" s="129"/>
      <c r="K151" s="129"/>
      <c r="L151" s="129"/>
      <c r="M151" s="131"/>
      <c r="N151" s="129"/>
      <c r="O151" s="129"/>
      <c r="P151" s="129"/>
      <c r="Q151" s="129"/>
      <c r="R151" s="129"/>
      <c r="S151" s="129"/>
      <c r="T151" s="129"/>
      <c r="U151" s="129"/>
      <c r="V151" s="129"/>
      <c r="W151" s="129"/>
      <c r="X151" s="129"/>
      <c r="Y151" s="131"/>
      <c r="Z151" s="131"/>
      <c r="AA151" s="132"/>
      <c r="AB151" s="132"/>
      <c r="AC151" s="33"/>
      <c r="AD151" s="33"/>
      <c r="AE151" s="33"/>
      <c r="AF151" s="33"/>
      <c r="AG151" s="27"/>
      <c r="AH151" s="27"/>
      <c r="AI151" s="27"/>
      <c r="AJ151" s="27"/>
      <c r="AK151" s="27"/>
      <c r="AL151" s="27"/>
      <c r="AM151" s="27"/>
      <c r="AN151" s="27"/>
      <c r="AO151" s="27"/>
      <c r="AP151" s="27"/>
    </row>
    <row r="152" spans="2:42" s="120" customFormat="1" hidden="1">
      <c r="B152" s="29"/>
      <c r="C152" s="128"/>
      <c r="D152" s="129"/>
      <c r="E152" s="129"/>
      <c r="F152" s="129"/>
      <c r="G152" s="129"/>
      <c r="H152" s="129"/>
      <c r="I152" s="129"/>
      <c r="J152" s="129"/>
      <c r="K152" s="129"/>
      <c r="L152" s="129"/>
      <c r="M152" s="131"/>
      <c r="N152" s="129"/>
      <c r="O152" s="129"/>
      <c r="P152" s="129"/>
      <c r="Q152" s="129"/>
      <c r="R152" s="129"/>
      <c r="S152" s="129"/>
      <c r="T152" s="129"/>
      <c r="U152" s="129"/>
      <c r="V152" s="129"/>
      <c r="W152" s="129"/>
      <c r="X152" s="129"/>
      <c r="Y152" s="131"/>
      <c r="Z152" s="131"/>
      <c r="AA152" s="132"/>
      <c r="AB152" s="132"/>
      <c r="AC152" s="33"/>
      <c r="AD152" s="33"/>
      <c r="AE152" s="33"/>
      <c r="AF152" s="33"/>
      <c r="AG152" s="27"/>
      <c r="AH152" s="27"/>
      <c r="AI152" s="27"/>
      <c r="AJ152" s="27"/>
      <c r="AK152" s="27"/>
      <c r="AL152" s="27"/>
      <c r="AM152" s="27"/>
      <c r="AN152" s="27"/>
      <c r="AO152" s="27"/>
      <c r="AP152" s="27"/>
    </row>
    <row r="153" spans="2:42" s="120" customFormat="1" hidden="1">
      <c r="B153" s="29"/>
      <c r="C153" s="128"/>
      <c r="D153" s="129"/>
      <c r="E153" s="129"/>
      <c r="F153" s="129"/>
      <c r="G153" s="129"/>
      <c r="H153" s="129"/>
      <c r="I153" s="129"/>
      <c r="J153" s="129"/>
      <c r="K153" s="129"/>
      <c r="L153" s="129"/>
      <c r="M153" s="131"/>
      <c r="N153" s="129"/>
      <c r="O153" s="129"/>
      <c r="P153" s="129"/>
      <c r="Q153" s="129"/>
      <c r="R153" s="129"/>
      <c r="S153" s="129"/>
      <c r="T153" s="129"/>
      <c r="U153" s="129"/>
      <c r="V153" s="129"/>
      <c r="W153" s="129"/>
      <c r="X153" s="129"/>
      <c r="Y153" s="131"/>
      <c r="Z153" s="131"/>
      <c r="AA153" s="132"/>
      <c r="AB153" s="132"/>
      <c r="AC153" s="33"/>
      <c r="AD153" s="33"/>
      <c r="AE153" s="33"/>
      <c r="AF153" s="33"/>
      <c r="AG153" s="27"/>
      <c r="AH153" s="27"/>
      <c r="AI153" s="27"/>
      <c r="AJ153" s="27"/>
      <c r="AK153" s="27"/>
      <c r="AL153" s="27"/>
      <c r="AM153" s="27"/>
      <c r="AN153" s="27"/>
      <c r="AO153" s="27"/>
      <c r="AP153" s="27"/>
    </row>
    <row r="154" spans="2:42" s="120" customFormat="1" hidden="1">
      <c r="B154" s="29"/>
      <c r="C154" s="128"/>
      <c r="D154" s="129"/>
      <c r="E154" s="129"/>
      <c r="F154" s="129"/>
      <c r="G154" s="129"/>
      <c r="H154" s="129"/>
      <c r="I154" s="129"/>
      <c r="J154" s="129"/>
      <c r="K154" s="129"/>
      <c r="L154" s="129"/>
      <c r="M154" s="131"/>
      <c r="N154" s="129"/>
      <c r="O154" s="129"/>
      <c r="P154" s="129"/>
      <c r="Q154" s="129"/>
      <c r="R154" s="129"/>
      <c r="S154" s="129"/>
      <c r="T154" s="129"/>
      <c r="U154" s="129"/>
      <c r="V154" s="129"/>
      <c r="W154" s="129"/>
      <c r="X154" s="129"/>
      <c r="Y154" s="131"/>
      <c r="Z154" s="131"/>
      <c r="AA154" s="132"/>
      <c r="AB154" s="132"/>
      <c r="AC154" s="33"/>
      <c r="AD154" s="33"/>
      <c r="AE154" s="33"/>
      <c r="AF154" s="33"/>
      <c r="AG154" s="27"/>
      <c r="AH154" s="27"/>
      <c r="AI154" s="27"/>
      <c r="AJ154" s="27"/>
      <c r="AK154" s="27"/>
      <c r="AL154" s="27"/>
      <c r="AM154" s="27"/>
      <c r="AN154" s="27"/>
      <c r="AO154" s="27"/>
      <c r="AP154" s="27"/>
    </row>
    <row r="155" spans="2:42" s="120" customFormat="1" hidden="1">
      <c r="B155" s="29"/>
      <c r="C155" s="128"/>
      <c r="D155" s="129"/>
      <c r="E155" s="129"/>
      <c r="F155" s="129"/>
      <c r="G155" s="129"/>
      <c r="H155" s="129"/>
      <c r="I155" s="129"/>
      <c r="J155" s="129"/>
      <c r="K155" s="129"/>
      <c r="L155" s="129"/>
      <c r="M155" s="131"/>
      <c r="N155" s="129"/>
      <c r="O155" s="129"/>
      <c r="P155" s="129"/>
      <c r="Q155" s="129"/>
      <c r="R155" s="129"/>
      <c r="S155" s="129"/>
      <c r="T155" s="129"/>
      <c r="U155" s="129"/>
      <c r="V155" s="129"/>
      <c r="W155" s="129"/>
      <c r="X155" s="129"/>
      <c r="Y155" s="131"/>
      <c r="Z155" s="131"/>
      <c r="AA155" s="132"/>
      <c r="AB155" s="132"/>
      <c r="AC155" s="33"/>
      <c r="AD155" s="33"/>
      <c r="AE155" s="33"/>
      <c r="AF155" s="33"/>
      <c r="AG155" s="27"/>
      <c r="AH155" s="27"/>
      <c r="AI155" s="27"/>
      <c r="AJ155" s="27"/>
      <c r="AK155" s="27"/>
      <c r="AL155" s="27"/>
      <c r="AM155" s="27"/>
      <c r="AN155" s="27"/>
      <c r="AO155" s="27"/>
      <c r="AP155" s="27"/>
    </row>
    <row r="156" spans="2:42" s="120" customFormat="1" hidden="1">
      <c r="B156" s="29"/>
      <c r="C156" s="128"/>
      <c r="D156" s="129"/>
      <c r="E156" s="129"/>
      <c r="F156" s="129"/>
      <c r="G156" s="129"/>
      <c r="H156" s="129"/>
      <c r="I156" s="129"/>
      <c r="J156" s="129"/>
      <c r="K156" s="129"/>
      <c r="L156" s="129"/>
      <c r="M156" s="131"/>
      <c r="N156" s="129"/>
      <c r="O156" s="129"/>
      <c r="P156" s="129"/>
      <c r="Q156" s="129"/>
      <c r="R156" s="129"/>
      <c r="S156" s="129"/>
      <c r="T156" s="129"/>
      <c r="U156" s="129"/>
      <c r="V156" s="129"/>
      <c r="W156" s="129"/>
      <c r="X156" s="129"/>
      <c r="Y156" s="131"/>
      <c r="Z156" s="131"/>
      <c r="AA156" s="132"/>
      <c r="AB156" s="132"/>
      <c r="AC156" s="33"/>
      <c r="AD156" s="33"/>
      <c r="AE156" s="33"/>
      <c r="AF156" s="33"/>
      <c r="AG156" s="27"/>
      <c r="AH156" s="27"/>
      <c r="AI156" s="27"/>
      <c r="AJ156" s="27"/>
      <c r="AK156" s="27"/>
      <c r="AL156" s="27"/>
      <c r="AM156" s="27"/>
      <c r="AN156" s="27"/>
      <c r="AO156" s="27"/>
      <c r="AP156" s="27"/>
    </row>
    <row r="157" spans="2:42" s="120" customFormat="1" hidden="1">
      <c r="B157" s="29"/>
      <c r="C157" s="128"/>
      <c r="D157" s="129"/>
      <c r="E157" s="129"/>
      <c r="F157" s="129"/>
      <c r="G157" s="129"/>
      <c r="H157" s="129"/>
      <c r="I157" s="129"/>
      <c r="J157" s="129"/>
      <c r="K157" s="129"/>
      <c r="L157" s="129"/>
      <c r="M157" s="131"/>
      <c r="N157" s="129"/>
      <c r="O157" s="129"/>
      <c r="P157" s="129"/>
      <c r="Q157" s="129"/>
      <c r="R157" s="129"/>
      <c r="S157" s="129"/>
      <c r="T157" s="129"/>
      <c r="U157" s="129"/>
      <c r="V157" s="129"/>
      <c r="W157" s="129"/>
      <c r="X157" s="129"/>
      <c r="Y157" s="131"/>
      <c r="Z157" s="131"/>
      <c r="AA157" s="132"/>
      <c r="AB157" s="132"/>
      <c r="AC157" s="33"/>
      <c r="AD157" s="33"/>
      <c r="AE157" s="33"/>
      <c r="AF157" s="33"/>
      <c r="AG157" s="27"/>
      <c r="AH157" s="27"/>
      <c r="AI157" s="27"/>
      <c r="AJ157" s="27"/>
      <c r="AK157" s="27"/>
      <c r="AL157" s="27"/>
      <c r="AM157" s="27"/>
      <c r="AN157" s="27"/>
      <c r="AO157" s="27"/>
      <c r="AP157" s="27"/>
    </row>
    <row r="158" spans="2:42" s="120" customFormat="1" hidden="1">
      <c r="B158" s="29"/>
      <c r="C158" s="128"/>
      <c r="D158" s="129"/>
      <c r="E158" s="129"/>
      <c r="F158" s="129"/>
      <c r="G158" s="129"/>
      <c r="H158" s="129"/>
      <c r="I158" s="129"/>
      <c r="J158" s="129"/>
      <c r="K158" s="129"/>
      <c r="L158" s="129"/>
      <c r="M158" s="131"/>
      <c r="N158" s="129"/>
      <c r="O158" s="129"/>
      <c r="P158" s="129"/>
      <c r="Q158" s="129"/>
      <c r="R158" s="129"/>
      <c r="S158" s="129"/>
      <c r="T158" s="129"/>
      <c r="U158" s="129"/>
      <c r="V158" s="129"/>
      <c r="W158" s="129"/>
      <c r="X158" s="129"/>
      <c r="Y158" s="131"/>
      <c r="Z158" s="131"/>
      <c r="AA158" s="132"/>
      <c r="AB158" s="132"/>
      <c r="AC158" s="33"/>
      <c r="AD158" s="33"/>
      <c r="AE158" s="33"/>
      <c r="AF158" s="33"/>
      <c r="AG158" s="27"/>
      <c r="AH158" s="27"/>
      <c r="AI158" s="27"/>
      <c r="AJ158" s="27"/>
      <c r="AK158" s="27"/>
      <c r="AL158" s="27"/>
      <c r="AM158" s="27"/>
      <c r="AN158" s="27"/>
      <c r="AO158" s="27"/>
      <c r="AP158" s="27"/>
    </row>
    <row r="159" spans="2:42" s="120" customFormat="1" hidden="1">
      <c r="B159" s="29"/>
      <c r="C159" s="128"/>
      <c r="D159" s="129"/>
      <c r="E159" s="129"/>
      <c r="F159" s="129"/>
      <c r="G159" s="129"/>
      <c r="H159" s="129"/>
      <c r="I159" s="129"/>
      <c r="J159" s="129"/>
      <c r="K159" s="129"/>
      <c r="L159" s="129"/>
      <c r="M159" s="131"/>
      <c r="N159" s="129"/>
      <c r="O159" s="129"/>
      <c r="P159" s="129"/>
      <c r="Q159" s="129"/>
      <c r="R159" s="129"/>
      <c r="S159" s="129"/>
      <c r="T159" s="129"/>
      <c r="U159" s="129"/>
      <c r="V159" s="129"/>
      <c r="W159" s="129"/>
      <c r="X159" s="129"/>
      <c r="Y159" s="131"/>
      <c r="Z159" s="131"/>
      <c r="AA159" s="132"/>
      <c r="AB159" s="132"/>
      <c r="AC159" s="33"/>
      <c r="AD159" s="33"/>
      <c r="AE159" s="33"/>
      <c r="AF159" s="33"/>
      <c r="AG159" s="27"/>
      <c r="AH159" s="27"/>
      <c r="AI159" s="27"/>
      <c r="AJ159" s="27"/>
      <c r="AK159" s="27"/>
      <c r="AL159" s="27"/>
      <c r="AM159" s="27"/>
      <c r="AN159" s="27"/>
      <c r="AO159" s="27"/>
      <c r="AP159" s="27"/>
    </row>
    <row r="160" spans="2:42" s="120" customFormat="1" hidden="1">
      <c r="B160" s="29"/>
      <c r="C160" s="128"/>
      <c r="D160" s="129"/>
      <c r="E160" s="129"/>
      <c r="F160" s="129"/>
      <c r="G160" s="129"/>
      <c r="H160" s="129"/>
      <c r="I160" s="129"/>
      <c r="J160" s="129"/>
      <c r="K160" s="129"/>
      <c r="L160" s="129"/>
      <c r="M160" s="131"/>
      <c r="N160" s="129"/>
      <c r="O160" s="129"/>
      <c r="P160" s="129"/>
      <c r="Q160" s="129"/>
      <c r="R160" s="129"/>
      <c r="S160" s="129"/>
      <c r="T160" s="129"/>
      <c r="U160" s="129"/>
      <c r="V160" s="129"/>
      <c r="W160" s="129"/>
      <c r="X160" s="129"/>
      <c r="Y160" s="131"/>
      <c r="Z160" s="131"/>
      <c r="AA160" s="132"/>
      <c r="AB160" s="132"/>
      <c r="AC160" s="33"/>
      <c r="AD160" s="33"/>
      <c r="AE160" s="33"/>
      <c r="AF160" s="33"/>
      <c r="AG160" s="27"/>
      <c r="AH160" s="27"/>
      <c r="AI160" s="27"/>
      <c r="AJ160" s="27"/>
      <c r="AK160" s="27"/>
      <c r="AL160" s="27"/>
      <c r="AM160" s="27"/>
      <c r="AN160" s="27"/>
      <c r="AO160" s="27"/>
      <c r="AP160" s="27"/>
    </row>
    <row r="161" spans="2:42" s="120" customFormat="1" hidden="1">
      <c r="B161" s="29"/>
      <c r="C161" s="128"/>
      <c r="D161" s="129"/>
      <c r="E161" s="129"/>
      <c r="F161" s="129"/>
      <c r="G161" s="129"/>
      <c r="H161" s="129"/>
      <c r="I161" s="129"/>
      <c r="J161" s="129"/>
      <c r="K161" s="129"/>
      <c r="L161" s="129"/>
      <c r="M161" s="131"/>
      <c r="N161" s="129"/>
      <c r="O161" s="129"/>
      <c r="P161" s="129"/>
      <c r="Q161" s="129"/>
      <c r="R161" s="129"/>
      <c r="S161" s="129"/>
      <c r="T161" s="129"/>
      <c r="U161" s="129"/>
      <c r="V161" s="129"/>
      <c r="W161" s="129"/>
      <c r="X161" s="129"/>
      <c r="Y161" s="131"/>
      <c r="Z161" s="131"/>
      <c r="AA161" s="132"/>
      <c r="AB161" s="132"/>
      <c r="AC161" s="33"/>
      <c r="AD161" s="33"/>
      <c r="AE161" s="33"/>
      <c r="AF161" s="33"/>
      <c r="AG161" s="27"/>
      <c r="AH161" s="27"/>
      <c r="AI161" s="27"/>
      <c r="AJ161" s="27"/>
      <c r="AK161" s="27"/>
      <c r="AL161" s="27"/>
      <c r="AM161" s="27"/>
      <c r="AN161" s="27"/>
      <c r="AO161" s="27"/>
      <c r="AP161" s="27"/>
    </row>
    <row r="162" spans="2:42" s="120" customFormat="1" hidden="1">
      <c r="B162" s="29"/>
      <c r="C162" s="128"/>
      <c r="D162" s="129"/>
      <c r="E162" s="129"/>
      <c r="F162" s="129"/>
      <c r="G162" s="129"/>
      <c r="H162" s="129"/>
      <c r="I162" s="129"/>
      <c r="J162" s="129"/>
      <c r="K162" s="129"/>
      <c r="L162" s="129"/>
      <c r="M162" s="131"/>
      <c r="N162" s="129"/>
      <c r="O162" s="129"/>
      <c r="P162" s="129"/>
      <c r="Q162" s="129"/>
      <c r="R162" s="129"/>
      <c r="S162" s="129"/>
      <c r="T162" s="129"/>
      <c r="U162" s="129"/>
      <c r="V162" s="129"/>
      <c r="W162" s="129"/>
      <c r="X162" s="129"/>
      <c r="Y162" s="131"/>
      <c r="Z162" s="131"/>
      <c r="AA162" s="132"/>
      <c r="AB162" s="132"/>
      <c r="AC162" s="33"/>
      <c r="AD162" s="33"/>
      <c r="AE162" s="33"/>
      <c r="AF162" s="33"/>
      <c r="AG162" s="27"/>
      <c r="AH162" s="27"/>
      <c r="AI162" s="27"/>
      <c r="AJ162" s="27"/>
      <c r="AK162" s="27"/>
      <c r="AL162" s="27"/>
      <c r="AM162" s="27"/>
      <c r="AN162" s="27"/>
      <c r="AO162" s="27"/>
      <c r="AP162" s="27"/>
    </row>
    <row r="163" spans="2:42" s="120" customFormat="1" hidden="1">
      <c r="B163" s="29"/>
      <c r="C163" s="128"/>
      <c r="D163" s="129"/>
      <c r="E163" s="129"/>
      <c r="F163" s="129"/>
      <c r="G163" s="129"/>
      <c r="H163" s="129"/>
      <c r="I163" s="129"/>
      <c r="J163" s="129"/>
      <c r="K163" s="129"/>
      <c r="L163" s="129"/>
      <c r="M163" s="131"/>
      <c r="N163" s="129"/>
      <c r="O163" s="129"/>
      <c r="P163" s="129"/>
      <c r="Q163" s="129"/>
      <c r="R163" s="129"/>
      <c r="S163" s="129"/>
      <c r="T163" s="129"/>
      <c r="U163" s="129"/>
      <c r="V163" s="129"/>
      <c r="W163" s="129"/>
      <c r="X163" s="129"/>
      <c r="Y163" s="131"/>
      <c r="Z163" s="131"/>
      <c r="AA163" s="132"/>
      <c r="AB163" s="132"/>
      <c r="AC163" s="33"/>
      <c r="AD163" s="33"/>
      <c r="AE163" s="33"/>
      <c r="AF163" s="33"/>
      <c r="AG163" s="27"/>
      <c r="AH163" s="27"/>
      <c r="AI163" s="27"/>
      <c r="AJ163" s="27"/>
      <c r="AK163" s="27"/>
      <c r="AL163" s="27"/>
      <c r="AM163" s="27"/>
      <c r="AN163" s="27"/>
      <c r="AO163" s="27"/>
      <c r="AP163" s="27"/>
    </row>
    <row r="164" spans="2:42" s="120" customFormat="1" hidden="1">
      <c r="B164" s="29"/>
      <c r="C164" s="128"/>
      <c r="D164" s="129"/>
      <c r="E164" s="129"/>
      <c r="F164" s="129"/>
      <c r="G164" s="129"/>
      <c r="H164" s="129"/>
      <c r="I164" s="129"/>
      <c r="J164" s="129"/>
      <c r="K164" s="129"/>
      <c r="L164" s="129"/>
      <c r="M164" s="131"/>
      <c r="N164" s="129"/>
      <c r="O164" s="129"/>
      <c r="P164" s="129"/>
      <c r="Q164" s="129"/>
      <c r="R164" s="129"/>
      <c r="S164" s="129"/>
      <c r="T164" s="129"/>
      <c r="U164" s="129"/>
      <c r="V164" s="129"/>
      <c r="W164" s="129"/>
      <c r="X164" s="129"/>
      <c r="Y164" s="131"/>
      <c r="Z164" s="131"/>
      <c r="AA164" s="132"/>
      <c r="AB164" s="132"/>
      <c r="AC164" s="33"/>
      <c r="AD164" s="33"/>
      <c r="AE164" s="33"/>
      <c r="AF164" s="33"/>
      <c r="AG164" s="27"/>
      <c r="AH164" s="27"/>
      <c r="AI164" s="27"/>
      <c r="AJ164" s="27"/>
      <c r="AK164" s="27"/>
      <c r="AL164" s="27"/>
      <c r="AM164" s="27"/>
      <c r="AN164" s="27"/>
      <c r="AO164" s="27"/>
      <c r="AP164" s="27"/>
    </row>
    <row r="165" spans="2:42" s="120" customFormat="1" hidden="1">
      <c r="B165" s="29"/>
      <c r="C165" s="128"/>
      <c r="D165" s="129"/>
      <c r="E165" s="129"/>
      <c r="F165" s="129"/>
      <c r="G165" s="129"/>
      <c r="H165" s="129"/>
      <c r="I165" s="129"/>
      <c r="J165" s="129"/>
      <c r="K165" s="129"/>
      <c r="L165" s="129"/>
      <c r="M165" s="131"/>
      <c r="N165" s="129"/>
      <c r="O165" s="129"/>
      <c r="P165" s="129"/>
      <c r="Q165" s="129"/>
      <c r="R165" s="129"/>
      <c r="S165" s="129"/>
      <c r="T165" s="129"/>
      <c r="U165" s="129"/>
      <c r="V165" s="129"/>
      <c r="W165" s="129"/>
      <c r="X165" s="129"/>
      <c r="Y165" s="131"/>
      <c r="Z165" s="131"/>
      <c r="AA165" s="132"/>
      <c r="AB165" s="132"/>
      <c r="AC165" s="33"/>
      <c r="AD165" s="33"/>
      <c r="AE165" s="33"/>
      <c r="AF165" s="33"/>
      <c r="AG165" s="27"/>
      <c r="AH165" s="27"/>
      <c r="AI165" s="27"/>
      <c r="AJ165" s="27"/>
      <c r="AK165" s="27"/>
      <c r="AL165" s="27"/>
      <c r="AM165" s="27"/>
      <c r="AN165" s="27"/>
      <c r="AO165" s="27"/>
      <c r="AP165" s="27"/>
    </row>
    <row r="166" spans="2:42" s="120" customFormat="1" hidden="1">
      <c r="B166" s="29"/>
      <c r="C166" s="128"/>
      <c r="D166" s="129"/>
      <c r="E166" s="129"/>
      <c r="F166" s="129"/>
      <c r="G166" s="129"/>
      <c r="H166" s="129"/>
      <c r="I166" s="129"/>
      <c r="J166" s="129"/>
      <c r="K166" s="129"/>
      <c r="L166" s="129"/>
      <c r="M166" s="131"/>
      <c r="N166" s="129"/>
      <c r="O166" s="129"/>
      <c r="P166" s="129"/>
      <c r="Q166" s="129"/>
      <c r="R166" s="129"/>
      <c r="S166" s="129"/>
      <c r="T166" s="129"/>
      <c r="U166" s="129"/>
      <c r="V166" s="129"/>
      <c r="W166" s="129"/>
      <c r="X166" s="129"/>
      <c r="Y166" s="131"/>
      <c r="Z166" s="131"/>
      <c r="AA166" s="132"/>
      <c r="AB166" s="132"/>
      <c r="AC166" s="33"/>
      <c r="AD166" s="33"/>
      <c r="AE166" s="33"/>
      <c r="AF166" s="33"/>
      <c r="AG166" s="27"/>
      <c r="AH166" s="27"/>
      <c r="AI166" s="27"/>
      <c r="AJ166" s="27"/>
      <c r="AK166" s="27"/>
      <c r="AL166" s="27"/>
      <c r="AM166" s="27"/>
      <c r="AN166" s="27"/>
      <c r="AO166" s="27"/>
      <c r="AP166" s="27"/>
    </row>
    <row r="167" spans="2:42" s="120" customFormat="1" hidden="1">
      <c r="B167" s="29"/>
      <c r="C167" s="128"/>
      <c r="D167" s="129"/>
      <c r="E167" s="129"/>
      <c r="F167" s="129"/>
      <c r="G167" s="129"/>
      <c r="H167" s="129"/>
      <c r="I167" s="129"/>
      <c r="J167" s="129"/>
      <c r="K167" s="129"/>
      <c r="L167" s="129"/>
      <c r="M167" s="131"/>
      <c r="N167" s="129"/>
      <c r="O167" s="129"/>
      <c r="P167" s="129"/>
      <c r="Q167" s="129"/>
      <c r="R167" s="129"/>
      <c r="S167" s="129"/>
      <c r="T167" s="129"/>
      <c r="U167" s="129"/>
      <c r="V167" s="129"/>
      <c r="W167" s="129"/>
      <c r="X167" s="129"/>
      <c r="Y167" s="131"/>
      <c r="Z167" s="131"/>
      <c r="AA167" s="132"/>
      <c r="AB167" s="132"/>
      <c r="AC167" s="33"/>
      <c r="AD167" s="33"/>
      <c r="AE167" s="33"/>
      <c r="AF167" s="33"/>
      <c r="AG167" s="27"/>
      <c r="AH167" s="27"/>
      <c r="AI167" s="27"/>
      <c r="AJ167" s="27"/>
      <c r="AK167" s="27"/>
      <c r="AL167" s="27"/>
      <c r="AM167" s="27"/>
      <c r="AN167" s="27"/>
      <c r="AO167" s="27"/>
      <c r="AP167" s="27"/>
    </row>
    <row r="168" spans="2:42" s="120" customFormat="1" hidden="1">
      <c r="B168" s="29"/>
      <c r="C168" s="128"/>
      <c r="D168" s="129"/>
      <c r="E168" s="129"/>
      <c r="F168" s="129"/>
      <c r="G168" s="129"/>
      <c r="H168" s="129"/>
      <c r="I168" s="129"/>
      <c r="J168" s="129"/>
      <c r="K168" s="129"/>
      <c r="L168" s="129"/>
      <c r="M168" s="131"/>
      <c r="N168" s="129"/>
      <c r="O168" s="129"/>
      <c r="P168" s="129"/>
      <c r="Q168" s="129"/>
      <c r="R168" s="129"/>
      <c r="S168" s="129"/>
      <c r="T168" s="129"/>
      <c r="U168" s="129"/>
      <c r="V168" s="129"/>
      <c r="W168" s="129"/>
      <c r="X168" s="129"/>
      <c r="Y168" s="131"/>
      <c r="Z168" s="131"/>
      <c r="AA168" s="132"/>
      <c r="AB168" s="132"/>
      <c r="AC168" s="33"/>
      <c r="AD168" s="33"/>
      <c r="AE168" s="33"/>
      <c r="AF168" s="33"/>
      <c r="AG168" s="27"/>
      <c r="AH168" s="27"/>
      <c r="AI168" s="27"/>
      <c r="AJ168" s="27"/>
      <c r="AK168" s="27"/>
      <c r="AL168" s="27"/>
      <c r="AM168" s="27"/>
      <c r="AN168" s="27"/>
      <c r="AO168" s="27"/>
      <c r="AP168" s="27"/>
    </row>
    <row r="169" spans="2:42" s="120" customFormat="1" hidden="1">
      <c r="B169" s="29"/>
      <c r="C169" s="128"/>
      <c r="D169" s="129"/>
      <c r="E169" s="129"/>
      <c r="F169" s="129"/>
      <c r="G169" s="129"/>
      <c r="H169" s="129"/>
      <c r="I169" s="129"/>
      <c r="J169" s="129"/>
      <c r="K169" s="129"/>
      <c r="L169" s="129"/>
      <c r="M169" s="131"/>
      <c r="N169" s="129"/>
      <c r="O169" s="129"/>
      <c r="P169" s="129"/>
      <c r="Q169" s="129"/>
      <c r="R169" s="129"/>
      <c r="S169" s="129"/>
      <c r="T169" s="129"/>
      <c r="U169" s="129"/>
      <c r="V169" s="129"/>
      <c r="W169" s="129"/>
      <c r="X169" s="129"/>
      <c r="Y169" s="131"/>
      <c r="Z169" s="131"/>
      <c r="AA169" s="132"/>
      <c r="AB169" s="132"/>
      <c r="AC169" s="33"/>
      <c r="AD169" s="33"/>
      <c r="AE169" s="33"/>
      <c r="AF169" s="33"/>
      <c r="AG169" s="27"/>
      <c r="AH169" s="27"/>
      <c r="AI169" s="27"/>
      <c r="AJ169" s="27"/>
      <c r="AK169" s="27"/>
      <c r="AL169" s="27"/>
      <c r="AM169" s="27"/>
      <c r="AN169" s="27"/>
      <c r="AO169" s="27"/>
      <c r="AP169" s="27"/>
    </row>
    <row r="170" spans="2:42" s="120" customFormat="1" hidden="1">
      <c r="B170" s="29"/>
      <c r="C170" s="128"/>
      <c r="D170" s="129"/>
      <c r="E170" s="129"/>
      <c r="F170" s="129"/>
      <c r="G170" s="129"/>
      <c r="H170" s="129"/>
      <c r="I170" s="129"/>
      <c r="J170" s="129"/>
      <c r="K170" s="129"/>
      <c r="L170" s="129"/>
      <c r="M170" s="131"/>
      <c r="N170" s="129"/>
      <c r="O170" s="129"/>
      <c r="P170" s="129"/>
      <c r="Q170" s="129"/>
      <c r="R170" s="129"/>
      <c r="S170" s="129"/>
      <c r="T170" s="129"/>
      <c r="U170" s="129"/>
      <c r="V170" s="129"/>
      <c r="W170" s="129"/>
      <c r="X170" s="129"/>
      <c r="Y170" s="131"/>
      <c r="Z170" s="131"/>
      <c r="AA170" s="132"/>
      <c r="AB170" s="132"/>
      <c r="AC170" s="33"/>
      <c r="AD170" s="33"/>
      <c r="AE170" s="33"/>
      <c r="AF170" s="33"/>
      <c r="AG170" s="27"/>
      <c r="AH170" s="27"/>
      <c r="AI170" s="27"/>
      <c r="AJ170" s="27"/>
      <c r="AK170" s="27"/>
      <c r="AL170" s="27"/>
      <c r="AM170" s="27"/>
      <c r="AN170" s="27"/>
      <c r="AO170" s="27"/>
      <c r="AP170" s="27"/>
    </row>
    <row r="171" spans="2:42" s="120" customFormat="1" hidden="1">
      <c r="B171" s="29"/>
      <c r="C171" s="128"/>
      <c r="D171" s="129"/>
      <c r="E171" s="129"/>
      <c r="F171" s="129"/>
      <c r="G171" s="129"/>
      <c r="H171" s="129"/>
      <c r="I171" s="129"/>
      <c r="J171" s="129"/>
      <c r="K171" s="129"/>
      <c r="L171" s="129"/>
      <c r="M171" s="131"/>
      <c r="N171" s="129"/>
      <c r="O171" s="129"/>
      <c r="P171" s="129"/>
      <c r="Q171" s="129"/>
      <c r="R171" s="129"/>
      <c r="S171" s="129"/>
      <c r="T171" s="129"/>
      <c r="U171" s="129"/>
      <c r="V171" s="129"/>
      <c r="W171" s="129"/>
      <c r="X171" s="129"/>
      <c r="Y171" s="131"/>
      <c r="Z171" s="131"/>
      <c r="AA171" s="132"/>
      <c r="AB171" s="132"/>
      <c r="AC171" s="33"/>
      <c r="AD171" s="33"/>
      <c r="AE171" s="33"/>
      <c r="AF171" s="33"/>
      <c r="AG171" s="27"/>
      <c r="AH171" s="27"/>
      <c r="AI171" s="27"/>
      <c r="AJ171" s="27"/>
      <c r="AK171" s="27"/>
      <c r="AL171" s="27"/>
      <c r="AM171" s="27"/>
      <c r="AN171" s="27"/>
      <c r="AO171" s="27"/>
      <c r="AP171" s="27"/>
    </row>
    <row r="172" spans="2:42" s="120" customFormat="1" hidden="1">
      <c r="B172" s="29"/>
      <c r="C172" s="128"/>
      <c r="D172" s="129"/>
      <c r="E172" s="129"/>
      <c r="F172" s="129"/>
      <c r="G172" s="129"/>
      <c r="H172" s="129"/>
      <c r="I172" s="129"/>
      <c r="J172" s="129"/>
      <c r="K172" s="129"/>
      <c r="L172" s="129"/>
      <c r="M172" s="131"/>
      <c r="N172" s="129"/>
      <c r="O172" s="129"/>
      <c r="P172" s="129"/>
      <c r="Q172" s="129"/>
      <c r="R172" s="129"/>
      <c r="S172" s="129"/>
      <c r="T172" s="129"/>
      <c r="U172" s="129"/>
      <c r="V172" s="129"/>
      <c r="W172" s="129"/>
      <c r="X172" s="129"/>
      <c r="Y172" s="131"/>
      <c r="Z172" s="131"/>
      <c r="AA172" s="132"/>
      <c r="AB172" s="132"/>
      <c r="AC172" s="33"/>
      <c r="AD172" s="33"/>
      <c r="AE172" s="33"/>
      <c r="AF172" s="33"/>
      <c r="AG172" s="27"/>
      <c r="AH172" s="27"/>
      <c r="AI172" s="27"/>
      <c r="AJ172" s="27"/>
      <c r="AK172" s="27"/>
      <c r="AL172" s="27"/>
      <c r="AM172" s="27"/>
      <c r="AN172" s="27"/>
      <c r="AO172" s="27"/>
      <c r="AP172" s="27"/>
    </row>
    <row r="173" spans="2:42" s="120" customFormat="1" hidden="1">
      <c r="B173" s="29"/>
      <c r="C173" s="128"/>
      <c r="D173" s="129"/>
      <c r="E173" s="129"/>
      <c r="F173" s="129"/>
      <c r="G173" s="129"/>
      <c r="H173" s="129"/>
      <c r="I173" s="129"/>
      <c r="J173" s="129"/>
      <c r="K173" s="129"/>
      <c r="L173" s="129"/>
      <c r="M173" s="131"/>
      <c r="N173" s="129"/>
      <c r="O173" s="129"/>
      <c r="P173" s="129"/>
      <c r="Q173" s="129"/>
      <c r="R173" s="129"/>
      <c r="S173" s="129"/>
      <c r="T173" s="129"/>
      <c r="U173" s="129"/>
      <c r="V173" s="129"/>
      <c r="W173" s="129"/>
      <c r="X173" s="129"/>
      <c r="Y173" s="131"/>
      <c r="Z173" s="131"/>
      <c r="AA173" s="132"/>
      <c r="AB173" s="132"/>
      <c r="AC173" s="33"/>
      <c r="AD173" s="33"/>
      <c r="AE173" s="33"/>
      <c r="AF173" s="33"/>
      <c r="AG173" s="27"/>
      <c r="AH173" s="27"/>
      <c r="AI173" s="27"/>
      <c r="AJ173" s="27"/>
      <c r="AK173" s="27"/>
      <c r="AL173" s="27"/>
      <c r="AM173" s="27"/>
      <c r="AN173" s="27"/>
      <c r="AO173" s="27"/>
      <c r="AP173" s="27"/>
    </row>
    <row r="174" spans="2:42" s="120" customFormat="1" hidden="1">
      <c r="B174" s="29"/>
      <c r="C174" s="128"/>
      <c r="D174" s="129"/>
      <c r="E174" s="129"/>
      <c r="F174" s="129"/>
      <c r="G174" s="129"/>
      <c r="H174" s="129"/>
      <c r="I174" s="129"/>
      <c r="J174" s="129"/>
      <c r="K174" s="129"/>
      <c r="L174" s="129"/>
      <c r="M174" s="131"/>
      <c r="N174" s="129"/>
      <c r="O174" s="129"/>
      <c r="P174" s="129"/>
      <c r="Q174" s="129"/>
      <c r="R174" s="129"/>
      <c r="S174" s="129"/>
      <c r="T174" s="129"/>
      <c r="U174" s="129"/>
      <c r="V174" s="129"/>
      <c r="W174" s="129"/>
      <c r="X174" s="129"/>
      <c r="Y174" s="131"/>
      <c r="Z174" s="131"/>
      <c r="AA174" s="132"/>
      <c r="AB174" s="132"/>
      <c r="AC174" s="33"/>
      <c r="AD174" s="33"/>
      <c r="AE174" s="33"/>
      <c r="AF174" s="33"/>
      <c r="AG174" s="27"/>
      <c r="AH174" s="27"/>
      <c r="AI174" s="27"/>
      <c r="AJ174" s="27"/>
      <c r="AK174" s="27"/>
      <c r="AL174" s="27"/>
      <c r="AM174" s="27"/>
      <c r="AN174" s="27"/>
      <c r="AO174" s="27"/>
      <c r="AP174" s="27"/>
    </row>
    <row r="175" spans="2:42" s="120" customFormat="1" hidden="1">
      <c r="B175" s="29"/>
      <c r="C175" s="128"/>
      <c r="D175" s="129"/>
      <c r="E175" s="129"/>
      <c r="F175" s="129"/>
      <c r="G175" s="129"/>
      <c r="H175" s="129"/>
      <c r="I175" s="129"/>
      <c r="J175" s="129"/>
      <c r="K175" s="129"/>
      <c r="L175" s="129"/>
      <c r="M175" s="131"/>
      <c r="N175" s="129"/>
      <c r="O175" s="129"/>
      <c r="P175" s="129"/>
      <c r="Q175" s="129"/>
      <c r="R175" s="129"/>
      <c r="S175" s="129"/>
      <c r="T175" s="129"/>
      <c r="U175" s="129"/>
      <c r="V175" s="129"/>
      <c r="W175" s="129"/>
      <c r="X175" s="129"/>
      <c r="Y175" s="131"/>
      <c r="Z175" s="131"/>
      <c r="AA175" s="132"/>
      <c r="AB175" s="132"/>
      <c r="AC175" s="33"/>
      <c r="AD175" s="33"/>
      <c r="AE175" s="33"/>
      <c r="AF175" s="33"/>
      <c r="AG175" s="27"/>
      <c r="AH175" s="27"/>
      <c r="AI175" s="27"/>
      <c r="AJ175" s="27"/>
      <c r="AK175" s="27"/>
      <c r="AL175" s="27"/>
      <c r="AM175" s="27"/>
      <c r="AN175" s="27"/>
      <c r="AO175" s="27"/>
      <c r="AP175" s="27"/>
    </row>
    <row r="176" spans="2:42" s="120" customFormat="1" hidden="1">
      <c r="B176" s="29"/>
      <c r="C176" s="128"/>
      <c r="D176" s="129"/>
      <c r="E176" s="129"/>
      <c r="F176" s="129"/>
      <c r="G176" s="129"/>
      <c r="H176" s="129"/>
      <c r="I176" s="129"/>
      <c r="J176" s="129"/>
      <c r="K176" s="129"/>
      <c r="L176" s="129"/>
      <c r="M176" s="131"/>
      <c r="N176" s="129"/>
      <c r="O176" s="129"/>
      <c r="P176" s="129"/>
      <c r="Q176" s="129"/>
      <c r="R176" s="129"/>
      <c r="S176" s="129"/>
      <c r="T176" s="129"/>
      <c r="U176" s="129"/>
      <c r="V176" s="129"/>
      <c r="W176" s="129"/>
      <c r="X176" s="129"/>
      <c r="Y176" s="131"/>
      <c r="Z176" s="131"/>
      <c r="AA176" s="132"/>
      <c r="AB176" s="132"/>
      <c r="AC176" s="33"/>
      <c r="AD176" s="33"/>
      <c r="AE176" s="33"/>
      <c r="AF176" s="33"/>
      <c r="AG176" s="27"/>
      <c r="AH176" s="27"/>
      <c r="AI176" s="27"/>
      <c r="AJ176" s="27"/>
      <c r="AK176" s="27"/>
      <c r="AL176" s="27"/>
      <c r="AM176" s="27"/>
      <c r="AN176" s="27"/>
      <c r="AO176" s="27"/>
      <c r="AP176" s="27"/>
    </row>
    <row r="177" spans="2:42" s="120" customFormat="1" hidden="1">
      <c r="B177" s="29"/>
      <c r="C177" s="128"/>
      <c r="D177" s="129"/>
      <c r="E177" s="129"/>
      <c r="F177" s="129"/>
      <c r="G177" s="129"/>
      <c r="H177" s="129"/>
      <c r="I177" s="129"/>
      <c r="J177" s="129"/>
      <c r="K177" s="129"/>
      <c r="L177" s="129"/>
      <c r="M177" s="131"/>
      <c r="N177" s="129"/>
      <c r="O177" s="129"/>
      <c r="P177" s="129"/>
      <c r="Q177" s="129"/>
      <c r="R177" s="129"/>
      <c r="S177" s="129"/>
      <c r="T177" s="129"/>
      <c r="U177" s="129"/>
      <c r="V177" s="129"/>
      <c r="W177" s="129"/>
      <c r="X177" s="129"/>
      <c r="Y177" s="131"/>
      <c r="Z177" s="131"/>
      <c r="AA177" s="132"/>
      <c r="AB177" s="132"/>
      <c r="AC177" s="33"/>
      <c r="AD177" s="33"/>
      <c r="AE177" s="33"/>
      <c r="AF177" s="33"/>
      <c r="AG177" s="27"/>
      <c r="AH177" s="27"/>
      <c r="AI177" s="27"/>
      <c r="AJ177" s="27"/>
      <c r="AK177" s="27"/>
      <c r="AL177" s="27"/>
      <c r="AM177" s="27"/>
      <c r="AN177" s="27"/>
      <c r="AO177" s="27"/>
      <c r="AP177" s="27"/>
    </row>
    <row r="178" spans="2:42" s="120" customFormat="1" hidden="1">
      <c r="B178" s="29"/>
      <c r="C178" s="128"/>
      <c r="D178" s="129"/>
      <c r="E178" s="129"/>
      <c r="F178" s="129"/>
      <c r="G178" s="129"/>
      <c r="H178" s="129"/>
      <c r="I178" s="129"/>
      <c r="J178" s="129"/>
      <c r="K178" s="129"/>
      <c r="L178" s="129"/>
      <c r="M178" s="131"/>
      <c r="N178" s="129"/>
      <c r="O178" s="129"/>
      <c r="P178" s="129"/>
      <c r="Q178" s="129"/>
      <c r="R178" s="129"/>
      <c r="S178" s="129"/>
      <c r="T178" s="129"/>
      <c r="U178" s="129"/>
      <c r="V178" s="129"/>
      <c r="W178" s="129"/>
      <c r="X178" s="129"/>
      <c r="Y178" s="131"/>
      <c r="Z178" s="131"/>
      <c r="AA178" s="132"/>
      <c r="AB178" s="132"/>
      <c r="AC178" s="33"/>
      <c r="AD178" s="33"/>
      <c r="AE178" s="33"/>
      <c r="AF178" s="33"/>
      <c r="AG178" s="27"/>
      <c r="AH178" s="27"/>
      <c r="AI178" s="27"/>
      <c r="AJ178" s="27"/>
      <c r="AK178" s="27"/>
      <c r="AL178" s="27"/>
      <c r="AM178" s="27"/>
      <c r="AN178" s="27"/>
      <c r="AO178" s="27"/>
      <c r="AP178" s="27"/>
    </row>
    <row r="179" spans="2:42" s="120" customFormat="1" hidden="1">
      <c r="B179" s="29"/>
      <c r="C179" s="128"/>
      <c r="D179" s="129"/>
      <c r="E179" s="129"/>
      <c r="F179" s="129"/>
      <c r="G179" s="129"/>
      <c r="H179" s="129"/>
      <c r="I179" s="129"/>
      <c r="J179" s="129"/>
      <c r="K179" s="129"/>
      <c r="L179" s="129"/>
      <c r="M179" s="131"/>
      <c r="N179" s="129"/>
      <c r="O179" s="129"/>
      <c r="P179" s="129"/>
      <c r="Q179" s="129"/>
      <c r="R179" s="129"/>
      <c r="S179" s="129"/>
      <c r="T179" s="129"/>
      <c r="U179" s="129"/>
      <c r="V179" s="129"/>
      <c r="W179" s="129"/>
      <c r="X179" s="129"/>
      <c r="Y179" s="131"/>
      <c r="Z179" s="131"/>
      <c r="AA179" s="132"/>
      <c r="AB179" s="132"/>
      <c r="AC179" s="33"/>
      <c r="AD179" s="33"/>
      <c r="AE179" s="33"/>
      <c r="AF179" s="33"/>
      <c r="AG179" s="27"/>
      <c r="AH179" s="27"/>
      <c r="AI179" s="27"/>
      <c r="AJ179" s="27"/>
      <c r="AK179" s="27"/>
      <c r="AL179" s="27"/>
      <c r="AM179" s="27"/>
      <c r="AN179" s="27"/>
      <c r="AO179" s="27"/>
      <c r="AP179" s="27"/>
    </row>
    <row r="180" spans="2:42" s="120" customFormat="1" hidden="1">
      <c r="B180" s="29"/>
      <c r="C180" s="128"/>
      <c r="D180" s="129"/>
      <c r="E180" s="129"/>
      <c r="F180" s="129"/>
      <c r="G180" s="129"/>
      <c r="H180" s="129"/>
      <c r="I180" s="129"/>
      <c r="J180" s="129"/>
      <c r="K180" s="129"/>
      <c r="L180" s="129"/>
      <c r="M180" s="131"/>
      <c r="N180" s="129"/>
      <c r="O180" s="129"/>
      <c r="P180" s="129"/>
      <c r="Q180" s="129"/>
      <c r="R180" s="129"/>
      <c r="S180" s="129"/>
      <c r="T180" s="129"/>
      <c r="U180" s="129"/>
      <c r="V180" s="129"/>
      <c r="W180" s="129"/>
      <c r="X180" s="129"/>
      <c r="Y180" s="131"/>
      <c r="Z180" s="131"/>
      <c r="AA180" s="132"/>
      <c r="AB180" s="132"/>
      <c r="AC180" s="33"/>
      <c r="AD180" s="33"/>
      <c r="AE180" s="33"/>
      <c r="AF180" s="33"/>
      <c r="AG180" s="27"/>
      <c r="AH180" s="27"/>
      <c r="AI180" s="27"/>
      <c r="AJ180" s="27"/>
      <c r="AK180" s="27"/>
      <c r="AL180" s="27"/>
      <c r="AM180" s="27"/>
      <c r="AN180" s="27"/>
      <c r="AO180" s="27"/>
      <c r="AP180" s="27"/>
    </row>
    <row r="181" spans="2:42" s="120" customFormat="1" hidden="1">
      <c r="B181" s="29"/>
      <c r="C181" s="128"/>
      <c r="D181" s="129"/>
      <c r="E181" s="129"/>
      <c r="F181" s="129"/>
      <c r="G181" s="129"/>
      <c r="H181" s="129"/>
      <c r="I181" s="129"/>
      <c r="J181" s="129"/>
      <c r="K181" s="129"/>
      <c r="L181" s="129"/>
      <c r="M181" s="131"/>
      <c r="N181" s="129"/>
      <c r="O181" s="129"/>
      <c r="P181" s="129"/>
      <c r="Q181" s="129"/>
      <c r="R181" s="129"/>
      <c r="S181" s="129"/>
      <c r="T181" s="129"/>
      <c r="U181" s="129"/>
      <c r="V181" s="129"/>
      <c r="W181" s="129"/>
      <c r="X181" s="129"/>
      <c r="Y181" s="131"/>
      <c r="Z181" s="131"/>
      <c r="AA181" s="132"/>
      <c r="AB181" s="132"/>
      <c r="AC181" s="33"/>
      <c r="AD181" s="33"/>
      <c r="AE181" s="33"/>
      <c r="AF181" s="33"/>
      <c r="AG181" s="27"/>
      <c r="AH181" s="27"/>
      <c r="AI181" s="27"/>
      <c r="AJ181" s="27"/>
      <c r="AK181" s="27"/>
      <c r="AL181" s="27"/>
      <c r="AM181" s="27"/>
      <c r="AN181" s="27"/>
      <c r="AO181" s="27"/>
      <c r="AP181" s="27"/>
    </row>
    <row r="182" spans="2:42" s="120" customFormat="1" hidden="1">
      <c r="B182" s="29"/>
      <c r="C182" s="128"/>
      <c r="D182" s="129"/>
      <c r="E182" s="129"/>
      <c r="F182" s="129"/>
      <c r="G182" s="129"/>
      <c r="H182" s="129"/>
      <c r="I182" s="129"/>
      <c r="J182" s="129"/>
      <c r="K182" s="129"/>
      <c r="L182" s="129"/>
      <c r="M182" s="131"/>
      <c r="N182" s="129"/>
      <c r="O182" s="129"/>
      <c r="P182" s="129"/>
      <c r="Q182" s="129"/>
      <c r="R182" s="129"/>
      <c r="S182" s="129"/>
      <c r="T182" s="129"/>
      <c r="U182" s="129"/>
      <c r="V182" s="129"/>
      <c r="W182" s="129"/>
      <c r="X182" s="129"/>
      <c r="Y182" s="131"/>
      <c r="Z182" s="131"/>
      <c r="AA182" s="132"/>
      <c r="AB182" s="132"/>
      <c r="AC182" s="33"/>
      <c r="AD182" s="33"/>
      <c r="AE182" s="33"/>
      <c r="AF182" s="33"/>
      <c r="AG182" s="27"/>
      <c r="AH182" s="27"/>
      <c r="AI182" s="27"/>
      <c r="AJ182" s="27"/>
      <c r="AK182" s="27"/>
      <c r="AL182" s="27"/>
      <c r="AM182" s="27"/>
      <c r="AN182" s="27"/>
      <c r="AO182" s="27"/>
      <c r="AP182" s="27"/>
    </row>
    <row r="183" spans="2:42" s="120" customFormat="1" hidden="1">
      <c r="B183" s="29"/>
      <c r="C183" s="128"/>
      <c r="D183" s="129"/>
      <c r="E183" s="129"/>
      <c r="F183" s="129"/>
      <c r="G183" s="129"/>
      <c r="H183" s="129"/>
      <c r="I183" s="129"/>
      <c r="J183" s="129"/>
      <c r="K183" s="129"/>
      <c r="L183" s="129"/>
      <c r="M183" s="131"/>
      <c r="N183" s="129"/>
      <c r="O183" s="129"/>
      <c r="P183" s="129"/>
      <c r="Q183" s="129"/>
      <c r="R183" s="129"/>
      <c r="S183" s="129"/>
      <c r="T183" s="129"/>
      <c r="U183" s="129"/>
      <c r="V183" s="129"/>
      <c r="W183" s="129"/>
      <c r="X183" s="129"/>
      <c r="Y183" s="131"/>
      <c r="Z183" s="131"/>
      <c r="AA183" s="132"/>
      <c r="AB183" s="132"/>
      <c r="AC183" s="33"/>
      <c r="AD183" s="33"/>
      <c r="AE183" s="33"/>
      <c r="AF183" s="33"/>
      <c r="AG183" s="27"/>
      <c r="AH183" s="27"/>
      <c r="AI183" s="27"/>
      <c r="AJ183" s="27"/>
      <c r="AK183" s="27"/>
      <c r="AL183" s="27"/>
      <c r="AM183" s="27"/>
      <c r="AN183" s="27"/>
      <c r="AO183" s="27"/>
      <c r="AP183" s="27"/>
    </row>
    <row r="184" spans="2:42" s="120" customFormat="1" hidden="1">
      <c r="B184" s="29"/>
      <c r="C184" s="128"/>
      <c r="D184" s="129"/>
      <c r="E184" s="129"/>
      <c r="F184" s="129"/>
      <c r="G184" s="129"/>
      <c r="H184" s="129"/>
      <c r="I184" s="129"/>
      <c r="J184" s="129"/>
      <c r="K184" s="129"/>
      <c r="L184" s="129"/>
      <c r="M184" s="131"/>
      <c r="N184" s="129"/>
      <c r="O184" s="129"/>
      <c r="P184" s="129"/>
      <c r="Q184" s="129"/>
      <c r="R184" s="129"/>
      <c r="S184" s="129"/>
      <c r="T184" s="129"/>
      <c r="U184" s="129"/>
      <c r="V184" s="129"/>
      <c r="W184" s="129"/>
      <c r="X184" s="129"/>
      <c r="Y184" s="131"/>
      <c r="Z184" s="131"/>
      <c r="AA184" s="132"/>
      <c r="AB184" s="132"/>
      <c r="AC184" s="33"/>
      <c r="AD184" s="33"/>
      <c r="AE184" s="33"/>
      <c r="AF184" s="33"/>
      <c r="AG184" s="27"/>
      <c r="AH184" s="27"/>
      <c r="AI184" s="27"/>
      <c r="AJ184" s="27"/>
      <c r="AK184" s="27"/>
      <c r="AL184" s="27"/>
      <c r="AM184" s="27"/>
      <c r="AN184" s="27"/>
      <c r="AO184" s="27"/>
      <c r="AP184" s="27"/>
    </row>
    <row r="185" spans="2:42" s="120" customFormat="1" hidden="1">
      <c r="B185" s="29"/>
      <c r="C185" s="128"/>
      <c r="D185" s="129"/>
      <c r="E185" s="129"/>
      <c r="F185" s="129"/>
      <c r="G185" s="129"/>
      <c r="H185" s="129"/>
      <c r="I185" s="129"/>
      <c r="J185" s="129"/>
      <c r="K185" s="129"/>
      <c r="L185" s="129"/>
      <c r="M185" s="131"/>
      <c r="N185" s="129"/>
      <c r="O185" s="129"/>
      <c r="P185" s="129"/>
      <c r="Q185" s="129"/>
      <c r="R185" s="129"/>
      <c r="S185" s="129"/>
      <c r="T185" s="129"/>
      <c r="U185" s="129"/>
      <c r="V185" s="129"/>
      <c r="W185" s="129"/>
      <c r="X185" s="129"/>
      <c r="Y185" s="131"/>
      <c r="Z185" s="131"/>
      <c r="AA185" s="132"/>
      <c r="AB185" s="132"/>
      <c r="AC185" s="33"/>
      <c r="AD185" s="33"/>
      <c r="AE185" s="33"/>
      <c r="AF185" s="33"/>
      <c r="AG185" s="27"/>
      <c r="AH185" s="27"/>
      <c r="AI185" s="27"/>
      <c r="AJ185" s="27"/>
      <c r="AK185" s="27"/>
      <c r="AL185" s="27"/>
      <c r="AM185" s="27"/>
      <c r="AN185" s="27"/>
      <c r="AO185" s="27"/>
      <c r="AP185" s="27"/>
    </row>
    <row r="186" spans="2:42" s="120" customFormat="1" hidden="1">
      <c r="B186" s="29"/>
      <c r="C186" s="128"/>
      <c r="D186" s="129"/>
      <c r="E186" s="129"/>
      <c r="F186" s="129"/>
      <c r="G186" s="129"/>
      <c r="H186" s="129"/>
      <c r="I186" s="129"/>
      <c r="J186" s="129"/>
      <c r="K186" s="129"/>
      <c r="L186" s="129"/>
      <c r="M186" s="131"/>
      <c r="N186" s="129"/>
      <c r="O186" s="129"/>
      <c r="P186" s="129"/>
      <c r="Q186" s="129"/>
      <c r="R186" s="129"/>
      <c r="S186" s="129"/>
      <c r="T186" s="129"/>
      <c r="U186" s="129"/>
      <c r="V186" s="129"/>
      <c r="W186" s="129"/>
      <c r="X186" s="129"/>
      <c r="Y186" s="131"/>
      <c r="Z186" s="131"/>
      <c r="AA186" s="132"/>
      <c r="AB186" s="132"/>
      <c r="AC186" s="33"/>
      <c r="AD186" s="33"/>
      <c r="AE186" s="33"/>
      <c r="AF186" s="33"/>
      <c r="AG186" s="27"/>
      <c r="AH186" s="27"/>
      <c r="AI186" s="27"/>
      <c r="AJ186" s="27"/>
      <c r="AK186" s="27"/>
      <c r="AL186" s="27"/>
      <c r="AM186" s="27"/>
      <c r="AN186" s="27"/>
      <c r="AO186" s="27"/>
      <c r="AP186" s="27"/>
    </row>
    <row r="187" spans="2:42" s="120" customFormat="1" hidden="1">
      <c r="B187" s="29"/>
      <c r="C187" s="128"/>
      <c r="D187" s="129"/>
      <c r="E187" s="129"/>
      <c r="F187" s="129"/>
      <c r="G187" s="129"/>
      <c r="H187" s="129"/>
      <c r="I187" s="129"/>
      <c r="J187" s="129"/>
      <c r="K187" s="129"/>
      <c r="L187" s="129"/>
      <c r="M187" s="131"/>
      <c r="N187" s="129"/>
      <c r="O187" s="129"/>
      <c r="P187" s="129"/>
      <c r="Q187" s="129"/>
      <c r="R187" s="129"/>
      <c r="S187" s="129"/>
      <c r="T187" s="129"/>
      <c r="U187" s="129"/>
      <c r="V187" s="129"/>
      <c r="W187" s="129"/>
      <c r="X187" s="129"/>
      <c r="Y187" s="131"/>
      <c r="Z187" s="131"/>
      <c r="AA187" s="132"/>
      <c r="AB187" s="132"/>
      <c r="AC187" s="33"/>
      <c r="AD187" s="33"/>
      <c r="AE187" s="33"/>
      <c r="AF187" s="33"/>
      <c r="AG187" s="27"/>
      <c r="AH187" s="27"/>
      <c r="AI187" s="27"/>
      <c r="AJ187" s="27"/>
      <c r="AK187" s="27"/>
      <c r="AL187" s="27"/>
      <c r="AM187" s="27"/>
      <c r="AN187" s="27"/>
      <c r="AO187" s="27"/>
      <c r="AP187" s="27"/>
    </row>
    <row r="188" spans="2:42" s="120" customFormat="1" hidden="1">
      <c r="B188" s="29"/>
      <c r="C188" s="128"/>
      <c r="D188" s="129"/>
      <c r="E188" s="129"/>
      <c r="F188" s="129"/>
      <c r="G188" s="129"/>
      <c r="H188" s="129"/>
      <c r="I188" s="129"/>
      <c r="J188" s="129"/>
      <c r="K188" s="129"/>
      <c r="L188" s="129"/>
      <c r="M188" s="131"/>
      <c r="N188" s="129"/>
      <c r="O188" s="129"/>
      <c r="P188" s="129"/>
      <c r="Q188" s="129"/>
      <c r="R188" s="129"/>
      <c r="S188" s="129"/>
      <c r="T188" s="129"/>
      <c r="U188" s="129"/>
      <c r="V188" s="129"/>
      <c r="W188" s="129"/>
      <c r="X188" s="129"/>
      <c r="Y188" s="131"/>
      <c r="Z188" s="131"/>
      <c r="AA188" s="132"/>
      <c r="AB188" s="132"/>
      <c r="AC188" s="33"/>
      <c r="AD188" s="33"/>
      <c r="AE188" s="33"/>
      <c r="AF188" s="33"/>
      <c r="AG188" s="27"/>
      <c r="AH188" s="27"/>
      <c r="AI188" s="27"/>
      <c r="AJ188" s="27"/>
      <c r="AK188" s="27"/>
      <c r="AL188" s="27"/>
      <c r="AM188" s="27"/>
      <c r="AN188" s="27"/>
      <c r="AO188" s="27"/>
      <c r="AP188" s="27"/>
    </row>
    <row r="189" spans="2:42" s="120" customFormat="1" hidden="1">
      <c r="B189" s="29"/>
      <c r="C189" s="128"/>
      <c r="D189" s="129"/>
      <c r="E189" s="129"/>
      <c r="F189" s="129"/>
      <c r="G189" s="129"/>
      <c r="H189" s="129"/>
      <c r="I189" s="129"/>
      <c r="J189" s="129"/>
      <c r="K189" s="129"/>
      <c r="L189" s="129"/>
      <c r="M189" s="131"/>
      <c r="N189" s="129"/>
      <c r="O189" s="129"/>
      <c r="P189" s="129"/>
      <c r="Q189" s="129"/>
      <c r="R189" s="129"/>
      <c r="S189" s="129"/>
      <c r="T189" s="129"/>
      <c r="U189" s="129"/>
      <c r="V189" s="129"/>
      <c r="W189" s="129"/>
      <c r="X189" s="129"/>
      <c r="Y189" s="131"/>
      <c r="Z189" s="131"/>
      <c r="AA189" s="132"/>
      <c r="AB189" s="132"/>
      <c r="AC189" s="33"/>
      <c r="AD189" s="33"/>
      <c r="AE189" s="33"/>
      <c r="AF189" s="33"/>
      <c r="AG189" s="27"/>
      <c r="AH189" s="27"/>
      <c r="AI189" s="27"/>
      <c r="AJ189" s="27"/>
      <c r="AK189" s="27"/>
      <c r="AL189" s="27"/>
      <c r="AM189" s="27"/>
      <c r="AN189" s="27"/>
      <c r="AO189" s="27"/>
      <c r="AP189" s="27"/>
    </row>
    <row r="190" spans="2:42" s="120" customFormat="1" hidden="1">
      <c r="B190" s="29"/>
      <c r="C190" s="128"/>
      <c r="D190" s="129"/>
      <c r="E190" s="129"/>
      <c r="F190" s="129"/>
      <c r="G190" s="129"/>
      <c r="H190" s="129"/>
      <c r="I190" s="129"/>
      <c r="J190" s="129"/>
      <c r="K190" s="129"/>
      <c r="L190" s="129"/>
      <c r="M190" s="131"/>
      <c r="N190" s="129"/>
      <c r="O190" s="129"/>
      <c r="P190" s="129"/>
      <c r="Q190" s="129"/>
      <c r="R190" s="129"/>
      <c r="S190" s="129"/>
      <c r="T190" s="129"/>
      <c r="U190" s="129"/>
      <c r="V190" s="129"/>
      <c r="W190" s="129"/>
      <c r="X190" s="129"/>
      <c r="Y190" s="131"/>
      <c r="Z190" s="131"/>
      <c r="AA190" s="132"/>
      <c r="AB190" s="132"/>
      <c r="AC190" s="33"/>
      <c r="AD190" s="33"/>
      <c r="AE190" s="33"/>
      <c r="AF190" s="33"/>
      <c r="AG190" s="27"/>
      <c r="AH190" s="27"/>
      <c r="AI190" s="27"/>
      <c r="AJ190" s="27"/>
      <c r="AK190" s="27"/>
      <c r="AL190" s="27"/>
      <c r="AM190" s="27"/>
      <c r="AN190" s="27"/>
      <c r="AO190" s="27"/>
      <c r="AP190" s="27"/>
    </row>
    <row r="191" spans="2:42" s="120" customFormat="1" hidden="1">
      <c r="B191" s="29"/>
      <c r="C191" s="128"/>
      <c r="D191" s="129"/>
      <c r="E191" s="129"/>
      <c r="F191" s="129"/>
      <c r="G191" s="129"/>
      <c r="H191" s="129"/>
      <c r="I191" s="129"/>
      <c r="J191" s="129"/>
      <c r="K191" s="129"/>
      <c r="L191" s="129"/>
      <c r="M191" s="131"/>
      <c r="N191" s="129"/>
      <c r="O191" s="129"/>
      <c r="P191" s="129"/>
      <c r="Q191" s="129"/>
      <c r="R191" s="129"/>
      <c r="S191" s="129"/>
      <c r="T191" s="129"/>
      <c r="U191" s="129"/>
      <c r="V191" s="129"/>
      <c r="W191" s="129"/>
      <c r="X191" s="129"/>
      <c r="Y191" s="131"/>
      <c r="Z191" s="131"/>
      <c r="AA191" s="132"/>
      <c r="AB191" s="132"/>
      <c r="AC191" s="33"/>
      <c r="AD191" s="33"/>
      <c r="AE191" s="33"/>
      <c r="AF191" s="33"/>
      <c r="AG191" s="27"/>
      <c r="AH191" s="27"/>
      <c r="AI191" s="27"/>
      <c r="AJ191" s="27"/>
      <c r="AK191" s="27"/>
      <c r="AL191" s="27"/>
      <c r="AM191" s="27"/>
      <c r="AN191" s="27"/>
      <c r="AO191" s="27"/>
      <c r="AP191" s="27"/>
    </row>
    <row r="192" spans="2:42" s="120" customFormat="1" hidden="1">
      <c r="B192" s="29"/>
      <c r="C192" s="128"/>
      <c r="D192" s="129"/>
      <c r="E192" s="129"/>
      <c r="F192" s="129"/>
      <c r="G192" s="129"/>
      <c r="H192" s="129"/>
      <c r="I192" s="129"/>
      <c r="J192" s="129"/>
      <c r="K192" s="129"/>
      <c r="L192" s="129"/>
      <c r="M192" s="131"/>
      <c r="N192" s="129"/>
      <c r="O192" s="129"/>
      <c r="P192" s="129"/>
      <c r="Q192" s="129"/>
      <c r="R192" s="129"/>
      <c r="S192" s="129"/>
      <c r="T192" s="129"/>
      <c r="U192" s="129"/>
      <c r="V192" s="129"/>
      <c r="W192" s="129"/>
      <c r="X192" s="129"/>
      <c r="Y192" s="131"/>
      <c r="Z192" s="131"/>
      <c r="AA192" s="132"/>
      <c r="AB192" s="132"/>
      <c r="AC192" s="33"/>
      <c r="AD192" s="33"/>
      <c r="AE192" s="33"/>
      <c r="AF192" s="33"/>
      <c r="AG192" s="27"/>
      <c r="AH192" s="27"/>
      <c r="AI192" s="27"/>
      <c r="AJ192" s="27"/>
      <c r="AK192" s="27"/>
      <c r="AL192" s="27"/>
      <c r="AM192" s="27"/>
      <c r="AN192" s="27"/>
      <c r="AO192" s="27"/>
      <c r="AP192" s="27"/>
    </row>
    <row r="193" spans="2:42" s="120" customFormat="1" hidden="1">
      <c r="B193" s="29"/>
      <c r="C193" s="128"/>
      <c r="D193" s="129"/>
      <c r="E193" s="129"/>
      <c r="F193" s="129"/>
      <c r="G193" s="129"/>
      <c r="H193" s="129"/>
      <c r="I193" s="129"/>
      <c r="J193" s="129"/>
      <c r="K193" s="129"/>
      <c r="L193" s="129"/>
      <c r="M193" s="131"/>
      <c r="N193" s="129"/>
      <c r="O193" s="129"/>
      <c r="P193" s="129"/>
      <c r="Q193" s="129"/>
      <c r="R193" s="129"/>
      <c r="S193" s="129"/>
      <c r="T193" s="129"/>
      <c r="U193" s="129"/>
      <c r="V193" s="129"/>
      <c r="W193" s="129"/>
      <c r="X193" s="129"/>
      <c r="Y193" s="131"/>
      <c r="Z193" s="131"/>
      <c r="AA193" s="132"/>
      <c r="AB193" s="132"/>
      <c r="AC193" s="33"/>
      <c r="AD193" s="33"/>
      <c r="AE193" s="33"/>
      <c r="AF193" s="33"/>
      <c r="AG193" s="27"/>
      <c r="AH193" s="27"/>
      <c r="AI193" s="27"/>
      <c r="AJ193" s="27"/>
      <c r="AK193" s="27"/>
      <c r="AL193" s="27"/>
      <c r="AM193" s="27"/>
      <c r="AN193" s="27"/>
      <c r="AO193" s="27"/>
      <c r="AP193" s="27"/>
    </row>
    <row r="194" spans="2:42" s="120" customFormat="1" hidden="1">
      <c r="B194" s="29"/>
      <c r="C194" s="128"/>
      <c r="D194" s="129"/>
      <c r="E194" s="129"/>
      <c r="F194" s="129"/>
      <c r="G194" s="129"/>
      <c r="H194" s="129"/>
      <c r="I194" s="129"/>
      <c r="J194" s="129"/>
      <c r="K194" s="129"/>
      <c r="L194" s="129"/>
      <c r="M194" s="131"/>
      <c r="N194" s="129"/>
      <c r="O194" s="129"/>
      <c r="P194" s="129"/>
      <c r="Q194" s="129"/>
      <c r="R194" s="129"/>
      <c r="S194" s="129"/>
      <c r="T194" s="129"/>
      <c r="U194" s="129"/>
      <c r="V194" s="129"/>
      <c r="W194" s="129"/>
      <c r="X194" s="129"/>
      <c r="Y194" s="131"/>
      <c r="Z194" s="131"/>
      <c r="AA194" s="132"/>
      <c r="AB194" s="132"/>
      <c r="AC194" s="33"/>
      <c r="AD194" s="33"/>
      <c r="AE194" s="33"/>
      <c r="AF194" s="33"/>
      <c r="AG194" s="27"/>
      <c r="AH194" s="27"/>
      <c r="AI194" s="27"/>
      <c r="AJ194" s="27"/>
      <c r="AK194" s="27"/>
      <c r="AL194" s="27"/>
      <c r="AM194" s="27"/>
      <c r="AN194" s="27"/>
      <c r="AO194" s="27"/>
      <c r="AP194" s="27"/>
    </row>
    <row r="195" spans="2:42" s="120" customFormat="1" hidden="1">
      <c r="B195" s="29"/>
      <c r="C195" s="128"/>
      <c r="D195" s="129"/>
      <c r="E195" s="129"/>
      <c r="F195" s="129"/>
      <c r="G195" s="129"/>
      <c r="H195" s="129"/>
      <c r="I195" s="129"/>
      <c r="J195" s="129"/>
      <c r="K195" s="129"/>
      <c r="L195" s="129"/>
      <c r="M195" s="131"/>
      <c r="N195" s="129"/>
      <c r="O195" s="129"/>
      <c r="P195" s="129"/>
      <c r="Q195" s="129"/>
      <c r="R195" s="129"/>
      <c r="S195" s="129"/>
      <c r="T195" s="129"/>
      <c r="U195" s="129"/>
      <c r="V195" s="129"/>
      <c r="W195" s="129"/>
      <c r="X195" s="129"/>
      <c r="Y195" s="131"/>
      <c r="Z195" s="131"/>
      <c r="AA195" s="132"/>
      <c r="AB195" s="132"/>
      <c r="AC195" s="33"/>
      <c r="AD195" s="33"/>
      <c r="AE195" s="33"/>
      <c r="AF195" s="33"/>
      <c r="AG195" s="27"/>
      <c r="AH195" s="27"/>
      <c r="AI195" s="27"/>
      <c r="AJ195" s="27"/>
      <c r="AK195" s="27"/>
      <c r="AL195" s="27"/>
      <c r="AM195" s="27"/>
      <c r="AN195" s="27"/>
      <c r="AO195" s="27"/>
      <c r="AP195" s="27"/>
    </row>
    <row r="196" spans="2:42" s="120" customFormat="1" hidden="1">
      <c r="B196" s="29"/>
      <c r="C196" s="128"/>
      <c r="D196" s="129"/>
      <c r="E196" s="129"/>
      <c r="F196" s="129"/>
      <c r="G196" s="129"/>
      <c r="H196" s="129"/>
      <c r="I196" s="129"/>
      <c r="J196" s="129"/>
      <c r="K196" s="129"/>
      <c r="L196" s="129"/>
      <c r="M196" s="131"/>
      <c r="N196" s="129"/>
      <c r="O196" s="129"/>
      <c r="P196" s="129"/>
      <c r="Q196" s="129"/>
      <c r="R196" s="129"/>
      <c r="S196" s="129"/>
      <c r="T196" s="129"/>
      <c r="U196" s="129"/>
      <c r="V196" s="129"/>
      <c r="W196" s="129"/>
      <c r="X196" s="129"/>
      <c r="Y196" s="131"/>
      <c r="Z196" s="131"/>
      <c r="AA196" s="132"/>
      <c r="AB196" s="132"/>
      <c r="AC196" s="33"/>
      <c r="AD196" s="33"/>
      <c r="AE196" s="33"/>
      <c r="AF196" s="33"/>
      <c r="AG196" s="27"/>
      <c r="AH196" s="27"/>
      <c r="AI196" s="27"/>
      <c r="AJ196" s="27"/>
      <c r="AK196" s="27"/>
      <c r="AL196" s="27"/>
      <c r="AM196" s="27"/>
      <c r="AN196" s="27"/>
      <c r="AO196" s="27"/>
      <c r="AP196" s="27"/>
    </row>
    <row r="197" spans="2:42" s="120" customFormat="1" hidden="1">
      <c r="B197" s="29"/>
      <c r="C197" s="128"/>
      <c r="D197" s="129"/>
      <c r="E197" s="129"/>
      <c r="F197" s="129"/>
      <c r="G197" s="129"/>
      <c r="H197" s="129"/>
      <c r="I197" s="129"/>
      <c r="J197" s="129"/>
      <c r="K197" s="129"/>
      <c r="L197" s="129"/>
      <c r="M197" s="131"/>
      <c r="N197" s="129"/>
      <c r="O197" s="129"/>
      <c r="P197" s="129"/>
      <c r="Q197" s="129"/>
      <c r="R197" s="129"/>
      <c r="S197" s="129"/>
      <c r="T197" s="129"/>
      <c r="U197" s="129"/>
      <c r="V197" s="129"/>
      <c r="W197" s="129"/>
      <c r="X197" s="129"/>
      <c r="Y197" s="131"/>
      <c r="Z197" s="131"/>
      <c r="AA197" s="132"/>
      <c r="AB197" s="132"/>
      <c r="AC197" s="33"/>
      <c r="AD197" s="33"/>
      <c r="AE197" s="33"/>
      <c r="AF197" s="33"/>
      <c r="AG197" s="27"/>
      <c r="AH197" s="27"/>
      <c r="AI197" s="27"/>
      <c r="AJ197" s="27"/>
      <c r="AK197" s="27"/>
      <c r="AL197" s="27"/>
      <c r="AM197" s="27"/>
      <c r="AN197" s="27"/>
      <c r="AO197" s="27"/>
      <c r="AP197" s="27"/>
    </row>
    <row r="198" spans="2:42" s="120" customFormat="1" hidden="1">
      <c r="B198" s="29"/>
      <c r="C198" s="128"/>
      <c r="D198" s="129"/>
      <c r="E198" s="129"/>
      <c r="F198" s="129"/>
      <c r="G198" s="129"/>
      <c r="H198" s="129"/>
      <c r="I198" s="129"/>
      <c r="J198" s="129"/>
      <c r="K198" s="129"/>
      <c r="L198" s="129"/>
      <c r="M198" s="131"/>
      <c r="N198" s="129"/>
      <c r="O198" s="129"/>
      <c r="P198" s="129"/>
      <c r="Q198" s="129"/>
      <c r="R198" s="129"/>
      <c r="S198" s="129"/>
      <c r="T198" s="129"/>
      <c r="U198" s="129"/>
      <c r="V198" s="129"/>
      <c r="W198" s="129"/>
      <c r="X198" s="129"/>
      <c r="Y198" s="131"/>
      <c r="Z198" s="131"/>
      <c r="AA198" s="132"/>
      <c r="AB198" s="132"/>
      <c r="AC198" s="33"/>
      <c r="AD198" s="33"/>
      <c r="AE198" s="33"/>
      <c r="AF198" s="33"/>
      <c r="AG198" s="27"/>
      <c r="AH198" s="27"/>
      <c r="AI198" s="27"/>
      <c r="AJ198" s="27"/>
      <c r="AK198" s="27"/>
      <c r="AL198" s="27"/>
      <c r="AM198" s="27"/>
      <c r="AN198" s="27"/>
      <c r="AO198" s="27"/>
      <c r="AP198" s="27"/>
    </row>
    <row r="199" spans="2:42" s="120" customFormat="1" hidden="1">
      <c r="B199" s="29"/>
      <c r="C199" s="128"/>
      <c r="D199" s="129"/>
      <c r="E199" s="129"/>
      <c r="F199" s="129"/>
      <c r="G199" s="129"/>
      <c r="H199" s="129"/>
      <c r="I199" s="129"/>
      <c r="J199" s="129"/>
      <c r="K199" s="129"/>
      <c r="L199" s="129"/>
      <c r="M199" s="131"/>
      <c r="N199" s="129"/>
      <c r="O199" s="129"/>
      <c r="P199" s="129"/>
      <c r="Q199" s="129"/>
      <c r="R199" s="129"/>
      <c r="S199" s="129"/>
      <c r="T199" s="129"/>
      <c r="U199" s="129"/>
      <c r="V199" s="129"/>
      <c r="W199" s="129"/>
      <c r="X199" s="129"/>
      <c r="Y199" s="131"/>
      <c r="Z199" s="131"/>
      <c r="AA199" s="132"/>
      <c r="AB199" s="132"/>
      <c r="AC199" s="33"/>
      <c r="AD199" s="33"/>
      <c r="AE199" s="33"/>
      <c r="AF199" s="33"/>
      <c r="AG199" s="27"/>
      <c r="AH199" s="27"/>
      <c r="AI199" s="27"/>
      <c r="AJ199" s="27"/>
      <c r="AK199" s="27"/>
      <c r="AL199" s="27"/>
      <c r="AM199" s="27"/>
      <c r="AN199" s="27"/>
      <c r="AO199" s="27"/>
      <c r="AP199" s="27"/>
    </row>
    <row r="200" spans="2:42" s="120" customFormat="1" hidden="1">
      <c r="B200" s="29"/>
      <c r="C200" s="128"/>
      <c r="D200" s="129"/>
      <c r="E200" s="129"/>
      <c r="F200" s="129"/>
      <c r="G200" s="129"/>
      <c r="H200" s="129"/>
      <c r="I200" s="129"/>
      <c r="J200" s="129"/>
      <c r="K200" s="129"/>
      <c r="L200" s="129"/>
      <c r="M200" s="131"/>
      <c r="N200" s="129"/>
      <c r="O200" s="129"/>
      <c r="P200" s="129"/>
      <c r="Q200" s="129"/>
      <c r="R200" s="129"/>
      <c r="S200" s="129"/>
      <c r="T200" s="129"/>
      <c r="U200" s="129"/>
      <c r="V200" s="129"/>
      <c r="W200" s="129"/>
      <c r="X200" s="129"/>
      <c r="Y200" s="131"/>
      <c r="Z200" s="131"/>
      <c r="AA200" s="132"/>
      <c r="AB200" s="132"/>
      <c r="AC200" s="33"/>
      <c r="AD200" s="33"/>
      <c r="AE200" s="33"/>
      <c r="AF200" s="33"/>
      <c r="AG200" s="27"/>
      <c r="AH200" s="27"/>
      <c r="AI200" s="27"/>
      <c r="AJ200" s="27"/>
      <c r="AK200" s="27"/>
      <c r="AL200" s="27"/>
      <c r="AM200" s="27"/>
      <c r="AN200" s="27"/>
      <c r="AO200" s="27"/>
      <c r="AP200" s="27"/>
    </row>
    <row r="201" spans="2:42" s="120" customFormat="1" hidden="1">
      <c r="B201" s="29"/>
      <c r="C201" s="128"/>
      <c r="D201" s="129"/>
      <c r="E201" s="129"/>
      <c r="F201" s="129"/>
      <c r="G201" s="129"/>
      <c r="H201" s="129"/>
      <c r="I201" s="129"/>
      <c r="J201" s="129"/>
      <c r="K201" s="129"/>
      <c r="L201" s="129"/>
      <c r="M201" s="131"/>
      <c r="N201" s="129"/>
      <c r="O201" s="129"/>
      <c r="P201" s="129"/>
      <c r="Q201" s="129"/>
      <c r="R201" s="129"/>
      <c r="S201" s="129"/>
      <c r="T201" s="129"/>
      <c r="U201" s="129"/>
      <c r="V201" s="129"/>
      <c r="W201" s="129"/>
      <c r="X201" s="129"/>
      <c r="Y201" s="131"/>
      <c r="Z201" s="131"/>
      <c r="AA201" s="132"/>
      <c r="AB201" s="132"/>
      <c r="AC201" s="33"/>
      <c r="AD201" s="33"/>
      <c r="AE201" s="33"/>
      <c r="AF201" s="33"/>
      <c r="AG201" s="27"/>
      <c r="AH201" s="27"/>
      <c r="AI201" s="27"/>
      <c r="AJ201" s="27"/>
      <c r="AK201" s="27"/>
      <c r="AL201" s="27"/>
      <c r="AM201" s="27"/>
      <c r="AN201" s="27"/>
      <c r="AO201" s="27"/>
      <c r="AP201" s="27"/>
    </row>
    <row r="202" spans="2:42" s="120" customFormat="1" hidden="1">
      <c r="B202" s="29"/>
      <c r="C202" s="128"/>
      <c r="D202" s="129"/>
      <c r="E202" s="129"/>
      <c r="F202" s="129"/>
      <c r="G202" s="129"/>
      <c r="H202" s="129"/>
      <c r="I202" s="129"/>
      <c r="J202" s="129"/>
      <c r="K202" s="129"/>
      <c r="L202" s="129"/>
      <c r="M202" s="131"/>
      <c r="N202" s="129"/>
      <c r="O202" s="129"/>
      <c r="P202" s="129"/>
      <c r="Q202" s="129"/>
      <c r="R202" s="129"/>
      <c r="S202" s="129"/>
      <c r="T202" s="129"/>
      <c r="U202" s="129"/>
      <c r="V202" s="129"/>
      <c r="W202" s="129"/>
      <c r="X202" s="129"/>
      <c r="Y202" s="131"/>
      <c r="Z202" s="131"/>
      <c r="AA202" s="132"/>
      <c r="AB202" s="132"/>
      <c r="AC202" s="33"/>
      <c r="AD202" s="33"/>
      <c r="AE202" s="33"/>
      <c r="AF202" s="33"/>
      <c r="AG202" s="27"/>
      <c r="AH202" s="27"/>
      <c r="AI202" s="27"/>
      <c r="AJ202" s="27"/>
      <c r="AK202" s="27"/>
      <c r="AL202" s="27"/>
      <c r="AM202" s="27"/>
      <c r="AN202" s="27"/>
      <c r="AO202" s="27"/>
      <c r="AP202" s="27"/>
    </row>
    <row r="203" spans="2:42" s="120" customFormat="1" hidden="1">
      <c r="B203" s="29"/>
      <c r="C203" s="128"/>
      <c r="D203" s="129"/>
      <c r="E203" s="129"/>
      <c r="F203" s="129"/>
      <c r="G203" s="129"/>
      <c r="H203" s="129"/>
      <c r="I203" s="129"/>
      <c r="J203" s="129"/>
      <c r="K203" s="129"/>
      <c r="L203" s="129"/>
      <c r="M203" s="131"/>
      <c r="N203" s="129"/>
      <c r="O203" s="129"/>
      <c r="P203" s="129"/>
      <c r="Q203" s="129"/>
      <c r="R203" s="129"/>
      <c r="S203" s="129"/>
      <c r="T203" s="129"/>
      <c r="U203" s="129"/>
      <c r="V203" s="129"/>
      <c r="W203" s="129"/>
      <c r="X203" s="129"/>
      <c r="Y203" s="131"/>
      <c r="Z203" s="131"/>
      <c r="AA203" s="132"/>
      <c r="AB203" s="132"/>
      <c r="AC203" s="33"/>
      <c r="AD203" s="33"/>
      <c r="AE203" s="33"/>
      <c r="AF203" s="33"/>
      <c r="AG203" s="27"/>
      <c r="AH203" s="27"/>
      <c r="AI203" s="27"/>
      <c r="AJ203" s="27"/>
      <c r="AK203" s="27"/>
      <c r="AL203" s="27"/>
      <c r="AM203" s="27"/>
      <c r="AN203" s="27"/>
      <c r="AO203" s="27"/>
      <c r="AP203" s="27"/>
    </row>
    <row r="204" spans="2:42" s="120" customFormat="1" hidden="1">
      <c r="B204" s="29"/>
      <c r="C204" s="128"/>
      <c r="D204" s="129"/>
      <c r="E204" s="129"/>
      <c r="F204" s="129"/>
      <c r="G204" s="129"/>
      <c r="H204" s="129"/>
      <c r="I204" s="129"/>
      <c r="J204" s="129"/>
      <c r="K204" s="129"/>
      <c r="L204" s="129"/>
      <c r="M204" s="131"/>
      <c r="N204" s="129"/>
      <c r="O204" s="129"/>
      <c r="P204" s="129"/>
      <c r="Q204" s="129"/>
      <c r="R204" s="129"/>
      <c r="S204" s="129"/>
      <c r="T204" s="129"/>
      <c r="U204" s="129"/>
      <c r="V204" s="129"/>
      <c r="W204" s="129"/>
      <c r="X204" s="129"/>
      <c r="Y204" s="131"/>
      <c r="Z204" s="131"/>
      <c r="AA204" s="132"/>
      <c r="AB204" s="132"/>
      <c r="AC204" s="33"/>
      <c r="AD204" s="33"/>
      <c r="AE204" s="33"/>
      <c r="AF204" s="33"/>
      <c r="AG204" s="27"/>
      <c r="AH204" s="27"/>
      <c r="AI204" s="27"/>
      <c r="AJ204" s="27"/>
      <c r="AK204" s="27"/>
      <c r="AL204" s="27"/>
      <c r="AM204" s="27"/>
      <c r="AN204" s="27"/>
      <c r="AO204" s="27"/>
      <c r="AP204" s="27"/>
    </row>
    <row r="205" spans="2:42" s="120" customFormat="1" hidden="1">
      <c r="B205" s="29"/>
      <c r="C205" s="128"/>
      <c r="D205" s="129"/>
      <c r="E205" s="129"/>
      <c r="F205" s="129"/>
      <c r="G205" s="129"/>
      <c r="H205" s="129"/>
      <c r="I205" s="129"/>
      <c r="J205" s="129"/>
      <c r="K205" s="129"/>
      <c r="L205" s="129"/>
      <c r="M205" s="131"/>
      <c r="N205" s="129"/>
      <c r="O205" s="129"/>
      <c r="P205" s="129"/>
      <c r="Q205" s="129"/>
      <c r="R205" s="129"/>
      <c r="S205" s="129"/>
      <c r="T205" s="129"/>
      <c r="U205" s="129"/>
      <c r="V205" s="129"/>
      <c r="W205" s="129"/>
      <c r="X205" s="129"/>
      <c r="Y205" s="131"/>
      <c r="Z205" s="131"/>
      <c r="AA205" s="132"/>
      <c r="AB205" s="132"/>
      <c r="AC205" s="33"/>
      <c r="AD205" s="33"/>
      <c r="AE205" s="33"/>
      <c r="AF205" s="33"/>
      <c r="AG205" s="27"/>
      <c r="AH205" s="27"/>
      <c r="AI205" s="27"/>
      <c r="AJ205" s="27"/>
      <c r="AK205" s="27"/>
      <c r="AL205" s="27"/>
      <c r="AM205" s="27"/>
      <c r="AN205" s="27"/>
      <c r="AO205" s="27"/>
      <c r="AP205" s="27"/>
    </row>
    <row r="206" spans="2:42" s="120" customFormat="1" hidden="1">
      <c r="B206" s="29"/>
      <c r="C206" s="128"/>
      <c r="D206" s="129"/>
      <c r="E206" s="129"/>
      <c r="F206" s="129"/>
      <c r="G206" s="129"/>
      <c r="H206" s="129"/>
      <c r="I206" s="129"/>
      <c r="J206" s="129"/>
      <c r="K206" s="129"/>
      <c r="L206" s="129"/>
      <c r="M206" s="131"/>
      <c r="N206" s="129"/>
      <c r="O206" s="129"/>
      <c r="P206" s="129"/>
      <c r="Q206" s="129"/>
      <c r="R206" s="129"/>
      <c r="S206" s="129"/>
      <c r="T206" s="129"/>
      <c r="U206" s="129"/>
      <c r="V206" s="129"/>
      <c r="W206" s="129"/>
      <c r="X206" s="129"/>
      <c r="Y206" s="131"/>
      <c r="Z206" s="131"/>
      <c r="AA206" s="132"/>
      <c r="AB206" s="132"/>
      <c r="AC206" s="33"/>
      <c r="AD206" s="33"/>
      <c r="AE206" s="33"/>
      <c r="AF206" s="33"/>
      <c r="AG206" s="27"/>
      <c r="AH206" s="27"/>
      <c r="AI206" s="27"/>
      <c r="AJ206" s="27"/>
      <c r="AK206" s="27"/>
      <c r="AL206" s="27"/>
      <c r="AM206" s="27"/>
      <c r="AN206" s="27"/>
      <c r="AO206" s="27"/>
      <c r="AP206" s="27"/>
    </row>
    <row r="207" spans="2:42" s="120" customFormat="1" hidden="1">
      <c r="B207" s="29"/>
      <c r="C207" s="128"/>
      <c r="D207" s="129"/>
      <c r="E207" s="129"/>
      <c r="F207" s="129"/>
      <c r="G207" s="129"/>
      <c r="H207" s="129"/>
      <c r="I207" s="129"/>
      <c r="J207" s="129"/>
      <c r="K207" s="129"/>
      <c r="L207" s="129"/>
      <c r="M207" s="131"/>
      <c r="N207" s="129"/>
      <c r="O207" s="129"/>
      <c r="P207" s="129"/>
      <c r="Q207" s="129"/>
      <c r="R207" s="129"/>
      <c r="S207" s="129"/>
      <c r="T207" s="129"/>
      <c r="U207" s="129"/>
      <c r="V207" s="129"/>
      <c r="W207" s="129"/>
      <c r="X207" s="129"/>
      <c r="Y207" s="131"/>
      <c r="Z207" s="131"/>
      <c r="AA207" s="132"/>
      <c r="AB207" s="132"/>
      <c r="AC207" s="33"/>
      <c r="AD207" s="33"/>
      <c r="AE207" s="33"/>
      <c r="AF207" s="33"/>
      <c r="AG207" s="27"/>
      <c r="AH207" s="27"/>
      <c r="AI207" s="27"/>
      <c r="AJ207" s="27"/>
      <c r="AK207" s="27"/>
      <c r="AL207" s="27"/>
      <c r="AM207" s="27"/>
      <c r="AN207" s="27"/>
      <c r="AO207" s="27"/>
      <c r="AP207" s="27"/>
    </row>
    <row r="208" spans="2:42" s="120" customFormat="1" hidden="1">
      <c r="B208" s="29"/>
      <c r="C208" s="128"/>
      <c r="D208" s="129"/>
      <c r="E208" s="129"/>
      <c r="F208" s="129"/>
      <c r="G208" s="129"/>
      <c r="H208" s="129"/>
      <c r="I208" s="129"/>
      <c r="J208" s="129"/>
      <c r="K208" s="129"/>
      <c r="L208" s="129"/>
      <c r="M208" s="131"/>
      <c r="N208" s="129"/>
      <c r="O208" s="129"/>
      <c r="P208" s="129"/>
      <c r="Q208" s="129"/>
      <c r="R208" s="129"/>
      <c r="S208" s="129"/>
      <c r="T208" s="129"/>
      <c r="U208" s="129"/>
      <c r="V208" s="129"/>
      <c r="W208" s="129"/>
      <c r="X208" s="129"/>
      <c r="Y208" s="131"/>
      <c r="Z208" s="131"/>
      <c r="AA208" s="132"/>
      <c r="AB208" s="132"/>
      <c r="AC208" s="33"/>
      <c r="AD208" s="33"/>
      <c r="AE208" s="33"/>
      <c r="AF208" s="33"/>
      <c r="AG208" s="27"/>
      <c r="AH208" s="27"/>
      <c r="AI208" s="27"/>
      <c r="AJ208" s="27"/>
      <c r="AK208" s="27"/>
      <c r="AL208" s="27"/>
      <c r="AM208" s="27"/>
      <c r="AN208" s="27"/>
      <c r="AO208" s="27"/>
      <c r="AP208" s="27"/>
    </row>
    <row r="209" spans="2:42" s="120" customFormat="1" hidden="1">
      <c r="B209" s="29"/>
      <c r="C209" s="128"/>
      <c r="D209" s="129"/>
      <c r="E209" s="129"/>
      <c r="F209" s="129"/>
      <c r="G209" s="129"/>
      <c r="H209" s="129"/>
      <c r="I209" s="129"/>
      <c r="J209" s="129"/>
      <c r="K209" s="129"/>
      <c r="L209" s="129"/>
      <c r="M209" s="131"/>
      <c r="N209" s="129"/>
      <c r="O209" s="129"/>
      <c r="P209" s="129"/>
      <c r="Q209" s="129"/>
      <c r="R209" s="129"/>
      <c r="S209" s="129"/>
      <c r="T209" s="129"/>
      <c r="U209" s="129"/>
      <c r="V209" s="129"/>
      <c r="W209" s="129"/>
      <c r="X209" s="129"/>
      <c r="Y209" s="131"/>
      <c r="Z209" s="131"/>
      <c r="AA209" s="132"/>
      <c r="AB209" s="132"/>
      <c r="AC209" s="33"/>
      <c r="AD209" s="33"/>
      <c r="AE209" s="33"/>
      <c r="AF209" s="33"/>
      <c r="AG209" s="27"/>
      <c r="AH209" s="27"/>
      <c r="AI209" s="27"/>
      <c r="AJ209" s="27"/>
      <c r="AK209" s="27"/>
      <c r="AL209" s="27"/>
      <c r="AM209" s="27"/>
      <c r="AN209" s="27"/>
      <c r="AO209" s="27"/>
      <c r="AP209" s="27"/>
    </row>
    <row r="210" spans="2:42" s="120" customFormat="1" hidden="1">
      <c r="B210" s="29"/>
      <c r="C210" s="128"/>
      <c r="D210" s="129"/>
      <c r="E210" s="129"/>
      <c r="F210" s="129"/>
      <c r="G210" s="129"/>
      <c r="H210" s="129"/>
      <c r="I210" s="129"/>
      <c r="J210" s="129"/>
      <c r="K210" s="129"/>
      <c r="L210" s="129"/>
      <c r="M210" s="131"/>
      <c r="N210" s="129"/>
      <c r="O210" s="129"/>
      <c r="P210" s="129"/>
      <c r="Q210" s="129"/>
      <c r="R210" s="129"/>
      <c r="S210" s="129"/>
      <c r="T210" s="129"/>
      <c r="U210" s="129"/>
      <c r="V210" s="129"/>
      <c r="W210" s="129"/>
      <c r="X210" s="129"/>
      <c r="Y210" s="131"/>
      <c r="Z210" s="131"/>
      <c r="AA210" s="132"/>
      <c r="AB210" s="132"/>
      <c r="AC210" s="33"/>
      <c r="AD210" s="33"/>
      <c r="AE210" s="33"/>
      <c r="AF210" s="33"/>
      <c r="AG210" s="27"/>
      <c r="AH210" s="27"/>
      <c r="AI210" s="27"/>
      <c r="AJ210" s="27"/>
      <c r="AK210" s="27"/>
      <c r="AL210" s="27"/>
      <c r="AM210" s="27"/>
      <c r="AN210" s="27"/>
      <c r="AO210" s="27"/>
      <c r="AP210" s="27"/>
    </row>
    <row r="211" spans="2:42" s="120" customFormat="1" hidden="1">
      <c r="B211" s="29"/>
      <c r="C211" s="128"/>
      <c r="D211" s="129"/>
      <c r="E211" s="129"/>
      <c r="F211" s="129"/>
      <c r="G211" s="129"/>
      <c r="H211" s="129"/>
      <c r="I211" s="129"/>
      <c r="J211" s="129"/>
      <c r="K211" s="129"/>
      <c r="L211" s="129"/>
      <c r="M211" s="131"/>
      <c r="N211" s="129"/>
      <c r="O211" s="129"/>
      <c r="P211" s="129"/>
      <c r="Q211" s="129"/>
      <c r="R211" s="129"/>
      <c r="S211" s="129"/>
      <c r="T211" s="129"/>
      <c r="U211" s="129"/>
      <c r="V211" s="129"/>
      <c r="W211" s="129"/>
      <c r="X211" s="129"/>
      <c r="Y211" s="131"/>
      <c r="Z211" s="131"/>
      <c r="AA211" s="132"/>
      <c r="AB211" s="132"/>
      <c r="AC211" s="33"/>
      <c r="AD211" s="33"/>
      <c r="AE211" s="33"/>
      <c r="AF211" s="33"/>
      <c r="AG211" s="27"/>
      <c r="AH211" s="27"/>
      <c r="AI211" s="27"/>
      <c r="AJ211" s="27"/>
      <c r="AK211" s="27"/>
      <c r="AL211" s="27"/>
      <c r="AM211" s="27"/>
      <c r="AN211" s="27"/>
      <c r="AO211" s="27"/>
      <c r="AP211" s="27"/>
    </row>
    <row r="212" spans="2:42" s="120" customFormat="1" hidden="1">
      <c r="B212" s="29"/>
      <c r="C212" s="128"/>
      <c r="D212" s="129"/>
      <c r="E212" s="129"/>
      <c r="F212" s="129"/>
      <c r="G212" s="129"/>
      <c r="H212" s="129"/>
      <c r="I212" s="129"/>
      <c r="J212" s="129"/>
      <c r="K212" s="129"/>
      <c r="L212" s="129"/>
      <c r="M212" s="131"/>
      <c r="N212" s="129"/>
      <c r="O212" s="129"/>
      <c r="P212" s="129"/>
      <c r="Q212" s="129"/>
      <c r="R212" s="129"/>
      <c r="S212" s="129"/>
      <c r="T212" s="129"/>
      <c r="U212" s="129"/>
      <c r="V212" s="129"/>
      <c r="W212" s="129"/>
      <c r="X212" s="129"/>
      <c r="Y212" s="131"/>
      <c r="Z212" s="131"/>
      <c r="AA212" s="132"/>
      <c r="AB212" s="132"/>
      <c r="AC212" s="33"/>
      <c r="AD212" s="33"/>
      <c r="AE212" s="33"/>
      <c r="AF212" s="33"/>
      <c r="AG212" s="27"/>
      <c r="AH212" s="27"/>
      <c r="AI212" s="27"/>
      <c r="AJ212" s="27"/>
      <c r="AK212" s="27"/>
      <c r="AL212" s="27"/>
      <c r="AM212" s="27"/>
      <c r="AN212" s="27"/>
      <c r="AO212" s="27"/>
      <c r="AP212" s="27"/>
    </row>
    <row r="213" spans="2:42" s="120" customFormat="1" hidden="1">
      <c r="B213" s="29"/>
      <c r="C213" s="128"/>
      <c r="D213" s="129"/>
      <c r="E213" s="129"/>
      <c r="F213" s="129"/>
      <c r="G213" s="129"/>
      <c r="H213" s="129"/>
      <c r="I213" s="129"/>
      <c r="J213" s="129"/>
      <c r="K213" s="129"/>
      <c r="L213" s="129"/>
      <c r="M213" s="131"/>
      <c r="N213" s="129"/>
      <c r="O213" s="129"/>
      <c r="P213" s="129"/>
      <c r="Q213" s="129"/>
      <c r="R213" s="129"/>
      <c r="S213" s="129"/>
      <c r="T213" s="129"/>
      <c r="U213" s="129"/>
      <c r="V213" s="129"/>
      <c r="W213" s="129"/>
      <c r="X213" s="129"/>
      <c r="Y213" s="131"/>
      <c r="Z213" s="131"/>
      <c r="AA213" s="132"/>
      <c r="AB213" s="132"/>
      <c r="AC213" s="33"/>
      <c r="AD213" s="33"/>
      <c r="AE213" s="33"/>
      <c r="AF213" s="33"/>
      <c r="AG213" s="27"/>
      <c r="AH213" s="27"/>
      <c r="AI213" s="27"/>
      <c r="AJ213" s="27"/>
      <c r="AK213" s="27"/>
      <c r="AL213" s="27"/>
      <c r="AM213" s="27"/>
      <c r="AN213" s="27"/>
      <c r="AO213" s="27"/>
      <c r="AP213" s="27"/>
    </row>
    <row r="214" spans="2:42" s="120" customFormat="1" hidden="1">
      <c r="B214" s="29"/>
      <c r="C214" s="128"/>
      <c r="D214" s="129"/>
      <c r="E214" s="129"/>
      <c r="F214" s="129"/>
      <c r="G214" s="129"/>
      <c r="H214" s="129"/>
      <c r="I214" s="129"/>
      <c r="J214" s="129"/>
      <c r="K214" s="129"/>
      <c r="L214" s="129"/>
      <c r="M214" s="131"/>
      <c r="N214" s="129"/>
      <c r="O214" s="129"/>
      <c r="P214" s="129"/>
      <c r="Q214" s="129"/>
      <c r="R214" s="129"/>
      <c r="S214" s="129"/>
      <c r="T214" s="129"/>
      <c r="U214" s="129"/>
      <c r="V214" s="129"/>
      <c r="W214" s="129"/>
      <c r="X214" s="129"/>
      <c r="Y214" s="131"/>
      <c r="Z214" s="131"/>
      <c r="AA214" s="132"/>
      <c r="AB214" s="132"/>
      <c r="AC214" s="33"/>
      <c r="AD214" s="33"/>
      <c r="AE214" s="33"/>
      <c r="AF214" s="33"/>
      <c r="AG214" s="27"/>
      <c r="AH214" s="27"/>
      <c r="AI214" s="27"/>
      <c r="AJ214" s="27"/>
      <c r="AK214" s="27"/>
      <c r="AL214" s="27"/>
      <c r="AM214" s="27"/>
      <c r="AN214" s="27"/>
      <c r="AO214" s="27"/>
      <c r="AP214" s="27"/>
    </row>
    <row r="215" spans="2:42" s="120" customFormat="1" hidden="1">
      <c r="B215" s="29"/>
      <c r="C215" s="128"/>
      <c r="D215" s="129"/>
      <c r="E215" s="129"/>
      <c r="F215" s="129"/>
      <c r="G215" s="129"/>
      <c r="H215" s="129"/>
      <c r="I215" s="129"/>
      <c r="J215" s="129"/>
      <c r="K215" s="129"/>
      <c r="L215" s="129"/>
      <c r="M215" s="131"/>
      <c r="N215" s="129"/>
      <c r="O215" s="129"/>
      <c r="P215" s="129"/>
      <c r="Q215" s="129"/>
      <c r="R215" s="129"/>
      <c r="S215" s="129"/>
      <c r="T215" s="129"/>
      <c r="U215" s="129"/>
      <c r="V215" s="129"/>
      <c r="W215" s="129"/>
      <c r="X215" s="129"/>
      <c r="Y215" s="131"/>
      <c r="Z215" s="131"/>
      <c r="AA215" s="132"/>
      <c r="AB215" s="132"/>
      <c r="AC215" s="33"/>
      <c r="AD215" s="33"/>
      <c r="AE215" s="33"/>
      <c r="AF215" s="33"/>
      <c r="AG215" s="27"/>
      <c r="AH215" s="27"/>
      <c r="AI215" s="27"/>
      <c r="AJ215" s="27"/>
      <c r="AK215" s="27"/>
      <c r="AL215" s="27"/>
      <c r="AM215" s="27"/>
      <c r="AN215" s="27"/>
      <c r="AO215" s="27"/>
      <c r="AP215" s="27"/>
    </row>
    <row r="216" spans="2:42" s="120" customFormat="1" hidden="1">
      <c r="B216" s="29"/>
      <c r="C216" s="128"/>
      <c r="D216" s="129"/>
      <c r="E216" s="129"/>
      <c r="F216" s="129"/>
      <c r="G216" s="129"/>
      <c r="H216" s="129"/>
      <c r="I216" s="129"/>
      <c r="J216" s="129"/>
      <c r="K216" s="129"/>
      <c r="L216" s="129"/>
      <c r="M216" s="131"/>
      <c r="N216" s="129"/>
      <c r="O216" s="129"/>
      <c r="P216" s="129"/>
      <c r="Q216" s="129"/>
      <c r="R216" s="129"/>
      <c r="S216" s="129"/>
      <c r="T216" s="129"/>
      <c r="U216" s="129"/>
      <c r="V216" s="129"/>
      <c r="W216" s="129"/>
      <c r="X216" s="129"/>
      <c r="Y216" s="131"/>
      <c r="Z216" s="131"/>
      <c r="AA216" s="132"/>
      <c r="AB216" s="132"/>
      <c r="AC216" s="33"/>
      <c r="AD216" s="33"/>
      <c r="AE216" s="33"/>
      <c r="AF216" s="33"/>
      <c r="AG216" s="27"/>
      <c r="AH216" s="27"/>
      <c r="AI216" s="27"/>
      <c r="AJ216" s="27"/>
      <c r="AK216" s="27"/>
      <c r="AL216" s="27"/>
      <c r="AM216" s="27"/>
      <c r="AN216" s="27"/>
      <c r="AO216" s="27"/>
      <c r="AP216" s="27"/>
    </row>
    <row r="217" spans="2:42" s="120" customFormat="1" hidden="1">
      <c r="B217" s="29"/>
      <c r="C217" s="128"/>
      <c r="D217" s="129"/>
      <c r="E217" s="129"/>
      <c r="F217" s="129"/>
      <c r="G217" s="129"/>
      <c r="H217" s="129"/>
      <c r="I217" s="129"/>
      <c r="J217" s="129"/>
      <c r="K217" s="129"/>
      <c r="L217" s="129"/>
      <c r="M217" s="131"/>
      <c r="N217" s="129"/>
      <c r="O217" s="129"/>
      <c r="P217" s="129"/>
      <c r="Q217" s="129"/>
      <c r="R217" s="129"/>
      <c r="S217" s="129"/>
      <c r="T217" s="129"/>
      <c r="U217" s="129"/>
      <c r="V217" s="129"/>
      <c r="W217" s="129"/>
      <c r="X217" s="129"/>
      <c r="Y217" s="131"/>
      <c r="Z217" s="131"/>
      <c r="AA217" s="132"/>
      <c r="AB217" s="132"/>
      <c r="AC217" s="33"/>
      <c r="AD217" s="33"/>
      <c r="AE217" s="33"/>
      <c r="AF217" s="33"/>
      <c r="AG217" s="27"/>
      <c r="AH217" s="27"/>
      <c r="AI217" s="27"/>
      <c r="AJ217" s="27"/>
      <c r="AK217" s="27"/>
      <c r="AL217" s="27"/>
      <c r="AM217" s="27"/>
      <c r="AN217" s="27"/>
      <c r="AO217" s="27"/>
      <c r="AP217" s="27"/>
    </row>
    <row r="218" spans="2:42" s="120" customFormat="1" hidden="1">
      <c r="B218" s="29"/>
      <c r="C218" s="128"/>
      <c r="D218" s="129"/>
      <c r="E218" s="129"/>
      <c r="F218" s="129"/>
      <c r="G218" s="129"/>
      <c r="H218" s="129"/>
      <c r="I218" s="129"/>
      <c r="J218" s="129"/>
      <c r="K218" s="129"/>
      <c r="L218" s="129"/>
      <c r="M218" s="131"/>
      <c r="N218" s="129"/>
      <c r="O218" s="129"/>
      <c r="P218" s="129"/>
      <c r="Q218" s="129"/>
      <c r="R218" s="129"/>
      <c r="S218" s="129"/>
      <c r="T218" s="129"/>
      <c r="U218" s="129"/>
      <c r="V218" s="129"/>
      <c r="W218" s="129"/>
      <c r="X218" s="129"/>
      <c r="Y218" s="131"/>
      <c r="Z218" s="131"/>
      <c r="AA218" s="132"/>
      <c r="AB218" s="132"/>
      <c r="AC218" s="33"/>
      <c r="AD218" s="33"/>
      <c r="AE218" s="33"/>
      <c r="AF218" s="33"/>
      <c r="AG218" s="27"/>
      <c r="AH218" s="27"/>
      <c r="AI218" s="27"/>
      <c r="AJ218" s="27"/>
      <c r="AK218" s="27"/>
      <c r="AL218" s="27"/>
      <c r="AM218" s="27"/>
      <c r="AN218" s="27"/>
      <c r="AO218" s="27"/>
      <c r="AP218" s="27"/>
    </row>
    <row r="219" spans="2:42" s="120" customFormat="1" hidden="1">
      <c r="B219" s="29"/>
      <c r="C219" s="128"/>
      <c r="D219" s="129"/>
      <c r="E219" s="129"/>
      <c r="F219" s="129"/>
      <c r="G219" s="129"/>
      <c r="H219" s="129"/>
      <c r="I219" s="129"/>
      <c r="J219" s="129"/>
      <c r="K219" s="129"/>
      <c r="L219" s="129"/>
      <c r="M219" s="131"/>
      <c r="N219" s="129"/>
      <c r="O219" s="129"/>
      <c r="P219" s="129"/>
      <c r="Q219" s="129"/>
      <c r="R219" s="129"/>
      <c r="S219" s="129"/>
      <c r="T219" s="129"/>
      <c r="U219" s="129"/>
      <c r="V219" s="129"/>
      <c r="W219" s="129"/>
      <c r="X219" s="129"/>
      <c r="Y219" s="131"/>
      <c r="Z219" s="131"/>
      <c r="AA219" s="132"/>
      <c r="AB219" s="132"/>
      <c r="AC219" s="33"/>
      <c r="AD219" s="33"/>
      <c r="AE219" s="33"/>
      <c r="AF219" s="33"/>
      <c r="AG219" s="27"/>
      <c r="AH219" s="27"/>
      <c r="AI219" s="27"/>
      <c r="AJ219" s="27"/>
      <c r="AK219" s="27"/>
      <c r="AL219" s="27"/>
      <c r="AM219" s="27"/>
      <c r="AN219" s="27"/>
      <c r="AO219" s="27"/>
      <c r="AP219" s="27"/>
    </row>
    <row r="220" spans="2:42" s="120" customFormat="1" hidden="1">
      <c r="B220" s="29"/>
      <c r="C220" s="128"/>
      <c r="D220" s="129"/>
      <c r="E220" s="129"/>
      <c r="F220" s="129"/>
      <c r="G220" s="129"/>
      <c r="H220" s="129"/>
      <c r="I220" s="129"/>
      <c r="J220" s="129"/>
      <c r="K220" s="129"/>
      <c r="L220" s="129"/>
      <c r="M220" s="131"/>
      <c r="N220" s="129"/>
      <c r="O220" s="129"/>
      <c r="P220" s="129"/>
      <c r="Q220" s="129"/>
      <c r="R220" s="129"/>
      <c r="S220" s="129"/>
      <c r="T220" s="129"/>
      <c r="U220" s="129"/>
      <c r="V220" s="129"/>
      <c r="W220" s="129"/>
      <c r="X220" s="129"/>
      <c r="Y220" s="131"/>
      <c r="Z220" s="131"/>
      <c r="AA220" s="132"/>
      <c r="AB220" s="132"/>
      <c r="AC220" s="33"/>
      <c r="AD220" s="33"/>
      <c r="AE220" s="33"/>
      <c r="AF220" s="33"/>
      <c r="AG220" s="27"/>
      <c r="AH220" s="27"/>
      <c r="AI220" s="27"/>
      <c r="AJ220" s="27"/>
      <c r="AK220" s="27"/>
      <c r="AL220" s="27"/>
      <c r="AM220" s="27"/>
      <c r="AN220" s="27"/>
      <c r="AO220" s="27"/>
      <c r="AP220" s="27"/>
    </row>
    <row r="221" spans="2:42" s="120" customFormat="1" hidden="1">
      <c r="B221" s="29"/>
      <c r="C221" s="128"/>
      <c r="D221" s="129"/>
      <c r="E221" s="129"/>
      <c r="F221" s="129"/>
      <c r="G221" s="129"/>
      <c r="H221" s="129"/>
      <c r="I221" s="129"/>
      <c r="J221" s="129"/>
      <c r="K221" s="129"/>
      <c r="L221" s="129"/>
      <c r="M221" s="131"/>
      <c r="N221" s="129"/>
      <c r="O221" s="129"/>
      <c r="P221" s="129"/>
      <c r="Q221" s="129"/>
      <c r="R221" s="129"/>
      <c r="S221" s="129"/>
      <c r="T221" s="129"/>
      <c r="U221" s="129"/>
      <c r="V221" s="129"/>
      <c r="W221" s="129"/>
      <c r="X221" s="129"/>
      <c r="Y221" s="131"/>
      <c r="Z221" s="131"/>
      <c r="AA221" s="132"/>
      <c r="AB221" s="132"/>
      <c r="AC221" s="33"/>
      <c r="AD221" s="33"/>
      <c r="AE221" s="33"/>
      <c r="AF221" s="33"/>
      <c r="AG221" s="27"/>
      <c r="AH221" s="27"/>
      <c r="AI221" s="27"/>
      <c r="AJ221" s="27"/>
      <c r="AK221" s="27"/>
      <c r="AL221" s="27"/>
      <c r="AM221" s="27"/>
      <c r="AN221" s="27"/>
      <c r="AO221" s="27"/>
      <c r="AP221" s="27"/>
    </row>
    <row r="222" spans="2:42" s="120" customFormat="1" hidden="1">
      <c r="B222" s="29"/>
      <c r="C222" s="128"/>
      <c r="D222" s="129"/>
      <c r="E222" s="129"/>
      <c r="F222" s="129"/>
      <c r="G222" s="129"/>
      <c r="H222" s="129"/>
      <c r="I222" s="129"/>
      <c r="J222" s="129"/>
      <c r="K222" s="129"/>
      <c r="L222" s="129"/>
      <c r="M222" s="131"/>
      <c r="N222" s="129"/>
      <c r="O222" s="129"/>
      <c r="P222" s="129"/>
      <c r="Q222" s="129"/>
      <c r="R222" s="129"/>
      <c r="S222" s="129"/>
      <c r="T222" s="129"/>
      <c r="U222" s="129"/>
      <c r="V222" s="129"/>
      <c r="W222" s="129"/>
      <c r="X222" s="129"/>
      <c r="Y222" s="131"/>
      <c r="Z222" s="131"/>
      <c r="AA222" s="132"/>
      <c r="AB222" s="132"/>
      <c r="AC222" s="33"/>
      <c r="AD222" s="33"/>
      <c r="AE222" s="33"/>
      <c r="AF222" s="33"/>
      <c r="AG222" s="27"/>
      <c r="AH222" s="27"/>
      <c r="AI222" s="27"/>
      <c r="AJ222" s="27"/>
      <c r="AK222" s="27"/>
      <c r="AL222" s="27"/>
      <c r="AM222" s="27"/>
      <c r="AN222" s="27"/>
      <c r="AO222" s="27"/>
      <c r="AP222" s="27"/>
    </row>
    <row r="223" spans="2:42" s="120" customFormat="1" hidden="1">
      <c r="B223" s="29"/>
      <c r="C223" s="128"/>
      <c r="D223" s="129"/>
      <c r="E223" s="129"/>
      <c r="F223" s="129"/>
      <c r="G223" s="129"/>
      <c r="H223" s="129"/>
      <c r="I223" s="129"/>
      <c r="J223" s="129"/>
      <c r="K223" s="129"/>
      <c r="L223" s="129"/>
      <c r="M223" s="131"/>
      <c r="N223" s="129"/>
      <c r="O223" s="129"/>
      <c r="P223" s="129"/>
      <c r="Q223" s="129"/>
      <c r="R223" s="129"/>
      <c r="S223" s="129"/>
      <c r="T223" s="129"/>
      <c r="U223" s="129"/>
      <c r="V223" s="129"/>
      <c r="W223" s="129"/>
      <c r="X223" s="129"/>
      <c r="Y223" s="131"/>
      <c r="Z223" s="131"/>
      <c r="AA223" s="132"/>
      <c r="AB223" s="132"/>
      <c r="AC223" s="33"/>
      <c r="AD223" s="33"/>
      <c r="AE223" s="33"/>
      <c r="AF223" s="33"/>
      <c r="AG223" s="27"/>
      <c r="AH223" s="27"/>
      <c r="AI223" s="27"/>
      <c r="AJ223" s="27"/>
      <c r="AK223" s="27"/>
      <c r="AL223" s="27"/>
      <c r="AM223" s="27"/>
      <c r="AN223" s="27"/>
      <c r="AO223" s="27"/>
      <c r="AP223" s="27"/>
    </row>
    <row r="224" spans="2:42" s="120" customFormat="1" hidden="1">
      <c r="B224" s="29"/>
      <c r="C224" s="128"/>
      <c r="D224" s="129"/>
      <c r="E224" s="129"/>
      <c r="F224" s="129"/>
      <c r="G224" s="129"/>
      <c r="H224" s="129"/>
      <c r="I224" s="129"/>
      <c r="J224" s="129"/>
      <c r="K224" s="129"/>
      <c r="L224" s="129"/>
      <c r="M224" s="131"/>
      <c r="N224" s="129"/>
      <c r="O224" s="129"/>
      <c r="P224" s="129"/>
      <c r="Q224" s="129"/>
      <c r="R224" s="129"/>
      <c r="S224" s="129"/>
      <c r="T224" s="129"/>
      <c r="U224" s="129"/>
      <c r="V224" s="129"/>
      <c r="W224" s="129"/>
      <c r="X224" s="129"/>
      <c r="Y224" s="131"/>
      <c r="Z224" s="131"/>
      <c r="AA224" s="132"/>
      <c r="AB224" s="132"/>
      <c r="AC224" s="33"/>
      <c r="AD224" s="33"/>
      <c r="AE224" s="33"/>
      <c r="AF224" s="33"/>
      <c r="AG224" s="27"/>
      <c r="AH224" s="27"/>
      <c r="AI224" s="27"/>
      <c r="AJ224" s="27"/>
      <c r="AK224" s="27"/>
      <c r="AL224" s="27"/>
      <c r="AM224" s="27"/>
      <c r="AN224" s="27"/>
      <c r="AO224" s="27"/>
      <c r="AP224" s="27"/>
    </row>
    <row r="225" spans="2:42" s="120" customFormat="1" hidden="1">
      <c r="B225" s="29"/>
      <c r="C225" s="128"/>
      <c r="D225" s="129"/>
      <c r="E225" s="129"/>
      <c r="F225" s="129"/>
      <c r="G225" s="129"/>
      <c r="H225" s="129"/>
      <c r="I225" s="129"/>
      <c r="J225" s="129"/>
      <c r="K225" s="129"/>
      <c r="L225" s="129"/>
      <c r="M225" s="131"/>
      <c r="N225" s="129"/>
      <c r="O225" s="129"/>
      <c r="P225" s="129"/>
      <c r="Q225" s="129"/>
      <c r="R225" s="129"/>
      <c r="S225" s="129"/>
      <c r="T225" s="129"/>
      <c r="U225" s="129"/>
      <c r="V225" s="129"/>
      <c r="W225" s="129"/>
      <c r="X225" s="129"/>
      <c r="Y225" s="131"/>
      <c r="Z225" s="131"/>
      <c r="AA225" s="132"/>
      <c r="AB225" s="132"/>
      <c r="AC225" s="33"/>
      <c r="AD225" s="33"/>
      <c r="AE225" s="33"/>
      <c r="AF225" s="33"/>
      <c r="AG225" s="27"/>
      <c r="AH225" s="27"/>
      <c r="AI225" s="27"/>
      <c r="AJ225" s="27"/>
      <c r="AK225" s="27"/>
      <c r="AL225" s="27"/>
      <c r="AM225" s="27"/>
      <c r="AN225" s="27"/>
      <c r="AO225" s="27"/>
      <c r="AP225" s="27"/>
    </row>
    <row r="226" spans="2:42" s="120" customFormat="1" hidden="1">
      <c r="B226" s="29"/>
      <c r="C226" s="128"/>
      <c r="D226" s="129"/>
      <c r="E226" s="129"/>
      <c r="F226" s="129"/>
      <c r="G226" s="129"/>
      <c r="H226" s="129"/>
      <c r="I226" s="129"/>
      <c r="J226" s="129"/>
      <c r="K226" s="129"/>
      <c r="L226" s="129"/>
      <c r="M226" s="131"/>
      <c r="N226" s="129"/>
      <c r="O226" s="129"/>
      <c r="P226" s="129"/>
      <c r="Q226" s="129"/>
      <c r="R226" s="129"/>
      <c r="S226" s="129"/>
      <c r="T226" s="129"/>
      <c r="U226" s="129"/>
      <c r="V226" s="129"/>
      <c r="W226" s="129"/>
      <c r="X226" s="129"/>
      <c r="Y226" s="131"/>
      <c r="Z226" s="131"/>
      <c r="AA226" s="132"/>
      <c r="AB226" s="132"/>
      <c r="AC226" s="33"/>
      <c r="AD226" s="33"/>
      <c r="AE226" s="33"/>
      <c r="AF226" s="33"/>
      <c r="AG226" s="27"/>
      <c r="AH226" s="27"/>
      <c r="AI226" s="27"/>
      <c r="AJ226" s="27"/>
      <c r="AK226" s="27"/>
      <c r="AL226" s="27"/>
      <c r="AM226" s="27"/>
      <c r="AN226" s="27"/>
      <c r="AO226" s="27"/>
      <c r="AP226" s="27"/>
    </row>
    <row r="227" spans="2:42" s="120" customFormat="1" hidden="1">
      <c r="B227" s="29"/>
      <c r="C227" s="128"/>
      <c r="D227" s="129"/>
      <c r="E227" s="129"/>
      <c r="F227" s="129"/>
      <c r="G227" s="129"/>
      <c r="H227" s="129"/>
      <c r="I227" s="129"/>
      <c r="J227" s="129"/>
      <c r="K227" s="129"/>
      <c r="L227" s="129"/>
      <c r="M227" s="131"/>
      <c r="N227" s="129"/>
      <c r="O227" s="129"/>
      <c r="P227" s="129"/>
      <c r="Q227" s="129"/>
      <c r="R227" s="129"/>
      <c r="S227" s="129"/>
      <c r="T227" s="129"/>
      <c r="U227" s="129"/>
      <c r="V227" s="129"/>
      <c r="W227" s="129"/>
      <c r="X227" s="129"/>
      <c r="Y227" s="131"/>
      <c r="Z227" s="131"/>
      <c r="AA227" s="132"/>
      <c r="AB227" s="132"/>
      <c r="AC227" s="33"/>
      <c r="AD227" s="33"/>
      <c r="AE227" s="33"/>
      <c r="AF227" s="33"/>
      <c r="AG227" s="27"/>
      <c r="AH227" s="27"/>
      <c r="AI227" s="27"/>
      <c r="AJ227" s="27"/>
      <c r="AK227" s="27"/>
      <c r="AL227" s="27"/>
      <c r="AM227" s="27"/>
      <c r="AN227" s="27"/>
      <c r="AO227" s="27"/>
      <c r="AP227" s="27"/>
    </row>
    <row r="228" spans="2:42" s="120" customFormat="1" hidden="1">
      <c r="B228" s="29"/>
      <c r="C228" s="128"/>
      <c r="D228" s="129"/>
      <c r="E228" s="129"/>
      <c r="F228" s="129"/>
      <c r="G228" s="129"/>
      <c r="H228" s="129"/>
      <c r="I228" s="129"/>
      <c r="J228" s="129"/>
      <c r="K228" s="129"/>
      <c r="L228" s="129"/>
      <c r="M228" s="131"/>
      <c r="N228" s="129"/>
      <c r="O228" s="129"/>
      <c r="P228" s="129"/>
      <c r="Q228" s="129"/>
      <c r="R228" s="129"/>
      <c r="S228" s="129"/>
      <c r="T228" s="129"/>
      <c r="U228" s="129"/>
      <c r="V228" s="129"/>
      <c r="W228" s="129"/>
      <c r="X228" s="129"/>
      <c r="Y228" s="131"/>
      <c r="Z228" s="131"/>
      <c r="AA228" s="132"/>
      <c r="AB228" s="132"/>
      <c r="AC228" s="33"/>
      <c r="AD228" s="33"/>
      <c r="AE228" s="33"/>
      <c r="AF228" s="33"/>
      <c r="AG228" s="27"/>
      <c r="AH228" s="27"/>
      <c r="AI228" s="27"/>
      <c r="AJ228" s="27"/>
      <c r="AK228" s="27"/>
      <c r="AL228" s="27"/>
      <c r="AM228" s="27"/>
      <c r="AN228" s="27"/>
      <c r="AO228" s="27"/>
      <c r="AP228" s="27"/>
    </row>
    <row r="229" spans="2:42" s="120" customFormat="1" hidden="1">
      <c r="B229" s="29"/>
      <c r="C229" s="128"/>
      <c r="D229" s="129"/>
      <c r="E229" s="129"/>
      <c r="F229" s="129"/>
      <c r="G229" s="129"/>
      <c r="H229" s="129"/>
      <c r="I229" s="129"/>
      <c r="J229" s="129"/>
      <c r="K229" s="129"/>
      <c r="L229" s="129"/>
      <c r="M229" s="131"/>
      <c r="N229" s="129"/>
      <c r="O229" s="129"/>
      <c r="P229" s="129"/>
      <c r="Q229" s="129"/>
      <c r="R229" s="129"/>
      <c r="S229" s="129"/>
      <c r="T229" s="129"/>
      <c r="U229" s="129"/>
      <c r="V229" s="129"/>
      <c r="W229" s="129"/>
      <c r="X229" s="129"/>
      <c r="Y229" s="131"/>
      <c r="Z229" s="131"/>
      <c r="AA229" s="132"/>
      <c r="AB229" s="132"/>
      <c r="AC229" s="33"/>
      <c r="AD229" s="33"/>
      <c r="AE229" s="33"/>
      <c r="AF229" s="33"/>
      <c r="AG229" s="27"/>
      <c r="AH229" s="27"/>
      <c r="AI229" s="27"/>
      <c r="AJ229" s="27"/>
      <c r="AK229" s="27"/>
      <c r="AL229" s="27"/>
      <c r="AM229" s="27"/>
      <c r="AN229" s="27"/>
      <c r="AO229" s="27"/>
      <c r="AP229" s="27"/>
    </row>
    <row r="230" spans="2:42" s="120" customFormat="1" hidden="1">
      <c r="B230" s="29"/>
      <c r="C230" s="128"/>
      <c r="D230" s="129"/>
      <c r="E230" s="129"/>
      <c r="F230" s="129"/>
      <c r="G230" s="129"/>
      <c r="H230" s="129"/>
      <c r="I230" s="129"/>
      <c r="J230" s="129"/>
      <c r="K230" s="129"/>
      <c r="L230" s="129"/>
      <c r="M230" s="131"/>
      <c r="N230" s="129"/>
      <c r="O230" s="129"/>
      <c r="P230" s="129"/>
      <c r="Q230" s="129"/>
      <c r="R230" s="129"/>
      <c r="S230" s="129"/>
      <c r="T230" s="129"/>
      <c r="U230" s="129"/>
      <c r="V230" s="129"/>
      <c r="W230" s="129"/>
      <c r="X230" s="129"/>
      <c r="Y230" s="131"/>
      <c r="Z230" s="131"/>
      <c r="AA230" s="132"/>
      <c r="AB230" s="132"/>
      <c r="AC230" s="33"/>
      <c r="AD230" s="33"/>
      <c r="AE230" s="33"/>
      <c r="AF230" s="33"/>
      <c r="AG230" s="27"/>
      <c r="AH230" s="27"/>
      <c r="AI230" s="27"/>
      <c r="AJ230" s="27"/>
      <c r="AK230" s="27"/>
      <c r="AL230" s="27"/>
      <c r="AM230" s="27"/>
      <c r="AN230" s="27"/>
      <c r="AO230" s="27"/>
      <c r="AP230" s="27"/>
    </row>
    <row r="231" spans="2:42" s="120" customFormat="1" hidden="1">
      <c r="B231" s="29"/>
      <c r="C231" s="128"/>
      <c r="D231" s="129"/>
      <c r="E231" s="129"/>
      <c r="F231" s="129"/>
      <c r="G231" s="129"/>
      <c r="H231" s="129"/>
      <c r="I231" s="129"/>
      <c r="J231" s="129"/>
      <c r="K231" s="129"/>
      <c r="L231" s="129"/>
      <c r="M231" s="131"/>
      <c r="N231" s="129"/>
      <c r="O231" s="129"/>
      <c r="P231" s="129"/>
      <c r="Q231" s="129"/>
      <c r="R231" s="129"/>
      <c r="S231" s="129"/>
      <c r="T231" s="129"/>
      <c r="U231" s="129"/>
      <c r="V231" s="129"/>
      <c r="W231" s="129"/>
      <c r="X231" s="129"/>
      <c r="Y231" s="131"/>
      <c r="Z231" s="131"/>
      <c r="AA231" s="132"/>
      <c r="AB231" s="132"/>
      <c r="AC231" s="33"/>
      <c r="AD231" s="33"/>
      <c r="AE231" s="33"/>
      <c r="AF231" s="33"/>
      <c r="AG231" s="27"/>
      <c r="AH231" s="27"/>
      <c r="AI231" s="27"/>
      <c r="AJ231" s="27"/>
      <c r="AK231" s="27"/>
      <c r="AL231" s="27"/>
      <c r="AM231" s="27"/>
      <c r="AN231" s="27"/>
      <c r="AO231" s="27"/>
      <c r="AP231" s="27"/>
    </row>
    <row r="232" spans="2:42" s="120" customFormat="1" hidden="1">
      <c r="B232" s="29"/>
      <c r="C232" s="128"/>
      <c r="D232" s="129"/>
      <c r="E232" s="129"/>
      <c r="F232" s="129"/>
      <c r="G232" s="129"/>
      <c r="H232" s="129"/>
      <c r="I232" s="129"/>
      <c r="J232" s="129"/>
      <c r="K232" s="129"/>
      <c r="L232" s="129"/>
      <c r="M232" s="131"/>
      <c r="N232" s="129"/>
      <c r="O232" s="129"/>
      <c r="P232" s="129"/>
      <c r="Q232" s="129"/>
      <c r="R232" s="129"/>
      <c r="S232" s="129"/>
      <c r="T232" s="129"/>
      <c r="U232" s="129"/>
      <c r="V232" s="129"/>
      <c r="W232" s="129"/>
      <c r="X232" s="129"/>
      <c r="Y232" s="131"/>
      <c r="Z232" s="131"/>
      <c r="AA232" s="132"/>
      <c r="AB232" s="132"/>
      <c r="AC232" s="33"/>
      <c r="AD232" s="33"/>
      <c r="AE232" s="33"/>
      <c r="AF232" s="33"/>
      <c r="AG232" s="27"/>
      <c r="AH232" s="27"/>
      <c r="AI232" s="27"/>
      <c r="AJ232" s="27"/>
      <c r="AK232" s="27"/>
      <c r="AL232" s="27"/>
      <c r="AM232" s="27"/>
      <c r="AN232" s="27"/>
      <c r="AO232" s="27"/>
      <c r="AP232" s="27"/>
    </row>
    <row r="233" spans="2:42" s="120" customFormat="1" hidden="1">
      <c r="B233" s="29"/>
      <c r="C233" s="128"/>
      <c r="D233" s="129"/>
      <c r="E233" s="129"/>
      <c r="F233" s="129"/>
      <c r="G233" s="129"/>
      <c r="H233" s="129"/>
      <c r="I233" s="129"/>
      <c r="J233" s="129"/>
      <c r="K233" s="129"/>
      <c r="L233" s="129"/>
      <c r="M233" s="131"/>
      <c r="N233" s="129"/>
      <c r="O233" s="129"/>
      <c r="P233" s="129"/>
      <c r="Q233" s="129"/>
      <c r="R233" s="129"/>
      <c r="S233" s="129"/>
      <c r="T233" s="129"/>
      <c r="U233" s="129"/>
      <c r="V233" s="129"/>
      <c r="W233" s="129"/>
      <c r="X233" s="129"/>
      <c r="Y233" s="131"/>
      <c r="Z233" s="131"/>
      <c r="AA233" s="132"/>
      <c r="AB233" s="132"/>
      <c r="AC233" s="33"/>
      <c r="AD233" s="33"/>
      <c r="AE233" s="33"/>
      <c r="AF233" s="33"/>
      <c r="AG233" s="27"/>
      <c r="AH233" s="27"/>
      <c r="AI233" s="27"/>
      <c r="AJ233" s="27"/>
      <c r="AK233" s="27"/>
      <c r="AL233" s="27"/>
      <c r="AM233" s="27"/>
      <c r="AN233" s="27"/>
      <c r="AO233" s="27"/>
      <c r="AP233" s="27"/>
    </row>
    <row r="234" spans="2:42" s="120" customFormat="1" hidden="1">
      <c r="B234" s="29"/>
      <c r="C234" s="128"/>
      <c r="D234" s="129"/>
      <c r="E234" s="129"/>
      <c r="F234" s="129"/>
      <c r="G234" s="129"/>
      <c r="H234" s="129"/>
      <c r="I234" s="129"/>
      <c r="J234" s="129"/>
      <c r="K234" s="129"/>
      <c r="L234" s="129"/>
      <c r="M234" s="131"/>
      <c r="N234" s="129"/>
      <c r="O234" s="129"/>
      <c r="P234" s="129"/>
      <c r="Q234" s="129"/>
      <c r="R234" s="129"/>
      <c r="S234" s="129"/>
      <c r="T234" s="129"/>
      <c r="U234" s="129"/>
      <c r="V234" s="129"/>
      <c r="W234" s="129"/>
      <c r="X234" s="129"/>
      <c r="Y234" s="131"/>
      <c r="Z234" s="131"/>
      <c r="AA234" s="132"/>
      <c r="AB234" s="132"/>
      <c r="AC234" s="33"/>
      <c r="AD234" s="33"/>
      <c r="AE234" s="33"/>
      <c r="AF234" s="33"/>
      <c r="AG234" s="27"/>
      <c r="AH234" s="27"/>
      <c r="AI234" s="27"/>
      <c r="AJ234" s="27"/>
      <c r="AK234" s="27"/>
      <c r="AL234" s="27"/>
      <c r="AM234" s="27"/>
      <c r="AN234" s="27"/>
      <c r="AO234" s="27"/>
      <c r="AP234" s="27"/>
    </row>
    <row r="235" spans="2:42" s="120" customFormat="1" hidden="1">
      <c r="B235" s="29"/>
      <c r="C235" s="128"/>
      <c r="D235" s="129"/>
      <c r="E235" s="129"/>
      <c r="F235" s="129"/>
      <c r="G235" s="129"/>
      <c r="H235" s="129"/>
      <c r="I235" s="129"/>
      <c r="J235" s="129"/>
      <c r="K235" s="129"/>
      <c r="L235" s="129"/>
      <c r="M235" s="131"/>
      <c r="N235" s="129"/>
      <c r="O235" s="129"/>
      <c r="P235" s="129"/>
      <c r="Q235" s="129"/>
      <c r="R235" s="129"/>
      <c r="S235" s="129"/>
      <c r="T235" s="129"/>
      <c r="U235" s="129"/>
      <c r="V235" s="129"/>
      <c r="W235" s="129"/>
      <c r="X235" s="129"/>
      <c r="Y235" s="131"/>
      <c r="Z235" s="131"/>
      <c r="AA235" s="132"/>
      <c r="AB235" s="132"/>
      <c r="AC235" s="33"/>
      <c r="AD235" s="33"/>
      <c r="AE235" s="33"/>
      <c r="AF235" s="33"/>
      <c r="AG235" s="27"/>
      <c r="AH235" s="27"/>
      <c r="AI235" s="27"/>
      <c r="AJ235" s="27"/>
      <c r="AK235" s="27"/>
      <c r="AL235" s="27"/>
      <c r="AM235" s="27"/>
      <c r="AN235" s="27"/>
      <c r="AO235" s="27"/>
      <c r="AP235" s="27"/>
    </row>
    <row r="236" spans="2:42" s="120" customFormat="1" hidden="1">
      <c r="B236" s="29"/>
      <c r="C236" s="128"/>
      <c r="D236" s="129"/>
      <c r="E236" s="129"/>
      <c r="F236" s="129"/>
      <c r="G236" s="129"/>
      <c r="H236" s="129"/>
      <c r="I236" s="129"/>
      <c r="J236" s="129"/>
      <c r="K236" s="129"/>
      <c r="L236" s="129"/>
      <c r="M236" s="131"/>
      <c r="N236" s="129"/>
      <c r="O236" s="129"/>
      <c r="P236" s="129"/>
      <c r="Q236" s="129"/>
      <c r="R236" s="129"/>
      <c r="S236" s="129"/>
      <c r="T236" s="129"/>
      <c r="U236" s="129"/>
      <c r="V236" s="129"/>
      <c r="W236" s="129"/>
      <c r="X236" s="129"/>
      <c r="Y236" s="131"/>
      <c r="Z236" s="131"/>
      <c r="AA236" s="132"/>
      <c r="AB236" s="132"/>
      <c r="AC236" s="33"/>
      <c r="AD236" s="33"/>
      <c r="AE236" s="33"/>
      <c r="AF236" s="33"/>
      <c r="AG236" s="27"/>
      <c r="AH236" s="27"/>
      <c r="AI236" s="27"/>
      <c r="AJ236" s="27"/>
      <c r="AK236" s="27"/>
      <c r="AL236" s="27"/>
      <c r="AM236" s="27"/>
      <c r="AN236" s="27"/>
      <c r="AO236" s="27"/>
      <c r="AP236" s="27"/>
    </row>
    <row r="237" spans="2:42" s="120" customFormat="1" hidden="1">
      <c r="B237" s="29"/>
      <c r="C237" s="128"/>
      <c r="D237" s="129"/>
      <c r="E237" s="129"/>
      <c r="F237" s="129"/>
      <c r="G237" s="129"/>
      <c r="H237" s="129"/>
      <c r="I237" s="129"/>
      <c r="J237" s="129"/>
      <c r="K237" s="129"/>
      <c r="L237" s="129"/>
      <c r="M237" s="131"/>
      <c r="N237" s="129"/>
      <c r="O237" s="129"/>
      <c r="P237" s="129"/>
      <c r="Q237" s="129"/>
      <c r="R237" s="129"/>
      <c r="S237" s="129"/>
      <c r="T237" s="129"/>
      <c r="U237" s="129"/>
      <c r="V237" s="129"/>
      <c r="W237" s="129"/>
      <c r="X237" s="129"/>
      <c r="Y237" s="131"/>
      <c r="Z237" s="131"/>
      <c r="AA237" s="132"/>
      <c r="AB237" s="132"/>
      <c r="AC237" s="33"/>
      <c r="AD237" s="33"/>
      <c r="AE237" s="33"/>
      <c r="AF237" s="33"/>
      <c r="AG237" s="27"/>
      <c r="AH237" s="27"/>
      <c r="AI237" s="27"/>
      <c r="AJ237" s="27"/>
      <c r="AK237" s="27"/>
      <c r="AL237" s="27"/>
      <c r="AM237" s="27"/>
      <c r="AN237" s="27"/>
      <c r="AO237" s="27"/>
      <c r="AP237" s="27"/>
    </row>
    <row r="238" spans="2:42" s="120" customFormat="1" hidden="1">
      <c r="B238" s="29"/>
      <c r="C238" s="128"/>
      <c r="D238" s="129"/>
      <c r="E238" s="129"/>
      <c r="F238" s="129"/>
      <c r="G238" s="129"/>
      <c r="H238" s="129"/>
      <c r="I238" s="129"/>
      <c r="J238" s="129"/>
      <c r="K238" s="129"/>
      <c r="L238" s="129"/>
      <c r="M238" s="131"/>
      <c r="N238" s="129"/>
      <c r="O238" s="129"/>
      <c r="P238" s="129"/>
      <c r="Q238" s="129"/>
      <c r="R238" s="129"/>
      <c r="S238" s="129"/>
      <c r="T238" s="129"/>
      <c r="U238" s="129"/>
      <c r="V238" s="129"/>
      <c r="W238" s="129"/>
      <c r="X238" s="129"/>
      <c r="Y238" s="131"/>
      <c r="Z238" s="131"/>
      <c r="AA238" s="132"/>
      <c r="AB238" s="132"/>
      <c r="AC238" s="33"/>
      <c r="AD238" s="33"/>
      <c r="AE238" s="33"/>
      <c r="AF238" s="33"/>
      <c r="AG238" s="27"/>
      <c r="AH238" s="27"/>
      <c r="AI238" s="27"/>
      <c r="AJ238" s="27"/>
      <c r="AK238" s="27"/>
      <c r="AL238" s="27"/>
      <c r="AM238" s="27"/>
      <c r="AN238" s="27"/>
      <c r="AO238" s="27"/>
      <c r="AP238" s="27"/>
    </row>
    <row r="239" spans="2:42" s="120" customFormat="1" hidden="1">
      <c r="B239" s="29"/>
      <c r="C239" s="128"/>
      <c r="D239" s="129"/>
      <c r="E239" s="129"/>
      <c r="F239" s="129"/>
      <c r="G239" s="129"/>
      <c r="H239" s="129"/>
      <c r="I239" s="129"/>
      <c r="J239" s="129"/>
      <c r="K239" s="129"/>
      <c r="L239" s="129"/>
      <c r="M239" s="131"/>
      <c r="N239" s="129"/>
      <c r="O239" s="129"/>
      <c r="P239" s="129"/>
      <c r="Q239" s="129"/>
      <c r="R239" s="129"/>
      <c r="S239" s="129"/>
      <c r="T239" s="129"/>
      <c r="U239" s="129"/>
      <c r="V239" s="129"/>
      <c r="W239" s="129"/>
      <c r="X239" s="129"/>
      <c r="Y239" s="131"/>
      <c r="Z239" s="131"/>
      <c r="AA239" s="132"/>
      <c r="AB239" s="132"/>
      <c r="AC239" s="33"/>
      <c r="AD239" s="33"/>
      <c r="AE239" s="33"/>
      <c r="AF239" s="33"/>
      <c r="AG239" s="27"/>
      <c r="AH239" s="27"/>
      <c r="AI239" s="27"/>
      <c r="AJ239" s="27"/>
      <c r="AK239" s="27"/>
      <c r="AL239" s="27"/>
      <c r="AM239" s="27"/>
      <c r="AN239" s="27"/>
      <c r="AO239" s="27"/>
      <c r="AP239" s="27"/>
    </row>
    <row r="240" spans="2:42" s="120" customFormat="1" hidden="1">
      <c r="B240" s="29"/>
      <c r="C240" s="128"/>
      <c r="D240" s="129"/>
      <c r="E240" s="129"/>
      <c r="F240" s="129"/>
      <c r="G240" s="129"/>
      <c r="H240" s="129"/>
      <c r="I240" s="129"/>
      <c r="J240" s="129"/>
      <c r="K240" s="129"/>
      <c r="L240" s="129"/>
      <c r="M240" s="131"/>
      <c r="N240" s="129"/>
      <c r="O240" s="129"/>
      <c r="P240" s="129"/>
      <c r="Q240" s="129"/>
      <c r="R240" s="129"/>
      <c r="S240" s="129"/>
      <c r="T240" s="129"/>
      <c r="U240" s="129"/>
      <c r="V240" s="129"/>
      <c r="W240" s="129"/>
      <c r="X240" s="129"/>
      <c r="Y240" s="131"/>
      <c r="Z240" s="131"/>
      <c r="AA240" s="132"/>
      <c r="AB240" s="132"/>
      <c r="AC240" s="33"/>
      <c r="AD240" s="33"/>
      <c r="AE240" s="33"/>
      <c r="AF240" s="33"/>
      <c r="AG240" s="27"/>
      <c r="AH240" s="27"/>
      <c r="AI240" s="27"/>
      <c r="AJ240" s="27"/>
      <c r="AK240" s="27"/>
      <c r="AL240" s="27"/>
      <c r="AM240" s="27"/>
      <c r="AN240" s="27"/>
      <c r="AO240" s="27"/>
      <c r="AP240" s="27"/>
    </row>
    <row r="241" spans="2:42" s="120" customFormat="1" hidden="1">
      <c r="B241" s="29"/>
      <c r="C241" s="128"/>
      <c r="D241" s="129"/>
      <c r="E241" s="129"/>
      <c r="F241" s="129"/>
      <c r="G241" s="129"/>
      <c r="H241" s="129"/>
      <c r="I241" s="129"/>
      <c r="J241" s="129"/>
      <c r="K241" s="129"/>
      <c r="L241" s="129"/>
      <c r="M241" s="131"/>
      <c r="N241" s="129"/>
      <c r="O241" s="129"/>
      <c r="P241" s="129"/>
      <c r="Q241" s="129"/>
      <c r="R241" s="129"/>
      <c r="S241" s="129"/>
      <c r="T241" s="129"/>
      <c r="U241" s="129"/>
      <c r="V241" s="129"/>
      <c r="W241" s="129"/>
      <c r="X241" s="129"/>
      <c r="Y241" s="131"/>
      <c r="Z241" s="131"/>
      <c r="AA241" s="132"/>
      <c r="AB241" s="132"/>
      <c r="AC241" s="33"/>
      <c r="AD241" s="33"/>
      <c r="AE241" s="33"/>
      <c r="AF241" s="33"/>
      <c r="AG241" s="27"/>
      <c r="AH241" s="27"/>
      <c r="AI241" s="27"/>
      <c r="AJ241" s="27"/>
      <c r="AK241" s="27"/>
      <c r="AL241" s="27"/>
      <c r="AM241" s="27"/>
      <c r="AN241" s="27"/>
      <c r="AO241" s="27"/>
      <c r="AP241" s="27"/>
    </row>
    <row r="242" spans="2:42" s="120" customFormat="1" hidden="1">
      <c r="B242" s="29"/>
      <c r="C242" s="128"/>
      <c r="D242" s="129"/>
      <c r="E242" s="129"/>
      <c r="F242" s="129"/>
      <c r="G242" s="129"/>
      <c r="H242" s="129"/>
      <c r="I242" s="129"/>
      <c r="J242" s="129"/>
      <c r="K242" s="129"/>
      <c r="L242" s="129"/>
      <c r="M242" s="131"/>
      <c r="N242" s="129"/>
      <c r="O242" s="129"/>
      <c r="P242" s="129"/>
      <c r="Q242" s="129"/>
      <c r="R242" s="129"/>
      <c r="S242" s="129"/>
      <c r="T242" s="129"/>
      <c r="U242" s="129"/>
      <c r="V242" s="129"/>
      <c r="W242" s="129"/>
      <c r="X242" s="129"/>
      <c r="Y242" s="131"/>
      <c r="Z242" s="131"/>
      <c r="AA242" s="132"/>
      <c r="AB242" s="132"/>
      <c r="AC242" s="33"/>
      <c r="AD242" s="33"/>
      <c r="AE242" s="33"/>
      <c r="AF242" s="33"/>
      <c r="AG242" s="27"/>
      <c r="AH242" s="27"/>
      <c r="AI242" s="27"/>
      <c r="AJ242" s="27"/>
      <c r="AK242" s="27"/>
      <c r="AL242" s="27"/>
      <c r="AM242" s="27"/>
      <c r="AN242" s="27"/>
      <c r="AO242" s="27"/>
      <c r="AP242" s="27"/>
    </row>
    <row r="243" spans="2:42" s="120" customFormat="1" hidden="1">
      <c r="B243" s="29"/>
      <c r="C243" s="128"/>
      <c r="D243" s="129"/>
      <c r="E243" s="129"/>
      <c r="F243" s="129"/>
      <c r="G243" s="129"/>
      <c r="H243" s="129"/>
      <c r="I243" s="129"/>
      <c r="J243" s="129"/>
      <c r="K243" s="129"/>
      <c r="L243" s="129"/>
      <c r="M243" s="131"/>
      <c r="N243" s="129"/>
      <c r="O243" s="129"/>
      <c r="P243" s="129"/>
      <c r="Q243" s="129"/>
      <c r="R243" s="129"/>
      <c r="S243" s="129"/>
      <c r="T243" s="129"/>
      <c r="U243" s="129"/>
      <c r="V243" s="129"/>
      <c r="W243" s="129"/>
      <c r="X243" s="129"/>
      <c r="Y243" s="131"/>
      <c r="Z243" s="131"/>
      <c r="AA243" s="132"/>
      <c r="AB243" s="132"/>
      <c r="AC243" s="33"/>
      <c r="AD243" s="33"/>
      <c r="AE243" s="33"/>
      <c r="AF243" s="33"/>
      <c r="AG243" s="27"/>
      <c r="AH243" s="27"/>
      <c r="AI243" s="27"/>
      <c r="AJ243" s="27"/>
      <c r="AK243" s="27"/>
      <c r="AL243" s="27"/>
      <c r="AM243" s="27"/>
      <c r="AN243" s="27"/>
      <c r="AO243" s="27"/>
      <c r="AP243" s="27"/>
    </row>
    <row r="244" spans="2:42" s="120" customFormat="1" hidden="1">
      <c r="B244" s="29"/>
      <c r="C244" s="128"/>
      <c r="D244" s="129"/>
      <c r="E244" s="129"/>
      <c r="F244" s="129"/>
      <c r="G244" s="129"/>
      <c r="H244" s="129"/>
      <c r="I244" s="129"/>
      <c r="J244" s="129"/>
      <c r="K244" s="129"/>
      <c r="L244" s="129"/>
      <c r="M244" s="131"/>
      <c r="N244" s="129"/>
      <c r="O244" s="129"/>
      <c r="P244" s="129"/>
      <c r="Q244" s="129"/>
      <c r="R244" s="129"/>
      <c r="S244" s="129"/>
      <c r="T244" s="129"/>
      <c r="U244" s="129"/>
      <c r="V244" s="129"/>
      <c r="W244" s="129"/>
      <c r="X244" s="129"/>
      <c r="Y244" s="131"/>
      <c r="Z244" s="131"/>
      <c r="AA244" s="132"/>
      <c r="AB244" s="132"/>
      <c r="AC244" s="33"/>
      <c r="AD244" s="33"/>
      <c r="AE244" s="33"/>
      <c r="AF244" s="33"/>
      <c r="AG244" s="27"/>
      <c r="AH244" s="27"/>
      <c r="AI244" s="27"/>
      <c r="AJ244" s="27"/>
      <c r="AK244" s="27"/>
      <c r="AL244" s="27"/>
      <c r="AM244" s="27"/>
      <c r="AN244" s="27"/>
      <c r="AO244" s="27"/>
      <c r="AP244" s="27"/>
    </row>
    <row r="245" spans="2:42" s="120" customFormat="1" hidden="1">
      <c r="B245" s="29"/>
      <c r="C245" s="128"/>
      <c r="D245" s="129"/>
      <c r="E245" s="129"/>
      <c r="F245" s="129"/>
      <c r="G245" s="129"/>
      <c r="H245" s="129"/>
      <c r="I245" s="129"/>
      <c r="J245" s="129"/>
      <c r="K245" s="129"/>
      <c r="L245" s="129"/>
      <c r="M245" s="131"/>
      <c r="N245" s="129"/>
      <c r="O245" s="129"/>
      <c r="P245" s="129"/>
      <c r="Q245" s="129"/>
      <c r="R245" s="129"/>
      <c r="S245" s="129"/>
      <c r="T245" s="129"/>
      <c r="U245" s="129"/>
      <c r="V245" s="129"/>
      <c r="W245" s="129"/>
      <c r="X245" s="129"/>
      <c r="Y245" s="131"/>
      <c r="Z245" s="131"/>
      <c r="AA245" s="132"/>
      <c r="AB245" s="132"/>
      <c r="AC245" s="33"/>
      <c r="AD245" s="33"/>
      <c r="AE245" s="33"/>
      <c r="AF245" s="33"/>
      <c r="AG245" s="27"/>
      <c r="AH245" s="27"/>
      <c r="AI245" s="27"/>
      <c r="AJ245" s="27"/>
      <c r="AK245" s="27"/>
      <c r="AL245" s="27"/>
      <c r="AM245" s="27"/>
      <c r="AN245" s="27"/>
      <c r="AO245" s="27"/>
      <c r="AP245" s="27"/>
    </row>
    <row r="246" spans="2:42" s="120" customFormat="1" hidden="1">
      <c r="B246" s="29"/>
      <c r="C246" s="128"/>
      <c r="D246" s="129"/>
      <c r="E246" s="129"/>
      <c r="F246" s="129"/>
      <c r="G246" s="129"/>
      <c r="H246" s="129"/>
      <c r="I246" s="129"/>
      <c r="J246" s="129"/>
      <c r="K246" s="129"/>
      <c r="L246" s="129"/>
      <c r="M246" s="131"/>
      <c r="N246" s="129"/>
      <c r="O246" s="129"/>
      <c r="P246" s="129"/>
      <c r="Q246" s="129"/>
      <c r="R246" s="129"/>
      <c r="S246" s="129"/>
      <c r="T246" s="129"/>
      <c r="U246" s="129"/>
      <c r="V246" s="129"/>
      <c r="W246" s="129"/>
      <c r="X246" s="129"/>
      <c r="Y246" s="131"/>
      <c r="Z246" s="131"/>
      <c r="AA246" s="132"/>
      <c r="AB246" s="132"/>
      <c r="AC246" s="33"/>
      <c r="AD246" s="33"/>
      <c r="AE246" s="33"/>
      <c r="AF246" s="33"/>
      <c r="AG246" s="27"/>
      <c r="AH246" s="27"/>
      <c r="AI246" s="27"/>
      <c r="AJ246" s="27"/>
      <c r="AK246" s="27"/>
      <c r="AL246" s="27"/>
      <c r="AM246" s="27"/>
      <c r="AN246" s="27"/>
      <c r="AO246" s="27"/>
      <c r="AP246" s="27"/>
    </row>
    <row r="247" spans="2:42" s="120" customFormat="1" hidden="1">
      <c r="B247" s="29"/>
      <c r="C247" s="128"/>
      <c r="D247" s="129"/>
      <c r="E247" s="129"/>
      <c r="F247" s="129"/>
      <c r="G247" s="129"/>
      <c r="H247" s="129"/>
      <c r="I247" s="129"/>
      <c r="J247" s="129"/>
      <c r="K247" s="129"/>
      <c r="L247" s="129"/>
      <c r="M247" s="131"/>
      <c r="N247" s="129"/>
      <c r="O247" s="129"/>
      <c r="P247" s="129"/>
      <c r="Q247" s="129"/>
      <c r="R247" s="129"/>
      <c r="S247" s="129"/>
      <c r="T247" s="129"/>
      <c r="U247" s="129"/>
      <c r="V247" s="129"/>
      <c r="W247" s="129"/>
      <c r="X247" s="129"/>
      <c r="Y247" s="131"/>
      <c r="Z247" s="131"/>
      <c r="AA247" s="132"/>
      <c r="AB247" s="132"/>
      <c r="AC247" s="33"/>
      <c r="AD247" s="33"/>
      <c r="AE247" s="33"/>
      <c r="AF247" s="33"/>
      <c r="AG247" s="27"/>
      <c r="AH247" s="27"/>
      <c r="AI247" s="27"/>
      <c r="AJ247" s="27"/>
      <c r="AK247" s="27"/>
      <c r="AL247" s="27"/>
      <c r="AM247" s="27"/>
      <c r="AN247" s="27"/>
      <c r="AO247" s="27"/>
      <c r="AP247" s="27"/>
    </row>
    <row r="248" spans="2:42" s="120" customFormat="1" hidden="1">
      <c r="B248" s="29"/>
      <c r="C248" s="128"/>
      <c r="D248" s="129"/>
      <c r="E248" s="129"/>
      <c r="F248" s="129"/>
      <c r="G248" s="129"/>
      <c r="H248" s="129"/>
      <c r="I248" s="129"/>
      <c r="J248" s="129"/>
      <c r="K248" s="129"/>
      <c r="L248" s="129"/>
      <c r="M248" s="131"/>
      <c r="N248" s="129"/>
      <c r="O248" s="129"/>
      <c r="P248" s="129"/>
      <c r="Q248" s="129"/>
      <c r="R248" s="129"/>
      <c r="S248" s="129"/>
      <c r="T248" s="129"/>
      <c r="U248" s="129"/>
      <c r="V248" s="129"/>
      <c r="W248" s="129"/>
      <c r="X248" s="129"/>
      <c r="Y248" s="131"/>
      <c r="Z248" s="131"/>
      <c r="AA248" s="132"/>
      <c r="AB248" s="132"/>
      <c r="AC248" s="33"/>
      <c r="AD248" s="33"/>
      <c r="AE248" s="33"/>
      <c r="AF248" s="33"/>
      <c r="AG248" s="27"/>
      <c r="AH248" s="27"/>
      <c r="AI248" s="27"/>
      <c r="AJ248" s="27"/>
      <c r="AK248" s="27"/>
      <c r="AL248" s="27"/>
      <c r="AM248" s="27"/>
      <c r="AN248" s="27"/>
      <c r="AO248" s="27"/>
      <c r="AP248" s="27"/>
    </row>
    <row r="249" spans="2:42" s="120" customFormat="1" hidden="1">
      <c r="B249" s="29"/>
      <c r="C249" s="128"/>
      <c r="D249" s="129"/>
      <c r="E249" s="129"/>
      <c r="F249" s="129"/>
      <c r="G249" s="129"/>
      <c r="H249" s="129"/>
      <c r="I249" s="129"/>
      <c r="J249" s="129"/>
      <c r="K249" s="129"/>
      <c r="L249" s="129"/>
      <c r="M249" s="131"/>
      <c r="N249" s="129"/>
      <c r="O249" s="129"/>
      <c r="P249" s="129"/>
      <c r="Q249" s="129"/>
      <c r="R249" s="129"/>
      <c r="S249" s="129"/>
      <c r="T249" s="129"/>
      <c r="U249" s="129"/>
      <c r="V249" s="129"/>
      <c r="W249" s="129"/>
      <c r="X249" s="129"/>
      <c r="Y249" s="131"/>
      <c r="Z249" s="131"/>
      <c r="AA249" s="132"/>
      <c r="AB249" s="132"/>
      <c r="AC249" s="33"/>
      <c r="AD249" s="33"/>
      <c r="AE249" s="33"/>
      <c r="AF249" s="33"/>
      <c r="AG249" s="27"/>
      <c r="AH249" s="27"/>
      <c r="AI249" s="27"/>
      <c r="AJ249" s="27"/>
      <c r="AK249" s="27"/>
      <c r="AL249" s="27"/>
      <c r="AM249" s="27"/>
      <c r="AN249" s="27"/>
      <c r="AO249" s="27"/>
      <c r="AP249" s="27"/>
    </row>
    <row r="250" spans="2:42" s="120" customFormat="1" hidden="1">
      <c r="B250" s="29"/>
      <c r="C250" s="128"/>
      <c r="D250" s="129"/>
      <c r="E250" s="129"/>
      <c r="F250" s="129"/>
      <c r="G250" s="129"/>
      <c r="H250" s="129"/>
      <c r="I250" s="129"/>
      <c r="J250" s="129"/>
      <c r="K250" s="129"/>
      <c r="L250" s="129"/>
      <c r="M250" s="131"/>
      <c r="N250" s="129"/>
      <c r="O250" s="129"/>
      <c r="P250" s="129"/>
      <c r="Q250" s="129"/>
      <c r="R250" s="129"/>
      <c r="S250" s="129"/>
      <c r="T250" s="129"/>
      <c r="U250" s="129"/>
      <c r="V250" s="129"/>
      <c r="W250" s="129"/>
      <c r="X250" s="129"/>
      <c r="Y250" s="131"/>
      <c r="Z250" s="131"/>
      <c r="AA250" s="132"/>
      <c r="AB250" s="132"/>
      <c r="AC250" s="33"/>
      <c r="AD250" s="33"/>
      <c r="AE250" s="33"/>
      <c r="AF250" s="33"/>
      <c r="AG250" s="27"/>
      <c r="AH250" s="27"/>
      <c r="AI250" s="27"/>
      <c r="AJ250" s="27"/>
      <c r="AK250" s="27"/>
      <c r="AL250" s="27"/>
      <c r="AM250" s="27"/>
      <c r="AN250" s="27"/>
      <c r="AO250" s="27"/>
      <c r="AP250" s="27"/>
    </row>
    <row r="251" spans="2:42" s="120" customFormat="1" hidden="1">
      <c r="B251" s="29"/>
      <c r="C251" s="128"/>
      <c r="D251" s="129"/>
      <c r="E251" s="129"/>
      <c r="F251" s="129"/>
      <c r="G251" s="129"/>
      <c r="H251" s="129"/>
      <c r="I251" s="129"/>
      <c r="J251" s="129"/>
      <c r="K251" s="129"/>
      <c r="L251" s="129"/>
      <c r="M251" s="131"/>
      <c r="N251" s="129"/>
      <c r="O251" s="129"/>
      <c r="P251" s="129"/>
      <c r="Q251" s="129"/>
      <c r="R251" s="129"/>
      <c r="S251" s="129"/>
      <c r="T251" s="129"/>
      <c r="U251" s="129"/>
      <c r="V251" s="129"/>
      <c r="W251" s="129"/>
      <c r="X251" s="129"/>
      <c r="Y251" s="131"/>
      <c r="Z251" s="131"/>
      <c r="AA251" s="132"/>
      <c r="AB251" s="132"/>
      <c r="AC251" s="33"/>
      <c r="AD251" s="33"/>
      <c r="AE251" s="33"/>
      <c r="AF251" s="33"/>
      <c r="AG251" s="27"/>
      <c r="AH251" s="27"/>
      <c r="AI251" s="27"/>
      <c r="AJ251" s="27"/>
      <c r="AK251" s="27"/>
      <c r="AL251" s="27"/>
      <c r="AM251" s="27"/>
      <c r="AN251" s="27"/>
      <c r="AO251" s="27"/>
      <c r="AP251" s="27"/>
    </row>
    <row r="252" spans="2:42" s="120" customFormat="1" hidden="1">
      <c r="B252" s="29"/>
      <c r="C252" s="128"/>
      <c r="D252" s="129"/>
      <c r="E252" s="129"/>
      <c r="F252" s="129"/>
      <c r="G252" s="129"/>
      <c r="H252" s="129"/>
      <c r="I252" s="129"/>
      <c r="J252" s="129"/>
      <c r="K252" s="129"/>
      <c r="L252" s="129"/>
      <c r="M252" s="131"/>
      <c r="N252" s="129"/>
      <c r="O252" s="129"/>
      <c r="P252" s="129"/>
      <c r="Q252" s="129"/>
      <c r="R252" s="129"/>
      <c r="S252" s="129"/>
      <c r="T252" s="129"/>
      <c r="U252" s="129"/>
      <c r="V252" s="129"/>
      <c r="W252" s="129"/>
      <c r="X252" s="129"/>
      <c r="Y252" s="131"/>
      <c r="Z252" s="131"/>
      <c r="AA252" s="132"/>
      <c r="AB252" s="132"/>
      <c r="AC252" s="33"/>
      <c r="AD252" s="33"/>
      <c r="AE252" s="33"/>
      <c r="AF252" s="33"/>
      <c r="AG252" s="27"/>
      <c r="AH252" s="27"/>
      <c r="AI252" s="27"/>
      <c r="AJ252" s="27"/>
      <c r="AK252" s="27"/>
      <c r="AL252" s="27"/>
      <c r="AM252" s="27"/>
      <c r="AN252" s="27"/>
      <c r="AO252" s="27"/>
      <c r="AP252" s="27"/>
    </row>
    <row r="253" spans="2:42" s="120" customFormat="1" hidden="1">
      <c r="B253" s="29"/>
      <c r="C253" s="128"/>
      <c r="D253" s="129"/>
      <c r="E253" s="129"/>
      <c r="F253" s="129"/>
      <c r="G253" s="129"/>
      <c r="H253" s="129"/>
      <c r="I253" s="129"/>
      <c r="J253" s="129"/>
      <c r="K253" s="129"/>
      <c r="L253" s="129"/>
      <c r="M253" s="131"/>
      <c r="N253" s="129"/>
      <c r="O253" s="129"/>
      <c r="P253" s="129"/>
      <c r="Q253" s="129"/>
      <c r="R253" s="129"/>
      <c r="S253" s="129"/>
      <c r="T253" s="129"/>
      <c r="U253" s="129"/>
      <c r="V253" s="129"/>
      <c r="W253" s="129"/>
      <c r="X253" s="129"/>
      <c r="Y253" s="131"/>
      <c r="Z253" s="131"/>
      <c r="AA253" s="132"/>
      <c r="AB253" s="132"/>
      <c r="AC253" s="33"/>
      <c r="AD253" s="33"/>
      <c r="AE253" s="33"/>
      <c r="AF253" s="33"/>
      <c r="AG253" s="27"/>
      <c r="AH253" s="27"/>
      <c r="AI253" s="27"/>
      <c r="AJ253" s="27"/>
      <c r="AK253" s="27"/>
      <c r="AL253" s="27"/>
      <c r="AM253" s="27"/>
      <c r="AN253" s="27"/>
      <c r="AO253" s="27"/>
      <c r="AP253" s="27"/>
    </row>
    <row r="254" spans="2:42" s="120" customFormat="1" hidden="1">
      <c r="B254" s="29"/>
      <c r="C254" s="128"/>
      <c r="D254" s="129"/>
      <c r="E254" s="129"/>
      <c r="F254" s="129"/>
      <c r="G254" s="129"/>
      <c r="H254" s="129"/>
      <c r="I254" s="129"/>
      <c r="J254" s="129"/>
      <c r="K254" s="129"/>
      <c r="L254" s="129"/>
      <c r="M254" s="131"/>
      <c r="N254" s="129"/>
      <c r="O254" s="129"/>
      <c r="P254" s="129"/>
      <c r="Q254" s="129"/>
      <c r="R254" s="129"/>
      <c r="S254" s="129"/>
      <c r="T254" s="129"/>
      <c r="U254" s="129"/>
      <c r="V254" s="129"/>
      <c r="W254" s="129"/>
      <c r="X254" s="129"/>
      <c r="Y254" s="131"/>
      <c r="Z254" s="131"/>
      <c r="AA254" s="132"/>
      <c r="AB254" s="132"/>
      <c r="AC254" s="33"/>
      <c r="AD254" s="33"/>
      <c r="AE254" s="33"/>
      <c r="AF254" s="33"/>
      <c r="AG254" s="27"/>
      <c r="AH254" s="27"/>
      <c r="AI254" s="27"/>
      <c r="AJ254" s="27"/>
      <c r="AK254" s="27"/>
      <c r="AL254" s="27"/>
      <c r="AM254" s="27"/>
      <c r="AN254" s="27"/>
      <c r="AO254" s="27"/>
      <c r="AP254" s="27"/>
    </row>
    <row r="255" spans="2:42" s="120" customFormat="1" hidden="1">
      <c r="B255" s="29"/>
      <c r="C255" s="128"/>
      <c r="D255" s="129"/>
      <c r="E255" s="129"/>
      <c r="F255" s="129"/>
      <c r="G255" s="129"/>
      <c r="H255" s="129"/>
      <c r="I255" s="129"/>
      <c r="J255" s="129"/>
      <c r="K255" s="129"/>
      <c r="L255" s="129"/>
      <c r="M255" s="131"/>
      <c r="N255" s="129"/>
      <c r="O255" s="129"/>
      <c r="P255" s="129"/>
      <c r="Q255" s="129"/>
      <c r="R255" s="129"/>
      <c r="S255" s="129"/>
      <c r="T255" s="129"/>
      <c r="U255" s="129"/>
      <c r="V255" s="129"/>
      <c r="W255" s="129"/>
      <c r="X255" s="129"/>
      <c r="Y255" s="131"/>
      <c r="Z255" s="131"/>
      <c r="AA255" s="132"/>
      <c r="AB255" s="132"/>
      <c r="AC255" s="33"/>
      <c r="AD255" s="33"/>
      <c r="AE255" s="33"/>
      <c r="AF255" s="33"/>
      <c r="AG255" s="27"/>
      <c r="AH255" s="27"/>
      <c r="AI255" s="27"/>
      <c r="AJ255" s="27"/>
      <c r="AK255" s="27"/>
      <c r="AL255" s="27"/>
      <c r="AM255" s="27"/>
      <c r="AN255" s="27"/>
      <c r="AO255" s="27"/>
      <c r="AP255" s="27"/>
    </row>
    <row r="256" spans="2:42" s="120" customFormat="1" hidden="1">
      <c r="B256" s="29"/>
      <c r="C256" s="128"/>
      <c r="D256" s="129"/>
      <c r="E256" s="129"/>
      <c r="F256" s="129"/>
      <c r="G256" s="129"/>
      <c r="H256" s="129"/>
      <c r="I256" s="129"/>
      <c r="J256" s="129"/>
      <c r="K256" s="129"/>
      <c r="L256" s="129"/>
      <c r="M256" s="131"/>
      <c r="N256" s="129"/>
      <c r="O256" s="129"/>
      <c r="P256" s="129"/>
      <c r="Q256" s="129"/>
      <c r="R256" s="129"/>
      <c r="S256" s="129"/>
      <c r="T256" s="129"/>
      <c r="U256" s="129"/>
      <c r="V256" s="129"/>
      <c r="W256" s="129"/>
      <c r="X256" s="129"/>
      <c r="Y256" s="131"/>
      <c r="Z256" s="131"/>
      <c r="AA256" s="132"/>
      <c r="AB256" s="132"/>
      <c r="AC256" s="33"/>
      <c r="AD256" s="33"/>
      <c r="AE256" s="33"/>
      <c r="AF256" s="33"/>
      <c r="AG256" s="27"/>
      <c r="AH256" s="27"/>
      <c r="AI256" s="27"/>
      <c r="AJ256" s="27"/>
      <c r="AK256" s="27"/>
      <c r="AL256" s="27"/>
      <c r="AM256" s="27"/>
      <c r="AN256" s="27"/>
      <c r="AO256" s="27"/>
      <c r="AP256" s="27"/>
    </row>
    <row r="257" spans="2:42" s="120" customFormat="1" hidden="1">
      <c r="B257" s="29"/>
      <c r="C257" s="128"/>
      <c r="D257" s="129"/>
      <c r="E257" s="129"/>
      <c r="F257" s="129"/>
      <c r="G257" s="129"/>
      <c r="H257" s="129"/>
      <c r="I257" s="129"/>
      <c r="J257" s="129"/>
      <c r="K257" s="129"/>
      <c r="L257" s="129"/>
      <c r="M257" s="131"/>
      <c r="N257" s="129"/>
      <c r="O257" s="129"/>
      <c r="P257" s="129"/>
      <c r="Q257" s="129"/>
      <c r="R257" s="129"/>
      <c r="S257" s="129"/>
      <c r="T257" s="129"/>
      <c r="U257" s="129"/>
      <c r="V257" s="129"/>
      <c r="W257" s="129"/>
      <c r="X257" s="129"/>
      <c r="Y257" s="131"/>
      <c r="Z257" s="131"/>
      <c r="AA257" s="132"/>
      <c r="AB257" s="132"/>
      <c r="AC257" s="33"/>
      <c r="AD257" s="33"/>
      <c r="AE257" s="33"/>
      <c r="AF257" s="33"/>
      <c r="AG257" s="27"/>
      <c r="AH257" s="27"/>
      <c r="AI257" s="27"/>
      <c r="AJ257" s="27"/>
      <c r="AK257" s="27"/>
      <c r="AL257" s="27"/>
      <c r="AM257" s="27"/>
      <c r="AN257" s="27"/>
      <c r="AO257" s="27"/>
      <c r="AP257" s="27"/>
    </row>
    <row r="258" spans="2:42" s="120" customFormat="1" hidden="1">
      <c r="B258" s="29"/>
      <c r="C258" s="128"/>
      <c r="D258" s="129"/>
      <c r="E258" s="129"/>
      <c r="F258" s="129"/>
      <c r="G258" s="129"/>
      <c r="H258" s="129"/>
      <c r="I258" s="129"/>
      <c r="J258" s="129"/>
      <c r="K258" s="129"/>
      <c r="L258" s="129"/>
      <c r="M258" s="131"/>
      <c r="N258" s="129"/>
      <c r="O258" s="129"/>
      <c r="P258" s="129"/>
      <c r="Q258" s="129"/>
      <c r="R258" s="129"/>
      <c r="S258" s="129"/>
      <c r="T258" s="129"/>
      <c r="U258" s="129"/>
      <c r="V258" s="129"/>
      <c r="W258" s="129"/>
      <c r="X258" s="129"/>
      <c r="Y258" s="131"/>
      <c r="Z258" s="131"/>
      <c r="AA258" s="132"/>
      <c r="AB258" s="132"/>
      <c r="AC258" s="33"/>
      <c r="AD258" s="33"/>
      <c r="AE258" s="33"/>
      <c r="AF258" s="33"/>
      <c r="AG258" s="27"/>
      <c r="AH258" s="27"/>
      <c r="AI258" s="27"/>
      <c r="AJ258" s="27"/>
      <c r="AK258" s="27"/>
      <c r="AL258" s="27"/>
      <c r="AM258" s="27"/>
      <c r="AN258" s="27"/>
      <c r="AO258" s="27"/>
      <c r="AP258" s="27"/>
    </row>
    <row r="259" spans="2:42" s="120" customFormat="1" hidden="1">
      <c r="B259" s="29"/>
      <c r="C259" s="128"/>
      <c r="D259" s="129"/>
      <c r="E259" s="129"/>
      <c r="F259" s="129"/>
      <c r="G259" s="129"/>
      <c r="H259" s="129"/>
      <c r="I259" s="129"/>
      <c r="J259" s="129"/>
      <c r="K259" s="129"/>
      <c r="L259" s="129"/>
      <c r="M259" s="131"/>
      <c r="N259" s="129"/>
      <c r="O259" s="129"/>
      <c r="P259" s="129"/>
      <c r="Q259" s="129"/>
      <c r="R259" s="129"/>
      <c r="S259" s="129"/>
      <c r="T259" s="129"/>
      <c r="U259" s="129"/>
      <c r="V259" s="129"/>
      <c r="W259" s="129"/>
      <c r="X259" s="129"/>
      <c r="Y259" s="131"/>
      <c r="Z259" s="131"/>
      <c r="AA259" s="132"/>
      <c r="AB259" s="132"/>
      <c r="AC259" s="33"/>
      <c r="AD259" s="33"/>
      <c r="AE259" s="33"/>
      <c r="AF259" s="33"/>
      <c r="AG259" s="27"/>
      <c r="AH259" s="27"/>
      <c r="AI259" s="27"/>
      <c r="AJ259" s="27"/>
      <c r="AK259" s="27"/>
      <c r="AL259" s="27"/>
      <c r="AM259" s="27"/>
      <c r="AN259" s="27"/>
      <c r="AO259" s="27"/>
      <c r="AP259" s="27"/>
    </row>
    <row r="260" spans="2:42" s="120" customFormat="1" hidden="1">
      <c r="B260" s="29"/>
      <c r="C260" s="128"/>
      <c r="D260" s="129"/>
      <c r="E260" s="129"/>
      <c r="F260" s="129"/>
      <c r="G260" s="129"/>
      <c r="H260" s="129"/>
      <c r="I260" s="129"/>
      <c r="J260" s="129"/>
      <c r="K260" s="129"/>
      <c r="L260" s="129"/>
      <c r="M260" s="131"/>
      <c r="N260" s="129"/>
      <c r="O260" s="129"/>
      <c r="P260" s="129"/>
      <c r="Q260" s="129"/>
      <c r="R260" s="129"/>
      <c r="S260" s="129"/>
      <c r="T260" s="129"/>
      <c r="U260" s="129"/>
      <c r="V260" s="129"/>
      <c r="W260" s="129"/>
      <c r="X260" s="129"/>
      <c r="Y260" s="131"/>
      <c r="Z260" s="131"/>
      <c r="AA260" s="132"/>
      <c r="AB260" s="132"/>
      <c r="AC260" s="33"/>
      <c r="AD260" s="33"/>
      <c r="AE260" s="33"/>
      <c r="AF260" s="33"/>
      <c r="AG260" s="27"/>
      <c r="AH260" s="27"/>
      <c r="AI260" s="27"/>
      <c r="AJ260" s="27"/>
      <c r="AK260" s="27"/>
      <c r="AL260" s="27"/>
      <c r="AM260" s="27"/>
      <c r="AN260" s="27"/>
      <c r="AO260" s="27"/>
      <c r="AP260" s="27"/>
    </row>
    <row r="261" spans="2:42" s="120" customFormat="1" hidden="1">
      <c r="B261" s="29"/>
      <c r="C261" s="128"/>
      <c r="D261" s="129"/>
      <c r="E261" s="129"/>
      <c r="F261" s="129"/>
      <c r="G261" s="129"/>
      <c r="H261" s="129"/>
      <c r="I261" s="129"/>
      <c r="J261" s="129"/>
      <c r="K261" s="129"/>
      <c r="L261" s="129"/>
      <c r="M261" s="131"/>
      <c r="N261" s="129"/>
      <c r="O261" s="129"/>
      <c r="P261" s="129"/>
      <c r="Q261" s="129"/>
      <c r="R261" s="129"/>
      <c r="S261" s="129"/>
      <c r="T261" s="129"/>
      <c r="U261" s="129"/>
      <c r="V261" s="129"/>
      <c r="W261" s="129"/>
      <c r="X261" s="129"/>
      <c r="Y261" s="131"/>
      <c r="Z261" s="131"/>
      <c r="AA261" s="132"/>
      <c r="AB261" s="132"/>
      <c r="AC261" s="33"/>
      <c r="AD261" s="33"/>
      <c r="AE261" s="33"/>
      <c r="AF261" s="33"/>
      <c r="AG261" s="27"/>
      <c r="AH261" s="27"/>
      <c r="AI261" s="27"/>
      <c r="AJ261" s="27"/>
      <c r="AK261" s="27"/>
      <c r="AL261" s="27"/>
      <c r="AM261" s="27"/>
      <c r="AN261" s="27"/>
      <c r="AO261" s="27"/>
      <c r="AP261" s="27"/>
    </row>
    <row r="262" spans="2:42" s="120" customFormat="1" hidden="1">
      <c r="B262" s="29"/>
      <c r="C262" s="128"/>
      <c r="D262" s="129"/>
      <c r="E262" s="129"/>
      <c r="F262" s="129"/>
      <c r="G262" s="129"/>
      <c r="H262" s="129"/>
      <c r="I262" s="129"/>
      <c r="J262" s="129"/>
      <c r="K262" s="129"/>
      <c r="L262" s="129"/>
      <c r="M262" s="131"/>
      <c r="N262" s="129"/>
      <c r="O262" s="129"/>
      <c r="P262" s="129"/>
      <c r="Q262" s="129"/>
      <c r="R262" s="129"/>
      <c r="S262" s="129"/>
      <c r="T262" s="129"/>
      <c r="U262" s="129"/>
      <c r="V262" s="129"/>
      <c r="W262" s="129"/>
      <c r="X262" s="129"/>
      <c r="Y262" s="131"/>
      <c r="Z262" s="131"/>
      <c r="AA262" s="132"/>
      <c r="AB262" s="132"/>
      <c r="AC262" s="33"/>
      <c r="AD262" s="33"/>
      <c r="AE262" s="33"/>
      <c r="AF262" s="33"/>
      <c r="AG262" s="27"/>
      <c r="AH262" s="27"/>
      <c r="AI262" s="27"/>
      <c r="AJ262" s="27"/>
      <c r="AK262" s="27"/>
      <c r="AL262" s="27"/>
      <c r="AM262" s="27"/>
      <c r="AN262" s="27"/>
      <c r="AO262" s="27"/>
      <c r="AP262" s="27"/>
    </row>
    <row r="263" spans="2:42" s="120" customFormat="1" hidden="1">
      <c r="B263" s="29"/>
      <c r="C263" s="128"/>
      <c r="D263" s="129"/>
      <c r="E263" s="129"/>
      <c r="F263" s="129"/>
      <c r="G263" s="129"/>
      <c r="H263" s="129"/>
      <c r="I263" s="129"/>
      <c r="J263" s="129"/>
      <c r="K263" s="129"/>
      <c r="L263" s="129"/>
      <c r="M263" s="131"/>
      <c r="N263" s="129"/>
      <c r="O263" s="129"/>
      <c r="P263" s="129"/>
      <c r="Q263" s="129"/>
      <c r="R263" s="129"/>
      <c r="S263" s="129"/>
      <c r="T263" s="129"/>
      <c r="U263" s="129"/>
      <c r="V263" s="129"/>
      <c r="W263" s="129"/>
      <c r="X263" s="129"/>
      <c r="Y263" s="131"/>
      <c r="Z263" s="131"/>
      <c r="AA263" s="132"/>
      <c r="AB263" s="132"/>
      <c r="AC263" s="33"/>
      <c r="AD263" s="33"/>
      <c r="AE263" s="33"/>
      <c r="AF263" s="33"/>
      <c r="AG263" s="27"/>
      <c r="AH263" s="27"/>
      <c r="AI263" s="27"/>
      <c r="AJ263" s="27"/>
      <c r="AK263" s="27"/>
      <c r="AL263" s="27"/>
      <c r="AM263" s="27"/>
      <c r="AN263" s="27"/>
      <c r="AO263" s="27"/>
      <c r="AP263" s="27"/>
    </row>
    <row r="264" spans="2:42" s="120" customFormat="1" hidden="1">
      <c r="B264" s="29"/>
      <c r="C264" s="128"/>
      <c r="D264" s="129"/>
      <c r="E264" s="129"/>
      <c r="F264" s="129"/>
      <c r="G264" s="129"/>
      <c r="H264" s="129"/>
      <c r="I264" s="129"/>
      <c r="J264" s="129"/>
      <c r="K264" s="129"/>
      <c r="L264" s="129"/>
      <c r="M264" s="131"/>
      <c r="N264" s="129"/>
      <c r="O264" s="129"/>
      <c r="P264" s="129"/>
      <c r="Q264" s="129"/>
      <c r="R264" s="129"/>
      <c r="S264" s="129"/>
      <c r="T264" s="129"/>
      <c r="U264" s="129"/>
      <c r="V264" s="129"/>
      <c r="W264" s="129"/>
      <c r="X264" s="129"/>
      <c r="Y264" s="131"/>
      <c r="Z264" s="131"/>
      <c r="AA264" s="132"/>
      <c r="AB264" s="132"/>
      <c r="AC264" s="33"/>
      <c r="AD264" s="33"/>
      <c r="AE264" s="33"/>
      <c r="AF264" s="33"/>
      <c r="AG264" s="27"/>
      <c r="AH264" s="27"/>
      <c r="AI264" s="27"/>
      <c r="AJ264" s="27"/>
      <c r="AK264" s="27"/>
      <c r="AL264" s="27"/>
      <c r="AM264" s="27"/>
      <c r="AN264" s="27"/>
      <c r="AO264" s="27"/>
      <c r="AP264" s="27"/>
    </row>
    <row r="265" spans="2:42" s="120" customFormat="1" hidden="1">
      <c r="B265" s="29"/>
      <c r="C265" s="128"/>
      <c r="D265" s="129"/>
      <c r="E265" s="129"/>
      <c r="F265" s="129"/>
      <c r="G265" s="129"/>
      <c r="H265" s="129"/>
      <c r="I265" s="129"/>
      <c r="J265" s="129"/>
      <c r="K265" s="129"/>
      <c r="L265" s="129"/>
      <c r="M265" s="131"/>
      <c r="N265" s="129"/>
      <c r="O265" s="129"/>
      <c r="P265" s="129"/>
      <c r="Q265" s="129"/>
      <c r="R265" s="129"/>
      <c r="S265" s="129"/>
      <c r="T265" s="129"/>
      <c r="U265" s="129"/>
      <c r="V265" s="129"/>
      <c r="W265" s="129"/>
      <c r="X265" s="129"/>
      <c r="Y265" s="131"/>
      <c r="Z265" s="131"/>
      <c r="AA265" s="132"/>
      <c r="AB265" s="132"/>
      <c r="AC265" s="33"/>
      <c r="AD265" s="33"/>
      <c r="AE265" s="33"/>
      <c r="AF265" s="33"/>
      <c r="AG265" s="27"/>
      <c r="AH265" s="27"/>
      <c r="AI265" s="27"/>
      <c r="AJ265" s="27"/>
      <c r="AK265" s="27"/>
      <c r="AL265" s="27"/>
      <c r="AM265" s="27"/>
      <c r="AN265" s="27"/>
      <c r="AO265" s="27"/>
      <c r="AP265" s="27"/>
    </row>
    <row r="266" spans="2:42" s="120" customFormat="1" hidden="1">
      <c r="B266" s="29"/>
      <c r="C266" s="128"/>
      <c r="D266" s="129"/>
      <c r="E266" s="129"/>
      <c r="F266" s="129"/>
      <c r="G266" s="129"/>
      <c r="H266" s="129"/>
      <c r="I266" s="129"/>
      <c r="J266" s="129"/>
      <c r="K266" s="129"/>
      <c r="L266" s="129"/>
      <c r="M266" s="131"/>
      <c r="N266" s="129"/>
      <c r="O266" s="129"/>
      <c r="P266" s="129"/>
      <c r="Q266" s="129"/>
      <c r="R266" s="129"/>
      <c r="S266" s="129"/>
      <c r="T266" s="129"/>
      <c r="U266" s="129"/>
      <c r="V266" s="129"/>
      <c r="W266" s="129"/>
      <c r="X266" s="129"/>
      <c r="Y266" s="131"/>
      <c r="Z266" s="131"/>
      <c r="AA266" s="132"/>
      <c r="AB266" s="132"/>
      <c r="AC266" s="33"/>
      <c r="AD266" s="33"/>
      <c r="AE266" s="33"/>
      <c r="AF266" s="33"/>
      <c r="AG266" s="27"/>
      <c r="AH266" s="27"/>
      <c r="AI266" s="27"/>
      <c r="AJ266" s="27"/>
      <c r="AK266" s="27"/>
      <c r="AL266" s="27"/>
      <c r="AM266" s="27"/>
      <c r="AN266" s="27"/>
      <c r="AO266" s="27"/>
      <c r="AP266" s="27"/>
    </row>
    <row r="267" spans="2:42" s="120" customFormat="1" hidden="1">
      <c r="B267" s="29"/>
      <c r="C267" s="128"/>
      <c r="D267" s="129"/>
      <c r="E267" s="129"/>
      <c r="F267" s="129"/>
      <c r="G267" s="129"/>
      <c r="H267" s="129"/>
      <c r="I267" s="129"/>
      <c r="J267" s="129"/>
      <c r="K267" s="129"/>
      <c r="L267" s="129"/>
      <c r="M267" s="131"/>
      <c r="N267" s="129"/>
      <c r="O267" s="129"/>
      <c r="P267" s="129"/>
      <c r="Q267" s="129"/>
      <c r="R267" s="129"/>
      <c r="S267" s="129"/>
      <c r="T267" s="129"/>
      <c r="U267" s="129"/>
      <c r="V267" s="129"/>
      <c r="W267" s="129"/>
      <c r="X267" s="129"/>
      <c r="Y267" s="131"/>
      <c r="Z267" s="131"/>
      <c r="AA267" s="132"/>
      <c r="AB267" s="132"/>
      <c r="AC267" s="33"/>
      <c r="AD267" s="33"/>
      <c r="AE267" s="33"/>
      <c r="AF267" s="33"/>
      <c r="AG267" s="27"/>
      <c r="AH267" s="27"/>
      <c r="AI267" s="27"/>
      <c r="AJ267" s="27"/>
      <c r="AK267" s="27"/>
      <c r="AL267" s="27"/>
      <c r="AM267" s="27"/>
      <c r="AN267" s="27"/>
      <c r="AO267" s="27"/>
      <c r="AP267" s="27"/>
    </row>
    <row r="268" spans="2:42" s="120" customFormat="1" hidden="1">
      <c r="B268" s="29"/>
      <c r="C268" s="128"/>
      <c r="D268" s="129"/>
      <c r="E268" s="129"/>
      <c r="F268" s="129"/>
      <c r="G268" s="129"/>
      <c r="H268" s="129"/>
      <c r="I268" s="129"/>
      <c r="J268" s="129"/>
      <c r="K268" s="129"/>
      <c r="L268" s="129"/>
      <c r="M268" s="131"/>
      <c r="N268" s="129"/>
      <c r="O268" s="129"/>
      <c r="P268" s="129"/>
      <c r="Q268" s="129"/>
      <c r="R268" s="129"/>
      <c r="S268" s="129"/>
      <c r="T268" s="129"/>
      <c r="U268" s="129"/>
      <c r="V268" s="129"/>
      <c r="W268" s="129"/>
      <c r="X268" s="129"/>
      <c r="Y268" s="131"/>
      <c r="Z268" s="131"/>
      <c r="AA268" s="132"/>
      <c r="AB268" s="132"/>
      <c r="AC268" s="33"/>
      <c r="AD268" s="33"/>
      <c r="AE268" s="33"/>
      <c r="AF268" s="33"/>
      <c r="AG268" s="27"/>
      <c r="AH268" s="27"/>
      <c r="AI268" s="27"/>
      <c r="AJ268" s="27"/>
      <c r="AK268" s="27"/>
      <c r="AL268" s="27"/>
      <c r="AM268" s="27"/>
      <c r="AN268" s="27"/>
      <c r="AO268" s="27"/>
      <c r="AP268" s="27"/>
    </row>
    <row r="269" spans="2:42" s="120" customFormat="1" hidden="1">
      <c r="B269" s="29"/>
      <c r="C269" s="128"/>
      <c r="D269" s="129"/>
      <c r="E269" s="129"/>
      <c r="F269" s="129"/>
      <c r="G269" s="129"/>
      <c r="H269" s="129"/>
      <c r="I269" s="129"/>
      <c r="J269" s="129"/>
      <c r="K269" s="129"/>
      <c r="L269" s="129"/>
      <c r="M269" s="131"/>
      <c r="N269" s="129"/>
      <c r="O269" s="129"/>
      <c r="P269" s="129"/>
      <c r="Q269" s="129"/>
      <c r="R269" s="129"/>
      <c r="S269" s="129"/>
      <c r="T269" s="129"/>
      <c r="U269" s="129"/>
      <c r="V269" s="129"/>
      <c r="W269" s="129"/>
      <c r="X269" s="129"/>
      <c r="Y269" s="131"/>
      <c r="Z269" s="131"/>
      <c r="AA269" s="132"/>
      <c r="AB269" s="132"/>
      <c r="AC269" s="33"/>
      <c r="AD269" s="33"/>
      <c r="AE269" s="33"/>
      <c r="AF269" s="33"/>
      <c r="AG269" s="27"/>
      <c r="AH269" s="27"/>
      <c r="AI269" s="27"/>
      <c r="AJ269" s="27"/>
      <c r="AK269" s="27"/>
      <c r="AL269" s="27"/>
      <c r="AM269" s="27"/>
      <c r="AN269" s="27"/>
      <c r="AO269" s="27"/>
      <c r="AP269" s="27"/>
    </row>
    <row r="270" spans="2:42" s="120" customFormat="1" hidden="1">
      <c r="B270" s="29"/>
      <c r="C270" s="128"/>
      <c r="D270" s="129"/>
      <c r="E270" s="129"/>
      <c r="F270" s="129"/>
      <c r="G270" s="129"/>
      <c r="H270" s="129"/>
      <c r="I270" s="129"/>
      <c r="J270" s="129"/>
      <c r="K270" s="129"/>
      <c r="L270" s="129"/>
      <c r="M270" s="131"/>
      <c r="N270" s="129"/>
      <c r="O270" s="129"/>
      <c r="P270" s="129"/>
      <c r="Q270" s="129"/>
      <c r="R270" s="129"/>
      <c r="S270" s="129"/>
      <c r="T270" s="129"/>
      <c r="U270" s="129"/>
      <c r="V270" s="129"/>
      <c r="W270" s="129"/>
      <c r="X270" s="129"/>
      <c r="Y270" s="131"/>
      <c r="Z270" s="131"/>
      <c r="AA270" s="132"/>
      <c r="AB270" s="132"/>
      <c r="AC270" s="33"/>
      <c r="AD270" s="33"/>
      <c r="AE270" s="33"/>
      <c r="AF270" s="33"/>
      <c r="AG270" s="27"/>
      <c r="AH270" s="27"/>
      <c r="AI270" s="27"/>
      <c r="AJ270" s="27"/>
      <c r="AK270" s="27"/>
      <c r="AL270" s="27"/>
      <c r="AM270" s="27"/>
      <c r="AN270" s="27"/>
      <c r="AO270" s="27"/>
      <c r="AP270" s="27"/>
    </row>
    <row r="271" spans="2:42" s="120" customFormat="1" hidden="1">
      <c r="B271" s="29"/>
      <c r="C271" s="128"/>
      <c r="D271" s="129"/>
      <c r="E271" s="129"/>
      <c r="F271" s="129"/>
      <c r="G271" s="129"/>
      <c r="H271" s="129"/>
      <c r="I271" s="129"/>
      <c r="J271" s="129"/>
      <c r="K271" s="129"/>
      <c r="L271" s="129"/>
      <c r="M271" s="131"/>
      <c r="N271" s="129"/>
      <c r="O271" s="129"/>
      <c r="P271" s="129"/>
      <c r="Q271" s="129"/>
      <c r="R271" s="129"/>
      <c r="S271" s="129"/>
      <c r="T271" s="129"/>
      <c r="U271" s="129"/>
      <c r="V271" s="129"/>
      <c r="W271" s="129"/>
      <c r="X271" s="129"/>
      <c r="Y271" s="131"/>
      <c r="Z271" s="131"/>
      <c r="AA271" s="132"/>
      <c r="AB271" s="132"/>
      <c r="AC271" s="33"/>
      <c r="AD271" s="33"/>
      <c r="AE271" s="33"/>
      <c r="AF271" s="33"/>
      <c r="AG271" s="27"/>
      <c r="AH271" s="27"/>
      <c r="AI271" s="27"/>
      <c r="AJ271" s="27"/>
      <c r="AK271" s="27"/>
      <c r="AL271" s="27"/>
      <c r="AM271" s="27"/>
      <c r="AN271" s="27"/>
      <c r="AO271" s="27"/>
      <c r="AP271" s="27"/>
    </row>
    <row r="272" spans="2:42" s="120" customFormat="1" hidden="1">
      <c r="B272" s="29"/>
      <c r="C272" s="128"/>
      <c r="D272" s="129"/>
      <c r="E272" s="129"/>
      <c r="F272" s="129"/>
      <c r="G272" s="129"/>
      <c r="H272" s="129"/>
      <c r="I272" s="129"/>
      <c r="J272" s="129"/>
      <c r="K272" s="129"/>
      <c r="L272" s="129"/>
      <c r="M272" s="131"/>
      <c r="N272" s="129"/>
      <c r="O272" s="129"/>
      <c r="P272" s="129"/>
      <c r="Q272" s="129"/>
      <c r="R272" s="129"/>
      <c r="S272" s="129"/>
      <c r="T272" s="129"/>
      <c r="U272" s="129"/>
      <c r="V272" s="129"/>
      <c r="W272" s="129"/>
      <c r="X272" s="129"/>
      <c r="Y272" s="131"/>
      <c r="Z272" s="131"/>
      <c r="AA272" s="132"/>
      <c r="AB272" s="132"/>
      <c r="AC272" s="33"/>
      <c r="AD272" s="33"/>
      <c r="AE272" s="33"/>
      <c r="AF272" s="33"/>
      <c r="AG272" s="27"/>
      <c r="AH272" s="27"/>
      <c r="AI272" s="27"/>
      <c r="AJ272" s="27"/>
      <c r="AK272" s="27"/>
      <c r="AL272" s="27"/>
      <c r="AM272" s="27"/>
      <c r="AN272" s="27"/>
      <c r="AO272" s="27"/>
      <c r="AP272" s="27"/>
    </row>
    <row r="273" spans="2:42" s="120" customFormat="1" hidden="1">
      <c r="B273" s="29"/>
      <c r="C273" s="128"/>
      <c r="D273" s="129"/>
      <c r="E273" s="129"/>
      <c r="F273" s="129"/>
      <c r="G273" s="129"/>
      <c r="H273" s="129"/>
      <c r="I273" s="129"/>
      <c r="J273" s="129"/>
      <c r="K273" s="129"/>
      <c r="L273" s="129"/>
      <c r="M273" s="131"/>
      <c r="N273" s="129"/>
      <c r="O273" s="129"/>
      <c r="P273" s="129"/>
      <c r="Q273" s="129"/>
      <c r="R273" s="129"/>
      <c r="S273" s="129"/>
      <c r="T273" s="129"/>
      <c r="U273" s="129"/>
      <c r="V273" s="129"/>
      <c r="W273" s="129"/>
      <c r="X273" s="129"/>
      <c r="Y273" s="131"/>
      <c r="Z273" s="131"/>
      <c r="AA273" s="132"/>
      <c r="AB273" s="132"/>
      <c r="AC273" s="33"/>
      <c r="AD273" s="33"/>
      <c r="AE273" s="33"/>
      <c r="AF273" s="33"/>
      <c r="AG273" s="27"/>
      <c r="AH273" s="27"/>
      <c r="AI273" s="27"/>
      <c r="AJ273" s="27"/>
      <c r="AK273" s="27"/>
      <c r="AL273" s="27"/>
      <c r="AM273" s="27"/>
      <c r="AN273" s="27"/>
      <c r="AO273" s="27"/>
      <c r="AP273" s="27"/>
    </row>
    <row r="274" spans="2:42" s="120" customFormat="1" hidden="1">
      <c r="B274" s="29"/>
      <c r="C274" s="128"/>
      <c r="D274" s="129"/>
      <c r="E274" s="129"/>
      <c r="F274" s="129"/>
      <c r="G274" s="129"/>
      <c r="H274" s="129"/>
      <c r="I274" s="129"/>
      <c r="J274" s="129"/>
      <c r="K274" s="129"/>
      <c r="L274" s="129"/>
      <c r="M274" s="131"/>
      <c r="N274" s="129"/>
      <c r="O274" s="129"/>
      <c r="P274" s="129"/>
      <c r="Q274" s="129"/>
      <c r="R274" s="129"/>
      <c r="S274" s="129"/>
      <c r="T274" s="129"/>
      <c r="U274" s="129"/>
      <c r="V274" s="129"/>
      <c r="W274" s="129"/>
      <c r="X274" s="129"/>
      <c r="Y274" s="131"/>
      <c r="Z274" s="131"/>
      <c r="AA274" s="132"/>
      <c r="AB274" s="132"/>
      <c r="AC274" s="33"/>
      <c r="AD274" s="33"/>
      <c r="AE274" s="33"/>
      <c r="AF274" s="33"/>
      <c r="AG274" s="27"/>
      <c r="AH274" s="27"/>
      <c r="AI274" s="27"/>
      <c r="AJ274" s="27"/>
      <c r="AK274" s="27"/>
      <c r="AL274" s="27"/>
      <c r="AM274" s="27"/>
      <c r="AN274" s="27"/>
      <c r="AO274" s="27"/>
      <c r="AP274" s="27"/>
    </row>
    <row r="275" spans="2:42" s="120" customFormat="1" hidden="1">
      <c r="B275" s="29"/>
      <c r="C275" s="128"/>
      <c r="D275" s="129"/>
      <c r="E275" s="129"/>
      <c r="F275" s="129"/>
      <c r="G275" s="129"/>
      <c r="H275" s="129"/>
      <c r="I275" s="129"/>
      <c r="J275" s="129"/>
      <c r="K275" s="129"/>
      <c r="L275" s="129"/>
      <c r="M275" s="131"/>
      <c r="N275" s="129"/>
      <c r="O275" s="129"/>
      <c r="P275" s="129"/>
      <c r="Q275" s="129"/>
      <c r="R275" s="129"/>
      <c r="S275" s="129"/>
      <c r="T275" s="129"/>
      <c r="U275" s="129"/>
      <c r="V275" s="129"/>
      <c r="W275" s="129"/>
      <c r="X275" s="129"/>
      <c r="Y275" s="131"/>
      <c r="Z275" s="131"/>
      <c r="AA275" s="132"/>
      <c r="AB275" s="132"/>
      <c r="AC275" s="33"/>
      <c r="AD275" s="33"/>
      <c r="AE275" s="33"/>
      <c r="AF275" s="33"/>
      <c r="AG275" s="27"/>
      <c r="AH275" s="27"/>
      <c r="AI275" s="27"/>
      <c r="AJ275" s="27"/>
      <c r="AK275" s="27"/>
      <c r="AL275" s="27"/>
      <c r="AM275" s="27"/>
      <c r="AN275" s="27"/>
      <c r="AO275" s="27"/>
      <c r="AP275" s="27"/>
    </row>
    <row r="276" spans="2:42" s="120" customFormat="1" hidden="1">
      <c r="B276" s="29"/>
      <c r="C276" s="128"/>
      <c r="D276" s="129"/>
      <c r="E276" s="129"/>
      <c r="F276" s="129"/>
      <c r="G276" s="129"/>
      <c r="H276" s="129"/>
      <c r="I276" s="129"/>
      <c r="J276" s="129"/>
      <c r="K276" s="129"/>
      <c r="L276" s="129"/>
      <c r="M276" s="131"/>
      <c r="N276" s="129"/>
      <c r="O276" s="129"/>
      <c r="P276" s="129"/>
      <c r="Q276" s="129"/>
      <c r="R276" s="129"/>
      <c r="S276" s="129"/>
      <c r="T276" s="129"/>
      <c r="U276" s="129"/>
      <c r="V276" s="129"/>
      <c r="W276" s="129"/>
      <c r="X276" s="129"/>
      <c r="Y276" s="131"/>
      <c r="Z276" s="131"/>
      <c r="AA276" s="132"/>
      <c r="AB276" s="132"/>
      <c r="AC276" s="33"/>
      <c r="AD276" s="33"/>
      <c r="AE276" s="33"/>
      <c r="AF276" s="33"/>
      <c r="AG276" s="27"/>
      <c r="AH276" s="27"/>
      <c r="AI276" s="27"/>
      <c r="AJ276" s="27"/>
      <c r="AK276" s="27"/>
      <c r="AL276" s="27"/>
      <c r="AM276" s="27"/>
      <c r="AN276" s="27"/>
      <c r="AO276" s="27"/>
      <c r="AP276" s="27"/>
    </row>
    <row r="277" spans="2:42" s="120" customFormat="1" hidden="1">
      <c r="B277" s="29"/>
      <c r="C277" s="128"/>
      <c r="D277" s="129"/>
      <c r="E277" s="129"/>
      <c r="F277" s="129"/>
      <c r="G277" s="129"/>
      <c r="H277" s="129"/>
      <c r="I277" s="129"/>
      <c r="J277" s="129"/>
      <c r="K277" s="129"/>
      <c r="L277" s="129"/>
      <c r="M277" s="131"/>
      <c r="N277" s="129"/>
      <c r="O277" s="129"/>
      <c r="P277" s="129"/>
      <c r="Q277" s="129"/>
      <c r="R277" s="129"/>
      <c r="S277" s="129"/>
      <c r="T277" s="129"/>
      <c r="U277" s="129"/>
      <c r="V277" s="129"/>
      <c r="W277" s="129"/>
      <c r="X277" s="129"/>
      <c r="Y277" s="131"/>
      <c r="Z277" s="131"/>
      <c r="AA277" s="132"/>
      <c r="AB277" s="132"/>
      <c r="AC277" s="33"/>
      <c r="AD277" s="33"/>
      <c r="AE277" s="33"/>
      <c r="AF277" s="33"/>
      <c r="AG277" s="27"/>
      <c r="AH277" s="27"/>
      <c r="AI277" s="27"/>
      <c r="AJ277" s="27"/>
      <c r="AK277" s="27"/>
      <c r="AL277" s="27"/>
      <c r="AM277" s="27"/>
      <c r="AN277" s="27"/>
      <c r="AO277" s="27"/>
      <c r="AP277" s="27"/>
    </row>
    <row r="278" spans="2:42" s="120" customFormat="1" hidden="1">
      <c r="B278" s="29"/>
      <c r="C278" s="128"/>
      <c r="D278" s="129"/>
      <c r="E278" s="129"/>
      <c r="F278" s="129"/>
      <c r="G278" s="129"/>
      <c r="H278" s="129"/>
      <c r="I278" s="129"/>
      <c r="J278" s="129"/>
      <c r="K278" s="129"/>
      <c r="L278" s="129"/>
      <c r="M278" s="131"/>
      <c r="N278" s="129"/>
      <c r="O278" s="129"/>
      <c r="P278" s="129"/>
      <c r="Q278" s="129"/>
      <c r="R278" s="129"/>
      <c r="S278" s="129"/>
      <c r="T278" s="129"/>
      <c r="U278" s="129"/>
      <c r="V278" s="129"/>
      <c r="W278" s="129"/>
      <c r="X278" s="129"/>
      <c r="Y278" s="131"/>
      <c r="Z278" s="131"/>
      <c r="AA278" s="132"/>
      <c r="AB278" s="132"/>
      <c r="AC278" s="33"/>
      <c r="AD278" s="33"/>
      <c r="AE278" s="33"/>
      <c r="AF278" s="33"/>
      <c r="AG278" s="27"/>
      <c r="AH278" s="27"/>
      <c r="AI278" s="27"/>
      <c r="AJ278" s="27"/>
      <c r="AK278" s="27"/>
      <c r="AL278" s="27"/>
      <c r="AM278" s="27"/>
      <c r="AN278" s="27"/>
      <c r="AO278" s="27"/>
      <c r="AP278" s="27"/>
    </row>
    <row r="279" spans="2:42" s="120" customFormat="1" hidden="1">
      <c r="B279" s="29"/>
      <c r="C279" s="128"/>
      <c r="D279" s="129"/>
      <c r="E279" s="129"/>
      <c r="F279" s="129"/>
      <c r="G279" s="129"/>
      <c r="H279" s="129"/>
      <c r="I279" s="129"/>
      <c r="J279" s="129"/>
      <c r="K279" s="129"/>
      <c r="L279" s="129"/>
      <c r="M279" s="131"/>
      <c r="N279" s="129"/>
      <c r="O279" s="129"/>
      <c r="P279" s="129"/>
      <c r="Q279" s="129"/>
      <c r="R279" s="129"/>
      <c r="S279" s="129"/>
      <c r="T279" s="129"/>
      <c r="U279" s="129"/>
      <c r="V279" s="129"/>
      <c r="W279" s="129"/>
      <c r="X279" s="129"/>
      <c r="Y279" s="131"/>
      <c r="Z279" s="131"/>
      <c r="AA279" s="132"/>
      <c r="AB279" s="132"/>
      <c r="AC279" s="33"/>
      <c r="AD279" s="33"/>
      <c r="AE279" s="33"/>
      <c r="AF279" s="33"/>
      <c r="AG279" s="27"/>
      <c r="AH279" s="27"/>
      <c r="AI279" s="27"/>
      <c r="AJ279" s="27"/>
      <c r="AK279" s="27"/>
      <c r="AL279" s="27"/>
      <c r="AM279" s="27"/>
      <c r="AN279" s="27"/>
      <c r="AO279" s="27"/>
      <c r="AP279" s="27"/>
    </row>
    <row r="280" spans="2:42" s="120" customFormat="1" hidden="1">
      <c r="B280" s="29"/>
      <c r="C280" s="128"/>
      <c r="D280" s="129"/>
      <c r="E280" s="129"/>
      <c r="F280" s="129"/>
      <c r="G280" s="129"/>
      <c r="H280" s="129"/>
      <c r="I280" s="129"/>
      <c r="J280" s="129"/>
      <c r="K280" s="129"/>
      <c r="L280" s="129"/>
      <c r="M280" s="131"/>
      <c r="N280" s="129"/>
      <c r="O280" s="129"/>
      <c r="P280" s="129"/>
      <c r="Q280" s="129"/>
      <c r="R280" s="129"/>
      <c r="S280" s="129"/>
      <c r="T280" s="129"/>
      <c r="U280" s="129"/>
      <c r="V280" s="129"/>
      <c r="W280" s="129"/>
      <c r="X280" s="129"/>
      <c r="Y280" s="131"/>
      <c r="Z280" s="131"/>
      <c r="AA280" s="132"/>
      <c r="AB280" s="132"/>
      <c r="AC280" s="33"/>
      <c r="AD280" s="33"/>
      <c r="AE280" s="33"/>
      <c r="AF280" s="33"/>
      <c r="AG280" s="27"/>
      <c r="AH280" s="27"/>
      <c r="AI280" s="27"/>
      <c r="AJ280" s="27"/>
      <c r="AK280" s="27"/>
      <c r="AL280" s="27"/>
      <c r="AM280" s="27"/>
      <c r="AN280" s="27"/>
      <c r="AO280" s="27"/>
      <c r="AP280" s="27"/>
    </row>
    <row r="281" spans="2:42" s="120" customFormat="1" hidden="1">
      <c r="B281" s="29"/>
      <c r="C281" s="128"/>
      <c r="D281" s="129"/>
      <c r="E281" s="129"/>
      <c r="F281" s="129"/>
      <c r="G281" s="129"/>
      <c r="H281" s="129"/>
      <c r="I281" s="129"/>
      <c r="J281" s="129"/>
      <c r="K281" s="129"/>
      <c r="L281" s="129"/>
      <c r="M281" s="131"/>
      <c r="N281" s="129"/>
      <c r="O281" s="129"/>
      <c r="P281" s="129"/>
      <c r="Q281" s="129"/>
      <c r="R281" s="129"/>
      <c r="S281" s="129"/>
      <c r="T281" s="129"/>
      <c r="U281" s="129"/>
      <c r="V281" s="129"/>
      <c r="W281" s="129"/>
      <c r="X281" s="129"/>
      <c r="Y281" s="131"/>
      <c r="Z281" s="131"/>
      <c r="AA281" s="132"/>
      <c r="AB281" s="132"/>
      <c r="AC281" s="33"/>
      <c r="AD281" s="33"/>
      <c r="AE281" s="33"/>
      <c r="AF281" s="33"/>
      <c r="AG281" s="27"/>
      <c r="AH281" s="27"/>
      <c r="AI281" s="27"/>
      <c r="AJ281" s="27"/>
      <c r="AK281" s="27"/>
      <c r="AL281" s="27"/>
      <c r="AM281" s="27"/>
      <c r="AN281" s="27"/>
      <c r="AO281" s="27"/>
      <c r="AP281" s="27"/>
    </row>
    <row r="282" spans="2:42" s="120" customFormat="1" hidden="1">
      <c r="B282" s="29"/>
      <c r="C282" s="128"/>
      <c r="D282" s="129"/>
      <c r="E282" s="129"/>
      <c r="F282" s="129"/>
      <c r="G282" s="129"/>
      <c r="H282" s="129"/>
      <c r="I282" s="129"/>
      <c r="J282" s="129"/>
      <c r="K282" s="129"/>
      <c r="L282" s="129"/>
      <c r="M282" s="131"/>
      <c r="N282" s="129"/>
      <c r="O282" s="129"/>
      <c r="P282" s="129"/>
      <c r="Q282" s="129"/>
      <c r="R282" s="129"/>
      <c r="S282" s="129"/>
      <c r="T282" s="129"/>
      <c r="U282" s="129"/>
      <c r="V282" s="129"/>
      <c r="W282" s="129"/>
      <c r="X282" s="129"/>
      <c r="Y282" s="131"/>
      <c r="Z282" s="131"/>
      <c r="AA282" s="132"/>
      <c r="AB282" s="132"/>
      <c r="AC282" s="33"/>
      <c r="AD282" s="33"/>
      <c r="AE282" s="33"/>
      <c r="AF282" s="33"/>
      <c r="AG282" s="27"/>
      <c r="AH282" s="27"/>
      <c r="AI282" s="27"/>
      <c r="AJ282" s="27"/>
      <c r="AK282" s="27"/>
      <c r="AL282" s="27"/>
      <c r="AM282" s="27"/>
      <c r="AN282" s="27"/>
      <c r="AO282" s="27"/>
      <c r="AP282" s="27"/>
    </row>
    <row r="283" spans="2:42" s="120" customFormat="1" hidden="1">
      <c r="B283" s="29"/>
      <c r="C283" s="128"/>
      <c r="D283" s="129"/>
      <c r="E283" s="129"/>
      <c r="F283" s="129"/>
      <c r="G283" s="129"/>
      <c r="H283" s="129"/>
      <c r="I283" s="129"/>
      <c r="J283" s="129"/>
      <c r="K283" s="129"/>
      <c r="L283" s="129"/>
      <c r="M283" s="131"/>
      <c r="N283" s="129"/>
      <c r="O283" s="129"/>
      <c r="P283" s="129"/>
      <c r="Q283" s="129"/>
      <c r="R283" s="129"/>
      <c r="S283" s="129"/>
      <c r="T283" s="129"/>
      <c r="U283" s="129"/>
      <c r="V283" s="129"/>
      <c r="W283" s="129"/>
      <c r="X283" s="129"/>
      <c r="Y283" s="131"/>
      <c r="Z283" s="131"/>
      <c r="AA283" s="132"/>
      <c r="AB283" s="132"/>
      <c r="AC283" s="33"/>
      <c r="AD283" s="33"/>
      <c r="AE283" s="33"/>
      <c r="AF283" s="33"/>
      <c r="AG283" s="27"/>
      <c r="AH283" s="27"/>
      <c r="AI283" s="27"/>
      <c r="AJ283" s="27"/>
      <c r="AK283" s="27"/>
      <c r="AL283" s="27"/>
      <c r="AM283" s="27"/>
      <c r="AN283" s="27"/>
      <c r="AO283" s="27"/>
      <c r="AP283" s="27"/>
    </row>
    <row r="284" spans="2:42" s="120" customFormat="1" hidden="1">
      <c r="B284" s="29"/>
      <c r="C284" s="128"/>
      <c r="D284" s="129"/>
      <c r="E284" s="129"/>
      <c r="F284" s="129"/>
      <c r="G284" s="129"/>
      <c r="H284" s="129"/>
      <c r="I284" s="129"/>
      <c r="J284" s="129"/>
      <c r="K284" s="129"/>
      <c r="L284" s="129"/>
      <c r="M284" s="131"/>
      <c r="N284" s="129"/>
      <c r="O284" s="129"/>
      <c r="P284" s="129"/>
      <c r="Q284" s="129"/>
      <c r="R284" s="129"/>
      <c r="S284" s="129"/>
      <c r="T284" s="129"/>
      <c r="U284" s="129"/>
      <c r="V284" s="129"/>
      <c r="W284" s="129"/>
      <c r="X284" s="129"/>
      <c r="Y284" s="131"/>
      <c r="Z284" s="131"/>
      <c r="AA284" s="132"/>
      <c r="AB284" s="132"/>
      <c r="AC284" s="33"/>
      <c r="AD284" s="33"/>
      <c r="AE284" s="33"/>
      <c r="AF284" s="33"/>
      <c r="AG284" s="27"/>
      <c r="AH284" s="27"/>
      <c r="AI284" s="27"/>
      <c r="AJ284" s="27"/>
      <c r="AK284" s="27"/>
      <c r="AL284" s="27"/>
      <c r="AM284" s="27"/>
      <c r="AN284" s="27"/>
      <c r="AO284" s="27"/>
      <c r="AP284" s="27"/>
    </row>
    <row r="285" spans="2:42" s="120" customFormat="1" hidden="1">
      <c r="B285" s="29"/>
      <c r="C285" s="128"/>
      <c r="D285" s="129"/>
      <c r="E285" s="129"/>
      <c r="F285" s="129"/>
      <c r="G285" s="129"/>
      <c r="H285" s="129"/>
      <c r="I285" s="129"/>
      <c r="J285" s="129"/>
      <c r="K285" s="129"/>
      <c r="L285" s="129"/>
      <c r="M285" s="131"/>
      <c r="N285" s="129"/>
      <c r="O285" s="129"/>
      <c r="P285" s="129"/>
      <c r="Q285" s="129"/>
      <c r="R285" s="129"/>
      <c r="S285" s="129"/>
      <c r="T285" s="129"/>
      <c r="U285" s="129"/>
      <c r="V285" s="129"/>
      <c r="W285" s="129"/>
      <c r="X285" s="129"/>
      <c r="Y285" s="131"/>
      <c r="Z285" s="131"/>
      <c r="AA285" s="132"/>
      <c r="AB285" s="132"/>
      <c r="AC285" s="33"/>
      <c r="AD285" s="33"/>
      <c r="AE285" s="33"/>
      <c r="AF285" s="33"/>
      <c r="AG285" s="27"/>
      <c r="AH285" s="27"/>
      <c r="AI285" s="27"/>
      <c r="AJ285" s="27"/>
      <c r="AK285" s="27"/>
      <c r="AL285" s="27"/>
      <c r="AM285" s="27"/>
      <c r="AN285" s="27"/>
      <c r="AO285" s="27"/>
      <c r="AP285" s="27"/>
    </row>
    <row r="286" spans="2:42" s="120" customFormat="1" hidden="1">
      <c r="B286" s="29"/>
      <c r="C286" s="128"/>
      <c r="D286" s="129"/>
      <c r="E286" s="129"/>
      <c r="F286" s="129"/>
      <c r="G286" s="129"/>
      <c r="H286" s="129"/>
      <c r="I286" s="129"/>
      <c r="J286" s="129"/>
      <c r="K286" s="129"/>
      <c r="L286" s="129"/>
      <c r="M286" s="131"/>
      <c r="N286" s="129"/>
      <c r="O286" s="129"/>
      <c r="P286" s="129"/>
      <c r="Q286" s="129"/>
      <c r="R286" s="129"/>
      <c r="S286" s="129"/>
      <c r="T286" s="129"/>
      <c r="U286" s="129"/>
      <c r="V286" s="129"/>
      <c r="W286" s="129"/>
      <c r="X286" s="129"/>
      <c r="Y286" s="131"/>
      <c r="Z286" s="131"/>
      <c r="AA286" s="132"/>
      <c r="AB286" s="132"/>
      <c r="AC286" s="33"/>
      <c r="AD286" s="33"/>
      <c r="AE286" s="33"/>
      <c r="AF286" s="33"/>
      <c r="AG286" s="27"/>
      <c r="AH286" s="27"/>
      <c r="AI286" s="27"/>
      <c r="AJ286" s="27"/>
      <c r="AK286" s="27"/>
      <c r="AL286" s="27"/>
      <c r="AM286" s="27"/>
      <c r="AN286" s="27"/>
      <c r="AO286" s="27"/>
      <c r="AP286" s="27"/>
    </row>
    <row r="287" spans="2:42" s="120" customFormat="1" hidden="1">
      <c r="B287" s="29"/>
      <c r="C287" s="128"/>
      <c r="D287" s="129"/>
      <c r="E287" s="129"/>
      <c r="F287" s="129"/>
      <c r="G287" s="129"/>
      <c r="H287" s="129"/>
      <c r="I287" s="129"/>
      <c r="J287" s="129"/>
      <c r="K287" s="129"/>
      <c r="L287" s="129"/>
      <c r="M287" s="131"/>
      <c r="N287" s="129"/>
      <c r="O287" s="129"/>
      <c r="P287" s="129"/>
      <c r="Q287" s="129"/>
      <c r="R287" s="129"/>
      <c r="S287" s="129"/>
      <c r="T287" s="129"/>
      <c r="U287" s="129"/>
      <c r="V287" s="129"/>
      <c r="W287" s="129"/>
      <c r="X287" s="129"/>
      <c r="Y287" s="131"/>
      <c r="Z287" s="131"/>
      <c r="AA287" s="132"/>
      <c r="AB287" s="132"/>
      <c r="AC287" s="33"/>
      <c r="AD287" s="33"/>
      <c r="AE287" s="33"/>
      <c r="AF287" s="33"/>
      <c r="AG287" s="27"/>
      <c r="AH287" s="27"/>
      <c r="AI287" s="27"/>
      <c r="AJ287" s="27"/>
      <c r="AK287" s="27"/>
      <c r="AL287" s="27"/>
      <c r="AM287" s="27"/>
      <c r="AN287" s="27"/>
      <c r="AO287" s="27"/>
      <c r="AP287" s="27"/>
    </row>
    <row r="288" spans="2:42" s="120" customFormat="1" hidden="1">
      <c r="B288" s="29"/>
      <c r="C288" s="128"/>
      <c r="D288" s="129"/>
      <c r="E288" s="129"/>
      <c r="F288" s="129"/>
      <c r="G288" s="129"/>
      <c r="H288" s="129"/>
      <c r="I288" s="129"/>
      <c r="J288" s="129"/>
      <c r="K288" s="129"/>
      <c r="L288" s="129"/>
      <c r="M288" s="131"/>
      <c r="N288" s="129"/>
      <c r="O288" s="129"/>
      <c r="P288" s="129"/>
      <c r="Q288" s="129"/>
      <c r="R288" s="129"/>
      <c r="S288" s="129"/>
      <c r="T288" s="129"/>
      <c r="U288" s="129"/>
      <c r="V288" s="129"/>
      <c r="W288" s="129"/>
      <c r="X288" s="129"/>
      <c r="Y288" s="131"/>
      <c r="Z288" s="131"/>
      <c r="AA288" s="132"/>
      <c r="AB288" s="132"/>
      <c r="AC288" s="33"/>
      <c r="AD288" s="33"/>
      <c r="AE288" s="33"/>
      <c r="AF288" s="33"/>
      <c r="AG288" s="27"/>
      <c r="AH288" s="27"/>
      <c r="AI288" s="27"/>
      <c r="AJ288" s="27"/>
      <c r="AK288" s="27"/>
      <c r="AL288" s="27"/>
      <c r="AM288" s="27"/>
      <c r="AN288" s="27"/>
      <c r="AO288" s="27"/>
      <c r="AP288" s="27"/>
    </row>
    <row r="289" spans="2:42" s="120" customFormat="1" hidden="1">
      <c r="B289" s="29"/>
      <c r="C289" s="128"/>
      <c r="D289" s="129"/>
      <c r="E289" s="129"/>
      <c r="F289" s="129"/>
      <c r="G289" s="129"/>
      <c r="H289" s="129"/>
      <c r="I289" s="129"/>
      <c r="J289" s="129"/>
      <c r="K289" s="129"/>
      <c r="L289" s="129"/>
      <c r="M289" s="131"/>
      <c r="N289" s="129"/>
      <c r="O289" s="129"/>
      <c r="P289" s="129"/>
      <c r="Q289" s="129"/>
      <c r="R289" s="129"/>
      <c r="S289" s="129"/>
      <c r="T289" s="129"/>
      <c r="U289" s="129"/>
      <c r="V289" s="129"/>
      <c r="W289" s="129"/>
      <c r="X289" s="129"/>
      <c r="Y289" s="131"/>
      <c r="Z289" s="131"/>
      <c r="AA289" s="132"/>
      <c r="AB289" s="132"/>
      <c r="AC289" s="33"/>
      <c r="AD289" s="33"/>
      <c r="AE289" s="33"/>
      <c r="AF289" s="33"/>
      <c r="AG289" s="27"/>
      <c r="AH289" s="27"/>
      <c r="AI289" s="27"/>
      <c r="AJ289" s="27"/>
      <c r="AK289" s="27"/>
      <c r="AL289" s="27"/>
      <c r="AM289" s="27"/>
      <c r="AN289" s="27"/>
      <c r="AO289" s="27"/>
      <c r="AP289" s="27"/>
    </row>
    <row r="290" spans="2:42" s="120" customFormat="1" hidden="1">
      <c r="B290" s="29"/>
      <c r="C290" s="128"/>
      <c r="D290" s="129"/>
      <c r="E290" s="129"/>
      <c r="F290" s="129"/>
      <c r="G290" s="129"/>
      <c r="H290" s="129"/>
      <c r="I290" s="129"/>
      <c r="J290" s="129"/>
      <c r="K290" s="129"/>
      <c r="L290" s="129"/>
      <c r="M290" s="131"/>
      <c r="N290" s="129"/>
      <c r="O290" s="129"/>
      <c r="P290" s="129"/>
      <c r="Q290" s="129"/>
      <c r="R290" s="129"/>
      <c r="S290" s="129"/>
      <c r="T290" s="129"/>
      <c r="U290" s="129"/>
      <c r="V290" s="129"/>
      <c r="W290" s="129"/>
      <c r="X290" s="129"/>
      <c r="Y290" s="131"/>
      <c r="Z290" s="131"/>
      <c r="AA290" s="132"/>
      <c r="AB290" s="132"/>
      <c r="AC290" s="33"/>
      <c r="AD290" s="33"/>
      <c r="AE290" s="33"/>
      <c r="AF290" s="33"/>
      <c r="AG290" s="27"/>
      <c r="AH290" s="27"/>
      <c r="AI290" s="27"/>
      <c r="AJ290" s="27"/>
      <c r="AK290" s="27"/>
      <c r="AL290" s="27"/>
      <c r="AM290" s="27"/>
      <c r="AN290" s="27"/>
      <c r="AO290" s="27"/>
      <c r="AP290" s="27"/>
    </row>
    <row r="291" spans="2:42" s="120" customFormat="1" hidden="1">
      <c r="B291" s="29"/>
      <c r="C291" s="128"/>
      <c r="D291" s="129"/>
      <c r="E291" s="129"/>
      <c r="F291" s="129"/>
      <c r="G291" s="129"/>
      <c r="H291" s="129"/>
      <c r="I291" s="129"/>
      <c r="J291" s="129"/>
      <c r="K291" s="129"/>
      <c r="L291" s="129"/>
      <c r="M291" s="131"/>
      <c r="N291" s="129"/>
      <c r="O291" s="129"/>
      <c r="P291" s="129"/>
      <c r="Q291" s="129"/>
      <c r="R291" s="129"/>
      <c r="S291" s="129"/>
      <c r="T291" s="129"/>
      <c r="U291" s="129"/>
      <c r="V291" s="129"/>
      <c r="W291" s="129"/>
      <c r="X291" s="129"/>
      <c r="Y291" s="131"/>
      <c r="Z291" s="131"/>
      <c r="AA291" s="132"/>
      <c r="AB291" s="132"/>
      <c r="AC291" s="33"/>
      <c r="AD291" s="33"/>
      <c r="AE291" s="33"/>
      <c r="AF291" s="33"/>
      <c r="AG291" s="27"/>
      <c r="AH291" s="27"/>
      <c r="AI291" s="27"/>
      <c r="AJ291" s="27"/>
      <c r="AK291" s="27"/>
      <c r="AL291" s="27"/>
      <c r="AM291" s="27"/>
      <c r="AN291" s="27"/>
      <c r="AO291" s="27"/>
      <c r="AP291" s="27"/>
    </row>
    <row r="292" spans="2:42" s="120" customFormat="1" hidden="1">
      <c r="B292" s="29"/>
      <c r="C292" s="128"/>
      <c r="D292" s="129"/>
      <c r="E292" s="129"/>
      <c r="F292" s="129"/>
      <c r="G292" s="129"/>
      <c r="H292" s="129"/>
      <c r="I292" s="129"/>
      <c r="J292" s="129"/>
      <c r="K292" s="129"/>
      <c r="L292" s="129"/>
      <c r="M292" s="131"/>
      <c r="N292" s="129"/>
      <c r="O292" s="129"/>
      <c r="P292" s="129"/>
      <c r="Q292" s="129"/>
      <c r="R292" s="129"/>
      <c r="S292" s="129"/>
      <c r="T292" s="129"/>
      <c r="U292" s="129"/>
      <c r="V292" s="129"/>
      <c r="W292" s="129"/>
      <c r="X292" s="129"/>
      <c r="Y292" s="131"/>
      <c r="Z292" s="131"/>
      <c r="AA292" s="132"/>
      <c r="AB292" s="132"/>
      <c r="AC292" s="33"/>
      <c r="AD292" s="33"/>
      <c r="AE292" s="33"/>
      <c r="AF292" s="33"/>
      <c r="AG292" s="27"/>
      <c r="AH292" s="27"/>
      <c r="AI292" s="27"/>
      <c r="AJ292" s="27"/>
      <c r="AK292" s="27"/>
      <c r="AL292" s="27"/>
      <c r="AM292" s="27"/>
      <c r="AN292" s="27"/>
      <c r="AO292" s="27"/>
      <c r="AP292" s="27"/>
    </row>
    <row r="293" spans="2:42" s="120" customFormat="1" hidden="1">
      <c r="B293" s="29"/>
      <c r="C293" s="128"/>
      <c r="D293" s="129"/>
      <c r="E293" s="129"/>
      <c r="F293" s="129"/>
      <c r="G293" s="129"/>
      <c r="H293" s="129"/>
      <c r="I293" s="129"/>
      <c r="J293" s="129"/>
      <c r="K293" s="129"/>
      <c r="L293" s="129"/>
      <c r="M293" s="131"/>
      <c r="N293" s="129"/>
      <c r="O293" s="129"/>
      <c r="P293" s="129"/>
      <c r="Q293" s="129"/>
      <c r="R293" s="129"/>
      <c r="S293" s="129"/>
      <c r="T293" s="129"/>
      <c r="U293" s="129"/>
      <c r="V293" s="129"/>
      <c r="W293" s="129"/>
      <c r="X293" s="129"/>
      <c r="Y293" s="131"/>
      <c r="Z293" s="131"/>
      <c r="AA293" s="132"/>
      <c r="AB293" s="132"/>
      <c r="AC293" s="33"/>
      <c r="AD293" s="33"/>
      <c r="AE293" s="33"/>
      <c r="AF293" s="33"/>
      <c r="AG293" s="27"/>
      <c r="AH293" s="27"/>
      <c r="AI293" s="27"/>
      <c r="AJ293" s="27"/>
      <c r="AK293" s="27"/>
      <c r="AL293" s="27"/>
      <c r="AM293" s="27"/>
      <c r="AN293" s="27"/>
      <c r="AO293" s="27"/>
      <c r="AP293" s="27"/>
    </row>
    <row r="294" spans="2:42" s="120" customFormat="1" hidden="1">
      <c r="B294" s="29"/>
      <c r="C294" s="128"/>
      <c r="D294" s="129"/>
      <c r="E294" s="129"/>
      <c r="F294" s="129"/>
      <c r="G294" s="129"/>
      <c r="H294" s="129"/>
      <c r="I294" s="129"/>
      <c r="J294" s="129"/>
      <c r="K294" s="129"/>
      <c r="L294" s="129"/>
      <c r="M294" s="131"/>
      <c r="N294" s="129"/>
      <c r="O294" s="129"/>
      <c r="P294" s="129"/>
      <c r="Q294" s="129"/>
      <c r="R294" s="129"/>
      <c r="S294" s="129"/>
      <c r="T294" s="129"/>
      <c r="U294" s="129"/>
      <c r="V294" s="129"/>
      <c r="W294" s="129"/>
      <c r="X294" s="129"/>
      <c r="Y294" s="131"/>
      <c r="Z294" s="131"/>
      <c r="AA294" s="132"/>
      <c r="AB294" s="132"/>
      <c r="AC294" s="33"/>
      <c r="AD294" s="33"/>
      <c r="AE294" s="33"/>
      <c r="AF294" s="33"/>
      <c r="AG294" s="27"/>
      <c r="AH294" s="27"/>
      <c r="AI294" s="27"/>
      <c r="AJ294" s="27"/>
      <c r="AK294" s="27"/>
      <c r="AL294" s="27"/>
      <c r="AM294" s="27"/>
      <c r="AN294" s="27"/>
      <c r="AO294" s="27"/>
      <c r="AP294" s="27"/>
    </row>
    <row r="295" spans="2:42" s="120" customFormat="1" hidden="1">
      <c r="B295" s="29"/>
      <c r="C295" s="128"/>
      <c r="D295" s="129"/>
      <c r="E295" s="129"/>
      <c r="F295" s="129"/>
      <c r="G295" s="129"/>
      <c r="H295" s="129"/>
      <c r="I295" s="129"/>
      <c r="J295" s="129"/>
      <c r="K295" s="129"/>
      <c r="L295" s="129"/>
      <c r="M295" s="131"/>
      <c r="N295" s="129"/>
      <c r="O295" s="129"/>
      <c r="P295" s="129"/>
      <c r="Q295" s="129"/>
      <c r="R295" s="129"/>
      <c r="S295" s="129"/>
      <c r="T295" s="129"/>
      <c r="U295" s="129"/>
      <c r="V295" s="129"/>
      <c r="W295" s="129"/>
      <c r="X295" s="129"/>
      <c r="Y295" s="131"/>
      <c r="Z295" s="131"/>
      <c r="AA295" s="132"/>
      <c r="AB295" s="132"/>
      <c r="AC295" s="33"/>
      <c r="AD295" s="33"/>
      <c r="AE295" s="33"/>
      <c r="AF295" s="33"/>
      <c r="AG295" s="27"/>
      <c r="AH295" s="27"/>
      <c r="AI295" s="27"/>
      <c r="AJ295" s="27"/>
      <c r="AK295" s="27"/>
      <c r="AL295" s="27"/>
      <c r="AM295" s="27"/>
      <c r="AN295" s="27"/>
      <c r="AO295" s="27"/>
      <c r="AP295" s="27"/>
    </row>
    <row r="296" spans="2:42" s="120" customFormat="1" hidden="1">
      <c r="B296" s="29"/>
      <c r="C296" s="128"/>
      <c r="D296" s="129"/>
      <c r="E296" s="129"/>
      <c r="F296" s="129"/>
      <c r="G296" s="129"/>
      <c r="H296" s="129"/>
      <c r="I296" s="129"/>
      <c r="J296" s="129"/>
      <c r="K296" s="129"/>
      <c r="L296" s="129"/>
      <c r="M296" s="131"/>
      <c r="N296" s="129"/>
      <c r="O296" s="129"/>
      <c r="P296" s="129"/>
      <c r="Q296" s="129"/>
      <c r="R296" s="129"/>
      <c r="S296" s="129"/>
      <c r="T296" s="129"/>
      <c r="U296" s="129"/>
      <c r="V296" s="129"/>
      <c r="W296" s="129"/>
      <c r="X296" s="129"/>
      <c r="Y296" s="131"/>
      <c r="Z296" s="131"/>
      <c r="AA296" s="132"/>
      <c r="AB296" s="132"/>
      <c r="AC296" s="33"/>
      <c r="AD296" s="33"/>
      <c r="AE296" s="33"/>
      <c r="AF296" s="33"/>
      <c r="AG296" s="27"/>
      <c r="AH296" s="27"/>
      <c r="AI296" s="27"/>
      <c r="AJ296" s="27"/>
      <c r="AK296" s="27"/>
      <c r="AL296" s="27"/>
      <c r="AM296" s="27"/>
      <c r="AN296" s="27"/>
      <c r="AO296" s="27"/>
      <c r="AP296" s="27"/>
    </row>
    <row r="297" spans="2:42" s="120" customFormat="1" hidden="1">
      <c r="B297" s="29"/>
      <c r="C297" s="128"/>
      <c r="D297" s="129"/>
      <c r="E297" s="129"/>
      <c r="F297" s="129"/>
      <c r="G297" s="129"/>
      <c r="H297" s="129"/>
      <c r="I297" s="129"/>
      <c r="J297" s="129"/>
      <c r="K297" s="129"/>
      <c r="L297" s="129"/>
      <c r="M297" s="131"/>
      <c r="N297" s="129"/>
      <c r="O297" s="129"/>
      <c r="P297" s="129"/>
      <c r="Q297" s="129"/>
      <c r="R297" s="129"/>
      <c r="S297" s="129"/>
      <c r="T297" s="129"/>
      <c r="U297" s="129"/>
      <c r="V297" s="129"/>
      <c r="W297" s="129"/>
      <c r="X297" s="129"/>
      <c r="Y297" s="131"/>
      <c r="Z297" s="131"/>
      <c r="AA297" s="132"/>
      <c r="AB297" s="132"/>
      <c r="AC297" s="33"/>
      <c r="AD297" s="33"/>
      <c r="AE297" s="33"/>
      <c r="AF297" s="33"/>
      <c r="AG297" s="27"/>
      <c r="AH297" s="27"/>
      <c r="AI297" s="27"/>
      <c r="AJ297" s="27"/>
      <c r="AK297" s="27"/>
      <c r="AL297" s="27"/>
      <c r="AM297" s="27"/>
      <c r="AN297" s="27"/>
      <c r="AO297" s="27"/>
      <c r="AP297" s="27"/>
    </row>
    <row r="298" spans="2:42" s="120" customFormat="1" hidden="1">
      <c r="B298" s="29"/>
      <c r="C298" s="128"/>
      <c r="D298" s="129"/>
      <c r="E298" s="129"/>
      <c r="F298" s="129"/>
      <c r="G298" s="129"/>
      <c r="H298" s="129"/>
      <c r="I298" s="129"/>
      <c r="J298" s="129"/>
      <c r="K298" s="129"/>
      <c r="L298" s="129"/>
      <c r="M298" s="131"/>
      <c r="N298" s="129"/>
      <c r="O298" s="129"/>
      <c r="P298" s="129"/>
      <c r="Q298" s="129"/>
      <c r="R298" s="129"/>
      <c r="S298" s="129"/>
      <c r="T298" s="129"/>
      <c r="U298" s="129"/>
      <c r="V298" s="129"/>
      <c r="W298" s="129"/>
      <c r="X298" s="129"/>
      <c r="Y298" s="131"/>
      <c r="Z298" s="131"/>
      <c r="AA298" s="132"/>
      <c r="AB298" s="132"/>
      <c r="AC298" s="33"/>
      <c r="AD298" s="33"/>
      <c r="AE298" s="33"/>
      <c r="AF298" s="33"/>
      <c r="AG298" s="27"/>
      <c r="AH298" s="27"/>
      <c r="AI298" s="27"/>
      <c r="AJ298" s="27"/>
      <c r="AK298" s="27"/>
      <c r="AL298" s="27"/>
      <c r="AM298" s="27"/>
      <c r="AN298" s="27"/>
      <c r="AO298" s="27"/>
      <c r="AP298" s="27"/>
    </row>
    <row r="299" spans="2:42" s="120" customFormat="1" hidden="1">
      <c r="B299" s="29"/>
      <c r="C299" s="128"/>
      <c r="D299" s="129"/>
      <c r="E299" s="129"/>
      <c r="F299" s="129"/>
      <c r="G299" s="129"/>
      <c r="H299" s="129"/>
      <c r="I299" s="129"/>
      <c r="J299" s="129"/>
      <c r="K299" s="129"/>
      <c r="L299" s="129"/>
      <c r="M299" s="131"/>
      <c r="N299" s="129"/>
      <c r="O299" s="129"/>
      <c r="P299" s="129"/>
      <c r="Q299" s="129"/>
      <c r="R299" s="129"/>
      <c r="S299" s="129"/>
      <c r="T299" s="129"/>
      <c r="U299" s="129"/>
      <c r="V299" s="129"/>
      <c r="W299" s="129"/>
      <c r="X299" s="129"/>
      <c r="Y299" s="131"/>
      <c r="Z299" s="131"/>
      <c r="AA299" s="132"/>
      <c r="AB299" s="132"/>
      <c r="AC299" s="33"/>
      <c r="AD299" s="33"/>
      <c r="AE299" s="33"/>
      <c r="AF299" s="33"/>
      <c r="AG299" s="27"/>
      <c r="AH299" s="27"/>
      <c r="AI299" s="27"/>
      <c r="AJ299" s="27"/>
      <c r="AK299" s="27"/>
      <c r="AL299" s="27"/>
      <c r="AM299" s="27"/>
      <c r="AN299" s="27"/>
      <c r="AO299" s="27"/>
      <c r="AP299" s="27"/>
    </row>
    <row r="300" spans="2:42" s="120" customFormat="1" hidden="1">
      <c r="B300" s="29"/>
      <c r="C300" s="128"/>
      <c r="D300" s="129"/>
      <c r="E300" s="129"/>
      <c r="F300" s="129"/>
      <c r="G300" s="129"/>
      <c r="H300" s="129"/>
      <c r="I300" s="129"/>
      <c r="J300" s="129"/>
      <c r="K300" s="129"/>
      <c r="L300" s="129"/>
      <c r="M300" s="131"/>
      <c r="N300" s="129"/>
      <c r="O300" s="129"/>
      <c r="P300" s="129"/>
      <c r="Q300" s="129"/>
      <c r="R300" s="129"/>
      <c r="S300" s="129"/>
      <c r="T300" s="129"/>
      <c r="U300" s="129"/>
      <c r="V300" s="129"/>
      <c r="W300" s="129"/>
      <c r="X300" s="129"/>
      <c r="Y300" s="131"/>
      <c r="Z300" s="131"/>
      <c r="AA300" s="132"/>
      <c r="AB300" s="132"/>
      <c r="AC300" s="33"/>
      <c r="AD300" s="33"/>
      <c r="AE300" s="33"/>
      <c r="AF300" s="33"/>
      <c r="AG300" s="27"/>
      <c r="AH300" s="27"/>
      <c r="AI300" s="27"/>
      <c r="AJ300" s="27"/>
      <c r="AK300" s="27"/>
      <c r="AL300" s="27"/>
      <c r="AM300" s="27"/>
      <c r="AN300" s="27"/>
      <c r="AO300" s="27"/>
      <c r="AP300" s="27"/>
    </row>
    <row r="301" spans="2:42" s="120" customFormat="1" hidden="1">
      <c r="B301" s="29"/>
      <c r="C301" s="128"/>
      <c r="D301" s="129"/>
      <c r="E301" s="129"/>
      <c r="F301" s="129"/>
      <c r="G301" s="129"/>
      <c r="H301" s="129"/>
      <c r="I301" s="129"/>
      <c r="J301" s="129"/>
      <c r="K301" s="129"/>
      <c r="L301" s="129"/>
      <c r="M301" s="131"/>
      <c r="N301" s="129"/>
      <c r="O301" s="129"/>
      <c r="P301" s="129"/>
      <c r="Q301" s="129"/>
      <c r="R301" s="129"/>
      <c r="S301" s="129"/>
      <c r="T301" s="129"/>
      <c r="U301" s="129"/>
      <c r="V301" s="129"/>
      <c r="W301" s="129"/>
      <c r="X301" s="129"/>
      <c r="Y301" s="131"/>
      <c r="Z301" s="131"/>
      <c r="AA301" s="132"/>
      <c r="AB301" s="132"/>
      <c r="AC301" s="33"/>
      <c r="AD301" s="33"/>
      <c r="AE301" s="33"/>
      <c r="AF301" s="33"/>
      <c r="AG301" s="27"/>
      <c r="AH301" s="27"/>
      <c r="AI301" s="27"/>
      <c r="AJ301" s="27"/>
      <c r="AK301" s="27"/>
      <c r="AL301" s="27"/>
      <c r="AM301" s="27"/>
      <c r="AN301" s="27"/>
      <c r="AO301" s="27"/>
      <c r="AP301" s="27"/>
    </row>
    <row r="302" spans="2:42" s="120" customFormat="1" hidden="1">
      <c r="B302" s="29"/>
      <c r="C302" s="128"/>
      <c r="D302" s="129"/>
      <c r="E302" s="129"/>
      <c r="F302" s="129"/>
      <c r="G302" s="129"/>
      <c r="H302" s="129"/>
      <c r="I302" s="129"/>
      <c r="J302" s="129"/>
      <c r="K302" s="129"/>
      <c r="L302" s="129"/>
      <c r="M302" s="131"/>
      <c r="N302" s="129"/>
      <c r="O302" s="129"/>
      <c r="P302" s="129"/>
      <c r="Q302" s="129"/>
      <c r="R302" s="129"/>
      <c r="S302" s="129"/>
      <c r="T302" s="129"/>
      <c r="U302" s="129"/>
      <c r="V302" s="129"/>
      <c r="W302" s="129"/>
      <c r="X302" s="129"/>
      <c r="Y302" s="131"/>
      <c r="Z302" s="131"/>
      <c r="AA302" s="132"/>
      <c r="AB302" s="132"/>
      <c r="AC302" s="33"/>
      <c r="AD302" s="33"/>
      <c r="AE302" s="33"/>
      <c r="AF302" s="33"/>
      <c r="AG302" s="27"/>
      <c r="AH302" s="27"/>
      <c r="AI302" s="27"/>
      <c r="AJ302" s="27"/>
      <c r="AK302" s="27"/>
      <c r="AL302" s="27"/>
      <c r="AM302" s="27"/>
      <c r="AN302" s="27"/>
      <c r="AO302" s="27"/>
      <c r="AP302" s="27"/>
    </row>
    <row r="303" spans="2:42" s="120" customFormat="1" hidden="1">
      <c r="B303" s="29"/>
      <c r="C303" s="128"/>
      <c r="D303" s="129"/>
      <c r="E303" s="129"/>
      <c r="F303" s="129"/>
      <c r="G303" s="129"/>
      <c r="H303" s="129"/>
      <c r="I303" s="129"/>
      <c r="J303" s="129"/>
      <c r="K303" s="129"/>
      <c r="L303" s="129"/>
      <c r="M303" s="131"/>
      <c r="N303" s="129"/>
      <c r="O303" s="129"/>
      <c r="P303" s="129"/>
      <c r="Q303" s="129"/>
      <c r="R303" s="129"/>
      <c r="S303" s="129"/>
      <c r="T303" s="129"/>
      <c r="U303" s="129"/>
      <c r="V303" s="129"/>
      <c r="W303" s="129"/>
      <c r="X303" s="129"/>
      <c r="Y303" s="131"/>
      <c r="Z303" s="131"/>
      <c r="AA303" s="132"/>
      <c r="AB303" s="132"/>
      <c r="AC303" s="33"/>
      <c r="AD303" s="33"/>
      <c r="AE303" s="33"/>
      <c r="AF303" s="33"/>
      <c r="AG303" s="27"/>
      <c r="AH303" s="27"/>
      <c r="AI303" s="27"/>
      <c r="AJ303" s="27"/>
      <c r="AK303" s="27"/>
      <c r="AL303" s="27"/>
      <c r="AM303" s="27"/>
      <c r="AN303" s="27"/>
      <c r="AO303" s="27"/>
      <c r="AP303" s="27"/>
    </row>
    <row r="304" spans="2:42" s="120" customFormat="1" hidden="1">
      <c r="B304" s="29"/>
      <c r="C304" s="128"/>
      <c r="D304" s="129"/>
      <c r="E304" s="129"/>
      <c r="F304" s="129"/>
      <c r="G304" s="129"/>
      <c r="H304" s="129"/>
      <c r="I304" s="129"/>
      <c r="J304" s="129"/>
      <c r="K304" s="129"/>
      <c r="L304" s="129"/>
      <c r="M304" s="131"/>
      <c r="N304" s="129"/>
      <c r="O304" s="129"/>
      <c r="P304" s="129"/>
      <c r="Q304" s="129"/>
      <c r="R304" s="129"/>
      <c r="S304" s="129"/>
      <c r="T304" s="129"/>
      <c r="U304" s="129"/>
      <c r="V304" s="129"/>
      <c r="W304" s="129"/>
      <c r="X304" s="129"/>
      <c r="Y304" s="131"/>
      <c r="Z304" s="131"/>
      <c r="AA304" s="132"/>
      <c r="AB304" s="132"/>
      <c r="AC304" s="33"/>
      <c r="AD304" s="33"/>
      <c r="AE304" s="33"/>
      <c r="AF304" s="33"/>
      <c r="AG304" s="27"/>
      <c r="AH304" s="27"/>
      <c r="AI304" s="27"/>
      <c r="AJ304" s="27"/>
      <c r="AK304" s="27"/>
      <c r="AL304" s="27"/>
      <c r="AM304" s="27"/>
      <c r="AN304" s="27"/>
      <c r="AO304" s="27"/>
      <c r="AP304" s="27"/>
    </row>
    <row r="305" spans="2:42" s="120" customFormat="1" hidden="1">
      <c r="B305" s="29"/>
      <c r="C305" s="128"/>
      <c r="D305" s="129"/>
      <c r="E305" s="129"/>
      <c r="F305" s="129"/>
      <c r="G305" s="129"/>
      <c r="H305" s="129"/>
      <c r="I305" s="129"/>
      <c r="J305" s="129"/>
      <c r="K305" s="129"/>
      <c r="L305" s="129"/>
      <c r="M305" s="131"/>
      <c r="N305" s="129"/>
      <c r="O305" s="129"/>
      <c r="P305" s="129"/>
      <c r="Q305" s="129"/>
      <c r="R305" s="129"/>
      <c r="S305" s="129"/>
      <c r="T305" s="129"/>
      <c r="U305" s="129"/>
      <c r="V305" s="129"/>
      <c r="W305" s="129"/>
      <c r="X305" s="129"/>
      <c r="Y305" s="131"/>
      <c r="Z305" s="131"/>
      <c r="AA305" s="132"/>
      <c r="AB305" s="132"/>
      <c r="AC305" s="33"/>
      <c r="AD305" s="33"/>
      <c r="AE305" s="33"/>
      <c r="AF305" s="33"/>
      <c r="AG305" s="27"/>
      <c r="AH305" s="27"/>
      <c r="AI305" s="27"/>
      <c r="AJ305" s="27"/>
      <c r="AK305" s="27"/>
      <c r="AL305" s="27"/>
      <c r="AM305" s="27"/>
      <c r="AN305" s="27"/>
      <c r="AO305" s="27"/>
      <c r="AP305" s="27"/>
    </row>
    <row r="306" spans="2:42" s="120" customFormat="1" hidden="1">
      <c r="B306" s="29"/>
      <c r="C306" s="128"/>
      <c r="D306" s="129"/>
      <c r="E306" s="129"/>
      <c r="F306" s="129"/>
      <c r="G306" s="129"/>
      <c r="H306" s="129"/>
      <c r="I306" s="129"/>
      <c r="J306" s="129"/>
      <c r="K306" s="129"/>
      <c r="L306" s="129"/>
      <c r="M306" s="131"/>
      <c r="N306" s="129"/>
      <c r="O306" s="129"/>
      <c r="P306" s="129"/>
      <c r="Q306" s="129"/>
      <c r="R306" s="129"/>
      <c r="S306" s="129"/>
      <c r="T306" s="129"/>
      <c r="U306" s="129"/>
      <c r="V306" s="129"/>
      <c r="W306" s="129"/>
      <c r="X306" s="129"/>
      <c r="Y306" s="131"/>
      <c r="Z306" s="131"/>
      <c r="AA306" s="132"/>
      <c r="AB306" s="132"/>
      <c r="AC306" s="33"/>
      <c r="AD306" s="33"/>
      <c r="AE306" s="33"/>
      <c r="AF306" s="33"/>
      <c r="AG306" s="27"/>
      <c r="AH306" s="27"/>
      <c r="AI306" s="27"/>
      <c r="AJ306" s="27"/>
      <c r="AK306" s="27"/>
      <c r="AL306" s="27"/>
      <c r="AM306" s="27"/>
      <c r="AN306" s="27"/>
      <c r="AO306" s="27"/>
      <c r="AP306" s="27"/>
    </row>
    <row r="307" spans="2:42" s="120" customFormat="1" hidden="1">
      <c r="B307" s="29"/>
      <c r="C307" s="128"/>
      <c r="D307" s="129"/>
      <c r="E307" s="129"/>
      <c r="F307" s="129"/>
      <c r="G307" s="129"/>
      <c r="H307" s="129"/>
      <c r="I307" s="129"/>
      <c r="J307" s="129"/>
      <c r="K307" s="129"/>
      <c r="L307" s="129"/>
      <c r="M307" s="131"/>
      <c r="N307" s="129"/>
      <c r="O307" s="129"/>
      <c r="P307" s="129"/>
      <c r="Q307" s="129"/>
      <c r="R307" s="129"/>
      <c r="S307" s="129"/>
      <c r="T307" s="129"/>
      <c r="U307" s="129"/>
      <c r="V307" s="129"/>
      <c r="W307" s="129"/>
      <c r="X307" s="129"/>
      <c r="Y307" s="131"/>
      <c r="Z307" s="131"/>
      <c r="AA307" s="132"/>
      <c r="AB307" s="132"/>
      <c r="AC307" s="33"/>
      <c r="AD307" s="33"/>
      <c r="AE307" s="33"/>
      <c r="AF307" s="33"/>
      <c r="AG307" s="27"/>
      <c r="AH307" s="27"/>
      <c r="AI307" s="27"/>
      <c r="AJ307" s="27"/>
      <c r="AK307" s="27"/>
      <c r="AL307" s="27"/>
      <c r="AM307" s="27"/>
      <c r="AN307" s="27"/>
      <c r="AO307" s="27"/>
      <c r="AP307" s="27"/>
    </row>
    <row r="308" spans="2:42" s="120" customFormat="1" hidden="1">
      <c r="B308" s="29"/>
      <c r="C308" s="128"/>
      <c r="D308" s="129"/>
      <c r="E308" s="129"/>
      <c r="F308" s="129"/>
      <c r="G308" s="129"/>
      <c r="H308" s="129"/>
      <c r="I308" s="129"/>
      <c r="J308" s="129"/>
      <c r="K308" s="129"/>
      <c r="L308" s="129"/>
      <c r="M308" s="131"/>
      <c r="N308" s="129"/>
      <c r="O308" s="129"/>
      <c r="P308" s="129"/>
      <c r="Q308" s="129"/>
      <c r="R308" s="129"/>
      <c r="S308" s="129"/>
      <c r="T308" s="129"/>
      <c r="U308" s="129"/>
      <c r="V308" s="129"/>
      <c r="W308" s="129"/>
      <c r="X308" s="129"/>
      <c r="Y308" s="131"/>
      <c r="Z308" s="131"/>
      <c r="AA308" s="132"/>
      <c r="AB308" s="132"/>
      <c r="AC308" s="33"/>
      <c r="AD308" s="33"/>
      <c r="AE308" s="33"/>
      <c r="AF308" s="33"/>
      <c r="AG308" s="27"/>
      <c r="AH308" s="27"/>
      <c r="AI308" s="27"/>
      <c r="AJ308" s="27"/>
      <c r="AK308" s="27"/>
      <c r="AL308" s="27"/>
      <c r="AM308" s="27"/>
      <c r="AN308" s="27"/>
      <c r="AO308" s="27"/>
      <c r="AP308" s="27"/>
    </row>
    <row r="309" spans="2:42" s="120" customFormat="1" hidden="1">
      <c r="B309" s="29"/>
      <c r="C309" s="128"/>
      <c r="D309" s="129"/>
      <c r="E309" s="129"/>
      <c r="F309" s="129"/>
      <c r="G309" s="129"/>
      <c r="H309" s="129"/>
      <c r="I309" s="129"/>
      <c r="J309" s="129"/>
      <c r="K309" s="129"/>
      <c r="L309" s="129"/>
      <c r="M309" s="131"/>
      <c r="N309" s="129"/>
      <c r="O309" s="129"/>
      <c r="P309" s="129"/>
      <c r="Q309" s="129"/>
      <c r="R309" s="129"/>
      <c r="S309" s="129"/>
      <c r="T309" s="129"/>
      <c r="U309" s="129"/>
      <c r="V309" s="129"/>
      <c r="W309" s="129"/>
      <c r="X309" s="129"/>
      <c r="Y309" s="131"/>
      <c r="Z309" s="131"/>
      <c r="AA309" s="132"/>
      <c r="AB309" s="132"/>
      <c r="AC309" s="33"/>
      <c r="AD309" s="33"/>
      <c r="AE309" s="33"/>
      <c r="AF309" s="33"/>
      <c r="AG309" s="27"/>
      <c r="AH309" s="27"/>
      <c r="AI309" s="27"/>
      <c r="AJ309" s="27"/>
      <c r="AK309" s="27"/>
      <c r="AL309" s="27"/>
      <c r="AM309" s="27"/>
      <c r="AN309" s="27"/>
      <c r="AO309" s="27"/>
      <c r="AP309" s="27"/>
    </row>
    <row r="310" spans="2:42" s="120" customFormat="1" hidden="1">
      <c r="B310" s="29"/>
      <c r="C310" s="128"/>
      <c r="D310" s="129"/>
      <c r="E310" s="129"/>
      <c r="F310" s="129"/>
      <c r="G310" s="129"/>
      <c r="H310" s="129"/>
      <c r="I310" s="129"/>
      <c r="J310" s="129"/>
      <c r="K310" s="129"/>
      <c r="L310" s="129"/>
      <c r="M310" s="131"/>
      <c r="N310" s="129"/>
      <c r="O310" s="129"/>
      <c r="P310" s="129"/>
      <c r="Q310" s="129"/>
      <c r="R310" s="129"/>
      <c r="S310" s="129"/>
      <c r="T310" s="129"/>
      <c r="U310" s="129"/>
      <c r="V310" s="129"/>
      <c r="W310" s="129"/>
      <c r="X310" s="129"/>
      <c r="Y310" s="131"/>
      <c r="Z310" s="131"/>
      <c r="AA310" s="132"/>
      <c r="AB310" s="132"/>
      <c r="AC310" s="33"/>
      <c r="AD310" s="33"/>
      <c r="AE310" s="33"/>
      <c r="AF310" s="33"/>
      <c r="AG310" s="27"/>
      <c r="AH310" s="27"/>
      <c r="AI310" s="27"/>
      <c r="AJ310" s="27"/>
      <c r="AK310" s="27"/>
      <c r="AL310" s="27"/>
      <c r="AM310" s="27"/>
      <c r="AN310" s="27"/>
      <c r="AO310" s="27"/>
      <c r="AP310" s="27"/>
    </row>
    <row r="311" spans="2:42" s="120" customFormat="1" hidden="1">
      <c r="B311" s="29"/>
      <c r="C311" s="128"/>
      <c r="D311" s="129"/>
      <c r="E311" s="129"/>
      <c r="F311" s="129"/>
      <c r="G311" s="129"/>
      <c r="H311" s="129"/>
      <c r="I311" s="129"/>
      <c r="J311" s="129"/>
      <c r="K311" s="129"/>
      <c r="L311" s="129"/>
      <c r="M311" s="131"/>
      <c r="N311" s="129"/>
      <c r="O311" s="129"/>
      <c r="P311" s="129"/>
      <c r="Q311" s="129"/>
      <c r="R311" s="129"/>
      <c r="S311" s="129"/>
      <c r="T311" s="129"/>
      <c r="U311" s="129"/>
      <c r="V311" s="129"/>
      <c r="W311" s="129"/>
      <c r="X311" s="129"/>
      <c r="Y311" s="131"/>
      <c r="Z311" s="131"/>
      <c r="AA311" s="132"/>
      <c r="AB311" s="132"/>
      <c r="AC311" s="33"/>
      <c r="AD311" s="33"/>
      <c r="AE311" s="33"/>
      <c r="AF311" s="33"/>
      <c r="AG311" s="27"/>
      <c r="AH311" s="27"/>
      <c r="AI311" s="27"/>
      <c r="AJ311" s="27"/>
      <c r="AK311" s="27"/>
      <c r="AL311" s="27"/>
      <c r="AM311" s="27"/>
      <c r="AN311" s="27"/>
      <c r="AO311" s="27"/>
      <c r="AP311" s="27"/>
    </row>
    <row r="312" spans="2:42" s="120" customFormat="1" hidden="1">
      <c r="B312" s="29"/>
      <c r="C312" s="128"/>
      <c r="D312" s="129"/>
      <c r="E312" s="129"/>
      <c r="F312" s="129"/>
      <c r="G312" s="129"/>
      <c r="H312" s="129"/>
      <c r="I312" s="129"/>
      <c r="J312" s="129"/>
      <c r="K312" s="129"/>
      <c r="L312" s="129"/>
      <c r="M312" s="131"/>
      <c r="N312" s="129"/>
      <c r="O312" s="129"/>
      <c r="P312" s="129"/>
      <c r="Q312" s="129"/>
      <c r="R312" s="129"/>
      <c r="S312" s="129"/>
      <c r="T312" s="129"/>
      <c r="U312" s="129"/>
      <c r="V312" s="129"/>
      <c r="W312" s="129"/>
      <c r="X312" s="129"/>
      <c r="Y312" s="131"/>
      <c r="Z312" s="131"/>
      <c r="AA312" s="132"/>
      <c r="AB312" s="132"/>
      <c r="AC312" s="33"/>
      <c r="AD312" s="33"/>
      <c r="AE312" s="33"/>
      <c r="AF312" s="33"/>
      <c r="AG312" s="27"/>
      <c r="AH312" s="27"/>
      <c r="AI312" s="27"/>
      <c r="AJ312" s="27"/>
      <c r="AK312" s="27"/>
      <c r="AL312" s="27"/>
      <c r="AM312" s="27"/>
      <c r="AN312" s="27"/>
      <c r="AO312" s="27"/>
      <c r="AP312" s="27"/>
    </row>
    <row r="313" spans="2:42" s="120" customFormat="1" hidden="1">
      <c r="B313" s="29"/>
      <c r="C313" s="128"/>
      <c r="D313" s="129"/>
      <c r="E313" s="129"/>
      <c r="F313" s="129"/>
      <c r="G313" s="129"/>
      <c r="H313" s="129"/>
      <c r="I313" s="129"/>
      <c r="J313" s="129"/>
      <c r="K313" s="129"/>
      <c r="L313" s="129"/>
      <c r="M313" s="131"/>
      <c r="N313" s="129"/>
      <c r="O313" s="129"/>
      <c r="P313" s="129"/>
      <c r="Q313" s="129"/>
      <c r="R313" s="129"/>
      <c r="S313" s="129"/>
      <c r="T313" s="129"/>
      <c r="U313" s="129"/>
      <c r="V313" s="129"/>
      <c r="W313" s="129"/>
      <c r="X313" s="129"/>
      <c r="Y313" s="131"/>
      <c r="Z313" s="131"/>
      <c r="AA313" s="132"/>
      <c r="AB313" s="132"/>
      <c r="AC313" s="33"/>
      <c r="AD313" s="33"/>
      <c r="AE313" s="33"/>
      <c r="AF313" s="33"/>
      <c r="AG313" s="27"/>
      <c r="AH313" s="27"/>
      <c r="AI313" s="27"/>
      <c r="AJ313" s="27"/>
      <c r="AK313" s="27"/>
      <c r="AL313" s="27"/>
      <c r="AM313" s="27"/>
      <c r="AN313" s="27"/>
      <c r="AO313" s="27"/>
      <c r="AP313" s="27"/>
    </row>
    <row r="314" spans="2:42" s="120" customFormat="1" hidden="1">
      <c r="B314" s="29"/>
      <c r="C314" s="128"/>
      <c r="D314" s="129"/>
      <c r="E314" s="129"/>
      <c r="F314" s="129"/>
      <c r="G314" s="129"/>
      <c r="H314" s="129"/>
      <c r="I314" s="129"/>
      <c r="J314" s="129"/>
      <c r="K314" s="129"/>
      <c r="L314" s="129"/>
      <c r="M314" s="131"/>
      <c r="N314" s="129"/>
      <c r="O314" s="129"/>
      <c r="P314" s="129"/>
      <c r="Q314" s="129"/>
      <c r="R314" s="129"/>
      <c r="S314" s="129"/>
      <c r="T314" s="129"/>
      <c r="U314" s="129"/>
      <c r="V314" s="129"/>
      <c r="W314" s="129"/>
      <c r="X314" s="129"/>
      <c r="Y314" s="131"/>
      <c r="Z314" s="131"/>
      <c r="AA314" s="132"/>
      <c r="AB314" s="132"/>
      <c r="AC314" s="33"/>
      <c r="AD314" s="33"/>
      <c r="AE314" s="33"/>
      <c r="AF314" s="33"/>
      <c r="AG314" s="27"/>
      <c r="AH314" s="27"/>
      <c r="AI314" s="27"/>
      <c r="AJ314" s="27"/>
      <c r="AK314" s="27"/>
      <c r="AL314" s="27"/>
      <c r="AM314" s="27"/>
      <c r="AN314" s="27"/>
      <c r="AO314" s="27"/>
      <c r="AP314" s="27"/>
    </row>
    <row r="315" spans="2:42" s="120" customFormat="1" hidden="1">
      <c r="B315" s="29"/>
      <c r="C315" s="128"/>
      <c r="D315" s="129"/>
      <c r="E315" s="129"/>
      <c r="F315" s="129"/>
      <c r="G315" s="129"/>
      <c r="H315" s="129"/>
      <c r="I315" s="129"/>
      <c r="J315" s="129"/>
      <c r="K315" s="129"/>
      <c r="L315" s="129"/>
      <c r="M315" s="131"/>
      <c r="N315" s="129"/>
      <c r="O315" s="129"/>
      <c r="P315" s="129"/>
      <c r="Q315" s="129"/>
      <c r="R315" s="129"/>
      <c r="S315" s="129"/>
      <c r="T315" s="129"/>
      <c r="U315" s="129"/>
      <c r="V315" s="129"/>
      <c r="W315" s="129"/>
      <c r="X315" s="129"/>
      <c r="Y315" s="131"/>
      <c r="Z315" s="131"/>
      <c r="AA315" s="132"/>
      <c r="AB315" s="132"/>
      <c r="AC315" s="33"/>
      <c r="AD315" s="33"/>
      <c r="AE315" s="33"/>
      <c r="AF315" s="33"/>
      <c r="AG315" s="27"/>
      <c r="AH315" s="27"/>
      <c r="AI315" s="27"/>
      <c r="AJ315" s="27"/>
      <c r="AK315" s="27"/>
      <c r="AL315" s="27"/>
      <c r="AM315" s="27"/>
      <c r="AN315" s="27"/>
      <c r="AO315" s="27"/>
      <c r="AP315" s="27"/>
    </row>
    <row r="316" spans="2:42" s="120" customFormat="1" hidden="1">
      <c r="B316" s="29"/>
      <c r="C316" s="128"/>
      <c r="D316" s="129"/>
      <c r="E316" s="129"/>
      <c r="F316" s="129"/>
      <c r="G316" s="129"/>
      <c r="H316" s="129"/>
      <c r="I316" s="129"/>
      <c r="J316" s="129"/>
      <c r="K316" s="129"/>
      <c r="L316" s="129"/>
      <c r="M316" s="131"/>
      <c r="N316" s="129"/>
      <c r="O316" s="129"/>
      <c r="P316" s="129"/>
      <c r="Q316" s="129"/>
      <c r="R316" s="129"/>
      <c r="S316" s="129"/>
      <c r="T316" s="129"/>
      <c r="U316" s="129"/>
      <c r="V316" s="129"/>
      <c r="W316" s="129"/>
      <c r="X316" s="129"/>
      <c r="Y316" s="131"/>
      <c r="Z316" s="131"/>
      <c r="AA316" s="132"/>
      <c r="AB316" s="132"/>
      <c r="AC316" s="33"/>
      <c r="AD316" s="33"/>
      <c r="AE316" s="33"/>
      <c r="AF316" s="33"/>
      <c r="AG316" s="27"/>
      <c r="AH316" s="27"/>
      <c r="AI316" s="27"/>
      <c r="AJ316" s="27"/>
      <c r="AK316" s="27"/>
      <c r="AL316" s="27"/>
      <c r="AM316" s="27"/>
      <c r="AN316" s="27"/>
      <c r="AO316" s="27"/>
      <c r="AP316" s="27"/>
    </row>
    <row r="317" spans="2:42" s="120" customFormat="1" hidden="1">
      <c r="B317" s="29"/>
      <c r="C317" s="128"/>
      <c r="D317" s="129"/>
      <c r="E317" s="129"/>
      <c r="F317" s="129"/>
      <c r="G317" s="129"/>
      <c r="H317" s="129"/>
      <c r="I317" s="129"/>
      <c r="J317" s="129"/>
      <c r="K317" s="129"/>
      <c r="L317" s="129"/>
      <c r="M317" s="131"/>
      <c r="N317" s="129"/>
      <c r="O317" s="129"/>
      <c r="P317" s="129"/>
      <c r="Q317" s="129"/>
      <c r="R317" s="129"/>
      <c r="S317" s="129"/>
      <c r="T317" s="129"/>
      <c r="U317" s="129"/>
      <c r="V317" s="129"/>
      <c r="W317" s="129"/>
      <c r="X317" s="129"/>
      <c r="Y317" s="131"/>
      <c r="Z317" s="131"/>
      <c r="AA317" s="132"/>
      <c r="AB317" s="132"/>
      <c r="AC317" s="33"/>
      <c r="AD317" s="33"/>
      <c r="AE317" s="33"/>
      <c r="AF317" s="33"/>
      <c r="AG317" s="27"/>
      <c r="AH317" s="27"/>
      <c r="AI317" s="27"/>
      <c r="AJ317" s="27"/>
      <c r="AK317" s="27"/>
      <c r="AL317" s="27"/>
      <c r="AM317" s="27"/>
      <c r="AN317" s="27"/>
      <c r="AO317" s="27"/>
      <c r="AP317" s="27"/>
    </row>
    <row r="318" spans="2:42" s="120" customFormat="1" hidden="1">
      <c r="B318" s="29"/>
      <c r="C318" s="128"/>
      <c r="D318" s="129"/>
      <c r="E318" s="129"/>
      <c r="F318" s="129"/>
      <c r="G318" s="129"/>
      <c r="H318" s="129"/>
      <c r="I318" s="129"/>
      <c r="J318" s="129"/>
      <c r="K318" s="129"/>
      <c r="L318" s="129"/>
      <c r="M318" s="131"/>
      <c r="N318" s="129"/>
      <c r="O318" s="129"/>
      <c r="P318" s="129"/>
      <c r="Q318" s="129"/>
      <c r="R318" s="129"/>
      <c r="S318" s="129"/>
      <c r="T318" s="129"/>
      <c r="U318" s="129"/>
      <c r="V318" s="129"/>
      <c r="W318" s="129"/>
      <c r="X318" s="129"/>
      <c r="Y318" s="131"/>
      <c r="Z318" s="131"/>
      <c r="AA318" s="132"/>
      <c r="AB318" s="132"/>
      <c r="AC318" s="33"/>
      <c r="AD318" s="33"/>
      <c r="AE318" s="33"/>
      <c r="AF318" s="33"/>
      <c r="AG318" s="27"/>
      <c r="AH318" s="27"/>
      <c r="AI318" s="27"/>
      <c r="AJ318" s="27"/>
      <c r="AK318" s="27"/>
      <c r="AL318" s="27"/>
      <c r="AM318" s="27"/>
      <c r="AN318" s="27"/>
      <c r="AO318" s="27"/>
      <c r="AP318" s="27"/>
    </row>
    <row r="319" spans="2:42" s="120" customFormat="1" hidden="1">
      <c r="B319" s="29"/>
      <c r="C319" s="128"/>
      <c r="D319" s="129"/>
      <c r="E319" s="129"/>
      <c r="F319" s="129"/>
      <c r="G319" s="129"/>
      <c r="H319" s="129"/>
      <c r="I319" s="129"/>
      <c r="J319" s="129"/>
      <c r="K319" s="129"/>
      <c r="L319" s="129"/>
      <c r="M319" s="131"/>
      <c r="N319" s="129"/>
      <c r="O319" s="129"/>
      <c r="P319" s="129"/>
      <c r="Q319" s="129"/>
      <c r="R319" s="129"/>
      <c r="S319" s="129"/>
      <c r="T319" s="129"/>
      <c r="U319" s="129"/>
      <c r="V319" s="129"/>
      <c r="W319" s="129"/>
      <c r="X319" s="129"/>
      <c r="Y319" s="131"/>
      <c r="Z319" s="131"/>
      <c r="AA319" s="132"/>
      <c r="AB319" s="132"/>
      <c r="AC319" s="33"/>
      <c r="AD319" s="33"/>
      <c r="AE319" s="33"/>
      <c r="AF319" s="33"/>
      <c r="AG319" s="27"/>
      <c r="AH319" s="27"/>
      <c r="AI319" s="27"/>
      <c r="AJ319" s="27"/>
      <c r="AK319" s="27"/>
      <c r="AL319" s="27"/>
      <c r="AM319" s="27"/>
      <c r="AN319" s="27"/>
      <c r="AO319" s="27"/>
      <c r="AP319" s="27"/>
    </row>
    <row r="320" spans="2:42" s="120" customFormat="1" hidden="1">
      <c r="B320" s="29"/>
      <c r="C320" s="128"/>
      <c r="D320" s="129"/>
      <c r="E320" s="129"/>
      <c r="F320" s="129"/>
      <c r="G320" s="129"/>
      <c r="H320" s="129"/>
      <c r="I320" s="129"/>
      <c r="J320" s="129"/>
      <c r="K320" s="129"/>
      <c r="L320" s="129"/>
      <c r="M320" s="131"/>
      <c r="N320" s="129"/>
      <c r="O320" s="129"/>
      <c r="P320" s="129"/>
      <c r="Q320" s="129"/>
      <c r="R320" s="129"/>
      <c r="S320" s="129"/>
      <c r="T320" s="129"/>
      <c r="U320" s="129"/>
      <c r="V320" s="129"/>
      <c r="W320" s="129"/>
      <c r="X320" s="129"/>
      <c r="Y320" s="131"/>
      <c r="Z320" s="131"/>
      <c r="AA320" s="132"/>
      <c r="AB320" s="132"/>
      <c r="AC320" s="33"/>
      <c r="AD320" s="33"/>
      <c r="AE320" s="33"/>
      <c r="AF320" s="33"/>
      <c r="AG320" s="27"/>
      <c r="AH320" s="27"/>
      <c r="AI320" s="27"/>
      <c r="AJ320" s="27"/>
      <c r="AK320" s="27"/>
      <c r="AL320" s="27"/>
      <c r="AM320" s="27"/>
      <c r="AN320" s="27"/>
      <c r="AO320" s="27"/>
      <c r="AP320" s="27"/>
    </row>
    <row r="321" spans="2:42" s="120" customFormat="1" hidden="1">
      <c r="B321" s="29"/>
      <c r="C321" s="128"/>
      <c r="D321" s="129"/>
      <c r="E321" s="129"/>
      <c r="F321" s="129"/>
      <c r="G321" s="129"/>
      <c r="H321" s="129"/>
      <c r="I321" s="129"/>
      <c r="J321" s="129"/>
      <c r="K321" s="129"/>
      <c r="L321" s="129"/>
      <c r="M321" s="131"/>
      <c r="N321" s="129"/>
      <c r="O321" s="129"/>
      <c r="P321" s="129"/>
      <c r="Q321" s="129"/>
      <c r="R321" s="129"/>
      <c r="S321" s="129"/>
      <c r="T321" s="129"/>
      <c r="U321" s="129"/>
      <c r="V321" s="129"/>
      <c r="W321" s="129"/>
      <c r="X321" s="129"/>
      <c r="Y321" s="131"/>
      <c r="Z321" s="131"/>
      <c r="AA321" s="132"/>
      <c r="AB321" s="132"/>
      <c r="AC321" s="33"/>
      <c r="AD321" s="33"/>
      <c r="AE321" s="33"/>
      <c r="AF321" s="33"/>
      <c r="AG321" s="27"/>
      <c r="AH321" s="27"/>
      <c r="AI321" s="27"/>
      <c r="AJ321" s="27"/>
      <c r="AK321" s="27"/>
      <c r="AL321" s="27"/>
      <c r="AM321" s="27"/>
      <c r="AN321" s="27"/>
      <c r="AO321" s="27"/>
      <c r="AP321" s="27"/>
    </row>
    <row r="322" spans="2:42" s="120" customFormat="1" hidden="1">
      <c r="B322" s="29"/>
      <c r="C322" s="128"/>
      <c r="D322" s="129"/>
      <c r="E322" s="129"/>
      <c r="F322" s="129"/>
      <c r="G322" s="129"/>
      <c r="H322" s="129"/>
      <c r="I322" s="129"/>
      <c r="J322" s="129"/>
      <c r="K322" s="129"/>
      <c r="L322" s="129"/>
      <c r="M322" s="131"/>
      <c r="N322" s="129"/>
      <c r="O322" s="129"/>
      <c r="P322" s="129"/>
      <c r="Q322" s="129"/>
      <c r="R322" s="129"/>
      <c r="S322" s="129"/>
      <c r="T322" s="129"/>
      <c r="U322" s="129"/>
      <c r="V322" s="129"/>
      <c r="W322" s="129"/>
      <c r="X322" s="129"/>
      <c r="Y322" s="131"/>
      <c r="Z322" s="131"/>
      <c r="AA322" s="132"/>
      <c r="AB322" s="132"/>
      <c r="AC322" s="33"/>
      <c r="AD322" s="33"/>
      <c r="AE322" s="33"/>
      <c r="AF322" s="33"/>
      <c r="AG322" s="27"/>
      <c r="AH322" s="27"/>
      <c r="AI322" s="27"/>
      <c r="AJ322" s="27"/>
      <c r="AK322" s="27"/>
      <c r="AL322" s="27"/>
      <c r="AM322" s="27"/>
      <c r="AN322" s="27"/>
      <c r="AO322" s="27"/>
      <c r="AP322" s="27"/>
    </row>
    <row r="323" spans="2:42" s="120" customFormat="1" hidden="1">
      <c r="B323" s="29"/>
      <c r="C323" s="128"/>
      <c r="D323" s="129"/>
      <c r="E323" s="129"/>
      <c r="F323" s="129"/>
      <c r="G323" s="129"/>
      <c r="H323" s="129"/>
      <c r="I323" s="129"/>
      <c r="J323" s="129"/>
      <c r="K323" s="129"/>
      <c r="L323" s="129"/>
      <c r="M323" s="131"/>
      <c r="N323" s="129"/>
      <c r="O323" s="129"/>
      <c r="P323" s="129"/>
      <c r="Q323" s="129"/>
      <c r="R323" s="129"/>
      <c r="S323" s="129"/>
      <c r="T323" s="129"/>
      <c r="U323" s="129"/>
      <c r="V323" s="129"/>
      <c r="W323" s="129"/>
      <c r="X323" s="129"/>
      <c r="Y323" s="131"/>
      <c r="Z323" s="131"/>
      <c r="AA323" s="132"/>
      <c r="AB323" s="132"/>
      <c r="AC323" s="33"/>
      <c r="AD323" s="33"/>
      <c r="AE323" s="33"/>
      <c r="AF323" s="33"/>
      <c r="AG323" s="27"/>
      <c r="AH323" s="27"/>
      <c r="AI323" s="27"/>
      <c r="AJ323" s="27"/>
      <c r="AK323" s="27"/>
      <c r="AL323" s="27"/>
      <c r="AM323" s="27"/>
      <c r="AN323" s="27"/>
      <c r="AO323" s="27"/>
      <c r="AP323" s="27"/>
    </row>
    <row r="324" spans="2:42" s="120" customFormat="1" hidden="1">
      <c r="B324" s="29"/>
      <c r="C324" s="128"/>
      <c r="D324" s="129"/>
      <c r="E324" s="129"/>
      <c r="F324" s="129"/>
      <c r="G324" s="129"/>
      <c r="H324" s="129"/>
      <c r="I324" s="129"/>
      <c r="J324" s="129"/>
      <c r="K324" s="129"/>
      <c r="L324" s="129"/>
      <c r="M324" s="131"/>
      <c r="N324" s="129"/>
      <c r="O324" s="129"/>
      <c r="P324" s="129"/>
      <c r="Q324" s="129"/>
      <c r="R324" s="129"/>
      <c r="S324" s="129"/>
      <c r="T324" s="129"/>
      <c r="U324" s="129"/>
      <c r="V324" s="129"/>
      <c r="W324" s="129"/>
      <c r="X324" s="129"/>
      <c r="Y324" s="131"/>
      <c r="Z324" s="131"/>
      <c r="AA324" s="132"/>
      <c r="AB324" s="132"/>
      <c r="AC324" s="33"/>
      <c r="AD324" s="33"/>
      <c r="AE324" s="33"/>
      <c r="AF324" s="33"/>
      <c r="AG324" s="27"/>
      <c r="AH324" s="27"/>
      <c r="AI324" s="27"/>
      <c r="AJ324" s="27"/>
      <c r="AK324" s="27"/>
      <c r="AL324" s="27"/>
      <c r="AM324" s="27"/>
      <c r="AN324" s="27"/>
      <c r="AO324" s="27"/>
      <c r="AP324" s="27"/>
    </row>
    <row r="325" spans="2:42" s="120" customFormat="1" hidden="1">
      <c r="B325" s="29"/>
      <c r="C325" s="128"/>
      <c r="D325" s="129"/>
      <c r="E325" s="129"/>
      <c r="F325" s="129"/>
      <c r="G325" s="129"/>
      <c r="H325" s="129"/>
      <c r="I325" s="129"/>
      <c r="J325" s="129"/>
      <c r="K325" s="129"/>
      <c r="L325" s="129"/>
      <c r="M325" s="131"/>
      <c r="N325" s="129"/>
      <c r="O325" s="129"/>
      <c r="P325" s="129"/>
      <c r="Q325" s="129"/>
      <c r="R325" s="129"/>
      <c r="S325" s="129"/>
      <c r="T325" s="129"/>
      <c r="U325" s="129"/>
      <c r="V325" s="129"/>
      <c r="W325" s="129"/>
      <c r="X325" s="129"/>
      <c r="Y325" s="131"/>
      <c r="Z325" s="131"/>
      <c r="AA325" s="132"/>
      <c r="AB325" s="132"/>
      <c r="AC325" s="33"/>
      <c r="AD325" s="33"/>
      <c r="AE325" s="33"/>
      <c r="AF325" s="33"/>
      <c r="AG325" s="27"/>
      <c r="AH325" s="27"/>
      <c r="AI325" s="27"/>
      <c r="AJ325" s="27"/>
      <c r="AK325" s="27"/>
      <c r="AL325" s="27"/>
      <c r="AM325" s="27"/>
      <c r="AN325" s="27"/>
      <c r="AO325" s="27"/>
      <c r="AP325" s="27"/>
    </row>
    <row r="326" spans="2:42" s="120" customFormat="1" hidden="1">
      <c r="B326" s="29"/>
      <c r="C326" s="128"/>
      <c r="D326" s="129"/>
      <c r="E326" s="129"/>
      <c r="F326" s="129"/>
      <c r="G326" s="129"/>
      <c r="H326" s="129"/>
      <c r="I326" s="129"/>
      <c r="J326" s="129"/>
      <c r="K326" s="129"/>
      <c r="L326" s="129"/>
      <c r="M326" s="131"/>
      <c r="N326" s="129"/>
      <c r="O326" s="129"/>
      <c r="P326" s="129"/>
      <c r="Q326" s="129"/>
      <c r="R326" s="129"/>
      <c r="S326" s="129"/>
      <c r="T326" s="129"/>
      <c r="U326" s="129"/>
      <c r="V326" s="129"/>
      <c r="W326" s="129"/>
      <c r="X326" s="129"/>
      <c r="Y326" s="131"/>
      <c r="Z326" s="131"/>
      <c r="AA326" s="132"/>
      <c r="AB326" s="132"/>
      <c r="AC326" s="33"/>
      <c r="AD326" s="33"/>
      <c r="AE326" s="33"/>
      <c r="AF326" s="33"/>
      <c r="AG326" s="27"/>
      <c r="AH326" s="27"/>
      <c r="AI326" s="27"/>
      <c r="AJ326" s="27"/>
      <c r="AK326" s="27"/>
      <c r="AL326" s="27"/>
      <c r="AM326" s="27"/>
      <c r="AN326" s="27"/>
      <c r="AO326" s="27"/>
      <c r="AP326" s="27"/>
    </row>
    <row r="327" spans="2:42" s="120" customFormat="1" hidden="1">
      <c r="B327" s="29"/>
      <c r="C327" s="128"/>
      <c r="D327" s="129"/>
      <c r="E327" s="129"/>
      <c r="F327" s="129"/>
      <c r="G327" s="129"/>
      <c r="H327" s="129"/>
      <c r="I327" s="129"/>
      <c r="J327" s="129"/>
      <c r="K327" s="129"/>
      <c r="L327" s="129"/>
      <c r="M327" s="131"/>
      <c r="N327" s="129"/>
      <c r="O327" s="129"/>
      <c r="P327" s="129"/>
      <c r="Q327" s="129"/>
      <c r="R327" s="129"/>
      <c r="S327" s="129"/>
      <c r="T327" s="129"/>
      <c r="U327" s="129"/>
      <c r="V327" s="129"/>
      <c r="W327" s="129"/>
      <c r="X327" s="129"/>
      <c r="Y327" s="131"/>
      <c r="Z327" s="131"/>
      <c r="AA327" s="132"/>
      <c r="AB327" s="132"/>
      <c r="AC327" s="33"/>
      <c r="AD327" s="33"/>
      <c r="AE327" s="33"/>
      <c r="AF327" s="33"/>
      <c r="AG327" s="27"/>
      <c r="AH327" s="27"/>
      <c r="AI327" s="27"/>
      <c r="AJ327" s="27"/>
      <c r="AK327" s="27"/>
      <c r="AL327" s="27"/>
      <c r="AM327" s="27"/>
      <c r="AN327" s="27"/>
      <c r="AO327" s="27"/>
      <c r="AP327" s="27"/>
    </row>
    <row r="328" spans="2:42" s="120" customFormat="1" hidden="1">
      <c r="B328" s="29"/>
      <c r="C328" s="128"/>
      <c r="D328" s="129"/>
      <c r="E328" s="129"/>
      <c r="F328" s="129"/>
      <c r="G328" s="129"/>
      <c r="H328" s="129"/>
      <c r="I328" s="129"/>
      <c r="J328" s="129"/>
      <c r="K328" s="129"/>
      <c r="L328" s="129"/>
      <c r="M328" s="131"/>
      <c r="N328" s="129"/>
      <c r="O328" s="129"/>
      <c r="P328" s="129"/>
      <c r="Q328" s="129"/>
      <c r="R328" s="129"/>
      <c r="S328" s="129"/>
      <c r="T328" s="129"/>
      <c r="U328" s="129"/>
      <c r="V328" s="129"/>
      <c r="W328" s="129"/>
      <c r="X328" s="129"/>
      <c r="Y328" s="131"/>
      <c r="Z328" s="131"/>
      <c r="AA328" s="132"/>
      <c r="AB328" s="132"/>
      <c r="AC328" s="33"/>
      <c r="AD328" s="33"/>
      <c r="AE328" s="33"/>
      <c r="AF328" s="33"/>
      <c r="AG328" s="27"/>
      <c r="AH328" s="27"/>
      <c r="AI328" s="27"/>
      <c r="AJ328" s="27"/>
      <c r="AK328" s="27"/>
      <c r="AL328" s="27"/>
      <c r="AM328" s="27"/>
      <c r="AN328" s="27"/>
      <c r="AO328" s="27"/>
      <c r="AP328" s="27"/>
    </row>
    <row r="329" spans="2:42" s="120" customFormat="1" hidden="1">
      <c r="B329" s="29"/>
      <c r="C329" s="128"/>
      <c r="D329" s="129"/>
      <c r="E329" s="129"/>
      <c r="F329" s="129"/>
      <c r="G329" s="129"/>
      <c r="H329" s="129"/>
      <c r="I329" s="129"/>
      <c r="J329" s="129"/>
      <c r="K329" s="129"/>
      <c r="L329" s="129"/>
      <c r="M329" s="131"/>
      <c r="N329" s="129"/>
      <c r="O329" s="129"/>
      <c r="P329" s="129"/>
      <c r="Q329" s="129"/>
      <c r="R329" s="129"/>
      <c r="S329" s="129"/>
      <c r="T329" s="129"/>
      <c r="U329" s="129"/>
      <c r="V329" s="129"/>
      <c r="W329" s="129"/>
      <c r="X329" s="129"/>
      <c r="Y329" s="131"/>
      <c r="Z329" s="131"/>
      <c r="AA329" s="132"/>
      <c r="AB329" s="132"/>
      <c r="AC329" s="33"/>
      <c r="AD329" s="33"/>
      <c r="AE329" s="33"/>
      <c r="AF329" s="33"/>
      <c r="AG329" s="27"/>
      <c r="AH329" s="27"/>
      <c r="AI329" s="27"/>
      <c r="AJ329" s="27"/>
      <c r="AK329" s="27"/>
      <c r="AL329" s="27"/>
      <c r="AM329" s="27"/>
      <c r="AN329" s="27"/>
      <c r="AO329" s="27"/>
      <c r="AP329" s="27"/>
    </row>
    <row r="330" spans="2:42" s="120" customFormat="1" hidden="1">
      <c r="B330" s="29"/>
      <c r="C330" s="128"/>
      <c r="D330" s="129"/>
      <c r="E330" s="129"/>
      <c r="F330" s="129"/>
      <c r="G330" s="129"/>
      <c r="H330" s="129"/>
      <c r="I330" s="129"/>
      <c r="J330" s="129"/>
      <c r="K330" s="129"/>
      <c r="L330" s="129"/>
      <c r="M330" s="131"/>
      <c r="N330" s="129"/>
      <c r="O330" s="129"/>
      <c r="P330" s="129"/>
      <c r="Q330" s="129"/>
      <c r="R330" s="129"/>
      <c r="S330" s="129"/>
      <c r="T330" s="129"/>
      <c r="U330" s="129"/>
      <c r="V330" s="129"/>
      <c r="W330" s="129"/>
      <c r="X330" s="129"/>
      <c r="Y330" s="131"/>
      <c r="Z330" s="131"/>
      <c r="AA330" s="132"/>
      <c r="AB330" s="132"/>
      <c r="AC330" s="33"/>
      <c r="AD330" s="33"/>
      <c r="AE330" s="33"/>
      <c r="AF330" s="33"/>
      <c r="AG330" s="27"/>
      <c r="AH330" s="27"/>
      <c r="AI330" s="27"/>
      <c r="AJ330" s="27"/>
      <c r="AK330" s="27"/>
      <c r="AL330" s="27"/>
      <c r="AM330" s="27"/>
      <c r="AN330" s="27"/>
      <c r="AO330" s="27"/>
      <c r="AP330" s="27"/>
    </row>
    <row r="331" spans="2:42" s="120" customFormat="1" hidden="1">
      <c r="B331" s="29"/>
      <c r="C331" s="128"/>
      <c r="D331" s="129"/>
      <c r="E331" s="129"/>
      <c r="F331" s="129"/>
      <c r="G331" s="129"/>
      <c r="H331" s="129"/>
      <c r="I331" s="129"/>
      <c r="J331" s="129"/>
      <c r="K331" s="129"/>
      <c r="L331" s="129"/>
      <c r="M331" s="131"/>
      <c r="N331" s="129"/>
      <c r="O331" s="129"/>
      <c r="P331" s="129"/>
      <c r="Q331" s="129"/>
      <c r="R331" s="129"/>
      <c r="S331" s="129"/>
      <c r="T331" s="129"/>
      <c r="U331" s="129"/>
      <c r="V331" s="129"/>
      <c r="W331" s="129"/>
      <c r="X331" s="129"/>
      <c r="Y331" s="131"/>
      <c r="Z331" s="131"/>
      <c r="AA331" s="132"/>
      <c r="AB331" s="132"/>
      <c r="AC331" s="33"/>
      <c r="AD331" s="33"/>
      <c r="AE331" s="33"/>
      <c r="AF331" s="33"/>
      <c r="AG331" s="27"/>
      <c r="AH331" s="27"/>
      <c r="AI331" s="27"/>
      <c r="AJ331" s="27"/>
      <c r="AK331" s="27"/>
      <c r="AL331" s="27"/>
      <c r="AM331" s="27"/>
      <c r="AN331" s="27"/>
      <c r="AO331" s="27"/>
      <c r="AP331" s="27"/>
    </row>
    <row r="332" spans="2:42" s="120" customFormat="1" hidden="1">
      <c r="B332" s="29"/>
      <c r="C332" s="128"/>
      <c r="D332" s="129"/>
      <c r="E332" s="129"/>
      <c r="F332" s="129"/>
      <c r="G332" s="129"/>
      <c r="H332" s="129"/>
      <c r="I332" s="129"/>
      <c r="J332" s="129"/>
      <c r="K332" s="129"/>
      <c r="L332" s="129"/>
      <c r="M332" s="131"/>
      <c r="N332" s="129"/>
      <c r="O332" s="129"/>
      <c r="P332" s="129"/>
      <c r="Q332" s="129"/>
      <c r="R332" s="129"/>
      <c r="S332" s="129"/>
      <c r="T332" s="129"/>
      <c r="U332" s="129"/>
      <c r="V332" s="129"/>
      <c r="W332" s="129"/>
      <c r="X332" s="129"/>
      <c r="Y332" s="131"/>
      <c r="Z332" s="131"/>
      <c r="AA332" s="132"/>
      <c r="AB332" s="132"/>
      <c r="AC332" s="33"/>
      <c r="AD332" s="33"/>
      <c r="AE332" s="33"/>
      <c r="AF332" s="33"/>
      <c r="AG332" s="27"/>
      <c r="AH332" s="27"/>
      <c r="AI332" s="27"/>
      <c r="AJ332" s="27"/>
      <c r="AK332" s="27"/>
      <c r="AL332" s="27"/>
      <c r="AM332" s="27"/>
      <c r="AN332" s="27"/>
      <c r="AO332" s="27"/>
      <c r="AP332" s="27"/>
    </row>
    <row r="333" spans="2:42" s="120" customFormat="1" hidden="1">
      <c r="B333" s="29"/>
      <c r="C333" s="128"/>
      <c r="D333" s="129"/>
      <c r="E333" s="129"/>
      <c r="F333" s="129"/>
      <c r="G333" s="129"/>
      <c r="H333" s="129"/>
      <c r="I333" s="129"/>
      <c r="J333" s="129"/>
      <c r="K333" s="129"/>
      <c r="L333" s="129"/>
      <c r="M333" s="131"/>
      <c r="N333" s="129"/>
      <c r="O333" s="129"/>
      <c r="P333" s="129"/>
      <c r="Q333" s="129"/>
      <c r="R333" s="129"/>
      <c r="S333" s="129"/>
      <c r="T333" s="129"/>
      <c r="U333" s="129"/>
      <c r="V333" s="129"/>
      <c r="W333" s="129"/>
      <c r="X333" s="129"/>
      <c r="Y333" s="131"/>
      <c r="Z333" s="131"/>
      <c r="AA333" s="132"/>
      <c r="AB333" s="132"/>
      <c r="AC333" s="33"/>
      <c r="AD333" s="33"/>
      <c r="AE333" s="33"/>
      <c r="AF333" s="33"/>
      <c r="AG333" s="27"/>
      <c r="AH333" s="27"/>
      <c r="AI333" s="27"/>
      <c r="AJ333" s="27"/>
      <c r="AK333" s="27"/>
      <c r="AL333" s="27"/>
      <c r="AM333" s="27"/>
      <c r="AN333" s="27"/>
      <c r="AO333" s="27"/>
      <c r="AP333" s="27"/>
    </row>
    <row r="334" spans="2:42" s="120" customFormat="1" hidden="1">
      <c r="B334" s="29"/>
      <c r="C334" s="128"/>
      <c r="D334" s="129"/>
      <c r="E334" s="129"/>
      <c r="F334" s="129"/>
      <c r="G334" s="129"/>
      <c r="H334" s="129"/>
      <c r="I334" s="129"/>
      <c r="J334" s="129"/>
      <c r="K334" s="129"/>
      <c r="L334" s="129"/>
      <c r="M334" s="131"/>
      <c r="N334" s="129"/>
      <c r="O334" s="129"/>
      <c r="P334" s="129"/>
      <c r="Q334" s="129"/>
      <c r="R334" s="129"/>
      <c r="S334" s="129"/>
      <c r="T334" s="129"/>
      <c r="U334" s="129"/>
      <c r="V334" s="129"/>
      <c r="W334" s="129"/>
      <c r="X334" s="129"/>
      <c r="Y334" s="131"/>
      <c r="Z334" s="131"/>
      <c r="AA334" s="132"/>
      <c r="AB334" s="132"/>
      <c r="AC334" s="33"/>
      <c r="AD334" s="33"/>
      <c r="AE334" s="33"/>
      <c r="AF334" s="33"/>
      <c r="AG334" s="27"/>
      <c r="AH334" s="27"/>
      <c r="AI334" s="27"/>
      <c r="AJ334" s="27"/>
      <c r="AK334" s="27"/>
      <c r="AL334" s="27"/>
      <c r="AM334" s="27"/>
      <c r="AN334" s="27"/>
      <c r="AO334" s="27"/>
      <c r="AP334" s="27"/>
    </row>
    <row r="335" spans="2:42" s="120" customFormat="1" hidden="1">
      <c r="B335" s="29"/>
      <c r="C335" s="128"/>
      <c r="D335" s="129"/>
      <c r="E335" s="129"/>
      <c r="F335" s="129"/>
      <c r="G335" s="129"/>
      <c r="H335" s="129"/>
      <c r="I335" s="129"/>
      <c r="J335" s="129"/>
      <c r="K335" s="129"/>
      <c r="L335" s="129"/>
      <c r="M335" s="131"/>
      <c r="N335" s="129"/>
      <c r="O335" s="129"/>
      <c r="P335" s="129"/>
      <c r="Q335" s="129"/>
      <c r="R335" s="129"/>
      <c r="S335" s="129"/>
      <c r="T335" s="129"/>
      <c r="U335" s="129"/>
      <c r="V335" s="129"/>
      <c r="W335" s="129"/>
      <c r="X335" s="129"/>
      <c r="Y335" s="131"/>
      <c r="Z335" s="131"/>
      <c r="AA335" s="132"/>
      <c r="AB335" s="132"/>
      <c r="AC335" s="33"/>
      <c r="AD335" s="33"/>
      <c r="AE335" s="33"/>
      <c r="AF335" s="33"/>
      <c r="AG335" s="27"/>
      <c r="AH335" s="27"/>
      <c r="AI335" s="27"/>
      <c r="AJ335" s="27"/>
      <c r="AK335" s="27"/>
      <c r="AL335" s="27"/>
      <c r="AM335" s="27"/>
      <c r="AN335" s="27"/>
      <c r="AO335" s="27"/>
      <c r="AP335" s="27"/>
    </row>
    <row r="336" spans="2:42" s="120" customFormat="1" hidden="1">
      <c r="B336" s="29"/>
      <c r="C336" s="128"/>
      <c r="D336" s="129"/>
      <c r="E336" s="129"/>
      <c r="F336" s="129"/>
      <c r="G336" s="129"/>
      <c r="H336" s="129"/>
      <c r="I336" s="129"/>
      <c r="J336" s="129"/>
      <c r="K336" s="129"/>
      <c r="L336" s="129"/>
      <c r="M336" s="131"/>
      <c r="N336" s="129"/>
      <c r="O336" s="129"/>
      <c r="P336" s="129"/>
      <c r="Q336" s="129"/>
      <c r="R336" s="129"/>
      <c r="S336" s="129"/>
      <c r="T336" s="129"/>
      <c r="U336" s="129"/>
      <c r="V336" s="129"/>
      <c r="W336" s="129"/>
      <c r="X336" s="129"/>
      <c r="Y336" s="131"/>
      <c r="Z336" s="131"/>
      <c r="AA336" s="132"/>
      <c r="AB336" s="132"/>
      <c r="AC336" s="33"/>
      <c r="AD336" s="33"/>
      <c r="AE336" s="33"/>
      <c r="AF336" s="33"/>
      <c r="AG336" s="27"/>
      <c r="AH336" s="27"/>
      <c r="AI336" s="27"/>
      <c r="AJ336" s="27"/>
      <c r="AK336" s="27"/>
      <c r="AL336" s="27"/>
      <c r="AM336" s="27"/>
      <c r="AN336" s="27"/>
      <c r="AO336" s="27"/>
      <c r="AP336" s="27"/>
    </row>
    <row r="337" spans="2:42" s="120" customFormat="1" hidden="1">
      <c r="B337" s="29"/>
      <c r="C337" s="128"/>
      <c r="D337" s="129"/>
      <c r="E337" s="129"/>
      <c r="F337" s="129"/>
      <c r="G337" s="129"/>
      <c r="H337" s="129"/>
      <c r="I337" s="129"/>
      <c r="J337" s="129"/>
      <c r="K337" s="129"/>
      <c r="L337" s="129"/>
      <c r="M337" s="131"/>
      <c r="N337" s="129"/>
      <c r="O337" s="129"/>
      <c r="P337" s="129"/>
      <c r="Q337" s="129"/>
      <c r="R337" s="129"/>
      <c r="S337" s="129"/>
      <c r="T337" s="129"/>
      <c r="U337" s="129"/>
      <c r="V337" s="129"/>
      <c r="W337" s="129"/>
      <c r="X337" s="129"/>
      <c r="Y337" s="131"/>
      <c r="Z337" s="131"/>
      <c r="AA337" s="132"/>
      <c r="AB337" s="132"/>
      <c r="AC337" s="33"/>
      <c r="AD337" s="33"/>
      <c r="AE337" s="33"/>
      <c r="AF337" s="33"/>
      <c r="AG337" s="27"/>
      <c r="AH337" s="27"/>
      <c r="AI337" s="27"/>
      <c r="AJ337" s="27"/>
      <c r="AK337" s="27"/>
      <c r="AL337" s="27"/>
      <c r="AM337" s="27"/>
      <c r="AN337" s="27"/>
      <c r="AO337" s="27"/>
      <c r="AP337" s="27"/>
    </row>
    <row r="338" spans="2:42" s="120" customFormat="1" hidden="1">
      <c r="B338" s="29"/>
      <c r="C338" s="128"/>
      <c r="D338" s="129"/>
      <c r="E338" s="129"/>
      <c r="F338" s="129"/>
      <c r="G338" s="129"/>
      <c r="H338" s="129"/>
      <c r="I338" s="129"/>
      <c r="J338" s="129"/>
      <c r="K338" s="129"/>
      <c r="L338" s="129"/>
      <c r="M338" s="131"/>
      <c r="N338" s="129"/>
      <c r="O338" s="129"/>
      <c r="P338" s="129"/>
      <c r="Q338" s="129"/>
      <c r="R338" s="129"/>
      <c r="S338" s="129"/>
      <c r="T338" s="129"/>
      <c r="U338" s="129"/>
      <c r="V338" s="129"/>
      <c r="W338" s="129"/>
      <c r="X338" s="129"/>
      <c r="Y338" s="131"/>
      <c r="Z338" s="131"/>
      <c r="AA338" s="132"/>
      <c r="AB338" s="132"/>
      <c r="AC338" s="33"/>
      <c r="AD338" s="33"/>
      <c r="AE338" s="33"/>
      <c r="AF338" s="33"/>
      <c r="AG338" s="27"/>
      <c r="AH338" s="27"/>
      <c r="AI338" s="27"/>
      <c r="AJ338" s="27"/>
      <c r="AK338" s="27"/>
      <c r="AL338" s="27"/>
      <c r="AM338" s="27"/>
      <c r="AN338" s="27"/>
      <c r="AO338" s="27"/>
      <c r="AP338" s="27"/>
    </row>
    <row r="339" spans="2:42" s="120" customFormat="1" hidden="1">
      <c r="B339" s="29"/>
      <c r="C339" s="128"/>
      <c r="D339" s="129"/>
      <c r="E339" s="129"/>
      <c r="F339" s="129"/>
      <c r="G339" s="129"/>
      <c r="H339" s="129"/>
      <c r="I339" s="129"/>
      <c r="J339" s="129"/>
      <c r="K339" s="129"/>
      <c r="L339" s="129"/>
      <c r="M339" s="131"/>
      <c r="N339" s="129"/>
      <c r="O339" s="129"/>
      <c r="P339" s="129"/>
      <c r="Q339" s="129"/>
      <c r="R339" s="129"/>
      <c r="S339" s="129"/>
      <c r="T339" s="129"/>
      <c r="U339" s="129"/>
      <c r="V339" s="129"/>
      <c r="W339" s="129"/>
      <c r="X339" s="129"/>
      <c r="Y339" s="131"/>
      <c r="Z339" s="131"/>
      <c r="AA339" s="132"/>
      <c r="AB339" s="132"/>
      <c r="AC339" s="33"/>
      <c r="AD339" s="33"/>
      <c r="AE339" s="33"/>
      <c r="AF339" s="33"/>
      <c r="AG339" s="27"/>
      <c r="AH339" s="27"/>
      <c r="AI339" s="27"/>
      <c r="AJ339" s="27"/>
      <c r="AK339" s="27"/>
      <c r="AL339" s="27"/>
      <c r="AM339" s="27"/>
      <c r="AN339" s="27"/>
      <c r="AO339" s="27"/>
      <c r="AP339" s="27"/>
    </row>
    <row r="340" spans="2:42" s="120" customFormat="1" hidden="1">
      <c r="B340" s="29"/>
      <c r="C340" s="128"/>
      <c r="D340" s="129"/>
      <c r="E340" s="129"/>
      <c r="F340" s="129"/>
      <c r="G340" s="129"/>
      <c r="H340" s="129"/>
      <c r="I340" s="129"/>
      <c r="J340" s="129"/>
      <c r="K340" s="129"/>
      <c r="L340" s="129"/>
      <c r="M340" s="131"/>
      <c r="N340" s="129"/>
      <c r="O340" s="129"/>
      <c r="P340" s="129"/>
      <c r="Q340" s="129"/>
      <c r="R340" s="129"/>
      <c r="S340" s="129"/>
      <c r="T340" s="129"/>
      <c r="U340" s="129"/>
      <c r="V340" s="129"/>
      <c r="W340" s="129"/>
      <c r="X340" s="129"/>
      <c r="Y340" s="131"/>
      <c r="Z340" s="131"/>
      <c r="AA340" s="132"/>
      <c r="AB340" s="132"/>
      <c r="AC340" s="33"/>
      <c r="AD340" s="33"/>
      <c r="AE340" s="33"/>
      <c r="AF340" s="33"/>
      <c r="AG340" s="27"/>
      <c r="AH340" s="27"/>
      <c r="AI340" s="27"/>
      <c r="AJ340" s="27"/>
      <c r="AK340" s="27"/>
      <c r="AL340" s="27"/>
      <c r="AM340" s="27"/>
      <c r="AN340" s="27"/>
      <c r="AO340" s="27"/>
      <c r="AP340" s="27"/>
    </row>
    <row r="341" spans="2:42" s="120" customFormat="1" hidden="1">
      <c r="B341" s="29"/>
      <c r="C341" s="128"/>
      <c r="D341" s="129"/>
      <c r="E341" s="129"/>
      <c r="F341" s="129"/>
      <c r="G341" s="129"/>
      <c r="H341" s="129"/>
      <c r="I341" s="129"/>
      <c r="J341" s="129"/>
      <c r="K341" s="129"/>
      <c r="L341" s="129"/>
      <c r="M341" s="131"/>
      <c r="N341" s="129"/>
      <c r="O341" s="129"/>
      <c r="P341" s="129"/>
      <c r="Q341" s="129"/>
      <c r="R341" s="129"/>
      <c r="S341" s="129"/>
      <c r="T341" s="129"/>
      <c r="U341" s="129"/>
      <c r="V341" s="129"/>
      <c r="W341" s="129"/>
      <c r="X341" s="129"/>
      <c r="Y341" s="131"/>
      <c r="Z341" s="131"/>
      <c r="AA341" s="132"/>
      <c r="AB341" s="132"/>
      <c r="AC341" s="33"/>
      <c r="AD341" s="33"/>
      <c r="AE341" s="33"/>
      <c r="AF341" s="33"/>
      <c r="AG341" s="27"/>
      <c r="AH341" s="27"/>
      <c r="AI341" s="27"/>
      <c r="AJ341" s="27"/>
      <c r="AK341" s="27"/>
      <c r="AL341" s="27"/>
      <c r="AM341" s="27"/>
      <c r="AN341" s="27"/>
      <c r="AO341" s="27"/>
      <c r="AP341" s="27"/>
    </row>
    <row r="342" spans="2:42" s="120" customFormat="1" hidden="1">
      <c r="B342" s="29"/>
      <c r="C342" s="128"/>
      <c r="D342" s="129"/>
      <c r="E342" s="129"/>
      <c r="F342" s="129"/>
      <c r="G342" s="129"/>
      <c r="H342" s="129"/>
      <c r="I342" s="129"/>
      <c r="J342" s="129"/>
      <c r="K342" s="129"/>
      <c r="L342" s="129"/>
      <c r="M342" s="131"/>
      <c r="N342" s="129"/>
      <c r="O342" s="129"/>
      <c r="P342" s="129"/>
      <c r="Q342" s="129"/>
      <c r="R342" s="129"/>
      <c r="S342" s="129"/>
      <c r="T342" s="129"/>
      <c r="U342" s="129"/>
      <c r="V342" s="129"/>
      <c r="W342" s="129"/>
      <c r="X342" s="129"/>
      <c r="Y342" s="131"/>
      <c r="Z342" s="131"/>
      <c r="AA342" s="132"/>
      <c r="AB342" s="132"/>
      <c r="AC342" s="33"/>
      <c r="AD342" s="33"/>
      <c r="AE342" s="33"/>
      <c r="AF342" s="33"/>
      <c r="AG342" s="27"/>
      <c r="AH342" s="27"/>
      <c r="AI342" s="27"/>
      <c r="AJ342" s="27"/>
      <c r="AK342" s="27"/>
      <c r="AL342" s="27"/>
      <c r="AM342" s="27"/>
      <c r="AN342" s="27"/>
      <c r="AO342" s="27"/>
      <c r="AP342" s="27"/>
    </row>
    <row r="343" spans="2:42" s="120" customFormat="1" hidden="1">
      <c r="B343" s="29"/>
      <c r="C343" s="128"/>
      <c r="D343" s="129"/>
      <c r="E343" s="129"/>
      <c r="F343" s="129"/>
      <c r="G343" s="129"/>
      <c r="H343" s="129"/>
      <c r="I343" s="129"/>
      <c r="J343" s="129"/>
      <c r="K343" s="129"/>
      <c r="L343" s="129"/>
      <c r="M343" s="131"/>
      <c r="N343" s="129"/>
      <c r="O343" s="129"/>
      <c r="P343" s="129"/>
      <c r="Q343" s="129"/>
      <c r="R343" s="129"/>
      <c r="S343" s="129"/>
      <c r="T343" s="129"/>
      <c r="U343" s="129"/>
      <c r="V343" s="129"/>
      <c r="W343" s="129"/>
      <c r="X343" s="129"/>
      <c r="Y343" s="131"/>
      <c r="Z343" s="131"/>
      <c r="AA343" s="132"/>
      <c r="AB343" s="132"/>
      <c r="AC343" s="33"/>
      <c r="AD343" s="33"/>
      <c r="AE343" s="33"/>
      <c r="AF343" s="33"/>
      <c r="AG343" s="27"/>
      <c r="AH343" s="27"/>
      <c r="AI343" s="27"/>
      <c r="AJ343" s="27"/>
      <c r="AK343" s="27"/>
      <c r="AL343" s="27"/>
      <c r="AM343" s="27"/>
      <c r="AN343" s="27"/>
      <c r="AO343" s="27"/>
      <c r="AP343" s="27"/>
    </row>
    <row r="344" spans="2:42" s="120" customFormat="1" hidden="1">
      <c r="B344" s="29"/>
      <c r="C344" s="128"/>
      <c r="D344" s="129"/>
      <c r="E344" s="129"/>
      <c r="F344" s="129"/>
      <c r="G344" s="129"/>
      <c r="H344" s="129"/>
      <c r="I344" s="129"/>
      <c r="J344" s="129"/>
      <c r="K344" s="129"/>
      <c r="L344" s="129"/>
      <c r="M344" s="131"/>
      <c r="N344" s="129"/>
      <c r="O344" s="129"/>
      <c r="P344" s="129"/>
      <c r="Q344" s="129"/>
      <c r="R344" s="129"/>
      <c r="S344" s="129"/>
      <c r="T344" s="129"/>
      <c r="U344" s="129"/>
      <c r="V344" s="129"/>
      <c r="W344" s="129"/>
      <c r="X344" s="129"/>
      <c r="Y344" s="131"/>
      <c r="Z344" s="131"/>
      <c r="AA344" s="132"/>
      <c r="AB344" s="132"/>
      <c r="AC344" s="33"/>
      <c r="AD344" s="33"/>
      <c r="AE344" s="33"/>
      <c r="AF344" s="33"/>
      <c r="AG344" s="27"/>
      <c r="AH344" s="27"/>
      <c r="AI344" s="27"/>
      <c r="AJ344" s="27"/>
      <c r="AK344" s="27"/>
      <c r="AL344" s="27"/>
      <c r="AM344" s="27"/>
      <c r="AN344" s="27"/>
      <c r="AO344" s="27"/>
      <c r="AP344" s="27"/>
    </row>
    <row r="345" spans="2:42" s="120" customFormat="1" hidden="1">
      <c r="B345" s="29"/>
      <c r="C345" s="128"/>
      <c r="D345" s="129"/>
      <c r="E345" s="129"/>
      <c r="F345" s="129"/>
      <c r="G345" s="129"/>
      <c r="H345" s="129"/>
      <c r="I345" s="129"/>
      <c r="J345" s="129"/>
      <c r="K345" s="129"/>
      <c r="L345" s="129"/>
      <c r="M345" s="131"/>
      <c r="N345" s="129"/>
      <c r="O345" s="129"/>
      <c r="P345" s="129"/>
      <c r="Q345" s="129"/>
      <c r="R345" s="129"/>
      <c r="S345" s="129"/>
      <c r="T345" s="129"/>
      <c r="U345" s="129"/>
      <c r="V345" s="129"/>
      <c r="W345" s="129"/>
      <c r="X345" s="129"/>
      <c r="Y345" s="131"/>
      <c r="Z345" s="131"/>
      <c r="AA345" s="132"/>
      <c r="AB345" s="132"/>
      <c r="AC345" s="33"/>
      <c r="AD345" s="33"/>
      <c r="AE345" s="33"/>
      <c r="AF345" s="33"/>
      <c r="AG345" s="27"/>
      <c r="AH345" s="27"/>
      <c r="AI345" s="27"/>
      <c r="AJ345" s="27"/>
      <c r="AK345" s="27"/>
      <c r="AL345" s="27"/>
      <c r="AM345" s="27"/>
      <c r="AN345" s="27"/>
      <c r="AO345" s="27"/>
      <c r="AP345" s="27"/>
    </row>
    <row r="346" spans="2:42" s="120" customFormat="1" hidden="1">
      <c r="B346" s="29"/>
      <c r="C346" s="128"/>
      <c r="D346" s="129"/>
      <c r="E346" s="129"/>
      <c r="F346" s="129"/>
      <c r="G346" s="129"/>
      <c r="H346" s="129"/>
      <c r="I346" s="129"/>
      <c r="J346" s="129"/>
      <c r="K346" s="129"/>
      <c r="L346" s="129"/>
      <c r="M346" s="131"/>
      <c r="N346" s="129"/>
      <c r="O346" s="129"/>
      <c r="P346" s="129"/>
      <c r="Q346" s="129"/>
      <c r="R346" s="129"/>
      <c r="S346" s="129"/>
      <c r="T346" s="129"/>
      <c r="U346" s="129"/>
      <c r="V346" s="129"/>
      <c r="W346" s="129"/>
      <c r="X346" s="129"/>
      <c r="Y346" s="131"/>
      <c r="Z346" s="131"/>
      <c r="AA346" s="132"/>
      <c r="AB346" s="132"/>
      <c r="AC346" s="33"/>
      <c r="AD346" s="33"/>
      <c r="AE346" s="33"/>
      <c r="AF346" s="33"/>
      <c r="AG346" s="27"/>
      <c r="AH346" s="27"/>
      <c r="AI346" s="27"/>
      <c r="AJ346" s="27"/>
      <c r="AK346" s="27"/>
      <c r="AL346" s="27"/>
      <c r="AM346" s="27"/>
      <c r="AN346" s="27"/>
      <c r="AO346" s="27"/>
      <c r="AP346" s="27"/>
    </row>
    <row r="347" spans="2:42" s="120" customFormat="1" hidden="1">
      <c r="B347" s="29"/>
      <c r="C347" s="128"/>
      <c r="D347" s="129"/>
      <c r="E347" s="129"/>
      <c r="F347" s="129"/>
      <c r="G347" s="129"/>
      <c r="H347" s="129"/>
      <c r="I347" s="129"/>
      <c r="J347" s="129"/>
      <c r="K347" s="129"/>
      <c r="L347" s="129"/>
      <c r="M347" s="131"/>
      <c r="N347" s="129"/>
      <c r="O347" s="129"/>
      <c r="P347" s="129"/>
      <c r="Q347" s="129"/>
      <c r="R347" s="129"/>
      <c r="S347" s="129"/>
      <c r="T347" s="129"/>
      <c r="U347" s="129"/>
      <c r="V347" s="129"/>
      <c r="W347" s="129"/>
      <c r="X347" s="129"/>
      <c r="Y347" s="131"/>
      <c r="Z347" s="131"/>
      <c r="AA347" s="132"/>
      <c r="AB347" s="132"/>
      <c r="AC347" s="33"/>
      <c r="AD347" s="33"/>
      <c r="AE347" s="33"/>
      <c r="AF347" s="33"/>
      <c r="AG347" s="27"/>
      <c r="AH347" s="27"/>
      <c r="AI347" s="27"/>
      <c r="AJ347" s="27"/>
      <c r="AK347" s="27"/>
      <c r="AL347" s="27"/>
      <c r="AM347" s="27"/>
      <c r="AN347" s="27"/>
      <c r="AO347" s="27"/>
      <c r="AP347" s="27"/>
    </row>
    <row r="348" spans="2:42" s="120" customFormat="1" hidden="1">
      <c r="B348" s="29"/>
      <c r="C348" s="128"/>
      <c r="D348" s="129"/>
      <c r="E348" s="129"/>
      <c r="F348" s="129"/>
      <c r="G348" s="129"/>
      <c r="H348" s="129"/>
      <c r="I348" s="129"/>
      <c r="J348" s="129"/>
      <c r="K348" s="129"/>
      <c r="L348" s="129"/>
      <c r="M348" s="131"/>
      <c r="N348" s="129"/>
      <c r="O348" s="129"/>
      <c r="P348" s="129"/>
      <c r="Q348" s="129"/>
      <c r="R348" s="129"/>
      <c r="S348" s="129"/>
      <c r="T348" s="129"/>
      <c r="U348" s="129"/>
      <c r="V348" s="129"/>
      <c r="W348" s="129"/>
      <c r="X348" s="129"/>
      <c r="Y348" s="131"/>
      <c r="Z348" s="131"/>
      <c r="AA348" s="132"/>
      <c r="AB348" s="132"/>
      <c r="AC348" s="33"/>
      <c r="AD348" s="33"/>
      <c r="AE348" s="33"/>
      <c r="AF348" s="33"/>
      <c r="AG348" s="27"/>
      <c r="AH348" s="27"/>
      <c r="AI348" s="27"/>
      <c r="AJ348" s="27"/>
      <c r="AK348" s="27"/>
      <c r="AL348" s="27"/>
      <c r="AM348" s="27"/>
      <c r="AN348" s="27"/>
      <c r="AO348" s="27"/>
      <c r="AP348" s="27"/>
    </row>
    <row r="349" spans="2:42" s="120" customFormat="1" hidden="1">
      <c r="B349" s="29"/>
      <c r="C349" s="128"/>
      <c r="D349" s="129"/>
      <c r="E349" s="129"/>
      <c r="F349" s="129"/>
      <c r="G349" s="129"/>
      <c r="H349" s="129"/>
      <c r="I349" s="129"/>
      <c r="J349" s="129"/>
      <c r="K349" s="129"/>
      <c r="L349" s="129"/>
      <c r="M349" s="131"/>
      <c r="N349" s="129"/>
      <c r="O349" s="129"/>
      <c r="P349" s="129"/>
      <c r="Q349" s="129"/>
      <c r="R349" s="129"/>
      <c r="S349" s="129"/>
      <c r="T349" s="129"/>
      <c r="U349" s="129"/>
      <c r="V349" s="129"/>
      <c r="W349" s="129"/>
      <c r="X349" s="129"/>
      <c r="Y349" s="131"/>
      <c r="Z349" s="131"/>
      <c r="AA349" s="132"/>
      <c r="AB349" s="132"/>
      <c r="AC349" s="33"/>
      <c r="AD349" s="33"/>
      <c r="AE349" s="33"/>
      <c r="AF349" s="33"/>
      <c r="AG349" s="27"/>
      <c r="AH349" s="27"/>
      <c r="AI349" s="27"/>
      <c r="AJ349" s="27"/>
      <c r="AK349" s="27"/>
      <c r="AL349" s="27"/>
      <c r="AM349" s="27"/>
      <c r="AN349" s="27"/>
      <c r="AO349" s="27"/>
      <c r="AP349" s="27"/>
    </row>
    <row r="350" spans="2:42" s="120" customFormat="1" hidden="1">
      <c r="B350" s="29"/>
      <c r="C350" s="128"/>
      <c r="D350" s="129"/>
      <c r="E350" s="129"/>
      <c r="F350" s="129"/>
      <c r="G350" s="129"/>
      <c r="H350" s="129"/>
      <c r="I350" s="129"/>
      <c r="J350" s="129"/>
      <c r="K350" s="129"/>
      <c r="L350" s="129"/>
      <c r="M350" s="131"/>
      <c r="N350" s="129"/>
      <c r="O350" s="129"/>
      <c r="P350" s="129"/>
      <c r="Q350" s="129"/>
      <c r="R350" s="129"/>
      <c r="S350" s="129"/>
      <c r="T350" s="129"/>
      <c r="U350" s="129"/>
      <c r="V350" s="129"/>
      <c r="W350" s="129"/>
      <c r="X350" s="129"/>
      <c r="Y350" s="131"/>
      <c r="Z350" s="131"/>
      <c r="AA350" s="132"/>
      <c r="AB350" s="132"/>
      <c r="AC350" s="33"/>
      <c r="AD350" s="33"/>
      <c r="AE350" s="33"/>
      <c r="AF350" s="33"/>
      <c r="AG350" s="27"/>
      <c r="AH350" s="27"/>
      <c r="AI350" s="27"/>
      <c r="AJ350" s="27"/>
      <c r="AK350" s="27"/>
      <c r="AL350" s="27"/>
      <c r="AM350" s="27"/>
      <c r="AN350" s="27"/>
      <c r="AO350" s="27"/>
      <c r="AP350" s="27"/>
    </row>
    <row r="351" spans="2:42" s="120" customFormat="1" hidden="1">
      <c r="B351" s="29"/>
      <c r="C351" s="128"/>
      <c r="D351" s="129"/>
      <c r="E351" s="129"/>
      <c r="F351" s="129"/>
      <c r="G351" s="129"/>
      <c r="H351" s="129"/>
      <c r="I351" s="129"/>
      <c r="J351" s="129"/>
      <c r="K351" s="129"/>
      <c r="L351" s="129"/>
      <c r="M351" s="131"/>
      <c r="N351" s="129"/>
      <c r="O351" s="129"/>
      <c r="P351" s="129"/>
      <c r="Q351" s="129"/>
      <c r="R351" s="129"/>
      <c r="S351" s="129"/>
      <c r="T351" s="129"/>
      <c r="U351" s="129"/>
      <c r="V351" s="129"/>
      <c r="W351" s="129"/>
      <c r="X351" s="129"/>
      <c r="Y351" s="131"/>
      <c r="Z351" s="131"/>
      <c r="AA351" s="132"/>
      <c r="AB351" s="132"/>
      <c r="AC351" s="33"/>
      <c r="AD351" s="33"/>
      <c r="AE351" s="33"/>
      <c r="AF351" s="33"/>
      <c r="AG351" s="27"/>
      <c r="AH351" s="27"/>
      <c r="AI351" s="27"/>
      <c r="AJ351" s="27"/>
      <c r="AK351" s="27"/>
      <c r="AL351" s="27"/>
      <c r="AM351" s="27"/>
      <c r="AN351" s="27"/>
      <c r="AO351" s="27"/>
      <c r="AP351" s="27"/>
    </row>
    <row r="352" spans="2:42" s="120" customFormat="1" hidden="1">
      <c r="B352" s="29"/>
      <c r="C352" s="128"/>
      <c r="D352" s="129"/>
      <c r="E352" s="129"/>
      <c r="F352" s="129"/>
      <c r="G352" s="129"/>
      <c r="H352" s="129"/>
      <c r="I352" s="129"/>
      <c r="J352" s="129"/>
      <c r="K352" s="129"/>
      <c r="L352" s="129"/>
      <c r="M352" s="131"/>
      <c r="N352" s="129"/>
      <c r="O352" s="129"/>
      <c r="P352" s="129"/>
      <c r="Q352" s="129"/>
      <c r="R352" s="129"/>
      <c r="S352" s="129"/>
      <c r="T352" s="129"/>
      <c r="U352" s="129"/>
      <c r="V352" s="129"/>
      <c r="W352" s="129"/>
      <c r="X352" s="129"/>
      <c r="Y352" s="131"/>
      <c r="Z352" s="131"/>
      <c r="AA352" s="132"/>
      <c r="AB352" s="132"/>
      <c r="AC352" s="33"/>
      <c r="AD352" s="33"/>
      <c r="AE352" s="33"/>
      <c r="AF352" s="33"/>
      <c r="AG352" s="27"/>
      <c r="AH352" s="27"/>
      <c r="AI352" s="27"/>
      <c r="AJ352" s="27"/>
      <c r="AK352" s="27"/>
      <c r="AL352" s="27"/>
      <c r="AM352" s="27"/>
      <c r="AN352" s="27"/>
      <c r="AO352" s="27"/>
      <c r="AP352" s="27"/>
    </row>
    <row r="353" spans="2:42" s="120" customFormat="1" hidden="1">
      <c r="B353" s="29"/>
      <c r="C353" s="128"/>
      <c r="D353" s="129"/>
      <c r="E353" s="129"/>
      <c r="F353" s="129"/>
      <c r="G353" s="129"/>
      <c r="H353" s="129"/>
      <c r="I353" s="129"/>
      <c r="J353" s="129"/>
      <c r="K353" s="129"/>
      <c r="L353" s="129"/>
      <c r="M353" s="131"/>
      <c r="N353" s="129"/>
      <c r="O353" s="129"/>
      <c r="P353" s="129"/>
      <c r="Q353" s="129"/>
      <c r="R353" s="129"/>
      <c r="S353" s="129"/>
      <c r="T353" s="129"/>
      <c r="U353" s="129"/>
      <c r="V353" s="129"/>
      <c r="W353" s="129"/>
      <c r="X353" s="129"/>
      <c r="Y353" s="131"/>
      <c r="Z353" s="131"/>
      <c r="AA353" s="132"/>
      <c r="AB353" s="132"/>
      <c r="AC353" s="33"/>
      <c r="AD353" s="33"/>
      <c r="AE353" s="33"/>
      <c r="AF353" s="33"/>
      <c r="AG353" s="27"/>
      <c r="AH353" s="27"/>
      <c r="AI353" s="27"/>
      <c r="AJ353" s="27"/>
      <c r="AK353" s="27"/>
      <c r="AL353" s="27"/>
      <c r="AM353" s="27"/>
      <c r="AN353" s="27"/>
      <c r="AO353" s="27"/>
      <c r="AP353" s="27"/>
    </row>
    <row r="354" spans="2:42" s="120" customFormat="1" hidden="1">
      <c r="B354" s="29"/>
      <c r="C354" s="128"/>
      <c r="D354" s="129"/>
      <c r="E354" s="129"/>
      <c r="F354" s="129"/>
      <c r="G354" s="129"/>
      <c r="H354" s="129"/>
      <c r="I354" s="129"/>
      <c r="J354" s="129"/>
      <c r="K354" s="129"/>
      <c r="L354" s="129"/>
      <c r="M354" s="131"/>
      <c r="N354" s="129"/>
      <c r="O354" s="129"/>
      <c r="P354" s="129"/>
      <c r="Q354" s="129"/>
      <c r="R354" s="129"/>
      <c r="S354" s="129"/>
      <c r="T354" s="129"/>
      <c r="U354" s="129"/>
      <c r="V354" s="129"/>
      <c r="W354" s="129"/>
      <c r="X354" s="129"/>
      <c r="Y354" s="131"/>
      <c r="Z354" s="131"/>
      <c r="AA354" s="132"/>
      <c r="AB354" s="132"/>
      <c r="AC354" s="33"/>
      <c r="AD354" s="33"/>
      <c r="AE354" s="33"/>
      <c r="AF354" s="33"/>
      <c r="AG354" s="27"/>
      <c r="AH354" s="27"/>
      <c r="AI354" s="27"/>
      <c r="AJ354" s="27"/>
      <c r="AK354" s="27"/>
      <c r="AL354" s="27"/>
      <c r="AM354" s="27"/>
      <c r="AN354" s="27"/>
      <c r="AO354" s="27"/>
      <c r="AP354" s="27"/>
    </row>
    <row r="355" spans="2:42" s="120" customFormat="1" hidden="1">
      <c r="B355" s="29"/>
      <c r="C355" s="128"/>
      <c r="D355" s="129"/>
      <c r="E355" s="129"/>
      <c r="F355" s="129"/>
      <c r="G355" s="129"/>
      <c r="H355" s="129"/>
      <c r="I355" s="129"/>
      <c r="J355" s="129"/>
      <c r="K355" s="129"/>
      <c r="L355" s="129"/>
      <c r="M355" s="131"/>
      <c r="N355" s="129"/>
      <c r="O355" s="129"/>
      <c r="P355" s="129"/>
      <c r="Q355" s="129"/>
      <c r="R355" s="129"/>
      <c r="S355" s="129"/>
      <c r="T355" s="129"/>
      <c r="U355" s="129"/>
      <c r="V355" s="129"/>
      <c r="W355" s="129"/>
      <c r="X355" s="129"/>
      <c r="Y355" s="131"/>
      <c r="Z355" s="131"/>
      <c r="AA355" s="132"/>
      <c r="AB355" s="132"/>
      <c r="AC355" s="33"/>
      <c r="AD355" s="33"/>
      <c r="AE355" s="33"/>
      <c r="AF355" s="33"/>
      <c r="AG355" s="27"/>
      <c r="AH355" s="27"/>
      <c r="AI355" s="27"/>
      <c r="AJ355" s="27"/>
      <c r="AK355" s="27"/>
      <c r="AL355" s="27"/>
      <c r="AM355" s="27"/>
      <c r="AN355" s="27"/>
      <c r="AO355" s="27"/>
      <c r="AP355" s="27"/>
    </row>
    <row r="356" spans="2:42" s="120" customFormat="1" hidden="1">
      <c r="B356" s="29"/>
      <c r="C356" s="128"/>
      <c r="D356" s="129"/>
      <c r="E356" s="129"/>
      <c r="F356" s="129"/>
      <c r="G356" s="129"/>
      <c r="H356" s="129"/>
      <c r="I356" s="129"/>
      <c r="J356" s="129"/>
      <c r="K356" s="129"/>
      <c r="L356" s="129"/>
      <c r="M356" s="131"/>
      <c r="N356" s="129"/>
      <c r="O356" s="129"/>
      <c r="P356" s="129"/>
      <c r="Q356" s="129"/>
      <c r="R356" s="129"/>
      <c r="S356" s="129"/>
      <c r="T356" s="129"/>
      <c r="U356" s="129"/>
      <c r="V356" s="129"/>
      <c r="W356" s="129"/>
      <c r="X356" s="129"/>
      <c r="Y356" s="131"/>
      <c r="Z356" s="131"/>
      <c r="AA356" s="132"/>
      <c r="AB356" s="132"/>
      <c r="AC356" s="33"/>
      <c r="AD356" s="33"/>
      <c r="AE356" s="33"/>
      <c r="AF356" s="33"/>
      <c r="AG356" s="27"/>
      <c r="AH356" s="27"/>
      <c r="AI356" s="27"/>
      <c r="AJ356" s="27"/>
      <c r="AK356" s="27"/>
      <c r="AL356" s="27"/>
      <c r="AM356" s="27"/>
      <c r="AN356" s="27"/>
      <c r="AO356" s="27"/>
      <c r="AP356" s="27"/>
    </row>
    <row r="357" spans="2:42" s="120" customFormat="1" hidden="1">
      <c r="B357" s="29"/>
      <c r="C357" s="128"/>
      <c r="D357" s="129"/>
      <c r="E357" s="129"/>
      <c r="F357" s="129"/>
      <c r="G357" s="129"/>
      <c r="H357" s="129"/>
      <c r="I357" s="129"/>
      <c r="J357" s="129"/>
      <c r="K357" s="129"/>
      <c r="L357" s="129"/>
      <c r="M357" s="131"/>
      <c r="N357" s="129"/>
      <c r="O357" s="129"/>
      <c r="P357" s="129"/>
      <c r="Q357" s="129"/>
      <c r="R357" s="129"/>
      <c r="S357" s="129"/>
      <c r="T357" s="129"/>
      <c r="U357" s="129"/>
      <c r="V357" s="129"/>
      <c r="W357" s="129"/>
      <c r="X357" s="129"/>
      <c r="Y357" s="131"/>
      <c r="Z357" s="131"/>
      <c r="AA357" s="132"/>
      <c r="AB357" s="132"/>
      <c r="AC357" s="33"/>
      <c r="AD357" s="33"/>
      <c r="AE357" s="33"/>
      <c r="AF357" s="33"/>
      <c r="AG357" s="27"/>
      <c r="AH357" s="27"/>
      <c r="AI357" s="27"/>
      <c r="AJ357" s="27"/>
      <c r="AK357" s="27"/>
      <c r="AL357" s="27"/>
      <c r="AM357" s="27"/>
      <c r="AN357" s="27"/>
      <c r="AO357" s="27"/>
      <c r="AP357" s="27"/>
    </row>
    <row r="358" spans="2:42" s="120" customFormat="1" hidden="1">
      <c r="B358" s="29"/>
      <c r="C358" s="128"/>
      <c r="D358" s="129"/>
      <c r="E358" s="129"/>
      <c r="F358" s="129"/>
      <c r="G358" s="129"/>
      <c r="H358" s="129"/>
      <c r="I358" s="129"/>
      <c r="J358" s="129"/>
      <c r="K358" s="129"/>
      <c r="L358" s="129"/>
      <c r="M358" s="131"/>
      <c r="N358" s="129"/>
      <c r="O358" s="129"/>
      <c r="P358" s="129"/>
      <c r="Q358" s="129"/>
      <c r="R358" s="129"/>
      <c r="S358" s="129"/>
      <c r="T358" s="129"/>
      <c r="U358" s="129"/>
      <c r="V358" s="129"/>
      <c r="W358" s="129"/>
      <c r="X358" s="129"/>
      <c r="Y358" s="131"/>
      <c r="Z358" s="131"/>
      <c r="AA358" s="132"/>
      <c r="AB358" s="132"/>
      <c r="AC358" s="33"/>
      <c r="AD358" s="33"/>
      <c r="AE358" s="33"/>
      <c r="AF358" s="33"/>
      <c r="AG358" s="27"/>
      <c r="AH358" s="27"/>
      <c r="AI358" s="27"/>
      <c r="AJ358" s="27"/>
      <c r="AK358" s="27"/>
      <c r="AL358" s="27"/>
      <c r="AM358" s="27"/>
      <c r="AN358" s="27"/>
      <c r="AO358" s="27"/>
      <c r="AP358" s="27"/>
    </row>
    <row r="359" spans="2:42" s="120" customFormat="1" hidden="1">
      <c r="B359" s="29"/>
      <c r="C359" s="128"/>
      <c r="D359" s="129"/>
      <c r="E359" s="129"/>
      <c r="F359" s="129"/>
      <c r="G359" s="129"/>
      <c r="H359" s="129"/>
      <c r="I359" s="129"/>
      <c r="J359" s="129"/>
      <c r="K359" s="129"/>
      <c r="L359" s="129"/>
      <c r="M359" s="131"/>
      <c r="N359" s="129"/>
      <c r="O359" s="129"/>
      <c r="P359" s="129"/>
      <c r="Q359" s="129"/>
      <c r="R359" s="129"/>
      <c r="S359" s="129"/>
      <c r="T359" s="129"/>
      <c r="U359" s="129"/>
      <c r="V359" s="129"/>
      <c r="W359" s="129"/>
      <c r="X359" s="129"/>
      <c r="Y359" s="131"/>
      <c r="Z359" s="131"/>
      <c r="AA359" s="132"/>
      <c r="AB359" s="132"/>
      <c r="AC359" s="33"/>
      <c r="AD359" s="33"/>
      <c r="AE359" s="33"/>
      <c r="AF359" s="33"/>
      <c r="AG359" s="27"/>
      <c r="AH359" s="27"/>
      <c r="AI359" s="27"/>
      <c r="AJ359" s="27"/>
      <c r="AK359" s="27"/>
      <c r="AL359" s="27"/>
      <c r="AM359" s="27"/>
      <c r="AN359" s="27"/>
      <c r="AO359" s="27"/>
      <c r="AP359" s="27"/>
    </row>
    <row r="360" spans="2:42" s="120" customFormat="1" hidden="1">
      <c r="B360" s="29"/>
      <c r="C360" s="128"/>
      <c r="D360" s="129"/>
      <c r="E360" s="129"/>
      <c r="F360" s="129"/>
      <c r="G360" s="129"/>
      <c r="H360" s="129"/>
      <c r="I360" s="129"/>
      <c r="J360" s="129"/>
      <c r="K360" s="129"/>
      <c r="L360" s="129"/>
      <c r="M360" s="131"/>
      <c r="N360" s="129"/>
      <c r="O360" s="129"/>
      <c r="P360" s="129"/>
      <c r="Q360" s="129"/>
      <c r="R360" s="129"/>
      <c r="S360" s="129"/>
      <c r="T360" s="129"/>
      <c r="U360" s="129"/>
      <c r="V360" s="129"/>
      <c r="W360" s="129"/>
      <c r="X360" s="129"/>
      <c r="Y360" s="131"/>
      <c r="Z360" s="131"/>
      <c r="AA360" s="132"/>
      <c r="AB360" s="132"/>
      <c r="AC360" s="33"/>
      <c r="AD360" s="33"/>
      <c r="AE360" s="33"/>
      <c r="AF360" s="33"/>
      <c r="AG360" s="27"/>
      <c r="AH360" s="27"/>
      <c r="AI360" s="27"/>
      <c r="AJ360" s="27"/>
      <c r="AK360" s="27"/>
      <c r="AL360" s="27"/>
      <c r="AM360" s="27"/>
      <c r="AN360" s="27"/>
      <c r="AO360" s="27"/>
      <c r="AP360" s="27"/>
    </row>
    <row r="361" spans="2:42" s="120" customFormat="1" hidden="1">
      <c r="B361" s="29"/>
      <c r="C361" s="128"/>
      <c r="D361" s="129"/>
      <c r="E361" s="129"/>
      <c r="F361" s="129"/>
      <c r="G361" s="129"/>
      <c r="H361" s="129"/>
      <c r="I361" s="129"/>
      <c r="J361" s="129"/>
      <c r="K361" s="129"/>
      <c r="L361" s="129"/>
      <c r="M361" s="131"/>
      <c r="N361" s="129"/>
      <c r="O361" s="129"/>
      <c r="P361" s="129"/>
      <c r="Q361" s="129"/>
      <c r="R361" s="129"/>
      <c r="S361" s="129"/>
      <c r="T361" s="129"/>
      <c r="U361" s="129"/>
      <c r="V361" s="129"/>
      <c r="W361" s="129"/>
      <c r="X361" s="129"/>
      <c r="Y361" s="131"/>
      <c r="Z361" s="131"/>
      <c r="AA361" s="132"/>
      <c r="AB361" s="132"/>
      <c r="AC361" s="33"/>
      <c r="AD361" s="33"/>
      <c r="AE361" s="33"/>
      <c r="AF361" s="33"/>
      <c r="AG361" s="27"/>
      <c r="AH361" s="27"/>
      <c r="AI361" s="27"/>
      <c r="AJ361" s="27"/>
      <c r="AK361" s="27"/>
      <c r="AL361" s="27"/>
      <c r="AM361" s="27"/>
      <c r="AN361" s="27"/>
      <c r="AO361" s="27"/>
      <c r="AP361" s="27"/>
    </row>
    <row r="362" spans="2:42" s="120" customFormat="1" hidden="1">
      <c r="B362" s="29"/>
      <c r="C362" s="128"/>
      <c r="D362" s="129"/>
      <c r="E362" s="129"/>
      <c r="F362" s="129"/>
      <c r="G362" s="129"/>
      <c r="H362" s="129"/>
      <c r="I362" s="129"/>
      <c r="J362" s="129"/>
      <c r="K362" s="129"/>
      <c r="L362" s="129"/>
      <c r="M362" s="131"/>
      <c r="N362" s="129"/>
      <c r="O362" s="129"/>
      <c r="P362" s="129"/>
      <c r="Q362" s="129"/>
      <c r="R362" s="129"/>
      <c r="S362" s="129"/>
      <c r="T362" s="129"/>
      <c r="U362" s="129"/>
      <c r="V362" s="129"/>
      <c r="W362" s="129"/>
      <c r="X362" s="129"/>
      <c r="Y362" s="131"/>
      <c r="Z362" s="131"/>
      <c r="AA362" s="132"/>
      <c r="AB362" s="132"/>
      <c r="AC362" s="33"/>
      <c r="AD362" s="33"/>
      <c r="AE362" s="33"/>
      <c r="AF362" s="33"/>
      <c r="AG362" s="27"/>
      <c r="AH362" s="27"/>
      <c r="AI362" s="27"/>
      <c r="AJ362" s="27"/>
      <c r="AK362" s="27"/>
      <c r="AL362" s="27"/>
      <c r="AM362" s="27"/>
      <c r="AN362" s="27"/>
      <c r="AO362" s="27"/>
      <c r="AP362" s="27"/>
    </row>
    <row r="363" spans="2:42" s="120" customFormat="1" hidden="1">
      <c r="B363" s="29"/>
      <c r="C363" s="128"/>
      <c r="D363" s="129"/>
      <c r="E363" s="129"/>
      <c r="F363" s="129"/>
      <c r="G363" s="129"/>
      <c r="H363" s="129"/>
      <c r="I363" s="129"/>
      <c r="J363" s="129"/>
      <c r="K363" s="129"/>
      <c r="L363" s="129"/>
      <c r="M363" s="131"/>
      <c r="N363" s="129"/>
      <c r="O363" s="129"/>
      <c r="P363" s="129"/>
      <c r="Q363" s="129"/>
      <c r="R363" s="129"/>
      <c r="S363" s="129"/>
      <c r="T363" s="129"/>
      <c r="U363" s="129"/>
      <c r="V363" s="129"/>
      <c r="W363" s="129"/>
      <c r="X363" s="129"/>
      <c r="Y363" s="131"/>
      <c r="Z363" s="131"/>
      <c r="AA363" s="132"/>
      <c r="AB363" s="132"/>
      <c r="AC363" s="33"/>
      <c r="AD363" s="33"/>
      <c r="AE363" s="33"/>
      <c r="AF363" s="33"/>
      <c r="AG363" s="27"/>
      <c r="AH363" s="27"/>
      <c r="AI363" s="27"/>
      <c r="AJ363" s="27"/>
      <c r="AK363" s="27"/>
      <c r="AL363" s="27"/>
      <c r="AM363" s="27"/>
      <c r="AN363" s="27"/>
      <c r="AO363" s="27"/>
      <c r="AP363" s="27"/>
    </row>
    <row r="364" spans="2:42" s="120" customFormat="1" hidden="1">
      <c r="B364" s="29"/>
      <c r="C364" s="128"/>
      <c r="D364" s="129"/>
      <c r="E364" s="129"/>
      <c r="F364" s="129"/>
      <c r="G364" s="129"/>
      <c r="H364" s="129"/>
      <c r="I364" s="129"/>
      <c r="J364" s="129"/>
      <c r="K364" s="129"/>
      <c r="L364" s="129"/>
      <c r="M364" s="131"/>
      <c r="N364" s="129"/>
      <c r="O364" s="129"/>
      <c r="P364" s="129"/>
      <c r="Q364" s="129"/>
      <c r="R364" s="129"/>
      <c r="S364" s="129"/>
      <c r="T364" s="129"/>
      <c r="U364" s="129"/>
      <c r="V364" s="129"/>
      <c r="W364" s="129"/>
      <c r="X364" s="129"/>
      <c r="Y364" s="131"/>
      <c r="Z364" s="131"/>
      <c r="AA364" s="132"/>
      <c r="AB364" s="132"/>
      <c r="AC364" s="33"/>
      <c r="AD364" s="33"/>
      <c r="AE364" s="33"/>
      <c r="AF364" s="33"/>
      <c r="AG364" s="27"/>
      <c r="AH364" s="27"/>
      <c r="AI364" s="27"/>
      <c r="AJ364" s="27"/>
      <c r="AK364" s="27"/>
      <c r="AL364" s="27"/>
      <c r="AM364" s="27"/>
      <c r="AN364" s="27"/>
      <c r="AO364" s="27"/>
      <c r="AP364" s="27"/>
    </row>
    <row r="365" spans="2:42" s="120" customFormat="1" hidden="1">
      <c r="B365" s="29"/>
      <c r="C365" s="128"/>
      <c r="D365" s="129"/>
      <c r="E365" s="129"/>
      <c r="F365" s="129"/>
      <c r="G365" s="129"/>
      <c r="H365" s="129"/>
      <c r="I365" s="129"/>
      <c r="J365" s="129"/>
      <c r="K365" s="129"/>
      <c r="L365" s="129"/>
      <c r="M365" s="131"/>
      <c r="N365" s="129"/>
      <c r="O365" s="129"/>
      <c r="P365" s="129"/>
      <c r="Q365" s="129"/>
      <c r="R365" s="129"/>
      <c r="S365" s="129"/>
      <c r="T365" s="129"/>
      <c r="U365" s="129"/>
      <c r="V365" s="129"/>
      <c r="W365" s="129"/>
      <c r="X365" s="129"/>
      <c r="Y365" s="131"/>
      <c r="Z365" s="131"/>
      <c r="AA365" s="132"/>
      <c r="AB365" s="132"/>
      <c r="AC365" s="33"/>
      <c r="AD365" s="33"/>
      <c r="AE365" s="33"/>
      <c r="AF365" s="33"/>
      <c r="AG365" s="27"/>
      <c r="AH365" s="27"/>
      <c r="AI365" s="27"/>
      <c r="AJ365" s="27"/>
      <c r="AK365" s="27"/>
      <c r="AL365" s="27"/>
      <c r="AM365" s="27"/>
      <c r="AN365" s="27"/>
      <c r="AO365" s="27"/>
      <c r="AP365" s="27"/>
    </row>
    <row r="366" spans="2:42" s="120" customFormat="1" hidden="1">
      <c r="B366" s="29"/>
      <c r="C366" s="128"/>
      <c r="D366" s="129"/>
      <c r="E366" s="129"/>
      <c r="F366" s="129"/>
      <c r="G366" s="129"/>
      <c r="H366" s="129"/>
      <c r="I366" s="129"/>
      <c r="J366" s="129"/>
      <c r="K366" s="129"/>
      <c r="L366" s="129"/>
      <c r="M366" s="131"/>
      <c r="N366" s="129"/>
      <c r="O366" s="129"/>
      <c r="P366" s="129"/>
      <c r="Q366" s="129"/>
      <c r="R366" s="129"/>
      <c r="S366" s="129"/>
      <c r="T366" s="129"/>
      <c r="U366" s="129"/>
      <c r="V366" s="129"/>
      <c r="W366" s="129"/>
      <c r="X366" s="129"/>
      <c r="Y366" s="131"/>
      <c r="Z366" s="131"/>
      <c r="AA366" s="132"/>
      <c r="AB366" s="132"/>
      <c r="AC366" s="33"/>
      <c r="AD366" s="33"/>
      <c r="AE366" s="33"/>
      <c r="AF366" s="33"/>
      <c r="AG366" s="27"/>
      <c r="AH366" s="27"/>
      <c r="AI366" s="27"/>
      <c r="AJ366" s="27"/>
      <c r="AK366" s="27"/>
      <c r="AL366" s="27"/>
      <c r="AM366" s="27"/>
      <c r="AN366" s="27"/>
      <c r="AO366" s="27"/>
      <c r="AP366" s="27"/>
    </row>
    <row r="367" spans="2:42" s="120" customFormat="1" hidden="1">
      <c r="B367" s="29"/>
      <c r="C367" s="128"/>
      <c r="D367" s="129"/>
      <c r="E367" s="129"/>
      <c r="F367" s="129"/>
      <c r="G367" s="129"/>
      <c r="H367" s="129"/>
      <c r="I367" s="129"/>
      <c r="J367" s="129"/>
      <c r="K367" s="129"/>
      <c r="L367" s="129"/>
      <c r="M367" s="131"/>
      <c r="N367" s="129"/>
      <c r="O367" s="129"/>
      <c r="P367" s="129"/>
      <c r="Q367" s="129"/>
      <c r="R367" s="129"/>
      <c r="S367" s="129"/>
      <c r="T367" s="129"/>
      <c r="U367" s="129"/>
      <c r="V367" s="129"/>
      <c r="W367" s="129"/>
      <c r="X367" s="129"/>
      <c r="Y367" s="131"/>
      <c r="Z367" s="131"/>
      <c r="AA367" s="132"/>
      <c r="AB367" s="132"/>
      <c r="AC367" s="33"/>
      <c r="AD367" s="33"/>
      <c r="AE367" s="33"/>
      <c r="AF367" s="33"/>
      <c r="AG367" s="27"/>
      <c r="AH367" s="27"/>
      <c r="AI367" s="27"/>
      <c r="AJ367" s="27"/>
      <c r="AK367" s="27"/>
      <c r="AL367" s="27"/>
      <c r="AM367" s="27"/>
      <c r="AN367" s="27"/>
      <c r="AO367" s="27"/>
      <c r="AP367" s="27"/>
    </row>
    <row r="368" spans="2:42" s="120" customFormat="1" hidden="1">
      <c r="B368" s="29"/>
      <c r="C368" s="128"/>
      <c r="D368" s="129"/>
      <c r="E368" s="129"/>
      <c r="F368" s="129"/>
      <c r="G368" s="129"/>
      <c r="H368" s="129"/>
      <c r="I368" s="129"/>
      <c r="J368" s="129"/>
      <c r="K368" s="129"/>
      <c r="L368" s="129"/>
      <c r="M368" s="131"/>
      <c r="N368" s="129"/>
      <c r="O368" s="129"/>
      <c r="P368" s="129"/>
      <c r="Q368" s="129"/>
      <c r="R368" s="129"/>
      <c r="S368" s="129"/>
      <c r="T368" s="129"/>
      <c r="U368" s="129"/>
      <c r="V368" s="129"/>
      <c r="W368" s="129"/>
      <c r="X368" s="129"/>
      <c r="Y368" s="131"/>
      <c r="Z368" s="131"/>
      <c r="AA368" s="132"/>
      <c r="AB368" s="132"/>
      <c r="AC368" s="33"/>
      <c r="AD368" s="33"/>
      <c r="AE368" s="33"/>
      <c r="AF368" s="33"/>
      <c r="AG368" s="27"/>
      <c r="AH368" s="27"/>
      <c r="AI368" s="27"/>
      <c r="AJ368" s="27"/>
      <c r="AK368" s="27"/>
      <c r="AL368" s="27"/>
      <c r="AM368" s="27"/>
      <c r="AN368" s="27"/>
      <c r="AO368" s="27"/>
      <c r="AP368" s="27"/>
    </row>
    <row r="369" spans="2:42" s="120" customFormat="1" hidden="1">
      <c r="B369" s="29"/>
      <c r="C369" s="128"/>
      <c r="D369" s="129"/>
      <c r="E369" s="129"/>
      <c r="F369" s="129"/>
      <c r="G369" s="129"/>
      <c r="H369" s="129"/>
      <c r="I369" s="129"/>
      <c r="J369" s="129"/>
      <c r="K369" s="129"/>
      <c r="L369" s="129"/>
      <c r="M369" s="131"/>
      <c r="N369" s="129"/>
      <c r="O369" s="129"/>
      <c r="P369" s="129"/>
      <c r="Q369" s="129"/>
      <c r="R369" s="129"/>
      <c r="S369" s="129"/>
      <c r="T369" s="129"/>
      <c r="U369" s="129"/>
      <c r="V369" s="129"/>
      <c r="W369" s="129"/>
      <c r="X369" s="129"/>
      <c r="Y369" s="131"/>
      <c r="Z369" s="131"/>
      <c r="AA369" s="132"/>
      <c r="AB369" s="132"/>
      <c r="AC369" s="33"/>
      <c r="AD369" s="33"/>
      <c r="AE369" s="33"/>
      <c r="AF369" s="33"/>
      <c r="AG369" s="27"/>
      <c r="AH369" s="27"/>
      <c r="AI369" s="27"/>
      <c r="AJ369" s="27"/>
      <c r="AK369" s="27"/>
      <c r="AL369" s="27"/>
      <c r="AM369" s="27"/>
      <c r="AN369" s="27"/>
      <c r="AO369" s="27"/>
      <c r="AP369" s="27"/>
    </row>
    <row r="370" spans="2:42" s="120" customFormat="1" hidden="1">
      <c r="B370" s="29"/>
      <c r="C370" s="128"/>
      <c r="D370" s="129"/>
      <c r="E370" s="129"/>
      <c r="F370" s="129"/>
      <c r="G370" s="129"/>
      <c r="H370" s="129"/>
      <c r="I370" s="129"/>
      <c r="J370" s="129"/>
      <c r="K370" s="129"/>
      <c r="L370" s="129"/>
      <c r="M370" s="131"/>
      <c r="N370" s="129"/>
      <c r="O370" s="129"/>
      <c r="P370" s="129"/>
      <c r="Q370" s="129"/>
      <c r="R370" s="129"/>
      <c r="S370" s="129"/>
      <c r="T370" s="129"/>
      <c r="U370" s="129"/>
      <c r="V370" s="129"/>
      <c r="W370" s="129"/>
      <c r="X370" s="129"/>
      <c r="Y370" s="131"/>
      <c r="Z370" s="131"/>
      <c r="AA370" s="132"/>
      <c r="AB370" s="132"/>
      <c r="AC370" s="33"/>
      <c r="AD370" s="33"/>
      <c r="AE370" s="33"/>
      <c r="AF370" s="33"/>
      <c r="AG370" s="27"/>
      <c r="AH370" s="27"/>
      <c r="AI370" s="27"/>
      <c r="AJ370" s="27"/>
      <c r="AK370" s="27"/>
      <c r="AL370" s="27"/>
      <c r="AM370" s="27"/>
      <c r="AN370" s="27"/>
      <c r="AO370" s="27"/>
      <c r="AP370" s="27"/>
    </row>
    <row r="371" spans="2:42" s="120" customFormat="1" hidden="1">
      <c r="B371" s="29"/>
      <c r="C371" s="128"/>
      <c r="D371" s="129"/>
      <c r="E371" s="129"/>
      <c r="F371" s="129"/>
      <c r="G371" s="129"/>
      <c r="H371" s="129"/>
      <c r="I371" s="129"/>
      <c r="J371" s="129"/>
      <c r="K371" s="129"/>
      <c r="L371" s="129"/>
      <c r="M371" s="131"/>
      <c r="N371" s="129"/>
      <c r="O371" s="129"/>
      <c r="P371" s="129"/>
      <c r="Q371" s="129"/>
      <c r="R371" s="129"/>
      <c r="S371" s="129"/>
      <c r="T371" s="129"/>
      <c r="U371" s="129"/>
      <c r="V371" s="129"/>
      <c r="W371" s="129"/>
      <c r="X371" s="129"/>
      <c r="Y371" s="131"/>
      <c r="Z371" s="131"/>
      <c r="AA371" s="132"/>
      <c r="AB371" s="132"/>
      <c r="AC371" s="33"/>
      <c r="AD371" s="33"/>
      <c r="AE371" s="33"/>
      <c r="AF371" s="33"/>
      <c r="AG371" s="27"/>
      <c r="AH371" s="27"/>
      <c r="AI371" s="27"/>
      <c r="AJ371" s="27"/>
      <c r="AK371" s="27"/>
      <c r="AL371" s="27"/>
      <c r="AM371" s="27"/>
      <c r="AN371" s="27"/>
      <c r="AO371" s="27"/>
      <c r="AP371" s="27"/>
    </row>
    <row r="372" spans="2:42" s="120" customFormat="1" hidden="1">
      <c r="B372" s="29"/>
      <c r="C372" s="128"/>
      <c r="D372" s="129"/>
      <c r="E372" s="129"/>
      <c r="F372" s="129"/>
      <c r="G372" s="129"/>
      <c r="H372" s="129"/>
      <c r="I372" s="129"/>
      <c r="J372" s="129"/>
      <c r="K372" s="129"/>
      <c r="L372" s="129"/>
      <c r="M372" s="131"/>
      <c r="N372" s="129"/>
      <c r="O372" s="129"/>
      <c r="P372" s="129"/>
      <c r="Q372" s="129"/>
      <c r="R372" s="129"/>
      <c r="S372" s="129"/>
      <c r="T372" s="129"/>
      <c r="U372" s="129"/>
      <c r="V372" s="129"/>
      <c r="W372" s="129"/>
      <c r="X372" s="129"/>
      <c r="Y372" s="131"/>
      <c r="Z372" s="131"/>
      <c r="AA372" s="132"/>
      <c r="AB372" s="132"/>
      <c r="AC372" s="33"/>
      <c r="AD372" s="33"/>
      <c r="AE372" s="33"/>
      <c r="AF372" s="33"/>
      <c r="AG372" s="27"/>
      <c r="AH372" s="27"/>
      <c r="AI372" s="27"/>
      <c r="AJ372" s="27"/>
      <c r="AK372" s="27"/>
      <c r="AL372" s="27"/>
      <c r="AM372" s="27"/>
      <c r="AN372" s="27"/>
      <c r="AO372" s="27"/>
      <c r="AP372" s="27"/>
    </row>
    <row r="373" spans="2:42" s="120" customFormat="1" hidden="1">
      <c r="B373" s="29"/>
      <c r="C373" s="128"/>
      <c r="D373" s="129"/>
      <c r="E373" s="129"/>
      <c r="F373" s="129"/>
      <c r="G373" s="129"/>
      <c r="H373" s="129"/>
      <c r="I373" s="129"/>
      <c r="J373" s="129"/>
      <c r="K373" s="129"/>
      <c r="L373" s="129"/>
      <c r="M373" s="131"/>
      <c r="N373" s="129"/>
      <c r="O373" s="129"/>
      <c r="P373" s="129"/>
      <c r="Q373" s="129"/>
      <c r="R373" s="129"/>
      <c r="S373" s="129"/>
      <c r="T373" s="129"/>
      <c r="U373" s="129"/>
      <c r="V373" s="129"/>
      <c r="W373" s="129"/>
      <c r="X373" s="129"/>
      <c r="Y373" s="131"/>
      <c r="Z373" s="131"/>
      <c r="AA373" s="132"/>
      <c r="AB373" s="132"/>
      <c r="AC373" s="33"/>
      <c r="AD373" s="33"/>
      <c r="AE373" s="33"/>
      <c r="AF373" s="33"/>
      <c r="AG373" s="27"/>
      <c r="AH373" s="27"/>
      <c r="AI373" s="27"/>
      <c r="AJ373" s="27"/>
      <c r="AK373" s="27"/>
      <c r="AL373" s="27"/>
      <c r="AM373" s="27"/>
      <c r="AN373" s="27"/>
      <c r="AO373" s="27"/>
      <c r="AP373" s="27"/>
    </row>
    <row r="374" spans="2:42" s="120" customFormat="1" hidden="1">
      <c r="B374" s="29"/>
      <c r="C374" s="128"/>
      <c r="D374" s="129"/>
      <c r="E374" s="129"/>
      <c r="F374" s="129"/>
      <c r="G374" s="129"/>
      <c r="H374" s="129"/>
      <c r="I374" s="129"/>
      <c r="J374" s="129"/>
      <c r="K374" s="129"/>
      <c r="L374" s="129"/>
      <c r="M374" s="131"/>
      <c r="N374" s="129"/>
      <c r="O374" s="129"/>
      <c r="P374" s="129"/>
      <c r="Q374" s="129"/>
      <c r="R374" s="129"/>
      <c r="S374" s="129"/>
      <c r="T374" s="129"/>
      <c r="U374" s="129"/>
      <c r="V374" s="129"/>
      <c r="W374" s="129"/>
      <c r="X374" s="129"/>
      <c r="Y374" s="131"/>
      <c r="Z374" s="131"/>
      <c r="AA374" s="132"/>
      <c r="AB374" s="132"/>
      <c r="AC374" s="33"/>
      <c r="AD374" s="33"/>
      <c r="AE374" s="33"/>
      <c r="AF374" s="33"/>
      <c r="AG374" s="27"/>
      <c r="AH374" s="27"/>
      <c r="AI374" s="27"/>
      <c r="AJ374" s="27"/>
      <c r="AK374" s="27"/>
      <c r="AL374" s="27"/>
      <c r="AM374" s="27"/>
      <c r="AN374" s="27"/>
      <c r="AO374" s="27"/>
      <c r="AP374" s="27"/>
    </row>
    <row r="375" spans="2:42" s="120" customFormat="1" hidden="1">
      <c r="B375" s="29"/>
      <c r="C375" s="128"/>
      <c r="D375" s="129"/>
      <c r="E375" s="129"/>
      <c r="F375" s="129"/>
      <c r="G375" s="129"/>
      <c r="H375" s="129"/>
      <c r="I375" s="129"/>
      <c r="J375" s="129"/>
      <c r="K375" s="129"/>
      <c r="L375" s="129"/>
      <c r="M375" s="131"/>
      <c r="N375" s="129"/>
      <c r="O375" s="129"/>
      <c r="P375" s="129"/>
      <c r="Q375" s="129"/>
      <c r="R375" s="129"/>
      <c r="S375" s="129"/>
      <c r="T375" s="129"/>
      <c r="U375" s="129"/>
      <c r="V375" s="129"/>
      <c r="W375" s="129"/>
      <c r="X375" s="129"/>
      <c r="Y375" s="131"/>
      <c r="Z375" s="131"/>
      <c r="AA375" s="132"/>
      <c r="AB375" s="132"/>
      <c r="AC375" s="33"/>
      <c r="AD375" s="33"/>
      <c r="AE375" s="33"/>
      <c r="AF375" s="33"/>
      <c r="AG375" s="27"/>
      <c r="AH375" s="27"/>
      <c r="AI375" s="27"/>
      <c r="AJ375" s="27"/>
      <c r="AK375" s="27"/>
      <c r="AL375" s="27"/>
      <c r="AM375" s="27"/>
      <c r="AN375" s="27"/>
      <c r="AO375" s="27"/>
      <c r="AP375" s="27"/>
    </row>
    <row r="376" spans="2:42" s="120" customFormat="1" hidden="1">
      <c r="B376" s="29"/>
      <c r="C376" s="128"/>
      <c r="D376" s="129"/>
      <c r="E376" s="129"/>
      <c r="F376" s="129"/>
      <c r="G376" s="129"/>
      <c r="H376" s="129"/>
      <c r="I376" s="129"/>
      <c r="J376" s="129"/>
      <c r="K376" s="129"/>
      <c r="L376" s="129"/>
      <c r="M376" s="131"/>
      <c r="N376" s="129"/>
      <c r="O376" s="129"/>
      <c r="P376" s="129"/>
      <c r="Q376" s="129"/>
      <c r="R376" s="129"/>
      <c r="S376" s="129"/>
      <c r="T376" s="129"/>
      <c r="U376" s="129"/>
      <c r="V376" s="129"/>
      <c r="W376" s="129"/>
      <c r="X376" s="129"/>
      <c r="Y376" s="131"/>
      <c r="Z376" s="131"/>
      <c r="AA376" s="132"/>
      <c r="AB376" s="132"/>
      <c r="AC376" s="33"/>
      <c r="AD376" s="33"/>
      <c r="AE376" s="33"/>
      <c r="AF376" s="33"/>
      <c r="AG376" s="27"/>
      <c r="AH376" s="27"/>
      <c r="AI376" s="27"/>
      <c r="AJ376" s="27"/>
      <c r="AK376" s="27"/>
      <c r="AL376" s="27"/>
      <c r="AM376" s="27"/>
      <c r="AN376" s="27"/>
      <c r="AO376" s="27"/>
      <c r="AP376" s="27"/>
    </row>
    <row r="377" spans="2:42" s="120" customFormat="1" hidden="1">
      <c r="B377" s="29"/>
      <c r="C377" s="128"/>
      <c r="D377" s="129"/>
      <c r="E377" s="129"/>
      <c r="F377" s="129"/>
      <c r="G377" s="129"/>
      <c r="H377" s="129"/>
      <c r="I377" s="129"/>
      <c r="J377" s="129"/>
      <c r="K377" s="129"/>
      <c r="L377" s="129"/>
      <c r="M377" s="131"/>
      <c r="N377" s="129"/>
      <c r="O377" s="129"/>
      <c r="P377" s="129"/>
      <c r="Q377" s="129"/>
      <c r="R377" s="129"/>
      <c r="S377" s="129"/>
      <c r="T377" s="129"/>
      <c r="U377" s="129"/>
      <c r="V377" s="129"/>
      <c r="W377" s="129"/>
      <c r="X377" s="129"/>
      <c r="Y377" s="131"/>
      <c r="Z377" s="131"/>
      <c r="AA377" s="132"/>
      <c r="AB377" s="132"/>
      <c r="AC377" s="33"/>
      <c r="AD377" s="33"/>
      <c r="AE377" s="33"/>
      <c r="AF377" s="33"/>
      <c r="AG377" s="27"/>
      <c r="AH377" s="27"/>
      <c r="AI377" s="27"/>
      <c r="AJ377" s="27"/>
      <c r="AK377" s="27"/>
      <c r="AL377" s="27"/>
      <c r="AM377" s="27"/>
      <c r="AN377" s="27"/>
      <c r="AO377" s="27"/>
      <c r="AP377" s="27"/>
    </row>
    <row r="378" spans="2:42" s="120" customFormat="1" hidden="1">
      <c r="B378" s="29"/>
      <c r="C378" s="128"/>
      <c r="D378" s="129"/>
      <c r="E378" s="129"/>
      <c r="F378" s="129"/>
      <c r="G378" s="129"/>
      <c r="H378" s="129"/>
      <c r="I378" s="129"/>
      <c r="J378" s="129"/>
      <c r="K378" s="129"/>
      <c r="L378" s="129"/>
      <c r="M378" s="131"/>
      <c r="N378" s="129"/>
      <c r="O378" s="129"/>
      <c r="P378" s="129"/>
      <c r="Q378" s="129"/>
      <c r="R378" s="129"/>
      <c r="S378" s="129"/>
      <c r="T378" s="129"/>
      <c r="U378" s="129"/>
      <c r="V378" s="129"/>
      <c r="W378" s="129"/>
      <c r="X378" s="129"/>
      <c r="Y378" s="131"/>
      <c r="Z378" s="131"/>
      <c r="AA378" s="132"/>
      <c r="AB378" s="132"/>
      <c r="AC378" s="33"/>
      <c r="AD378" s="33"/>
      <c r="AE378" s="33"/>
      <c r="AF378" s="33"/>
      <c r="AG378" s="27"/>
      <c r="AH378" s="27"/>
      <c r="AI378" s="27"/>
      <c r="AJ378" s="27"/>
      <c r="AK378" s="27"/>
      <c r="AL378" s="27"/>
      <c r="AM378" s="27"/>
      <c r="AN378" s="27"/>
      <c r="AO378" s="27"/>
      <c r="AP378" s="27"/>
    </row>
    <row r="379" spans="2:42" s="120" customFormat="1" hidden="1">
      <c r="B379" s="29"/>
      <c r="C379" s="128"/>
      <c r="D379" s="129"/>
      <c r="E379" s="129"/>
      <c r="F379" s="129"/>
      <c r="G379" s="129"/>
      <c r="H379" s="129"/>
      <c r="I379" s="129"/>
      <c r="J379" s="129"/>
      <c r="K379" s="129"/>
      <c r="L379" s="129"/>
      <c r="M379" s="131"/>
      <c r="N379" s="129"/>
      <c r="O379" s="129"/>
      <c r="P379" s="129"/>
      <c r="Q379" s="129"/>
      <c r="R379" s="129"/>
      <c r="S379" s="129"/>
      <c r="T379" s="129"/>
      <c r="U379" s="129"/>
      <c r="V379" s="129"/>
      <c r="W379" s="129"/>
      <c r="X379" s="129"/>
      <c r="Y379" s="131"/>
      <c r="Z379" s="131"/>
      <c r="AA379" s="132"/>
      <c r="AB379" s="132"/>
      <c r="AC379" s="33"/>
      <c r="AD379" s="33"/>
      <c r="AE379" s="33"/>
      <c r="AF379" s="33"/>
      <c r="AG379" s="27"/>
      <c r="AH379" s="27"/>
      <c r="AI379" s="27"/>
      <c r="AJ379" s="27"/>
      <c r="AK379" s="27"/>
      <c r="AL379" s="27"/>
      <c r="AM379" s="27"/>
      <c r="AN379" s="27"/>
      <c r="AO379" s="27"/>
      <c r="AP379" s="27"/>
    </row>
    <row r="380" spans="2:42" s="120" customFormat="1" hidden="1">
      <c r="B380" s="29"/>
      <c r="C380" s="128"/>
      <c r="D380" s="129"/>
      <c r="E380" s="129"/>
      <c r="F380" s="129"/>
      <c r="G380" s="129"/>
      <c r="H380" s="129"/>
      <c r="I380" s="129"/>
      <c r="J380" s="129"/>
      <c r="K380" s="129"/>
      <c r="L380" s="129"/>
      <c r="M380" s="131"/>
      <c r="N380" s="129"/>
      <c r="O380" s="129"/>
      <c r="P380" s="129"/>
      <c r="Q380" s="129"/>
      <c r="R380" s="129"/>
      <c r="S380" s="129"/>
      <c r="T380" s="129"/>
      <c r="U380" s="129"/>
      <c r="V380" s="129"/>
      <c r="W380" s="129"/>
      <c r="X380" s="129"/>
      <c r="Y380" s="131"/>
      <c r="Z380" s="131"/>
      <c r="AA380" s="132"/>
      <c r="AB380" s="132"/>
      <c r="AC380" s="33"/>
      <c r="AD380" s="33"/>
      <c r="AE380" s="33"/>
      <c r="AF380" s="33"/>
      <c r="AG380" s="27"/>
      <c r="AH380" s="27"/>
      <c r="AI380" s="27"/>
      <c r="AJ380" s="27"/>
      <c r="AK380" s="27"/>
      <c r="AL380" s="27"/>
      <c r="AM380" s="27"/>
      <c r="AN380" s="27"/>
      <c r="AO380" s="27"/>
      <c r="AP380" s="27"/>
    </row>
    <row r="381" spans="2:42" s="120" customFormat="1" hidden="1">
      <c r="B381" s="29"/>
      <c r="C381" s="128"/>
      <c r="D381" s="129"/>
      <c r="E381" s="129"/>
      <c r="F381" s="129"/>
      <c r="G381" s="129"/>
      <c r="H381" s="129"/>
      <c r="I381" s="129"/>
      <c r="J381" s="129"/>
      <c r="K381" s="129"/>
      <c r="L381" s="129"/>
      <c r="M381" s="131"/>
      <c r="N381" s="129"/>
      <c r="O381" s="129"/>
      <c r="P381" s="129"/>
      <c r="Q381" s="129"/>
      <c r="R381" s="129"/>
      <c r="S381" s="129"/>
      <c r="T381" s="129"/>
      <c r="U381" s="129"/>
      <c r="V381" s="129"/>
      <c r="W381" s="129"/>
      <c r="X381" s="129"/>
      <c r="Y381" s="131"/>
      <c r="Z381" s="131"/>
      <c r="AA381" s="132"/>
      <c r="AB381" s="132"/>
      <c r="AC381" s="33"/>
      <c r="AD381" s="33"/>
      <c r="AE381" s="33"/>
      <c r="AF381" s="33"/>
      <c r="AG381" s="27"/>
      <c r="AH381" s="27"/>
      <c r="AI381" s="27"/>
      <c r="AJ381" s="27"/>
      <c r="AK381" s="27"/>
      <c r="AL381" s="27"/>
      <c r="AM381" s="27"/>
      <c r="AN381" s="27"/>
      <c r="AO381" s="27"/>
      <c r="AP381" s="27"/>
    </row>
    <row r="382" spans="2:42" s="120" customFormat="1" hidden="1">
      <c r="B382" s="29"/>
      <c r="C382" s="128"/>
      <c r="D382" s="129"/>
      <c r="E382" s="129"/>
      <c r="F382" s="129"/>
      <c r="G382" s="129"/>
      <c r="H382" s="129"/>
      <c r="I382" s="129"/>
      <c r="J382" s="129"/>
      <c r="K382" s="129"/>
      <c r="L382" s="129"/>
      <c r="M382" s="131"/>
      <c r="N382" s="129"/>
      <c r="O382" s="129"/>
      <c r="P382" s="129"/>
      <c r="Q382" s="129"/>
      <c r="R382" s="129"/>
      <c r="S382" s="129"/>
      <c r="T382" s="129"/>
      <c r="U382" s="129"/>
      <c r="V382" s="129"/>
      <c r="W382" s="129"/>
      <c r="X382" s="129"/>
      <c r="Y382" s="131"/>
      <c r="Z382" s="131"/>
      <c r="AA382" s="132"/>
      <c r="AB382" s="132"/>
      <c r="AC382" s="33"/>
      <c r="AD382" s="33"/>
      <c r="AE382" s="33"/>
      <c r="AF382" s="33"/>
      <c r="AG382" s="27"/>
      <c r="AH382" s="27"/>
      <c r="AI382" s="27"/>
      <c r="AJ382" s="27"/>
      <c r="AK382" s="27"/>
      <c r="AL382" s="27"/>
      <c r="AM382" s="27"/>
      <c r="AN382" s="27"/>
      <c r="AO382" s="27"/>
      <c r="AP382" s="27"/>
    </row>
    <row r="383" spans="2:42" s="120" customFormat="1" hidden="1">
      <c r="B383" s="29"/>
      <c r="C383" s="128"/>
      <c r="D383" s="129"/>
      <c r="E383" s="129"/>
      <c r="F383" s="129"/>
      <c r="G383" s="129"/>
      <c r="H383" s="129"/>
      <c r="I383" s="129"/>
      <c r="J383" s="129"/>
      <c r="K383" s="129"/>
      <c r="L383" s="129"/>
      <c r="M383" s="131"/>
      <c r="N383" s="129"/>
      <c r="O383" s="129"/>
      <c r="P383" s="129"/>
      <c r="Q383" s="129"/>
      <c r="R383" s="129"/>
      <c r="S383" s="129"/>
      <c r="T383" s="129"/>
      <c r="U383" s="129"/>
      <c r="V383" s="129"/>
      <c r="W383" s="129"/>
      <c r="X383" s="129"/>
      <c r="Y383" s="131"/>
      <c r="Z383" s="131"/>
      <c r="AA383" s="132"/>
      <c r="AB383" s="132"/>
      <c r="AC383" s="33"/>
      <c r="AD383" s="33"/>
      <c r="AE383" s="33"/>
      <c r="AF383" s="33"/>
      <c r="AG383" s="27"/>
      <c r="AH383" s="27"/>
      <c r="AI383" s="27"/>
      <c r="AJ383" s="27"/>
      <c r="AK383" s="27"/>
      <c r="AL383" s="27"/>
      <c r="AM383" s="27"/>
      <c r="AN383" s="27"/>
      <c r="AO383" s="27"/>
      <c r="AP383" s="27"/>
    </row>
    <row r="384" spans="2:42" s="120" customFormat="1" hidden="1">
      <c r="B384" s="29"/>
      <c r="C384" s="128"/>
      <c r="D384" s="129"/>
      <c r="E384" s="129"/>
      <c r="F384" s="129"/>
      <c r="G384" s="129"/>
      <c r="H384" s="129"/>
      <c r="I384" s="129"/>
      <c r="J384" s="129"/>
      <c r="K384" s="129"/>
      <c r="L384" s="129"/>
      <c r="M384" s="131"/>
      <c r="N384" s="129"/>
      <c r="O384" s="129"/>
      <c r="P384" s="129"/>
      <c r="Q384" s="129"/>
      <c r="R384" s="129"/>
      <c r="S384" s="129"/>
      <c r="T384" s="129"/>
      <c r="U384" s="129"/>
      <c r="V384" s="129"/>
      <c r="W384" s="129"/>
      <c r="X384" s="129"/>
      <c r="Y384" s="131"/>
      <c r="Z384" s="131"/>
      <c r="AA384" s="132"/>
      <c r="AB384" s="132"/>
      <c r="AC384" s="33"/>
      <c r="AD384" s="33"/>
      <c r="AE384" s="33"/>
      <c r="AF384" s="33"/>
      <c r="AG384" s="27"/>
      <c r="AH384" s="27"/>
      <c r="AI384" s="27"/>
      <c r="AJ384" s="27"/>
      <c r="AK384" s="27"/>
      <c r="AL384" s="27"/>
      <c r="AM384" s="27"/>
      <c r="AN384" s="27"/>
      <c r="AO384" s="27"/>
      <c r="AP384" s="27"/>
    </row>
    <row r="385" spans="2:42" s="120" customFormat="1" hidden="1">
      <c r="B385" s="29"/>
      <c r="C385" s="128"/>
      <c r="D385" s="129"/>
      <c r="E385" s="129"/>
      <c r="F385" s="129"/>
      <c r="G385" s="129"/>
      <c r="H385" s="129"/>
      <c r="I385" s="129"/>
      <c r="J385" s="129"/>
      <c r="K385" s="129"/>
      <c r="L385" s="129"/>
      <c r="M385" s="131"/>
      <c r="N385" s="129"/>
      <c r="O385" s="129"/>
      <c r="P385" s="129"/>
      <c r="Q385" s="129"/>
      <c r="R385" s="129"/>
      <c r="S385" s="129"/>
      <c r="T385" s="129"/>
      <c r="U385" s="129"/>
      <c r="V385" s="129"/>
      <c r="W385" s="129"/>
      <c r="X385" s="129"/>
      <c r="Y385" s="131"/>
      <c r="Z385" s="131"/>
      <c r="AA385" s="132"/>
      <c r="AB385" s="132"/>
      <c r="AC385" s="33"/>
      <c r="AD385" s="33"/>
      <c r="AE385" s="33"/>
      <c r="AF385" s="33"/>
      <c r="AG385" s="27"/>
      <c r="AH385" s="27"/>
      <c r="AI385" s="27"/>
      <c r="AJ385" s="27"/>
      <c r="AK385" s="27"/>
      <c r="AL385" s="27"/>
      <c r="AM385" s="27"/>
      <c r="AN385" s="27"/>
      <c r="AO385" s="27"/>
      <c r="AP385" s="27"/>
    </row>
    <row r="386" spans="2:42" s="120" customFormat="1" hidden="1">
      <c r="B386" s="29"/>
      <c r="C386" s="128"/>
      <c r="D386" s="129"/>
      <c r="E386" s="129"/>
      <c r="F386" s="129"/>
      <c r="G386" s="129"/>
      <c r="H386" s="129"/>
      <c r="I386" s="129"/>
      <c r="J386" s="129"/>
      <c r="K386" s="129"/>
      <c r="L386" s="129"/>
      <c r="M386" s="131"/>
      <c r="N386" s="129"/>
      <c r="O386" s="129"/>
      <c r="P386" s="129"/>
      <c r="Q386" s="129"/>
      <c r="R386" s="129"/>
      <c r="S386" s="129"/>
      <c r="T386" s="129"/>
      <c r="U386" s="129"/>
      <c r="V386" s="129"/>
      <c r="W386" s="129"/>
      <c r="X386" s="129"/>
      <c r="Y386" s="131"/>
      <c r="Z386" s="131"/>
      <c r="AA386" s="132"/>
      <c r="AB386" s="132"/>
      <c r="AC386" s="33"/>
      <c r="AD386" s="33"/>
      <c r="AE386" s="33"/>
      <c r="AF386" s="33"/>
      <c r="AG386" s="27"/>
      <c r="AH386" s="27"/>
      <c r="AI386" s="27"/>
      <c r="AJ386" s="27"/>
      <c r="AK386" s="27"/>
      <c r="AL386" s="27"/>
      <c r="AM386" s="27"/>
      <c r="AN386" s="27"/>
      <c r="AO386" s="27"/>
      <c r="AP386" s="27"/>
    </row>
    <row r="387" spans="2:42" s="120" customFormat="1" hidden="1">
      <c r="B387" s="29"/>
      <c r="C387" s="128"/>
      <c r="D387" s="129"/>
      <c r="E387" s="129"/>
      <c r="F387" s="129"/>
      <c r="G387" s="129"/>
      <c r="H387" s="129"/>
      <c r="I387" s="129"/>
      <c r="J387" s="129"/>
      <c r="K387" s="129"/>
      <c r="L387" s="129"/>
      <c r="M387" s="131"/>
      <c r="N387" s="129"/>
      <c r="O387" s="129"/>
      <c r="P387" s="129"/>
      <c r="Q387" s="129"/>
      <c r="R387" s="129"/>
      <c r="S387" s="129"/>
      <c r="T387" s="129"/>
      <c r="U387" s="129"/>
      <c r="V387" s="129"/>
      <c r="W387" s="129"/>
      <c r="X387" s="129"/>
      <c r="Y387" s="131"/>
      <c r="Z387" s="131"/>
      <c r="AA387" s="132"/>
      <c r="AB387" s="132"/>
      <c r="AC387" s="33"/>
      <c r="AD387" s="33"/>
      <c r="AE387" s="33"/>
      <c r="AF387" s="33"/>
      <c r="AG387" s="27"/>
      <c r="AH387" s="27"/>
      <c r="AI387" s="27"/>
      <c r="AJ387" s="27"/>
      <c r="AK387" s="27"/>
      <c r="AL387" s="27"/>
      <c r="AM387" s="27"/>
      <c r="AN387" s="27"/>
      <c r="AO387" s="27"/>
      <c r="AP387" s="27"/>
    </row>
    <row r="388" spans="2:42" s="120" customFormat="1" hidden="1">
      <c r="B388" s="29"/>
      <c r="C388" s="128"/>
      <c r="D388" s="129"/>
      <c r="E388" s="129"/>
      <c r="F388" s="129"/>
      <c r="G388" s="129"/>
      <c r="H388" s="129"/>
      <c r="I388" s="129"/>
      <c r="J388" s="129"/>
      <c r="K388" s="129"/>
      <c r="L388" s="129"/>
      <c r="M388" s="131"/>
      <c r="N388" s="129"/>
      <c r="O388" s="129"/>
      <c r="P388" s="129"/>
      <c r="Q388" s="129"/>
      <c r="R388" s="129"/>
      <c r="S388" s="129"/>
      <c r="T388" s="129"/>
      <c r="U388" s="129"/>
      <c r="V388" s="129"/>
      <c r="W388" s="129"/>
      <c r="X388" s="129"/>
      <c r="Y388" s="131"/>
      <c r="Z388" s="131"/>
      <c r="AA388" s="132"/>
      <c r="AB388" s="132"/>
      <c r="AC388" s="33"/>
      <c r="AD388" s="33"/>
      <c r="AE388" s="33"/>
      <c r="AF388" s="33"/>
      <c r="AG388" s="27"/>
      <c r="AH388" s="27"/>
      <c r="AI388" s="27"/>
      <c r="AJ388" s="27"/>
      <c r="AK388" s="27"/>
      <c r="AL388" s="27"/>
      <c r="AM388" s="27"/>
      <c r="AN388" s="27"/>
      <c r="AO388" s="27"/>
      <c r="AP388" s="27"/>
    </row>
    <row r="389" spans="2:42" s="120" customFormat="1" hidden="1">
      <c r="B389" s="29"/>
      <c r="C389" s="128"/>
      <c r="D389" s="129"/>
      <c r="E389" s="129"/>
      <c r="F389" s="129"/>
      <c r="G389" s="129"/>
      <c r="H389" s="129"/>
      <c r="I389" s="129"/>
      <c r="J389" s="129"/>
      <c r="K389" s="129"/>
      <c r="L389" s="129"/>
      <c r="M389" s="131"/>
      <c r="N389" s="129"/>
      <c r="O389" s="129"/>
      <c r="P389" s="129"/>
      <c r="Q389" s="129"/>
      <c r="R389" s="129"/>
      <c r="S389" s="129"/>
      <c r="T389" s="129"/>
      <c r="U389" s="129"/>
      <c r="V389" s="129"/>
      <c r="W389" s="129"/>
      <c r="X389" s="129"/>
      <c r="Y389" s="131"/>
      <c r="Z389" s="131"/>
      <c r="AA389" s="132"/>
      <c r="AB389" s="132"/>
      <c r="AC389" s="33"/>
      <c r="AD389" s="33"/>
      <c r="AE389" s="33"/>
      <c r="AF389" s="33"/>
      <c r="AG389" s="27"/>
      <c r="AH389" s="27"/>
      <c r="AI389" s="27"/>
      <c r="AJ389" s="27"/>
      <c r="AK389" s="27"/>
      <c r="AL389" s="27"/>
      <c r="AM389" s="27"/>
      <c r="AN389" s="27"/>
      <c r="AO389" s="27"/>
      <c r="AP389" s="27"/>
    </row>
    <row r="390" spans="2:42" s="120" customFormat="1" hidden="1">
      <c r="B390" s="29"/>
      <c r="C390" s="128"/>
      <c r="D390" s="129"/>
      <c r="E390" s="129"/>
      <c r="F390" s="129"/>
      <c r="G390" s="129"/>
      <c r="H390" s="129"/>
      <c r="I390" s="129"/>
      <c r="J390" s="129"/>
      <c r="K390" s="129"/>
      <c r="L390" s="129"/>
      <c r="M390" s="131"/>
      <c r="N390" s="129"/>
      <c r="O390" s="129"/>
      <c r="P390" s="129"/>
      <c r="Q390" s="129"/>
      <c r="R390" s="129"/>
      <c r="S390" s="129"/>
      <c r="T390" s="129"/>
      <c r="U390" s="129"/>
      <c r="V390" s="129"/>
      <c r="W390" s="129"/>
      <c r="X390" s="129"/>
      <c r="Y390" s="131"/>
      <c r="Z390" s="131"/>
      <c r="AA390" s="132"/>
      <c r="AB390" s="132"/>
      <c r="AC390" s="33"/>
      <c r="AD390" s="33"/>
      <c r="AE390" s="33"/>
      <c r="AF390" s="33"/>
      <c r="AG390" s="27"/>
      <c r="AH390" s="27"/>
      <c r="AI390" s="27"/>
      <c r="AJ390" s="27"/>
      <c r="AK390" s="27"/>
      <c r="AL390" s="27"/>
      <c r="AM390" s="27"/>
      <c r="AN390" s="27"/>
      <c r="AO390" s="27"/>
      <c r="AP390" s="27"/>
    </row>
    <row r="391" spans="2:42" s="120" customFormat="1" hidden="1">
      <c r="B391" s="29"/>
      <c r="C391" s="128"/>
      <c r="D391" s="129"/>
      <c r="E391" s="129"/>
      <c r="F391" s="129"/>
      <c r="G391" s="129"/>
      <c r="H391" s="129"/>
      <c r="I391" s="129"/>
      <c r="J391" s="129"/>
      <c r="K391" s="129"/>
      <c r="L391" s="129"/>
      <c r="M391" s="131"/>
      <c r="N391" s="129"/>
      <c r="O391" s="129"/>
      <c r="P391" s="129"/>
      <c r="Q391" s="129"/>
      <c r="R391" s="129"/>
      <c r="S391" s="129"/>
      <c r="T391" s="129"/>
      <c r="U391" s="129"/>
      <c r="V391" s="129"/>
      <c r="W391" s="129"/>
      <c r="X391" s="129"/>
      <c r="Y391" s="131"/>
      <c r="Z391" s="131"/>
      <c r="AA391" s="132"/>
      <c r="AB391" s="132"/>
      <c r="AC391" s="33"/>
      <c r="AD391" s="33"/>
      <c r="AE391" s="33"/>
      <c r="AF391" s="33"/>
      <c r="AG391" s="27"/>
      <c r="AH391" s="27"/>
      <c r="AI391" s="27"/>
      <c r="AJ391" s="27"/>
      <c r="AK391" s="27"/>
      <c r="AL391" s="27"/>
      <c r="AM391" s="27"/>
      <c r="AN391" s="27"/>
      <c r="AO391" s="27"/>
      <c r="AP391" s="27"/>
    </row>
    <row r="392" spans="2:42" s="120" customFormat="1" hidden="1">
      <c r="B392" s="29"/>
      <c r="C392" s="128"/>
      <c r="D392" s="129"/>
      <c r="E392" s="129"/>
      <c r="F392" s="129"/>
      <c r="G392" s="129"/>
      <c r="H392" s="129"/>
      <c r="I392" s="129"/>
      <c r="J392" s="129"/>
      <c r="K392" s="129"/>
      <c r="L392" s="129"/>
      <c r="M392" s="131"/>
      <c r="N392" s="129"/>
      <c r="O392" s="129"/>
      <c r="P392" s="129"/>
      <c r="Q392" s="129"/>
      <c r="R392" s="129"/>
      <c r="S392" s="129"/>
      <c r="T392" s="129"/>
      <c r="U392" s="129"/>
      <c r="V392" s="129"/>
      <c r="W392" s="129"/>
      <c r="X392" s="129"/>
      <c r="Y392" s="131"/>
      <c r="Z392" s="131"/>
      <c r="AA392" s="132"/>
      <c r="AB392" s="132"/>
      <c r="AC392" s="33"/>
      <c r="AD392" s="33"/>
      <c r="AE392" s="33"/>
      <c r="AF392" s="33"/>
      <c r="AG392" s="27"/>
      <c r="AH392" s="27"/>
      <c r="AI392" s="27"/>
      <c r="AJ392" s="27"/>
      <c r="AK392" s="27"/>
      <c r="AL392" s="27"/>
      <c r="AM392" s="27"/>
      <c r="AN392" s="27"/>
      <c r="AO392" s="27"/>
      <c r="AP392" s="27"/>
    </row>
    <row r="393" spans="2:42" s="120" customFormat="1" hidden="1">
      <c r="B393" s="29"/>
      <c r="C393" s="128"/>
      <c r="D393" s="129"/>
      <c r="E393" s="129"/>
      <c r="F393" s="129"/>
      <c r="G393" s="129"/>
      <c r="H393" s="129"/>
      <c r="I393" s="129"/>
      <c r="J393" s="129"/>
      <c r="K393" s="129"/>
      <c r="L393" s="129"/>
      <c r="M393" s="131"/>
      <c r="N393" s="129"/>
      <c r="O393" s="129"/>
      <c r="P393" s="129"/>
      <c r="Q393" s="129"/>
      <c r="R393" s="129"/>
      <c r="S393" s="129"/>
      <c r="T393" s="129"/>
      <c r="U393" s="129"/>
      <c r="V393" s="129"/>
      <c r="W393" s="129"/>
      <c r="X393" s="129"/>
      <c r="Y393" s="131"/>
      <c r="Z393" s="131"/>
      <c r="AA393" s="132"/>
      <c r="AB393" s="132"/>
      <c r="AC393" s="33"/>
      <c r="AD393" s="33"/>
      <c r="AE393" s="33"/>
      <c r="AF393" s="33"/>
      <c r="AG393" s="27"/>
      <c r="AH393" s="27"/>
      <c r="AI393" s="27"/>
      <c r="AJ393" s="27"/>
      <c r="AK393" s="27"/>
      <c r="AL393" s="27"/>
      <c r="AM393" s="27"/>
      <c r="AN393" s="27"/>
      <c r="AO393" s="27"/>
      <c r="AP393" s="27"/>
    </row>
    <row r="394" spans="2:42" s="120" customFormat="1" hidden="1">
      <c r="B394" s="29"/>
      <c r="C394" s="128"/>
      <c r="D394" s="129"/>
      <c r="E394" s="129"/>
      <c r="F394" s="129"/>
      <c r="G394" s="129"/>
      <c r="H394" s="129"/>
      <c r="I394" s="129"/>
      <c r="J394" s="129"/>
      <c r="K394" s="129"/>
      <c r="L394" s="129"/>
      <c r="M394" s="131"/>
      <c r="N394" s="129"/>
      <c r="O394" s="129"/>
      <c r="P394" s="129"/>
      <c r="Q394" s="129"/>
      <c r="R394" s="129"/>
      <c r="S394" s="129"/>
      <c r="T394" s="129"/>
      <c r="U394" s="129"/>
      <c r="V394" s="129"/>
      <c r="W394" s="129"/>
      <c r="X394" s="129"/>
      <c r="Y394" s="131"/>
      <c r="Z394" s="131"/>
      <c r="AA394" s="132"/>
      <c r="AB394" s="132"/>
      <c r="AC394" s="33"/>
      <c r="AD394" s="33"/>
      <c r="AE394" s="33"/>
      <c r="AF394" s="33"/>
      <c r="AG394" s="27"/>
      <c r="AH394" s="27"/>
      <c r="AI394" s="27"/>
      <c r="AJ394" s="27"/>
      <c r="AK394" s="27"/>
      <c r="AL394" s="27"/>
      <c r="AM394" s="27"/>
      <c r="AN394" s="27"/>
      <c r="AO394" s="27"/>
      <c r="AP394" s="27"/>
    </row>
    <row r="395" spans="2:42" s="120" customFormat="1" hidden="1">
      <c r="B395" s="29"/>
      <c r="C395" s="128"/>
      <c r="D395" s="129"/>
      <c r="E395" s="129"/>
      <c r="F395" s="129"/>
      <c r="G395" s="129"/>
      <c r="H395" s="129"/>
      <c r="I395" s="129"/>
      <c r="J395" s="129"/>
      <c r="K395" s="129"/>
      <c r="L395" s="129"/>
      <c r="M395" s="131"/>
      <c r="N395" s="129"/>
      <c r="O395" s="129"/>
      <c r="P395" s="129"/>
      <c r="Q395" s="129"/>
      <c r="R395" s="129"/>
      <c r="S395" s="129"/>
      <c r="T395" s="129"/>
      <c r="U395" s="129"/>
      <c r="V395" s="129"/>
      <c r="W395" s="129"/>
      <c r="X395" s="129"/>
      <c r="Y395" s="131"/>
      <c r="Z395" s="131"/>
      <c r="AA395" s="132"/>
      <c r="AB395" s="132"/>
      <c r="AC395" s="33"/>
      <c r="AD395" s="33"/>
      <c r="AE395" s="33"/>
      <c r="AF395" s="33"/>
      <c r="AG395" s="27"/>
      <c r="AH395" s="27"/>
      <c r="AI395" s="27"/>
      <c r="AJ395" s="27"/>
      <c r="AK395" s="27"/>
      <c r="AL395" s="27"/>
      <c r="AM395" s="27"/>
      <c r="AN395" s="27"/>
      <c r="AO395" s="27"/>
      <c r="AP395" s="27"/>
    </row>
    <row r="396" spans="2:42" s="120" customFormat="1" hidden="1">
      <c r="B396" s="29"/>
      <c r="C396" s="128"/>
      <c r="D396" s="129"/>
      <c r="E396" s="129"/>
      <c r="F396" s="129"/>
      <c r="G396" s="129"/>
      <c r="H396" s="129"/>
      <c r="I396" s="129"/>
      <c r="J396" s="129"/>
      <c r="K396" s="129"/>
      <c r="L396" s="129"/>
      <c r="M396" s="131"/>
      <c r="N396" s="129"/>
      <c r="O396" s="129"/>
      <c r="P396" s="129"/>
      <c r="Q396" s="129"/>
      <c r="R396" s="129"/>
      <c r="S396" s="129"/>
      <c r="T396" s="129"/>
      <c r="U396" s="129"/>
      <c r="V396" s="129"/>
      <c r="W396" s="129"/>
      <c r="X396" s="129"/>
      <c r="Y396" s="131"/>
      <c r="Z396" s="131"/>
      <c r="AA396" s="132"/>
      <c r="AB396" s="132"/>
      <c r="AC396" s="33"/>
      <c r="AD396" s="33"/>
      <c r="AE396" s="33"/>
      <c r="AF396" s="33"/>
      <c r="AG396" s="27"/>
      <c r="AH396" s="27"/>
      <c r="AI396" s="27"/>
      <c r="AJ396" s="27"/>
      <c r="AK396" s="27"/>
      <c r="AL396" s="27"/>
      <c r="AM396" s="27"/>
      <c r="AN396" s="27"/>
      <c r="AO396" s="27"/>
      <c r="AP396" s="27"/>
    </row>
    <row r="397" spans="2:42" s="120" customFormat="1" hidden="1">
      <c r="B397" s="29"/>
      <c r="C397" s="128"/>
      <c r="D397" s="129"/>
      <c r="E397" s="129"/>
      <c r="F397" s="129"/>
      <c r="G397" s="129"/>
      <c r="H397" s="129"/>
      <c r="I397" s="129"/>
      <c r="J397" s="129"/>
      <c r="K397" s="129"/>
      <c r="L397" s="129"/>
      <c r="M397" s="131"/>
      <c r="N397" s="129"/>
      <c r="O397" s="129"/>
      <c r="P397" s="129"/>
      <c r="Q397" s="129"/>
      <c r="R397" s="129"/>
      <c r="S397" s="129"/>
      <c r="T397" s="129"/>
      <c r="U397" s="129"/>
      <c r="V397" s="129"/>
      <c r="W397" s="129"/>
      <c r="X397" s="129"/>
      <c r="Y397" s="131"/>
      <c r="Z397" s="131"/>
      <c r="AA397" s="132"/>
      <c r="AB397" s="132"/>
      <c r="AC397" s="33"/>
      <c r="AD397" s="33"/>
      <c r="AE397" s="33"/>
      <c r="AF397" s="33"/>
      <c r="AG397" s="27"/>
      <c r="AH397" s="27"/>
      <c r="AI397" s="27"/>
      <c r="AJ397" s="27"/>
      <c r="AK397" s="27"/>
      <c r="AL397" s="27"/>
      <c r="AM397" s="27"/>
      <c r="AN397" s="27"/>
      <c r="AO397" s="27"/>
      <c r="AP397" s="27"/>
    </row>
    <row r="398" spans="2:42" s="120" customFormat="1" hidden="1">
      <c r="B398" s="29"/>
      <c r="C398" s="128"/>
      <c r="D398" s="129"/>
      <c r="E398" s="129"/>
      <c r="F398" s="129"/>
      <c r="G398" s="129"/>
      <c r="H398" s="129"/>
      <c r="I398" s="129"/>
      <c r="J398" s="129"/>
      <c r="K398" s="129"/>
      <c r="L398" s="129"/>
      <c r="M398" s="131"/>
      <c r="N398" s="129"/>
      <c r="O398" s="129"/>
      <c r="P398" s="129"/>
      <c r="Q398" s="129"/>
      <c r="R398" s="129"/>
      <c r="S398" s="129"/>
      <c r="T398" s="129"/>
      <c r="U398" s="129"/>
      <c r="V398" s="129"/>
      <c r="W398" s="129"/>
      <c r="X398" s="129"/>
      <c r="Y398" s="131"/>
      <c r="Z398" s="131"/>
      <c r="AA398" s="132"/>
      <c r="AB398" s="132"/>
      <c r="AC398" s="33"/>
      <c r="AD398" s="33"/>
      <c r="AE398" s="33"/>
      <c r="AF398" s="33"/>
      <c r="AG398" s="27"/>
      <c r="AH398" s="27"/>
      <c r="AI398" s="27"/>
      <c r="AJ398" s="27"/>
      <c r="AK398" s="27"/>
      <c r="AL398" s="27"/>
      <c r="AM398" s="27"/>
      <c r="AN398" s="27"/>
      <c r="AO398" s="27"/>
      <c r="AP398" s="27"/>
    </row>
    <row r="399" spans="2:42" s="120" customFormat="1" hidden="1">
      <c r="B399" s="29"/>
      <c r="C399" s="128"/>
      <c r="D399" s="129"/>
      <c r="E399" s="129"/>
      <c r="F399" s="129"/>
      <c r="G399" s="129"/>
      <c r="H399" s="129"/>
      <c r="I399" s="129"/>
      <c r="J399" s="129"/>
      <c r="K399" s="129"/>
      <c r="L399" s="129"/>
      <c r="M399" s="131"/>
      <c r="N399" s="129"/>
      <c r="O399" s="129"/>
      <c r="P399" s="129"/>
      <c r="Q399" s="129"/>
      <c r="R399" s="129"/>
      <c r="S399" s="129"/>
      <c r="T399" s="129"/>
      <c r="U399" s="129"/>
      <c r="V399" s="129"/>
      <c r="W399" s="129"/>
      <c r="X399" s="129"/>
      <c r="Y399" s="131"/>
      <c r="Z399" s="131"/>
      <c r="AA399" s="132"/>
      <c r="AB399" s="132"/>
      <c r="AC399" s="33"/>
      <c r="AD399" s="33"/>
      <c r="AE399" s="33"/>
      <c r="AF399" s="33"/>
      <c r="AG399" s="27"/>
      <c r="AH399" s="27"/>
      <c r="AI399" s="27"/>
      <c r="AJ399" s="27"/>
      <c r="AK399" s="27"/>
      <c r="AL399" s="27"/>
      <c r="AM399" s="27"/>
      <c r="AN399" s="27"/>
      <c r="AO399" s="27"/>
      <c r="AP399" s="27"/>
    </row>
    <row r="400" spans="2:42" s="120" customFormat="1" hidden="1">
      <c r="B400" s="29"/>
      <c r="C400" s="128"/>
      <c r="D400" s="129"/>
      <c r="E400" s="129"/>
      <c r="F400" s="129"/>
      <c r="G400" s="129"/>
      <c r="H400" s="129"/>
      <c r="I400" s="129"/>
      <c r="J400" s="129"/>
      <c r="K400" s="129"/>
      <c r="L400" s="129"/>
      <c r="M400" s="131"/>
      <c r="N400" s="129"/>
      <c r="O400" s="129"/>
      <c r="P400" s="129"/>
      <c r="Q400" s="129"/>
      <c r="R400" s="129"/>
      <c r="S400" s="129"/>
      <c r="T400" s="129"/>
      <c r="U400" s="129"/>
      <c r="V400" s="129"/>
      <c r="W400" s="129"/>
      <c r="X400" s="129"/>
      <c r="Y400" s="131"/>
      <c r="Z400" s="131"/>
      <c r="AA400" s="132"/>
      <c r="AB400" s="132"/>
      <c r="AC400" s="33"/>
      <c r="AD400" s="33"/>
      <c r="AE400" s="33"/>
      <c r="AF400" s="33"/>
      <c r="AG400" s="27"/>
      <c r="AH400" s="27"/>
      <c r="AI400" s="27"/>
      <c r="AJ400" s="27"/>
      <c r="AK400" s="27"/>
      <c r="AL400" s="27"/>
      <c r="AM400" s="27"/>
      <c r="AN400" s="27"/>
      <c r="AO400" s="27"/>
      <c r="AP400" s="27"/>
    </row>
    <row r="401" spans="2:42" s="120" customFormat="1" hidden="1">
      <c r="B401" s="29"/>
      <c r="C401" s="128"/>
      <c r="D401" s="129"/>
      <c r="E401" s="129"/>
      <c r="F401" s="129"/>
      <c r="G401" s="129"/>
      <c r="H401" s="129"/>
      <c r="I401" s="129"/>
      <c r="J401" s="129"/>
      <c r="K401" s="129"/>
      <c r="L401" s="129"/>
      <c r="M401" s="131"/>
      <c r="N401" s="129"/>
      <c r="O401" s="129"/>
      <c r="P401" s="129"/>
      <c r="Q401" s="129"/>
      <c r="R401" s="129"/>
      <c r="S401" s="129"/>
      <c r="T401" s="129"/>
      <c r="U401" s="129"/>
      <c r="V401" s="129"/>
      <c r="W401" s="129"/>
      <c r="X401" s="129"/>
      <c r="Y401" s="131"/>
      <c r="Z401" s="131"/>
      <c r="AA401" s="132"/>
      <c r="AB401" s="132"/>
      <c r="AC401" s="33"/>
      <c r="AD401" s="33"/>
      <c r="AE401" s="33"/>
      <c r="AF401" s="33"/>
      <c r="AG401" s="27"/>
      <c r="AH401" s="27"/>
      <c r="AI401" s="27"/>
      <c r="AJ401" s="27"/>
      <c r="AK401" s="27"/>
      <c r="AL401" s="27"/>
      <c r="AM401" s="27"/>
      <c r="AN401" s="27"/>
      <c r="AO401" s="27"/>
      <c r="AP401" s="27"/>
    </row>
    <row r="402" spans="2:42" s="120" customFormat="1" hidden="1">
      <c r="B402" s="29"/>
      <c r="C402" s="128"/>
      <c r="D402" s="129"/>
      <c r="E402" s="129"/>
      <c r="F402" s="129"/>
      <c r="G402" s="129"/>
      <c r="H402" s="129"/>
      <c r="I402" s="129"/>
      <c r="J402" s="129"/>
      <c r="K402" s="129"/>
      <c r="L402" s="129"/>
      <c r="M402" s="131"/>
      <c r="N402" s="129"/>
      <c r="O402" s="129"/>
      <c r="P402" s="129"/>
      <c r="Q402" s="129"/>
      <c r="R402" s="129"/>
      <c r="S402" s="129"/>
      <c r="T402" s="129"/>
      <c r="U402" s="129"/>
      <c r="V402" s="129"/>
      <c r="W402" s="129"/>
      <c r="X402" s="129"/>
      <c r="Y402" s="131"/>
      <c r="Z402" s="131"/>
      <c r="AA402" s="132"/>
      <c r="AB402" s="132"/>
      <c r="AC402" s="33"/>
      <c r="AD402" s="33"/>
      <c r="AE402" s="33"/>
      <c r="AF402" s="33"/>
      <c r="AG402" s="27"/>
      <c r="AH402" s="27"/>
      <c r="AI402" s="27"/>
      <c r="AJ402" s="27"/>
      <c r="AK402" s="27"/>
      <c r="AL402" s="27"/>
      <c r="AM402" s="27"/>
      <c r="AN402" s="27"/>
      <c r="AO402" s="27"/>
      <c r="AP402" s="27"/>
    </row>
    <row r="403" spans="2:42" s="120" customFormat="1" hidden="1">
      <c r="B403" s="29"/>
      <c r="C403" s="128"/>
      <c r="D403" s="129"/>
      <c r="E403" s="129"/>
      <c r="F403" s="129"/>
      <c r="G403" s="129"/>
      <c r="H403" s="129"/>
      <c r="I403" s="129"/>
      <c r="J403" s="129"/>
      <c r="K403" s="129"/>
      <c r="L403" s="129"/>
      <c r="M403" s="131"/>
      <c r="N403" s="129"/>
      <c r="O403" s="129"/>
      <c r="P403" s="129"/>
      <c r="Q403" s="129"/>
      <c r="R403" s="129"/>
      <c r="S403" s="129"/>
      <c r="T403" s="129"/>
      <c r="U403" s="129"/>
      <c r="V403" s="129"/>
      <c r="W403" s="129"/>
      <c r="X403" s="129"/>
      <c r="Y403" s="131"/>
      <c r="Z403" s="131"/>
      <c r="AA403" s="132"/>
      <c r="AB403" s="132"/>
      <c r="AC403" s="33"/>
      <c r="AD403" s="33"/>
      <c r="AE403" s="33"/>
      <c r="AF403" s="33"/>
      <c r="AG403" s="27"/>
      <c r="AH403" s="27"/>
      <c r="AI403" s="27"/>
      <c r="AJ403" s="27"/>
      <c r="AK403" s="27"/>
      <c r="AL403" s="27"/>
      <c r="AM403" s="27"/>
      <c r="AN403" s="27"/>
      <c r="AO403" s="27"/>
      <c r="AP403" s="27"/>
    </row>
    <row r="404" spans="2:42" s="120" customFormat="1" hidden="1">
      <c r="B404" s="29"/>
      <c r="C404" s="128"/>
      <c r="D404" s="129"/>
      <c r="E404" s="129"/>
      <c r="F404" s="129"/>
      <c r="G404" s="129"/>
      <c r="H404" s="129"/>
      <c r="I404" s="129"/>
      <c r="J404" s="129"/>
      <c r="K404" s="129"/>
      <c r="L404" s="129"/>
      <c r="M404" s="131"/>
      <c r="N404" s="129"/>
      <c r="O404" s="129"/>
      <c r="P404" s="129"/>
      <c r="Q404" s="129"/>
      <c r="R404" s="129"/>
      <c r="S404" s="129"/>
      <c r="T404" s="129"/>
      <c r="U404" s="129"/>
      <c r="V404" s="129"/>
      <c r="W404" s="129"/>
      <c r="X404" s="129"/>
      <c r="Y404" s="131"/>
      <c r="Z404" s="131"/>
      <c r="AA404" s="132"/>
      <c r="AB404" s="132"/>
      <c r="AC404" s="33"/>
      <c r="AD404" s="33"/>
      <c r="AE404" s="33"/>
      <c r="AF404" s="33"/>
      <c r="AG404" s="27"/>
      <c r="AH404" s="27"/>
      <c r="AI404" s="27"/>
      <c r="AJ404" s="27"/>
      <c r="AK404" s="27"/>
      <c r="AL404" s="27"/>
      <c r="AM404" s="27"/>
      <c r="AN404" s="27"/>
      <c r="AO404" s="27"/>
      <c r="AP404" s="27"/>
    </row>
    <row r="405" spans="2:42" s="120" customFormat="1" hidden="1">
      <c r="B405" s="29"/>
      <c r="C405" s="128"/>
      <c r="D405" s="129"/>
      <c r="E405" s="129"/>
      <c r="F405" s="129"/>
      <c r="G405" s="129"/>
      <c r="H405" s="129"/>
      <c r="I405" s="129"/>
      <c r="J405" s="129"/>
      <c r="K405" s="129"/>
      <c r="L405" s="129"/>
      <c r="M405" s="131"/>
      <c r="N405" s="129"/>
      <c r="O405" s="129"/>
      <c r="P405" s="129"/>
      <c r="Q405" s="129"/>
      <c r="R405" s="129"/>
      <c r="S405" s="129"/>
      <c r="T405" s="129"/>
      <c r="U405" s="129"/>
      <c r="V405" s="129"/>
      <c r="W405" s="129"/>
      <c r="X405" s="129"/>
      <c r="Y405" s="131"/>
      <c r="Z405" s="131"/>
      <c r="AA405" s="132"/>
      <c r="AB405" s="132"/>
      <c r="AC405" s="33"/>
      <c r="AD405" s="33"/>
      <c r="AE405" s="33"/>
      <c r="AF405" s="33"/>
      <c r="AG405" s="27"/>
      <c r="AH405" s="27"/>
      <c r="AI405" s="27"/>
      <c r="AJ405" s="27"/>
      <c r="AK405" s="27"/>
      <c r="AL405" s="27"/>
      <c r="AM405" s="27"/>
      <c r="AN405" s="27"/>
      <c r="AO405" s="27"/>
      <c r="AP405" s="27"/>
    </row>
    <row r="406" spans="2:42" s="120" customFormat="1" hidden="1">
      <c r="B406" s="29"/>
      <c r="C406" s="128"/>
      <c r="D406" s="129"/>
      <c r="E406" s="129"/>
      <c r="F406" s="129"/>
      <c r="G406" s="129"/>
      <c r="H406" s="129"/>
      <c r="I406" s="129"/>
      <c r="J406" s="129"/>
      <c r="K406" s="129"/>
      <c r="L406" s="129"/>
      <c r="M406" s="131"/>
      <c r="N406" s="129"/>
      <c r="O406" s="129"/>
      <c r="P406" s="129"/>
      <c r="Q406" s="129"/>
      <c r="R406" s="129"/>
      <c r="S406" s="129"/>
      <c r="T406" s="129"/>
      <c r="U406" s="129"/>
      <c r="V406" s="129"/>
      <c r="W406" s="129"/>
      <c r="X406" s="129"/>
      <c r="Y406" s="131"/>
      <c r="Z406" s="131"/>
      <c r="AA406" s="132"/>
      <c r="AB406" s="132"/>
      <c r="AC406" s="33"/>
      <c r="AD406" s="33"/>
      <c r="AE406" s="33"/>
      <c r="AF406" s="33"/>
      <c r="AG406" s="27"/>
      <c r="AH406" s="27"/>
      <c r="AI406" s="27"/>
      <c r="AJ406" s="27"/>
      <c r="AK406" s="27"/>
      <c r="AL406" s="27"/>
      <c r="AM406" s="27"/>
      <c r="AN406" s="27"/>
      <c r="AO406" s="27"/>
      <c r="AP406" s="27"/>
    </row>
    <row r="407" spans="2:42" s="120" customFormat="1" hidden="1">
      <c r="B407" s="29"/>
      <c r="C407" s="128"/>
      <c r="D407" s="129"/>
      <c r="E407" s="129"/>
      <c r="F407" s="129"/>
      <c r="G407" s="129"/>
      <c r="H407" s="129"/>
      <c r="I407" s="129"/>
      <c r="J407" s="129"/>
      <c r="K407" s="129"/>
      <c r="L407" s="129"/>
      <c r="M407" s="131"/>
      <c r="N407" s="129"/>
      <c r="O407" s="129"/>
      <c r="P407" s="129"/>
      <c r="Q407" s="129"/>
      <c r="R407" s="129"/>
      <c r="S407" s="129"/>
      <c r="T407" s="129"/>
      <c r="U407" s="129"/>
      <c r="V407" s="129"/>
      <c r="W407" s="129"/>
      <c r="X407" s="129"/>
      <c r="Y407" s="131"/>
      <c r="Z407" s="131"/>
      <c r="AA407" s="132"/>
      <c r="AB407" s="132"/>
      <c r="AC407" s="33"/>
      <c r="AD407" s="33"/>
      <c r="AE407" s="33"/>
      <c r="AF407" s="33"/>
      <c r="AG407" s="27"/>
      <c r="AH407" s="27"/>
      <c r="AI407" s="27"/>
      <c r="AJ407" s="27"/>
      <c r="AK407" s="27"/>
      <c r="AL407" s="27"/>
      <c r="AM407" s="27"/>
      <c r="AN407" s="27"/>
      <c r="AO407" s="27"/>
      <c r="AP407" s="27"/>
    </row>
    <row r="408" spans="2:42" s="120" customFormat="1" hidden="1">
      <c r="B408" s="29"/>
      <c r="C408" s="128"/>
      <c r="D408" s="129"/>
      <c r="E408" s="129"/>
      <c r="F408" s="129"/>
      <c r="G408" s="129"/>
      <c r="H408" s="129"/>
      <c r="I408" s="129"/>
      <c r="J408" s="129"/>
      <c r="K408" s="129"/>
      <c r="L408" s="129"/>
      <c r="M408" s="131"/>
      <c r="N408" s="129"/>
      <c r="O408" s="129"/>
      <c r="P408" s="129"/>
      <c r="Q408" s="129"/>
      <c r="R408" s="129"/>
      <c r="S408" s="129"/>
      <c r="T408" s="129"/>
      <c r="U408" s="129"/>
      <c r="V408" s="129"/>
      <c r="W408" s="129"/>
      <c r="X408" s="129"/>
      <c r="Y408" s="131"/>
      <c r="Z408" s="131"/>
      <c r="AA408" s="132"/>
      <c r="AB408" s="132"/>
      <c r="AC408" s="33"/>
      <c r="AD408" s="33"/>
      <c r="AE408" s="33"/>
      <c r="AF408" s="33"/>
      <c r="AG408" s="27"/>
      <c r="AH408" s="27"/>
      <c r="AI408" s="27"/>
      <c r="AJ408" s="27"/>
      <c r="AK408" s="27"/>
      <c r="AL408" s="27"/>
      <c r="AM408" s="27"/>
      <c r="AN408" s="27"/>
      <c r="AO408" s="27"/>
      <c r="AP408" s="27"/>
    </row>
    <row r="409" spans="2:42" s="120" customFormat="1" hidden="1">
      <c r="B409" s="29"/>
      <c r="C409" s="128"/>
      <c r="D409" s="129"/>
      <c r="E409" s="129"/>
      <c r="F409" s="129"/>
      <c r="G409" s="129"/>
      <c r="H409" s="129"/>
      <c r="I409" s="129"/>
      <c r="J409" s="129"/>
      <c r="K409" s="129"/>
      <c r="L409" s="129"/>
      <c r="M409" s="131"/>
      <c r="N409" s="129"/>
      <c r="O409" s="129"/>
      <c r="P409" s="129"/>
      <c r="Q409" s="129"/>
      <c r="R409" s="129"/>
      <c r="S409" s="129"/>
      <c r="T409" s="129"/>
      <c r="U409" s="129"/>
      <c r="V409" s="129"/>
      <c r="W409" s="129"/>
      <c r="X409" s="129"/>
      <c r="Y409" s="131"/>
      <c r="Z409" s="131"/>
      <c r="AA409" s="132"/>
      <c r="AB409" s="132"/>
      <c r="AC409" s="33"/>
      <c r="AD409" s="33"/>
      <c r="AE409" s="33"/>
      <c r="AF409" s="33"/>
      <c r="AG409" s="27"/>
      <c r="AH409" s="27"/>
      <c r="AI409" s="27"/>
      <c r="AJ409" s="27"/>
      <c r="AK409" s="27"/>
      <c r="AL409" s="27"/>
      <c r="AM409" s="27"/>
      <c r="AN409" s="27"/>
      <c r="AO409" s="27"/>
      <c r="AP409" s="27"/>
    </row>
    <row r="410" spans="2:42" s="120" customFormat="1" hidden="1">
      <c r="B410" s="29"/>
      <c r="C410" s="128"/>
      <c r="D410" s="129"/>
      <c r="E410" s="129"/>
      <c r="F410" s="129"/>
      <c r="G410" s="129"/>
      <c r="H410" s="129"/>
      <c r="I410" s="129"/>
      <c r="J410" s="129"/>
      <c r="K410" s="129"/>
      <c r="L410" s="129"/>
      <c r="M410" s="131"/>
      <c r="N410" s="129"/>
      <c r="O410" s="129"/>
      <c r="P410" s="129"/>
      <c r="Q410" s="129"/>
      <c r="R410" s="129"/>
      <c r="S410" s="129"/>
      <c r="T410" s="129"/>
      <c r="U410" s="129"/>
      <c r="V410" s="129"/>
      <c r="W410" s="129"/>
      <c r="X410" s="129"/>
      <c r="Y410" s="131"/>
      <c r="Z410" s="131"/>
      <c r="AA410" s="132"/>
      <c r="AB410" s="132"/>
      <c r="AC410" s="33"/>
      <c r="AD410" s="33"/>
      <c r="AE410" s="33"/>
      <c r="AF410" s="33"/>
      <c r="AG410" s="27"/>
      <c r="AH410" s="27"/>
      <c r="AI410" s="27"/>
      <c r="AJ410" s="27"/>
      <c r="AK410" s="27"/>
      <c r="AL410" s="27"/>
      <c r="AM410" s="27"/>
      <c r="AN410" s="27"/>
      <c r="AO410" s="27"/>
      <c r="AP410" s="27"/>
    </row>
    <row r="411" spans="2:42" s="120" customFormat="1" hidden="1">
      <c r="B411" s="29"/>
      <c r="C411" s="128"/>
      <c r="D411" s="129"/>
      <c r="E411" s="129"/>
      <c r="F411" s="129"/>
      <c r="G411" s="129"/>
      <c r="H411" s="129"/>
      <c r="I411" s="129"/>
      <c r="J411" s="129"/>
      <c r="K411" s="129"/>
      <c r="L411" s="129"/>
      <c r="M411" s="131"/>
      <c r="N411" s="129"/>
      <c r="O411" s="129"/>
      <c r="P411" s="129"/>
      <c r="Q411" s="129"/>
      <c r="R411" s="129"/>
      <c r="S411" s="129"/>
      <c r="T411" s="129"/>
      <c r="U411" s="129"/>
      <c r="V411" s="129"/>
      <c r="W411" s="129"/>
      <c r="X411" s="129"/>
      <c r="Y411" s="131"/>
      <c r="Z411" s="131"/>
      <c r="AA411" s="132"/>
      <c r="AB411" s="132"/>
      <c r="AC411" s="33"/>
      <c r="AD411" s="33"/>
      <c r="AE411" s="33"/>
      <c r="AF411" s="33"/>
      <c r="AG411" s="27"/>
      <c r="AH411" s="27"/>
      <c r="AI411" s="27"/>
      <c r="AJ411" s="27"/>
      <c r="AK411" s="27"/>
      <c r="AL411" s="27"/>
      <c r="AM411" s="27"/>
      <c r="AN411" s="27"/>
      <c r="AO411" s="27"/>
      <c r="AP411" s="27"/>
    </row>
    <row r="412" spans="2:42" s="120" customFormat="1" hidden="1">
      <c r="B412" s="29"/>
      <c r="C412" s="128"/>
      <c r="D412" s="129"/>
      <c r="E412" s="129"/>
      <c r="F412" s="129"/>
      <c r="G412" s="129"/>
      <c r="H412" s="129"/>
      <c r="I412" s="129"/>
      <c r="J412" s="129"/>
      <c r="K412" s="129"/>
      <c r="L412" s="129"/>
      <c r="M412" s="131"/>
      <c r="N412" s="129"/>
      <c r="O412" s="129"/>
      <c r="P412" s="129"/>
      <c r="Q412" s="129"/>
      <c r="R412" s="129"/>
      <c r="S412" s="129"/>
      <c r="T412" s="129"/>
      <c r="U412" s="129"/>
      <c r="V412" s="129"/>
      <c r="W412" s="129"/>
      <c r="X412" s="129"/>
      <c r="Y412" s="131"/>
      <c r="Z412" s="131"/>
      <c r="AA412" s="132"/>
      <c r="AB412" s="132"/>
      <c r="AC412" s="33"/>
      <c r="AD412" s="33"/>
      <c r="AE412" s="33"/>
      <c r="AF412" s="33"/>
      <c r="AG412" s="27"/>
      <c r="AH412" s="27"/>
      <c r="AI412" s="27"/>
      <c r="AJ412" s="27"/>
      <c r="AK412" s="27"/>
      <c r="AL412" s="27"/>
      <c r="AM412" s="27"/>
      <c r="AN412" s="27"/>
      <c r="AO412" s="27"/>
      <c r="AP412" s="27"/>
    </row>
    <row r="413" spans="2:42" s="120" customFormat="1" hidden="1">
      <c r="B413" s="29"/>
      <c r="C413" s="128"/>
      <c r="D413" s="129"/>
      <c r="E413" s="129"/>
      <c r="F413" s="129"/>
      <c r="G413" s="129"/>
      <c r="H413" s="129"/>
      <c r="I413" s="129"/>
      <c r="J413" s="129"/>
      <c r="K413" s="129"/>
      <c r="L413" s="129"/>
      <c r="M413" s="131"/>
      <c r="N413" s="129"/>
      <c r="O413" s="129"/>
      <c r="P413" s="129"/>
      <c r="Q413" s="129"/>
      <c r="R413" s="129"/>
      <c r="S413" s="129"/>
      <c r="T413" s="129"/>
      <c r="U413" s="129"/>
      <c r="V413" s="129"/>
      <c r="W413" s="129"/>
      <c r="X413" s="129"/>
      <c r="Y413" s="131"/>
      <c r="Z413" s="131"/>
      <c r="AA413" s="132"/>
      <c r="AB413" s="132"/>
      <c r="AC413" s="33"/>
      <c r="AD413" s="33"/>
      <c r="AE413" s="33"/>
      <c r="AF413" s="33"/>
      <c r="AG413" s="27"/>
      <c r="AH413" s="27"/>
      <c r="AI413" s="27"/>
      <c r="AJ413" s="27"/>
      <c r="AK413" s="27"/>
      <c r="AL413" s="27"/>
      <c r="AM413" s="27"/>
      <c r="AN413" s="27"/>
      <c r="AO413" s="27"/>
      <c r="AP413" s="27"/>
    </row>
    <row r="414" spans="2:42" s="120" customFormat="1" hidden="1">
      <c r="B414" s="29"/>
      <c r="C414" s="128"/>
      <c r="D414" s="129"/>
      <c r="E414" s="129"/>
      <c r="F414" s="129"/>
      <c r="G414" s="129"/>
      <c r="H414" s="129"/>
      <c r="I414" s="129"/>
      <c r="J414" s="129"/>
      <c r="K414" s="129"/>
      <c r="L414" s="129"/>
      <c r="M414" s="131"/>
      <c r="N414" s="129"/>
      <c r="O414" s="129"/>
      <c r="P414" s="129"/>
      <c r="Q414" s="129"/>
      <c r="R414" s="129"/>
      <c r="S414" s="129"/>
      <c r="T414" s="129"/>
      <c r="U414" s="129"/>
      <c r="V414" s="129"/>
      <c r="W414" s="129"/>
      <c r="X414" s="129"/>
      <c r="Y414" s="131"/>
      <c r="Z414" s="131"/>
      <c r="AA414" s="132"/>
      <c r="AB414" s="132"/>
      <c r="AC414" s="33"/>
      <c r="AD414" s="33"/>
      <c r="AE414" s="33"/>
      <c r="AF414" s="33"/>
      <c r="AG414" s="27"/>
      <c r="AH414" s="27"/>
      <c r="AI414" s="27"/>
      <c r="AJ414" s="27"/>
      <c r="AK414" s="27"/>
      <c r="AL414" s="27"/>
      <c r="AM414" s="27"/>
      <c r="AN414" s="27"/>
      <c r="AO414" s="27"/>
      <c r="AP414" s="27"/>
    </row>
    <row r="415" spans="2:42" s="120" customFormat="1" hidden="1">
      <c r="B415" s="29"/>
      <c r="C415" s="128"/>
      <c r="D415" s="129"/>
      <c r="E415" s="129"/>
      <c r="F415" s="129"/>
      <c r="G415" s="129"/>
      <c r="H415" s="129"/>
      <c r="I415" s="129"/>
      <c r="J415" s="129"/>
      <c r="K415" s="129"/>
      <c r="L415" s="129"/>
      <c r="M415" s="131"/>
      <c r="N415" s="129"/>
      <c r="O415" s="129"/>
      <c r="P415" s="129"/>
      <c r="Q415" s="129"/>
      <c r="R415" s="129"/>
      <c r="S415" s="129"/>
      <c r="T415" s="129"/>
      <c r="U415" s="129"/>
      <c r="V415" s="129"/>
      <c r="W415" s="129"/>
      <c r="X415" s="129"/>
      <c r="Y415" s="131"/>
      <c r="Z415" s="131"/>
      <c r="AA415" s="132"/>
      <c r="AB415" s="132"/>
      <c r="AC415" s="33"/>
      <c r="AD415" s="33"/>
      <c r="AE415" s="33"/>
      <c r="AF415" s="33"/>
      <c r="AG415" s="27"/>
      <c r="AH415" s="27"/>
      <c r="AI415" s="27"/>
      <c r="AJ415" s="27"/>
      <c r="AK415" s="27"/>
      <c r="AL415" s="27"/>
      <c r="AM415" s="27"/>
      <c r="AN415" s="27"/>
      <c r="AO415" s="27"/>
      <c r="AP415" s="27"/>
    </row>
    <row r="416" spans="2:42" s="120" customFormat="1" hidden="1">
      <c r="B416" s="29"/>
      <c r="C416" s="128"/>
      <c r="D416" s="129"/>
      <c r="E416" s="129"/>
      <c r="F416" s="129"/>
      <c r="G416" s="129"/>
      <c r="H416" s="129"/>
      <c r="I416" s="129"/>
      <c r="J416" s="129"/>
      <c r="K416" s="129"/>
      <c r="L416" s="129"/>
      <c r="M416" s="131"/>
      <c r="N416" s="129"/>
      <c r="O416" s="129"/>
      <c r="P416" s="129"/>
      <c r="Q416" s="129"/>
      <c r="R416" s="129"/>
      <c r="S416" s="129"/>
      <c r="T416" s="129"/>
      <c r="U416" s="129"/>
      <c r="V416" s="129"/>
      <c r="W416" s="129"/>
      <c r="X416" s="129"/>
      <c r="Y416" s="131"/>
      <c r="Z416" s="131"/>
      <c r="AA416" s="132"/>
      <c r="AB416" s="132"/>
      <c r="AC416" s="33"/>
      <c r="AD416" s="33"/>
      <c r="AE416" s="33"/>
      <c r="AF416" s="33"/>
      <c r="AG416" s="27"/>
      <c r="AH416" s="27"/>
      <c r="AI416" s="27"/>
      <c r="AJ416" s="27"/>
      <c r="AK416" s="27"/>
      <c r="AL416" s="27"/>
      <c r="AM416" s="27"/>
      <c r="AN416" s="27"/>
      <c r="AO416" s="27"/>
      <c r="AP416" s="27"/>
    </row>
    <row r="417" spans="2:42" s="120" customFormat="1" hidden="1">
      <c r="B417" s="29"/>
      <c r="C417" s="128"/>
      <c r="D417" s="129"/>
      <c r="E417" s="129"/>
      <c r="F417" s="129"/>
      <c r="G417" s="129"/>
      <c r="H417" s="129"/>
      <c r="I417" s="129"/>
      <c r="J417" s="129"/>
      <c r="K417" s="129"/>
      <c r="L417" s="129"/>
      <c r="M417" s="131"/>
      <c r="N417" s="129"/>
      <c r="O417" s="129"/>
      <c r="P417" s="129"/>
      <c r="Q417" s="129"/>
      <c r="R417" s="129"/>
      <c r="S417" s="129"/>
      <c r="T417" s="129"/>
      <c r="U417" s="129"/>
      <c r="V417" s="129"/>
      <c r="W417" s="129"/>
      <c r="X417" s="129"/>
      <c r="Y417" s="131"/>
      <c r="Z417" s="131"/>
      <c r="AA417" s="132"/>
      <c r="AB417" s="132"/>
      <c r="AC417" s="33"/>
      <c r="AD417" s="33"/>
      <c r="AE417" s="33"/>
      <c r="AF417" s="33"/>
      <c r="AG417" s="27"/>
      <c r="AH417" s="27"/>
      <c r="AI417" s="27"/>
      <c r="AJ417" s="27"/>
      <c r="AK417" s="27"/>
      <c r="AL417" s="27"/>
      <c r="AM417" s="27"/>
      <c r="AN417" s="27"/>
      <c r="AO417" s="27"/>
      <c r="AP417" s="27"/>
    </row>
    <row r="418" spans="2:42" s="120" customFormat="1" hidden="1">
      <c r="B418" s="29"/>
      <c r="C418" s="128"/>
      <c r="D418" s="129"/>
      <c r="E418" s="129"/>
      <c r="F418" s="129"/>
      <c r="G418" s="129"/>
      <c r="H418" s="129"/>
      <c r="I418" s="129"/>
      <c r="J418" s="129"/>
      <c r="K418" s="129"/>
      <c r="L418" s="129"/>
      <c r="M418" s="131"/>
      <c r="N418" s="129"/>
      <c r="O418" s="129"/>
      <c r="P418" s="129"/>
      <c r="Q418" s="129"/>
      <c r="R418" s="129"/>
      <c r="S418" s="129"/>
      <c r="T418" s="129"/>
      <c r="U418" s="129"/>
      <c r="V418" s="129"/>
      <c r="W418" s="129"/>
      <c r="X418" s="129"/>
      <c r="Y418" s="131"/>
      <c r="Z418" s="131"/>
      <c r="AA418" s="132"/>
      <c r="AB418" s="132"/>
      <c r="AC418" s="33"/>
      <c r="AD418" s="33"/>
      <c r="AE418" s="33"/>
      <c r="AF418" s="33"/>
      <c r="AG418" s="27"/>
      <c r="AH418" s="27"/>
      <c r="AI418" s="27"/>
      <c r="AJ418" s="27"/>
      <c r="AK418" s="27"/>
      <c r="AL418" s="27"/>
      <c r="AM418" s="27"/>
      <c r="AN418" s="27"/>
      <c r="AO418" s="27"/>
      <c r="AP418" s="27"/>
    </row>
    <row r="419" spans="2:42" s="120" customFormat="1" hidden="1">
      <c r="B419" s="29"/>
      <c r="C419" s="128"/>
      <c r="D419" s="129"/>
      <c r="E419" s="129"/>
      <c r="F419" s="129"/>
      <c r="G419" s="129"/>
      <c r="H419" s="129"/>
      <c r="I419" s="129"/>
      <c r="J419" s="129"/>
      <c r="K419" s="129"/>
      <c r="L419" s="129"/>
      <c r="M419" s="131"/>
      <c r="N419" s="129"/>
      <c r="O419" s="129"/>
      <c r="P419" s="129"/>
      <c r="Q419" s="129"/>
      <c r="R419" s="129"/>
      <c r="S419" s="129"/>
      <c r="T419" s="129"/>
      <c r="U419" s="129"/>
      <c r="V419" s="129"/>
      <c r="W419" s="129"/>
      <c r="X419" s="129"/>
      <c r="Y419" s="131"/>
      <c r="Z419" s="131"/>
      <c r="AA419" s="132"/>
      <c r="AB419" s="132"/>
      <c r="AC419" s="33"/>
      <c r="AD419" s="33"/>
      <c r="AE419" s="33"/>
      <c r="AF419" s="33"/>
      <c r="AG419" s="27"/>
      <c r="AH419" s="27"/>
      <c r="AI419" s="27"/>
      <c r="AJ419" s="27"/>
      <c r="AK419" s="27"/>
      <c r="AL419" s="27"/>
      <c r="AM419" s="27"/>
      <c r="AN419" s="27"/>
      <c r="AO419" s="27"/>
      <c r="AP419" s="27"/>
    </row>
    <row r="420" spans="2:42" s="120" customFormat="1" hidden="1">
      <c r="B420" s="29"/>
      <c r="C420" s="128"/>
      <c r="D420" s="129"/>
      <c r="E420" s="129"/>
      <c r="F420" s="129"/>
      <c r="G420" s="129"/>
      <c r="H420" s="129"/>
      <c r="I420" s="129"/>
      <c r="J420" s="129"/>
      <c r="K420" s="129"/>
      <c r="L420" s="129"/>
      <c r="M420" s="131"/>
      <c r="N420" s="129"/>
      <c r="O420" s="129"/>
      <c r="P420" s="129"/>
      <c r="Q420" s="129"/>
      <c r="R420" s="129"/>
      <c r="S420" s="129"/>
      <c r="T420" s="129"/>
      <c r="U420" s="129"/>
      <c r="V420" s="129"/>
      <c r="W420" s="129"/>
      <c r="X420" s="129"/>
      <c r="Y420" s="131"/>
      <c r="Z420" s="131"/>
      <c r="AA420" s="132"/>
      <c r="AB420" s="132"/>
      <c r="AC420" s="33"/>
      <c r="AD420" s="33"/>
      <c r="AE420" s="33"/>
      <c r="AF420" s="33"/>
      <c r="AG420" s="27"/>
      <c r="AH420" s="27"/>
      <c r="AI420" s="27"/>
      <c r="AJ420" s="27"/>
      <c r="AK420" s="27"/>
      <c r="AL420" s="27"/>
      <c r="AM420" s="27"/>
      <c r="AN420" s="27"/>
      <c r="AO420" s="27"/>
      <c r="AP420" s="27"/>
    </row>
    <row r="421" spans="2:42" s="120" customFormat="1" hidden="1">
      <c r="B421" s="29"/>
      <c r="C421" s="128"/>
      <c r="D421" s="129"/>
      <c r="E421" s="129"/>
      <c r="F421" s="129"/>
      <c r="G421" s="129"/>
      <c r="H421" s="129"/>
      <c r="I421" s="129"/>
      <c r="J421" s="129"/>
      <c r="K421" s="129"/>
      <c r="L421" s="129"/>
      <c r="M421" s="131"/>
      <c r="N421" s="129"/>
      <c r="O421" s="129"/>
      <c r="P421" s="129"/>
      <c r="Q421" s="129"/>
      <c r="R421" s="129"/>
      <c r="S421" s="129"/>
      <c r="T421" s="129"/>
      <c r="U421" s="129"/>
      <c r="V421" s="129"/>
      <c r="W421" s="129"/>
      <c r="X421" s="129"/>
      <c r="Y421" s="131"/>
      <c r="Z421" s="131"/>
      <c r="AA421" s="132"/>
      <c r="AB421" s="132"/>
      <c r="AC421" s="33"/>
      <c r="AD421" s="33"/>
      <c r="AE421" s="33"/>
      <c r="AF421" s="33"/>
      <c r="AG421" s="27"/>
      <c r="AH421" s="27"/>
      <c r="AI421" s="27"/>
      <c r="AJ421" s="27"/>
      <c r="AK421" s="27"/>
      <c r="AL421" s="27"/>
      <c r="AM421" s="27"/>
      <c r="AN421" s="27"/>
      <c r="AO421" s="27"/>
      <c r="AP421" s="27"/>
    </row>
    <row r="422" spans="2:42" s="120" customFormat="1" hidden="1">
      <c r="B422" s="29"/>
      <c r="C422" s="128"/>
      <c r="D422" s="129"/>
      <c r="E422" s="129"/>
      <c r="F422" s="129"/>
      <c r="G422" s="129"/>
      <c r="H422" s="129"/>
      <c r="I422" s="129"/>
      <c r="J422" s="129"/>
      <c r="K422" s="129"/>
      <c r="L422" s="129"/>
      <c r="M422" s="131"/>
      <c r="N422" s="129"/>
      <c r="O422" s="129"/>
      <c r="P422" s="129"/>
      <c r="Q422" s="129"/>
      <c r="R422" s="129"/>
      <c r="S422" s="129"/>
      <c r="T422" s="129"/>
      <c r="U422" s="129"/>
      <c r="V422" s="129"/>
      <c r="W422" s="129"/>
      <c r="X422" s="129"/>
      <c r="Y422" s="131"/>
      <c r="Z422" s="131"/>
      <c r="AA422" s="132"/>
      <c r="AB422" s="132"/>
      <c r="AC422" s="33"/>
      <c r="AD422" s="33"/>
      <c r="AE422" s="33"/>
      <c r="AF422" s="33"/>
      <c r="AG422" s="27"/>
      <c r="AH422" s="27"/>
      <c r="AI422" s="27"/>
      <c r="AJ422" s="27"/>
      <c r="AK422" s="27"/>
      <c r="AL422" s="27"/>
      <c r="AM422" s="27"/>
      <c r="AN422" s="27"/>
      <c r="AO422" s="27"/>
      <c r="AP422" s="27"/>
    </row>
    <row r="423" spans="2:42" s="120" customFormat="1" hidden="1">
      <c r="B423" s="29"/>
      <c r="C423" s="128"/>
      <c r="D423" s="129"/>
      <c r="E423" s="129"/>
      <c r="F423" s="129"/>
      <c r="G423" s="129"/>
      <c r="H423" s="129"/>
      <c r="I423" s="129"/>
      <c r="J423" s="129"/>
      <c r="K423" s="129"/>
      <c r="L423" s="129"/>
      <c r="M423" s="131"/>
      <c r="N423" s="129"/>
      <c r="O423" s="129"/>
      <c r="P423" s="129"/>
      <c r="Q423" s="129"/>
      <c r="R423" s="129"/>
      <c r="S423" s="129"/>
      <c r="T423" s="129"/>
      <c r="U423" s="129"/>
      <c r="V423" s="129"/>
      <c r="W423" s="129"/>
      <c r="X423" s="129"/>
      <c r="Y423" s="131"/>
      <c r="Z423" s="131"/>
      <c r="AA423" s="132"/>
      <c r="AB423" s="132"/>
      <c r="AC423" s="33"/>
      <c r="AD423" s="33"/>
      <c r="AE423" s="33"/>
      <c r="AF423" s="33"/>
      <c r="AG423" s="27"/>
      <c r="AH423" s="27"/>
      <c r="AI423" s="27"/>
      <c r="AJ423" s="27"/>
      <c r="AK423" s="27"/>
      <c r="AL423" s="27"/>
      <c r="AM423" s="27"/>
      <c r="AN423" s="27"/>
      <c r="AO423" s="27"/>
      <c r="AP423" s="27"/>
    </row>
    <row r="424" spans="2:42" s="120" customFormat="1" hidden="1">
      <c r="B424" s="29"/>
      <c r="C424" s="128"/>
      <c r="D424" s="129"/>
      <c r="E424" s="129"/>
      <c r="F424" s="129"/>
      <c r="G424" s="129"/>
      <c r="H424" s="129"/>
      <c r="I424" s="129"/>
      <c r="J424" s="129"/>
      <c r="K424" s="129"/>
      <c r="L424" s="129"/>
      <c r="M424" s="131"/>
      <c r="N424" s="129"/>
      <c r="O424" s="129"/>
      <c r="P424" s="129"/>
      <c r="Q424" s="129"/>
      <c r="R424" s="129"/>
      <c r="S424" s="129"/>
      <c r="T424" s="129"/>
      <c r="U424" s="129"/>
      <c r="V424" s="129"/>
      <c r="W424" s="129"/>
      <c r="X424" s="129"/>
      <c r="Y424" s="131"/>
      <c r="Z424" s="131"/>
      <c r="AA424" s="132"/>
      <c r="AB424" s="132"/>
      <c r="AC424" s="33"/>
      <c r="AD424" s="33"/>
      <c r="AE424" s="33"/>
      <c r="AF424" s="33"/>
      <c r="AG424" s="27"/>
      <c r="AH424" s="27"/>
      <c r="AI424" s="27"/>
      <c r="AJ424" s="27"/>
      <c r="AK424" s="27"/>
      <c r="AL424" s="27"/>
      <c r="AM424" s="27"/>
      <c r="AN424" s="27"/>
      <c r="AO424" s="27"/>
      <c r="AP424" s="27"/>
    </row>
    <row r="425" spans="2:42" s="120" customFormat="1" hidden="1">
      <c r="B425" s="29"/>
      <c r="C425" s="128"/>
      <c r="D425" s="129"/>
      <c r="E425" s="129"/>
      <c r="F425" s="129"/>
      <c r="G425" s="129"/>
      <c r="H425" s="129"/>
      <c r="I425" s="129"/>
      <c r="J425" s="129"/>
      <c r="K425" s="129"/>
      <c r="L425" s="129"/>
      <c r="M425" s="131"/>
      <c r="N425" s="129"/>
      <c r="O425" s="129"/>
      <c r="P425" s="129"/>
      <c r="Q425" s="129"/>
      <c r="R425" s="129"/>
      <c r="S425" s="129"/>
      <c r="T425" s="129"/>
      <c r="U425" s="129"/>
      <c r="V425" s="129"/>
      <c r="W425" s="129"/>
      <c r="X425" s="129"/>
      <c r="Y425" s="131"/>
      <c r="Z425" s="131"/>
      <c r="AA425" s="132"/>
      <c r="AB425" s="132"/>
      <c r="AC425" s="33"/>
      <c r="AD425" s="33"/>
      <c r="AE425" s="33"/>
      <c r="AF425" s="33"/>
      <c r="AG425" s="27"/>
      <c r="AH425" s="27"/>
      <c r="AI425" s="27"/>
      <c r="AJ425" s="27"/>
      <c r="AK425" s="27"/>
      <c r="AL425" s="27"/>
      <c r="AM425" s="27"/>
      <c r="AN425" s="27"/>
      <c r="AO425" s="27"/>
      <c r="AP425" s="27"/>
    </row>
    <row r="426" spans="2:42" s="120" customFormat="1" hidden="1">
      <c r="B426" s="29"/>
      <c r="C426" s="128"/>
      <c r="D426" s="129"/>
      <c r="E426" s="129"/>
      <c r="F426" s="129"/>
      <c r="G426" s="129"/>
      <c r="H426" s="129"/>
      <c r="I426" s="129"/>
      <c r="J426" s="129"/>
      <c r="K426" s="129"/>
      <c r="L426" s="129"/>
      <c r="M426" s="131"/>
      <c r="N426" s="129"/>
      <c r="O426" s="129"/>
      <c r="P426" s="129"/>
      <c r="Q426" s="129"/>
      <c r="R426" s="129"/>
      <c r="S426" s="129"/>
      <c r="T426" s="129"/>
      <c r="U426" s="129"/>
      <c r="V426" s="129"/>
      <c r="W426" s="129"/>
      <c r="X426" s="129"/>
      <c r="Y426" s="131"/>
      <c r="Z426" s="131"/>
      <c r="AA426" s="132"/>
      <c r="AB426" s="132"/>
      <c r="AC426" s="33"/>
      <c r="AD426" s="33"/>
      <c r="AE426" s="33"/>
      <c r="AF426" s="33"/>
      <c r="AG426" s="27"/>
      <c r="AH426" s="27"/>
      <c r="AI426" s="27"/>
      <c r="AJ426" s="27"/>
      <c r="AK426" s="27"/>
      <c r="AL426" s="27"/>
      <c r="AM426" s="27"/>
      <c r="AN426" s="27"/>
      <c r="AO426" s="27"/>
      <c r="AP426" s="27"/>
    </row>
    <row r="427" spans="2:42" s="120" customFormat="1" hidden="1">
      <c r="B427" s="29"/>
      <c r="C427" s="128"/>
      <c r="D427" s="129"/>
      <c r="E427" s="129"/>
      <c r="F427" s="129"/>
      <c r="G427" s="129"/>
      <c r="H427" s="129"/>
      <c r="I427" s="129"/>
      <c r="J427" s="129"/>
      <c r="K427" s="129"/>
      <c r="L427" s="129"/>
      <c r="M427" s="131"/>
      <c r="N427" s="129"/>
      <c r="O427" s="129"/>
      <c r="P427" s="129"/>
      <c r="Q427" s="129"/>
      <c r="R427" s="129"/>
      <c r="S427" s="129"/>
      <c r="T427" s="129"/>
      <c r="U427" s="129"/>
      <c r="V427" s="129"/>
      <c r="W427" s="129"/>
      <c r="X427" s="129"/>
      <c r="Y427" s="131"/>
      <c r="Z427" s="131"/>
      <c r="AA427" s="132"/>
      <c r="AB427" s="132"/>
      <c r="AC427" s="33"/>
      <c r="AD427" s="33"/>
      <c r="AE427" s="33"/>
      <c r="AF427" s="33"/>
      <c r="AG427" s="27"/>
      <c r="AH427" s="27"/>
      <c r="AI427" s="27"/>
      <c r="AJ427" s="27"/>
      <c r="AK427" s="27"/>
      <c r="AL427" s="27"/>
      <c r="AM427" s="27"/>
      <c r="AN427" s="27"/>
      <c r="AO427" s="27"/>
      <c r="AP427" s="27"/>
    </row>
    <row r="428" spans="2:42" s="120" customFormat="1" hidden="1">
      <c r="B428" s="29"/>
      <c r="C428" s="128"/>
      <c r="D428" s="129"/>
      <c r="E428" s="129"/>
      <c r="F428" s="129"/>
      <c r="G428" s="129"/>
      <c r="H428" s="129"/>
      <c r="I428" s="129"/>
      <c r="J428" s="129"/>
      <c r="K428" s="129"/>
      <c r="L428" s="129"/>
      <c r="M428" s="131"/>
      <c r="N428" s="129"/>
      <c r="O428" s="129"/>
      <c r="P428" s="129"/>
      <c r="Q428" s="129"/>
      <c r="R428" s="129"/>
      <c r="S428" s="129"/>
      <c r="T428" s="129"/>
      <c r="U428" s="129"/>
      <c r="V428" s="129"/>
      <c r="W428" s="129"/>
      <c r="X428" s="129"/>
      <c r="Y428" s="131"/>
      <c r="Z428" s="131"/>
      <c r="AA428" s="132"/>
      <c r="AB428" s="132"/>
      <c r="AC428" s="33"/>
      <c r="AD428" s="33"/>
      <c r="AE428" s="33"/>
      <c r="AF428" s="33"/>
      <c r="AG428" s="27"/>
      <c r="AH428" s="27"/>
      <c r="AI428" s="27"/>
      <c r="AJ428" s="27"/>
      <c r="AK428" s="27"/>
      <c r="AL428" s="27"/>
      <c r="AM428" s="27"/>
      <c r="AN428" s="27"/>
      <c r="AO428" s="27"/>
      <c r="AP428" s="27"/>
    </row>
    <row r="429" spans="2:42" s="120" customFormat="1" hidden="1">
      <c r="B429" s="29"/>
      <c r="C429" s="128"/>
      <c r="D429" s="129"/>
      <c r="E429" s="129"/>
      <c r="F429" s="129"/>
      <c r="G429" s="129"/>
      <c r="H429" s="129"/>
      <c r="I429" s="129"/>
      <c r="J429" s="129"/>
      <c r="K429" s="129"/>
      <c r="L429" s="129"/>
      <c r="M429" s="131"/>
      <c r="N429" s="129"/>
      <c r="O429" s="129"/>
      <c r="P429" s="129"/>
      <c r="Q429" s="129"/>
      <c r="R429" s="129"/>
      <c r="S429" s="129"/>
      <c r="T429" s="129"/>
      <c r="U429" s="129"/>
      <c r="V429" s="129"/>
      <c r="W429" s="129"/>
      <c r="X429" s="129"/>
      <c r="Y429" s="131"/>
      <c r="Z429" s="131"/>
      <c r="AA429" s="132"/>
      <c r="AB429" s="132"/>
      <c r="AC429" s="33"/>
      <c r="AD429" s="33"/>
      <c r="AE429" s="33"/>
      <c r="AF429" s="33"/>
      <c r="AG429" s="27"/>
      <c r="AH429" s="27"/>
      <c r="AI429" s="27"/>
      <c r="AJ429" s="27"/>
      <c r="AK429" s="27"/>
      <c r="AL429" s="27"/>
      <c r="AM429" s="27"/>
      <c r="AN429" s="27"/>
      <c r="AO429" s="27"/>
      <c r="AP429" s="27"/>
    </row>
    <row r="430" spans="2:42" s="120" customFormat="1" hidden="1">
      <c r="B430" s="29"/>
      <c r="C430" s="128"/>
      <c r="D430" s="129"/>
      <c r="E430" s="129"/>
      <c r="F430" s="129"/>
      <c r="G430" s="129"/>
      <c r="H430" s="129"/>
      <c r="I430" s="129"/>
      <c r="J430" s="129"/>
      <c r="K430" s="129"/>
      <c r="L430" s="129"/>
      <c r="M430" s="131"/>
      <c r="N430" s="129"/>
      <c r="O430" s="129"/>
      <c r="P430" s="129"/>
      <c r="Q430" s="129"/>
      <c r="R430" s="129"/>
      <c r="S430" s="129"/>
      <c r="T430" s="129"/>
      <c r="U430" s="129"/>
      <c r="V430" s="129"/>
      <c r="W430" s="129"/>
      <c r="X430" s="129"/>
      <c r="Y430" s="131"/>
      <c r="Z430" s="131"/>
      <c r="AA430" s="132"/>
      <c r="AB430" s="132"/>
      <c r="AC430" s="33"/>
      <c r="AD430" s="33"/>
      <c r="AE430" s="33"/>
      <c r="AF430" s="33"/>
      <c r="AG430" s="27"/>
      <c r="AH430" s="27"/>
      <c r="AI430" s="27"/>
      <c r="AJ430" s="27"/>
      <c r="AK430" s="27"/>
      <c r="AL430" s="27"/>
      <c r="AM430" s="27"/>
      <c r="AN430" s="27"/>
      <c r="AO430" s="27"/>
      <c r="AP430" s="27"/>
    </row>
    <row r="431" spans="2:42" s="120" customFormat="1" hidden="1">
      <c r="B431" s="29"/>
      <c r="C431" s="128"/>
      <c r="D431" s="129"/>
      <c r="E431" s="129"/>
      <c r="F431" s="129"/>
      <c r="G431" s="129"/>
      <c r="H431" s="129"/>
      <c r="I431" s="129"/>
      <c r="J431" s="129"/>
      <c r="K431" s="129"/>
      <c r="L431" s="129"/>
      <c r="M431" s="131"/>
      <c r="N431" s="129"/>
      <c r="O431" s="129"/>
      <c r="P431" s="129"/>
      <c r="Q431" s="129"/>
      <c r="R431" s="129"/>
      <c r="S431" s="129"/>
      <c r="T431" s="129"/>
      <c r="U431" s="129"/>
      <c r="V431" s="129"/>
      <c r="W431" s="129"/>
      <c r="X431" s="129"/>
      <c r="Y431" s="131"/>
      <c r="Z431" s="131"/>
      <c r="AA431" s="132"/>
      <c r="AB431" s="132"/>
      <c r="AC431" s="33"/>
      <c r="AD431" s="33"/>
      <c r="AE431" s="33"/>
      <c r="AF431" s="33"/>
      <c r="AG431" s="27"/>
      <c r="AH431" s="27"/>
      <c r="AI431" s="27"/>
      <c r="AJ431" s="27"/>
      <c r="AK431" s="27"/>
      <c r="AL431" s="27"/>
      <c r="AM431" s="27"/>
      <c r="AN431" s="27"/>
      <c r="AO431" s="27"/>
      <c r="AP431" s="27"/>
    </row>
    <row r="432" spans="2:42" s="1" customFormat="1" hidden="1">
      <c r="B432" s="2"/>
      <c r="C432" s="133"/>
      <c r="D432" s="134"/>
      <c r="E432" s="134"/>
      <c r="F432" s="134"/>
      <c r="G432" s="134"/>
      <c r="H432" s="134"/>
      <c r="I432" s="134"/>
      <c r="J432" s="134"/>
      <c r="K432" s="134"/>
      <c r="L432" s="134"/>
      <c r="M432" s="135"/>
      <c r="N432" s="134"/>
      <c r="O432" s="134"/>
      <c r="P432" s="134"/>
      <c r="Q432" s="134"/>
      <c r="R432" s="134"/>
      <c r="S432" s="134"/>
      <c r="T432" s="134"/>
      <c r="U432" s="134"/>
      <c r="V432" s="134"/>
      <c r="W432" s="134"/>
      <c r="X432" s="134"/>
      <c r="Y432" s="135"/>
      <c r="Z432" s="135"/>
      <c r="AA432" s="136"/>
      <c r="AB432" s="136"/>
      <c r="AC432" s="137"/>
      <c r="AD432" s="137"/>
      <c r="AE432" s="137"/>
      <c r="AF432" s="137"/>
    </row>
    <row r="433" spans="2:32" s="1" customFormat="1" hidden="1">
      <c r="B433" s="2"/>
      <c r="C433" s="133"/>
      <c r="D433" s="134"/>
      <c r="E433" s="134"/>
      <c r="F433" s="134"/>
      <c r="G433" s="134"/>
      <c r="H433" s="134"/>
      <c r="I433" s="134"/>
      <c r="J433" s="134"/>
      <c r="K433" s="134"/>
      <c r="L433" s="134"/>
      <c r="M433" s="135"/>
      <c r="N433" s="134"/>
      <c r="O433" s="134"/>
      <c r="P433" s="134"/>
      <c r="Q433" s="134"/>
      <c r="R433" s="134"/>
      <c r="S433" s="134"/>
      <c r="T433" s="134"/>
      <c r="U433" s="134"/>
      <c r="V433" s="134"/>
      <c r="W433" s="134"/>
      <c r="X433" s="134"/>
      <c r="Y433" s="135"/>
      <c r="Z433" s="135"/>
      <c r="AA433" s="136"/>
      <c r="AB433" s="136"/>
      <c r="AC433" s="137"/>
      <c r="AD433" s="137"/>
      <c r="AE433" s="137"/>
      <c r="AF433" s="137"/>
    </row>
    <row r="434" spans="2:32" s="1" customFormat="1" hidden="1">
      <c r="B434" s="2"/>
      <c r="C434" s="133"/>
      <c r="D434" s="134"/>
      <c r="E434" s="134"/>
      <c r="F434" s="134"/>
      <c r="G434" s="134"/>
      <c r="H434" s="134"/>
      <c r="I434" s="134"/>
      <c r="J434" s="134"/>
      <c r="K434" s="134"/>
      <c r="L434" s="134"/>
      <c r="M434" s="135"/>
      <c r="N434" s="134"/>
      <c r="O434" s="134"/>
      <c r="P434" s="134"/>
      <c r="Q434" s="134"/>
      <c r="R434" s="134"/>
      <c r="S434" s="134"/>
      <c r="T434" s="134"/>
      <c r="U434" s="134"/>
      <c r="V434" s="134"/>
      <c r="W434" s="134"/>
      <c r="X434" s="134"/>
      <c r="Y434" s="135"/>
      <c r="Z434" s="135"/>
      <c r="AA434" s="136"/>
      <c r="AB434" s="136"/>
      <c r="AC434" s="137"/>
      <c r="AD434" s="137"/>
      <c r="AE434" s="137"/>
      <c r="AF434" s="137"/>
    </row>
    <row r="435" spans="2:32" s="1" customFormat="1" hidden="1">
      <c r="B435" s="2"/>
      <c r="C435" s="133"/>
      <c r="D435" s="134"/>
      <c r="E435" s="134"/>
      <c r="F435" s="134"/>
      <c r="G435" s="134"/>
      <c r="H435" s="134"/>
      <c r="I435" s="134"/>
      <c r="J435" s="134"/>
      <c r="K435" s="134"/>
      <c r="L435" s="134"/>
      <c r="M435" s="135"/>
      <c r="N435" s="134"/>
      <c r="O435" s="134"/>
      <c r="P435" s="134"/>
      <c r="Q435" s="134"/>
      <c r="R435" s="134"/>
      <c r="S435" s="134"/>
      <c r="T435" s="134"/>
      <c r="U435" s="134"/>
      <c r="V435" s="134"/>
      <c r="W435" s="134"/>
      <c r="X435" s="134"/>
      <c r="Y435" s="135"/>
      <c r="Z435" s="135"/>
      <c r="AA435" s="136"/>
      <c r="AB435" s="136"/>
      <c r="AC435" s="137"/>
      <c r="AD435" s="137"/>
      <c r="AE435" s="137"/>
      <c r="AF435" s="137"/>
    </row>
    <row r="436" spans="2:32" s="1" customFormat="1" hidden="1">
      <c r="B436" s="2"/>
      <c r="C436" s="133"/>
      <c r="D436" s="134"/>
      <c r="E436" s="134"/>
      <c r="F436" s="134"/>
      <c r="G436" s="134"/>
      <c r="H436" s="134"/>
      <c r="I436" s="134"/>
      <c r="J436" s="134"/>
      <c r="K436" s="134"/>
      <c r="L436" s="134"/>
      <c r="M436" s="135"/>
      <c r="N436" s="134"/>
      <c r="O436" s="134"/>
      <c r="P436" s="134"/>
      <c r="Q436" s="134"/>
      <c r="R436" s="134"/>
      <c r="S436" s="134"/>
      <c r="T436" s="134"/>
      <c r="U436" s="134"/>
      <c r="V436" s="134"/>
      <c r="W436" s="134"/>
      <c r="X436" s="134"/>
      <c r="Y436" s="135"/>
      <c r="Z436" s="135"/>
      <c r="AA436" s="136"/>
      <c r="AB436" s="136"/>
      <c r="AC436" s="137"/>
      <c r="AD436" s="137"/>
      <c r="AE436" s="137"/>
      <c r="AF436" s="137"/>
    </row>
    <row r="437" spans="2:32" s="1" customFormat="1" hidden="1">
      <c r="B437" s="2"/>
      <c r="C437" s="133"/>
      <c r="D437" s="134"/>
      <c r="E437" s="134"/>
      <c r="F437" s="134"/>
      <c r="G437" s="134"/>
      <c r="H437" s="134"/>
      <c r="I437" s="134"/>
      <c r="J437" s="134"/>
      <c r="K437" s="134"/>
      <c r="L437" s="134"/>
      <c r="M437" s="135"/>
      <c r="N437" s="134"/>
      <c r="O437" s="134"/>
      <c r="P437" s="134"/>
      <c r="Q437" s="134"/>
      <c r="R437" s="134"/>
      <c r="S437" s="134"/>
      <c r="T437" s="134"/>
      <c r="U437" s="134"/>
      <c r="V437" s="134"/>
      <c r="W437" s="134"/>
      <c r="X437" s="134"/>
      <c r="Y437" s="135"/>
      <c r="Z437" s="135"/>
      <c r="AA437" s="136"/>
      <c r="AB437" s="136"/>
      <c r="AC437" s="137"/>
      <c r="AD437" s="137"/>
      <c r="AE437" s="137"/>
      <c r="AF437" s="137"/>
    </row>
    <row r="438" spans="2:32" s="1" customFormat="1" hidden="1">
      <c r="B438" s="2"/>
      <c r="C438" s="133"/>
      <c r="D438" s="134"/>
      <c r="E438" s="134"/>
      <c r="F438" s="134"/>
      <c r="G438" s="134"/>
      <c r="H438" s="134"/>
      <c r="I438" s="134"/>
      <c r="J438" s="134"/>
      <c r="K438" s="134"/>
      <c r="L438" s="134"/>
      <c r="M438" s="135"/>
      <c r="N438" s="134"/>
      <c r="O438" s="134"/>
      <c r="P438" s="134"/>
      <c r="Q438" s="134"/>
      <c r="R438" s="134"/>
      <c r="S438" s="134"/>
      <c r="T438" s="134"/>
      <c r="U438" s="134"/>
      <c r="V438" s="134"/>
      <c r="W438" s="134"/>
      <c r="X438" s="134"/>
      <c r="Y438" s="135"/>
      <c r="Z438" s="135"/>
      <c r="AA438" s="136"/>
      <c r="AB438" s="136"/>
      <c r="AC438" s="137"/>
      <c r="AD438" s="137"/>
      <c r="AE438" s="137"/>
      <c r="AF438" s="137"/>
    </row>
    <row r="439" spans="2:32" s="1" customFormat="1" hidden="1">
      <c r="B439" s="2"/>
      <c r="C439" s="133"/>
      <c r="D439" s="134"/>
      <c r="E439" s="134"/>
      <c r="F439" s="134"/>
      <c r="G439" s="134"/>
      <c r="H439" s="134"/>
      <c r="I439" s="134"/>
      <c r="J439" s="134"/>
      <c r="K439" s="134"/>
      <c r="L439" s="134"/>
      <c r="M439" s="135"/>
      <c r="N439" s="134"/>
      <c r="O439" s="134"/>
      <c r="P439" s="134"/>
      <c r="Q439" s="134"/>
      <c r="R439" s="134"/>
      <c r="S439" s="134"/>
      <c r="T439" s="134"/>
      <c r="U439" s="134"/>
      <c r="V439" s="134"/>
      <c r="W439" s="134"/>
      <c r="X439" s="134"/>
      <c r="Y439" s="135"/>
      <c r="Z439" s="135"/>
      <c r="AA439" s="136"/>
      <c r="AB439" s="136"/>
      <c r="AC439" s="137"/>
      <c r="AD439" s="137"/>
      <c r="AE439" s="137"/>
      <c r="AF439" s="137"/>
    </row>
    <row r="440" spans="2:32" s="1" customFormat="1" hidden="1">
      <c r="B440" s="2"/>
      <c r="C440" s="133"/>
      <c r="D440" s="134"/>
      <c r="E440" s="134"/>
      <c r="F440" s="134"/>
      <c r="G440" s="134"/>
      <c r="H440" s="134"/>
      <c r="I440" s="134"/>
      <c r="J440" s="134"/>
      <c r="K440" s="134"/>
      <c r="L440" s="134"/>
      <c r="M440" s="135"/>
      <c r="N440" s="134"/>
      <c r="O440" s="134"/>
      <c r="P440" s="134"/>
      <c r="Q440" s="134"/>
      <c r="R440" s="134"/>
      <c r="S440" s="134"/>
      <c r="T440" s="134"/>
      <c r="U440" s="134"/>
      <c r="V440" s="134"/>
      <c r="W440" s="134"/>
      <c r="X440" s="134"/>
      <c r="Y440" s="135"/>
      <c r="Z440" s="135"/>
      <c r="AA440" s="136"/>
      <c r="AB440" s="136"/>
      <c r="AC440" s="137"/>
      <c r="AD440" s="137"/>
      <c r="AE440" s="137"/>
      <c r="AF440" s="137"/>
    </row>
    <row r="441" spans="2:32" s="1" customFormat="1" hidden="1">
      <c r="B441" s="2"/>
      <c r="C441" s="133"/>
      <c r="D441" s="134"/>
      <c r="E441" s="134"/>
      <c r="F441" s="134"/>
      <c r="G441" s="134"/>
      <c r="H441" s="134"/>
      <c r="I441" s="134"/>
      <c r="J441" s="134"/>
      <c r="K441" s="134"/>
      <c r="L441" s="134"/>
      <c r="M441" s="135"/>
      <c r="N441" s="134"/>
      <c r="O441" s="134"/>
      <c r="P441" s="134"/>
      <c r="Q441" s="134"/>
      <c r="R441" s="134"/>
      <c r="S441" s="134"/>
      <c r="T441" s="134"/>
      <c r="U441" s="134"/>
      <c r="V441" s="134"/>
      <c r="W441" s="134"/>
      <c r="X441" s="134"/>
      <c r="Y441" s="135"/>
      <c r="Z441" s="135"/>
      <c r="AA441" s="136"/>
      <c r="AB441" s="136"/>
      <c r="AC441" s="137"/>
      <c r="AD441" s="137"/>
      <c r="AE441" s="137"/>
      <c r="AF441" s="137"/>
    </row>
    <row r="442" spans="2:32" s="1" customFormat="1" hidden="1">
      <c r="B442" s="2"/>
      <c r="C442" s="133"/>
      <c r="D442" s="134"/>
      <c r="E442" s="134"/>
      <c r="F442" s="134"/>
      <c r="G442" s="134"/>
      <c r="H442" s="134"/>
      <c r="I442" s="134"/>
      <c r="J442" s="134"/>
      <c r="K442" s="134"/>
      <c r="L442" s="134"/>
      <c r="M442" s="135"/>
      <c r="N442" s="134"/>
      <c r="O442" s="134"/>
      <c r="P442" s="134"/>
      <c r="Q442" s="134"/>
      <c r="R442" s="134"/>
      <c r="S442" s="134"/>
      <c r="T442" s="134"/>
      <c r="U442" s="134"/>
      <c r="V442" s="134"/>
      <c r="W442" s="134"/>
      <c r="X442" s="134"/>
      <c r="Y442" s="135"/>
      <c r="Z442" s="135"/>
      <c r="AA442" s="136"/>
      <c r="AB442" s="136"/>
      <c r="AC442" s="137"/>
      <c r="AD442" s="137"/>
      <c r="AE442" s="137"/>
      <c r="AF442" s="137"/>
    </row>
    <row r="443" spans="2:32" s="1" customFormat="1" hidden="1">
      <c r="B443" s="2"/>
      <c r="C443" s="133"/>
      <c r="D443" s="134"/>
      <c r="E443" s="134"/>
      <c r="F443" s="134"/>
      <c r="G443" s="134"/>
      <c r="H443" s="134"/>
      <c r="I443" s="134"/>
      <c r="J443" s="134"/>
      <c r="K443" s="134"/>
      <c r="L443" s="134"/>
      <c r="M443" s="135"/>
      <c r="N443" s="134"/>
      <c r="O443" s="134"/>
      <c r="P443" s="134"/>
      <c r="Q443" s="134"/>
      <c r="R443" s="134"/>
      <c r="S443" s="134"/>
      <c r="T443" s="134"/>
      <c r="U443" s="134"/>
      <c r="V443" s="134"/>
      <c r="W443" s="134"/>
      <c r="X443" s="134"/>
      <c r="Y443" s="135"/>
      <c r="Z443" s="135"/>
      <c r="AA443" s="136"/>
      <c r="AB443" s="136"/>
      <c r="AC443" s="137"/>
      <c r="AD443" s="137"/>
      <c r="AE443" s="137"/>
      <c r="AF443" s="137"/>
    </row>
    <row r="444" spans="2:32" s="1" customFormat="1" hidden="1">
      <c r="B444" s="2"/>
      <c r="C444" s="133"/>
      <c r="D444" s="134"/>
      <c r="E444" s="134"/>
      <c r="F444" s="134"/>
      <c r="G444" s="134"/>
      <c r="H444" s="134"/>
      <c r="I444" s="134"/>
      <c r="J444" s="134"/>
      <c r="K444" s="134"/>
      <c r="L444" s="134"/>
      <c r="M444" s="135"/>
      <c r="N444" s="134"/>
      <c r="O444" s="134"/>
      <c r="P444" s="134"/>
      <c r="Q444" s="134"/>
      <c r="R444" s="134"/>
      <c r="S444" s="134"/>
      <c r="T444" s="134"/>
      <c r="U444" s="134"/>
      <c r="V444" s="134"/>
      <c r="W444" s="134"/>
      <c r="X444" s="134"/>
      <c r="Y444" s="135"/>
      <c r="Z444" s="135"/>
      <c r="AA444" s="136"/>
      <c r="AB444" s="136"/>
      <c r="AC444" s="137"/>
      <c r="AD444" s="137"/>
      <c r="AE444" s="137"/>
      <c r="AF444" s="137"/>
    </row>
    <row r="445" spans="2:32" s="1" customFormat="1" hidden="1">
      <c r="B445" s="2"/>
      <c r="C445" s="133"/>
      <c r="D445" s="134"/>
      <c r="E445" s="134"/>
      <c r="F445" s="134"/>
      <c r="G445" s="134"/>
      <c r="H445" s="134"/>
      <c r="I445" s="134"/>
      <c r="J445" s="134"/>
      <c r="K445" s="134"/>
      <c r="L445" s="134"/>
      <c r="M445" s="135"/>
      <c r="N445" s="134"/>
      <c r="O445" s="134"/>
      <c r="P445" s="134"/>
      <c r="Q445" s="134"/>
      <c r="R445" s="134"/>
      <c r="S445" s="134"/>
      <c r="T445" s="134"/>
      <c r="U445" s="134"/>
      <c r="V445" s="134"/>
      <c r="W445" s="134"/>
      <c r="X445" s="134"/>
      <c r="Y445" s="135"/>
      <c r="Z445" s="135"/>
      <c r="AA445" s="136"/>
      <c r="AB445" s="136"/>
      <c r="AC445" s="137"/>
      <c r="AD445" s="137"/>
      <c r="AE445" s="137"/>
      <c r="AF445" s="137"/>
    </row>
    <row r="446" spans="2:32" s="1" customFormat="1" hidden="1">
      <c r="B446" s="2"/>
      <c r="C446" s="133"/>
      <c r="D446" s="134"/>
      <c r="E446" s="134"/>
      <c r="F446" s="134"/>
      <c r="G446" s="134"/>
      <c r="H446" s="134"/>
      <c r="I446" s="134"/>
      <c r="J446" s="134"/>
      <c r="K446" s="134"/>
      <c r="L446" s="134"/>
      <c r="M446" s="135"/>
      <c r="N446" s="134"/>
      <c r="O446" s="134"/>
      <c r="P446" s="134"/>
      <c r="Q446" s="134"/>
      <c r="R446" s="134"/>
      <c r="S446" s="134"/>
      <c r="T446" s="134"/>
      <c r="U446" s="134"/>
      <c r="V446" s="134"/>
      <c r="W446" s="134"/>
      <c r="X446" s="134"/>
      <c r="Y446" s="135"/>
      <c r="Z446" s="135"/>
      <c r="AA446" s="136"/>
      <c r="AB446" s="136"/>
      <c r="AC446" s="137"/>
      <c r="AD446" s="137"/>
      <c r="AE446" s="137"/>
      <c r="AF446" s="137"/>
    </row>
    <row r="447" spans="2:32" s="1" customFormat="1" hidden="1">
      <c r="B447" s="2"/>
      <c r="C447" s="133"/>
      <c r="D447" s="134"/>
      <c r="E447" s="134"/>
      <c r="F447" s="134"/>
      <c r="G447" s="134"/>
      <c r="H447" s="134"/>
      <c r="I447" s="134"/>
      <c r="J447" s="134"/>
      <c r="K447" s="134"/>
      <c r="L447" s="134"/>
      <c r="M447" s="135"/>
      <c r="N447" s="134"/>
      <c r="O447" s="134"/>
      <c r="P447" s="134"/>
      <c r="Q447" s="134"/>
      <c r="R447" s="134"/>
      <c r="S447" s="134"/>
      <c r="T447" s="134"/>
      <c r="U447" s="134"/>
      <c r="V447" s="134"/>
      <c r="W447" s="134"/>
      <c r="X447" s="134"/>
      <c r="Y447" s="135"/>
      <c r="Z447" s="135"/>
      <c r="AA447" s="136"/>
      <c r="AB447" s="136"/>
      <c r="AC447" s="137"/>
      <c r="AD447" s="137"/>
      <c r="AE447" s="137"/>
      <c r="AF447" s="137"/>
    </row>
    <row r="448" spans="2:32" s="1" customFormat="1" hidden="1">
      <c r="B448" s="2"/>
      <c r="C448" s="133"/>
      <c r="D448" s="134"/>
      <c r="E448" s="134"/>
      <c r="F448" s="134"/>
      <c r="G448" s="134"/>
      <c r="H448" s="134"/>
      <c r="I448" s="134"/>
      <c r="J448" s="134"/>
      <c r="K448" s="134"/>
      <c r="L448" s="134"/>
      <c r="M448" s="135"/>
      <c r="N448" s="134"/>
      <c r="O448" s="134"/>
      <c r="P448" s="134"/>
      <c r="Q448" s="134"/>
      <c r="R448" s="134"/>
      <c r="S448" s="134"/>
      <c r="T448" s="134"/>
      <c r="U448" s="134"/>
      <c r="V448" s="134"/>
      <c r="W448" s="134"/>
      <c r="X448" s="134"/>
      <c r="Y448" s="135"/>
      <c r="Z448" s="135"/>
      <c r="AA448" s="136"/>
      <c r="AB448" s="136"/>
      <c r="AC448" s="137"/>
      <c r="AD448" s="137"/>
      <c r="AE448" s="137"/>
      <c r="AF448" s="137"/>
    </row>
    <row r="449" spans="2:32" s="1" customFormat="1" hidden="1">
      <c r="B449" s="2"/>
      <c r="C449" s="133"/>
      <c r="D449" s="134"/>
      <c r="E449" s="134"/>
      <c r="F449" s="134"/>
      <c r="G449" s="134"/>
      <c r="H449" s="134"/>
      <c r="I449" s="134"/>
      <c r="J449" s="134"/>
      <c r="K449" s="134"/>
      <c r="L449" s="134"/>
      <c r="M449" s="135"/>
      <c r="N449" s="134"/>
      <c r="O449" s="134"/>
      <c r="P449" s="134"/>
      <c r="Q449" s="134"/>
      <c r="R449" s="134"/>
      <c r="S449" s="134"/>
      <c r="T449" s="134"/>
      <c r="U449" s="134"/>
      <c r="V449" s="134"/>
      <c r="W449" s="134"/>
      <c r="X449" s="134"/>
      <c r="Y449" s="135"/>
      <c r="Z449" s="135"/>
      <c r="AA449" s="136"/>
      <c r="AB449" s="136"/>
      <c r="AC449" s="137"/>
      <c r="AD449" s="137"/>
      <c r="AE449" s="137"/>
      <c r="AF449" s="137"/>
    </row>
    <row r="450" spans="2:32" s="1" customFormat="1" hidden="1">
      <c r="B450" s="2"/>
      <c r="C450" s="133"/>
      <c r="D450" s="134"/>
      <c r="E450" s="134"/>
      <c r="F450" s="134"/>
      <c r="G450" s="134"/>
      <c r="H450" s="134"/>
      <c r="I450" s="134"/>
      <c r="J450" s="134"/>
      <c r="K450" s="134"/>
      <c r="L450" s="134"/>
      <c r="M450" s="135"/>
      <c r="N450" s="134"/>
      <c r="O450" s="134"/>
      <c r="P450" s="134"/>
      <c r="Q450" s="134"/>
      <c r="R450" s="134"/>
      <c r="S450" s="134"/>
      <c r="T450" s="134"/>
      <c r="U450" s="134"/>
      <c r="V450" s="134"/>
      <c r="W450" s="134"/>
      <c r="X450" s="134"/>
      <c r="Y450" s="135"/>
      <c r="Z450" s="135"/>
      <c r="AA450" s="136"/>
      <c r="AB450" s="136"/>
      <c r="AC450" s="137"/>
      <c r="AD450" s="137"/>
      <c r="AE450" s="137"/>
      <c r="AF450" s="137"/>
    </row>
    <row r="451" spans="2:32" s="1" customFormat="1" hidden="1">
      <c r="B451" s="2"/>
      <c r="C451" s="133"/>
      <c r="D451" s="134"/>
      <c r="E451" s="134"/>
      <c r="F451" s="134"/>
      <c r="G451" s="134"/>
      <c r="H451" s="134"/>
      <c r="I451" s="134"/>
      <c r="J451" s="134"/>
      <c r="K451" s="134"/>
      <c r="L451" s="134"/>
      <c r="M451" s="135"/>
      <c r="N451" s="134"/>
      <c r="O451" s="134"/>
      <c r="P451" s="134"/>
      <c r="Q451" s="134"/>
      <c r="R451" s="134"/>
      <c r="S451" s="134"/>
      <c r="T451" s="134"/>
      <c r="U451" s="134"/>
      <c r="V451" s="134"/>
      <c r="W451" s="134"/>
      <c r="X451" s="134"/>
      <c r="Y451" s="135"/>
      <c r="Z451" s="135"/>
      <c r="AA451" s="136"/>
      <c r="AB451" s="136"/>
      <c r="AC451" s="137"/>
      <c r="AD451" s="137"/>
      <c r="AE451" s="137"/>
      <c r="AF451" s="137"/>
    </row>
    <row r="452" spans="2:32" s="1" customFormat="1" hidden="1">
      <c r="B452" s="2"/>
      <c r="C452" s="133"/>
      <c r="D452" s="134"/>
      <c r="E452" s="134"/>
      <c r="F452" s="134"/>
      <c r="G452" s="134"/>
      <c r="H452" s="134"/>
      <c r="I452" s="134"/>
      <c r="J452" s="134"/>
      <c r="K452" s="134"/>
      <c r="L452" s="134"/>
      <c r="M452" s="135"/>
      <c r="N452" s="134"/>
      <c r="O452" s="134"/>
      <c r="P452" s="134"/>
      <c r="Q452" s="134"/>
      <c r="R452" s="134"/>
      <c r="S452" s="134"/>
      <c r="T452" s="134"/>
      <c r="U452" s="134"/>
      <c r="V452" s="134"/>
      <c r="W452" s="134"/>
      <c r="X452" s="134"/>
      <c r="Y452" s="135"/>
      <c r="Z452" s="135"/>
      <c r="AA452" s="136"/>
      <c r="AB452" s="136"/>
      <c r="AC452" s="137"/>
      <c r="AD452" s="137"/>
      <c r="AE452" s="137"/>
      <c r="AF452" s="137"/>
    </row>
    <row r="453" spans="2:32" s="1" customFormat="1" hidden="1">
      <c r="B453" s="2"/>
      <c r="C453" s="133"/>
      <c r="D453" s="134"/>
      <c r="E453" s="134"/>
      <c r="F453" s="134"/>
      <c r="G453" s="134"/>
      <c r="H453" s="134"/>
      <c r="I453" s="134"/>
      <c r="J453" s="134"/>
      <c r="K453" s="134"/>
      <c r="L453" s="134"/>
      <c r="M453" s="135"/>
      <c r="N453" s="134"/>
      <c r="O453" s="134"/>
      <c r="P453" s="134"/>
      <c r="Q453" s="134"/>
      <c r="R453" s="134"/>
      <c r="S453" s="134"/>
      <c r="T453" s="134"/>
      <c r="U453" s="134"/>
      <c r="V453" s="134"/>
      <c r="W453" s="134"/>
      <c r="X453" s="134"/>
      <c r="Y453" s="135"/>
      <c r="Z453" s="135"/>
      <c r="AA453" s="136"/>
      <c r="AB453" s="136"/>
      <c r="AC453" s="137"/>
      <c r="AD453" s="137"/>
      <c r="AE453" s="137"/>
      <c r="AF453" s="137"/>
    </row>
    <row r="454" spans="2:32" s="1" customFormat="1" hidden="1">
      <c r="B454" s="2"/>
      <c r="C454" s="133"/>
      <c r="D454" s="134"/>
      <c r="E454" s="134"/>
      <c r="F454" s="134"/>
      <c r="G454" s="134"/>
      <c r="H454" s="134"/>
      <c r="I454" s="134"/>
      <c r="J454" s="134"/>
      <c r="K454" s="134"/>
      <c r="L454" s="134"/>
      <c r="M454" s="135"/>
      <c r="N454" s="134"/>
      <c r="O454" s="134"/>
      <c r="P454" s="134"/>
      <c r="Q454" s="134"/>
      <c r="R454" s="134"/>
      <c r="S454" s="134"/>
      <c r="T454" s="134"/>
      <c r="U454" s="134"/>
      <c r="V454" s="134"/>
      <c r="W454" s="134"/>
      <c r="X454" s="134"/>
      <c r="Y454" s="135"/>
      <c r="Z454" s="135"/>
      <c r="AA454" s="136"/>
      <c r="AB454" s="136"/>
      <c r="AC454" s="137"/>
      <c r="AD454" s="137"/>
      <c r="AE454" s="137"/>
      <c r="AF454" s="137"/>
    </row>
    <row r="455" spans="2:32" s="1" customFormat="1" hidden="1">
      <c r="B455" s="2"/>
      <c r="C455" s="133"/>
      <c r="D455" s="134"/>
      <c r="E455" s="134"/>
      <c r="F455" s="134"/>
      <c r="G455" s="134"/>
      <c r="H455" s="134"/>
      <c r="I455" s="134"/>
      <c r="J455" s="134"/>
      <c r="K455" s="134"/>
      <c r="L455" s="134"/>
      <c r="M455" s="135"/>
      <c r="N455" s="134"/>
      <c r="O455" s="134"/>
      <c r="P455" s="134"/>
      <c r="Q455" s="134"/>
      <c r="R455" s="134"/>
      <c r="S455" s="134"/>
      <c r="T455" s="134"/>
      <c r="U455" s="134"/>
      <c r="V455" s="134"/>
      <c r="W455" s="134"/>
      <c r="X455" s="134"/>
      <c r="Y455" s="135"/>
      <c r="Z455" s="135"/>
      <c r="AA455" s="136"/>
      <c r="AB455" s="136"/>
      <c r="AC455" s="137"/>
      <c r="AD455" s="137"/>
      <c r="AE455" s="137"/>
      <c r="AF455" s="137"/>
    </row>
    <row r="456" spans="2:32" s="1" customFormat="1" hidden="1">
      <c r="B456" s="2"/>
      <c r="C456" s="133"/>
      <c r="D456" s="134"/>
      <c r="E456" s="134"/>
      <c r="F456" s="134"/>
      <c r="G456" s="134"/>
      <c r="H456" s="134"/>
      <c r="I456" s="134"/>
      <c r="J456" s="134"/>
      <c r="K456" s="134"/>
      <c r="L456" s="134"/>
      <c r="M456" s="135"/>
      <c r="N456" s="134"/>
      <c r="O456" s="134"/>
      <c r="P456" s="134"/>
      <c r="Q456" s="134"/>
      <c r="R456" s="134"/>
      <c r="S456" s="134"/>
      <c r="T456" s="134"/>
      <c r="U456" s="134"/>
      <c r="V456" s="134"/>
      <c r="W456" s="134"/>
      <c r="X456" s="134"/>
      <c r="Y456" s="135"/>
      <c r="Z456" s="135"/>
      <c r="AA456" s="136"/>
      <c r="AB456" s="136"/>
      <c r="AC456" s="137"/>
      <c r="AD456" s="137"/>
      <c r="AE456" s="137"/>
      <c r="AF456" s="137"/>
    </row>
    <row r="457" spans="2:32" s="1" customFormat="1" hidden="1">
      <c r="B457" s="2"/>
      <c r="C457" s="133"/>
      <c r="D457" s="134"/>
      <c r="E457" s="134"/>
      <c r="F457" s="134"/>
      <c r="G457" s="134"/>
      <c r="H457" s="134"/>
      <c r="I457" s="134"/>
      <c r="J457" s="134"/>
      <c r="K457" s="134"/>
      <c r="L457" s="134"/>
      <c r="M457" s="135"/>
      <c r="N457" s="134"/>
      <c r="O457" s="134"/>
      <c r="P457" s="134"/>
      <c r="Q457" s="134"/>
      <c r="R457" s="134"/>
      <c r="S457" s="134"/>
      <c r="T457" s="134"/>
      <c r="U457" s="134"/>
      <c r="V457" s="134"/>
      <c r="W457" s="134"/>
      <c r="X457" s="134"/>
      <c r="Y457" s="135"/>
      <c r="Z457" s="135"/>
      <c r="AA457" s="136"/>
      <c r="AB457" s="136"/>
      <c r="AC457" s="137"/>
      <c r="AD457" s="137"/>
      <c r="AE457" s="137"/>
      <c r="AF457" s="137"/>
    </row>
    <row r="458" spans="2:32" s="1" customFormat="1" hidden="1">
      <c r="B458" s="2"/>
      <c r="C458" s="133"/>
      <c r="D458" s="134"/>
      <c r="E458" s="134"/>
      <c r="F458" s="134"/>
      <c r="G458" s="134"/>
      <c r="H458" s="134"/>
      <c r="I458" s="134"/>
      <c r="J458" s="134"/>
      <c r="K458" s="134"/>
      <c r="L458" s="134"/>
      <c r="M458" s="135"/>
      <c r="N458" s="134"/>
      <c r="O458" s="134"/>
      <c r="P458" s="134"/>
      <c r="Q458" s="134"/>
      <c r="R458" s="134"/>
      <c r="S458" s="134"/>
      <c r="T458" s="134"/>
      <c r="U458" s="134"/>
      <c r="V458" s="134"/>
      <c r="W458" s="134"/>
      <c r="X458" s="134"/>
      <c r="Y458" s="135"/>
      <c r="Z458" s="135"/>
      <c r="AA458" s="136"/>
      <c r="AB458" s="136"/>
      <c r="AC458" s="137"/>
      <c r="AD458" s="137"/>
      <c r="AE458" s="137"/>
      <c r="AF458" s="137"/>
    </row>
    <row r="459" spans="2:32" s="1" customFormat="1" hidden="1">
      <c r="B459" s="2"/>
      <c r="C459" s="133"/>
      <c r="D459" s="134"/>
      <c r="E459" s="134"/>
      <c r="F459" s="134"/>
      <c r="G459" s="134"/>
      <c r="H459" s="134"/>
      <c r="I459" s="134"/>
      <c r="J459" s="134"/>
      <c r="K459" s="134"/>
      <c r="L459" s="134"/>
      <c r="M459" s="135"/>
      <c r="N459" s="134"/>
      <c r="O459" s="134"/>
      <c r="P459" s="134"/>
      <c r="Q459" s="134"/>
      <c r="R459" s="134"/>
      <c r="S459" s="134"/>
      <c r="T459" s="134"/>
      <c r="U459" s="134"/>
      <c r="V459" s="134"/>
      <c r="W459" s="134"/>
      <c r="X459" s="134"/>
      <c r="Y459" s="135"/>
      <c r="Z459" s="135"/>
      <c r="AA459" s="136"/>
      <c r="AB459" s="136"/>
      <c r="AC459" s="137"/>
      <c r="AD459" s="137"/>
      <c r="AE459" s="137"/>
      <c r="AF459" s="137"/>
    </row>
    <row r="460" spans="2:32" s="1" customFormat="1" hidden="1">
      <c r="B460" s="2"/>
      <c r="C460" s="133"/>
      <c r="D460" s="134"/>
      <c r="E460" s="134"/>
      <c r="F460" s="134"/>
      <c r="G460" s="134"/>
      <c r="H460" s="134"/>
      <c r="I460" s="134"/>
      <c r="J460" s="134"/>
      <c r="K460" s="134"/>
      <c r="L460" s="134"/>
      <c r="M460" s="135"/>
      <c r="N460" s="134"/>
      <c r="O460" s="134"/>
      <c r="P460" s="134"/>
      <c r="Q460" s="134"/>
      <c r="R460" s="134"/>
      <c r="S460" s="134"/>
      <c r="T460" s="134"/>
      <c r="U460" s="134"/>
      <c r="V460" s="134"/>
      <c r="W460" s="134"/>
      <c r="X460" s="134"/>
      <c r="Y460" s="135"/>
      <c r="Z460" s="135"/>
      <c r="AA460" s="136"/>
      <c r="AB460" s="136"/>
      <c r="AC460" s="137"/>
      <c r="AD460" s="137"/>
      <c r="AE460" s="137"/>
      <c r="AF460" s="137"/>
    </row>
    <row r="461" spans="2:32" s="1" customFormat="1" hidden="1">
      <c r="B461" s="2"/>
      <c r="C461" s="133"/>
      <c r="D461" s="134"/>
      <c r="E461" s="134"/>
      <c r="F461" s="134"/>
      <c r="G461" s="134"/>
      <c r="H461" s="134"/>
      <c r="I461" s="134"/>
      <c r="J461" s="134"/>
      <c r="K461" s="134"/>
      <c r="L461" s="134"/>
      <c r="M461" s="135"/>
      <c r="N461" s="134"/>
      <c r="O461" s="134"/>
      <c r="P461" s="134"/>
      <c r="Q461" s="134"/>
      <c r="R461" s="134"/>
      <c r="S461" s="134"/>
      <c r="T461" s="134"/>
      <c r="U461" s="134"/>
      <c r="V461" s="134"/>
      <c r="W461" s="134"/>
      <c r="X461" s="134"/>
      <c r="Y461" s="135"/>
      <c r="Z461" s="135"/>
      <c r="AA461" s="136"/>
      <c r="AB461" s="136"/>
      <c r="AC461" s="137"/>
      <c r="AD461" s="137"/>
      <c r="AE461" s="137"/>
      <c r="AF461" s="137"/>
    </row>
    <row r="462" spans="2:32" s="1" customFormat="1" hidden="1">
      <c r="B462" s="2"/>
      <c r="C462" s="133"/>
      <c r="D462" s="134"/>
      <c r="E462" s="134"/>
      <c r="F462" s="134"/>
      <c r="G462" s="134"/>
      <c r="H462" s="134"/>
      <c r="I462" s="134"/>
      <c r="J462" s="134"/>
      <c r="K462" s="134"/>
      <c r="L462" s="134"/>
      <c r="M462" s="135"/>
      <c r="N462" s="134"/>
      <c r="O462" s="134"/>
      <c r="P462" s="134"/>
      <c r="Q462" s="134"/>
      <c r="R462" s="134"/>
      <c r="S462" s="134"/>
      <c r="T462" s="134"/>
      <c r="U462" s="134"/>
      <c r="V462" s="134"/>
      <c r="W462" s="134"/>
      <c r="X462" s="134"/>
      <c r="Y462" s="135"/>
      <c r="Z462" s="135"/>
      <c r="AA462" s="136"/>
      <c r="AB462" s="136"/>
      <c r="AC462" s="137"/>
      <c r="AD462" s="137"/>
      <c r="AE462" s="137"/>
      <c r="AF462" s="137"/>
    </row>
    <row r="463" spans="2:32" s="1" customFormat="1" hidden="1">
      <c r="B463" s="2"/>
      <c r="C463" s="133"/>
      <c r="D463" s="134"/>
      <c r="E463" s="134"/>
      <c r="F463" s="134"/>
      <c r="G463" s="134"/>
      <c r="H463" s="134"/>
      <c r="I463" s="134"/>
      <c r="J463" s="134"/>
      <c r="K463" s="134"/>
      <c r="L463" s="134"/>
      <c r="M463" s="135"/>
      <c r="N463" s="134"/>
      <c r="O463" s="134"/>
      <c r="P463" s="134"/>
      <c r="Q463" s="134"/>
      <c r="R463" s="134"/>
      <c r="S463" s="134"/>
      <c r="T463" s="134"/>
      <c r="U463" s="134"/>
      <c r="V463" s="134"/>
      <c r="W463" s="134"/>
      <c r="X463" s="134"/>
      <c r="Y463" s="135"/>
      <c r="Z463" s="135"/>
      <c r="AA463" s="136"/>
      <c r="AB463" s="136"/>
      <c r="AC463" s="137"/>
      <c r="AD463" s="137"/>
      <c r="AE463" s="137"/>
      <c r="AF463" s="137"/>
    </row>
    <row r="464" spans="2:32" s="1" customFormat="1" hidden="1">
      <c r="B464" s="2"/>
      <c r="C464" s="133"/>
      <c r="D464" s="134"/>
      <c r="E464" s="134"/>
      <c r="F464" s="134"/>
      <c r="G464" s="134"/>
      <c r="H464" s="134"/>
      <c r="I464" s="134"/>
      <c r="J464" s="134"/>
      <c r="K464" s="134"/>
      <c r="L464" s="134"/>
      <c r="M464" s="135"/>
      <c r="N464" s="134"/>
      <c r="O464" s="134"/>
      <c r="P464" s="134"/>
      <c r="Q464" s="134"/>
      <c r="R464" s="134"/>
      <c r="S464" s="134"/>
      <c r="T464" s="134"/>
      <c r="U464" s="134"/>
      <c r="V464" s="134"/>
      <c r="W464" s="134"/>
      <c r="X464" s="134"/>
      <c r="Y464" s="135"/>
      <c r="Z464" s="135"/>
      <c r="AA464" s="136"/>
      <c r="AB464" s="136"/>
      <c r="AC464" s="137"/>
      <c r="AD464" s="137"/>
      <c r="AE464" s="137"/>
      <c r="AF464" s="137"/>
    </row>
    <row r="465" spans="2:32" s="1" customFormat="1" hidden="1">
      <c r="B465" s="2"/>
      <c r="C465" s="133"/>
      <c r="D465" s="134"/>
      <c r="E465" s="134"/>
      <c r="F465" s="134"/>
      <c r="G465" s="134"/>
      <c r="H465" s="134"/>
      <c r="I465" s="134"/>
      <c r="J465" s="134"/>
      <c r="K465" s="134"/>
      <c r="L465" s="134"/>
      <c r="M465" s="135"/>
      <c r="N465" s="134"/>
      <c r="O465" s="134"/>
      <c r="P465" s="134"/>
      <c r="Q465" s="134"/>
      <c r="R465" s="134"/>
      <c r="S465" s="134"/>
      <c r="T465" s="134"/>
      <c r="U465" s="134"/>
      <c r="V465" s="134"/>
      <c r="W465" s="134"/>
      <c r="X465" s="134"/>
      <c r="Y465" s="135"/>
      <c r="Z465" s="135"/>
      <c r="AA465" s="136"/>
      <c r="AB465" s="136"/>
      <c r="AC465" s="137"/>
      <c r="AD465" s="137"/>
      <c r="AE465" s="137"/>
      <c r="AF465" s="137"/>
    </row>
    <row r="466" spans="2:32" s="1" customFormat="1" hidden="1">
      <c r="B466" s="2"/>
      <c r="C466" s="133"/>
      <c r="D466" s="134"/>
      <c r="E466" s="134"/>
      <c r="F466" s="134"/>
      <c r="G466" s="134"/>
      <c r="H466" s="134"/>
      <c r="I466" s="134"/>
      <c r="J466" s="134"/>
      <c r="K466" s="134"/>
      <c r="L466" s="134"/>
      <c r="M466" s="135"/>
      <c r="N466" s="134"/>
      <c r="O466" s="134"/>
      <c r="P466" s="134"/>
      <c r="Q466" s="134"/>
      <c r="R466" s="134"/>
      <c r="S466" s="134"/>
      <c r="T466" s="134"/>
      <c r="U466" s="134"/>
      <c r="V466" s="134"/>
      <c r="W466" s="134"/>
      <c r="X466" s="134"/>
      <c r="Y466" s="135"/>
      <c r="Z466" s="135"/>
      <c r="AA466" s="136"/>
      <c r="AB466" s="136"/>
      <c r="AC466" s="137"/>
      <c r="AD466" s="137"/>
      <c r="AE466" s="137"/>
      <c r="AF466" s="137"/>
    </row>
    <row r="467" spans="2:32" s="1" customFormat="1" hidden="1">
      <c r="B467" s="2"/>
      <c r="C467" s="133"/>
      <c r="D467" s="134"/>
      <c r="E467" s="134"/>
      <c r="F467" s="134"/>
      <c r="G467" s="134"/>
      <c r="H467" s="134"/>
      <c r="I467" s="134"/>
      <c r="J467" s="134"/>
      <c r="K467" s="134"/>
      <c r="L467" s="134"/>
      <c r="M467" s="135"/>
      <c r="N467" s="134"/>
      <c r="O467" s="134"/>
      <c r="P467" s="134"/>
      <c r="Q467" s="134"/>
      <c r="R467" s="134"/>
      <c r="S467" s="134"/>
      <c r="T467" s="134"/>
      <c r="U467" s="134"/>
      <c r="V467" s="134"/>
      <c r="W467" s="134"/>
      <c r="X467" s="134"/>
      <c r="Y467" s="135"/>
      <c r="Z467" s="135"/>
      <c r="AA467" s="136"/>
      <c r="AB467" s="136"/>
      <c r="AC467" s="137"/>
      <c r="AD467" s="137"/>
      <c r="AE467" s="137"/>
      <c r="AF467" s="137"/>
    </row>
    <row r="468" spans="2:32" s="1" customFormat="1" hidden="1">
      <c r="B468" s="2"/>
      <c r="C468" s="133"/>
      <c r="D468" s="134"/>
      <c r="E468" s="134"/>
      <c r="F468" s="134"/>
      <c r="G468" s="134"/>
      <c r="H468" s="134"/>
      <c r="I468" s="134"/>
      <c r="J468" s="134"/>
      <c r="K468" s="134"/>
      <c r="L468" s="134"/>
      <c r="M468" s="135"/>
      <c r="N468" s="134"/>
      <c r="O468" s="134"/>
      <c r="P468" s="134"/>
      <c r="Q468" s="134"/>
      <c r="R468" s="134"/>
      <c r="S468" s="134"/>
      <c r="T468" s="134"/>
      <c r="U468" s="134"/>
      <c r="V468" s="134"/>
      <c r="W468" s="134"/>
      <c r="X468" s="134"/>
      <c r="Y468" s="135"/>
      <c r="Z468" s="135"/>
      <c r="AA468" s="136"/>
      <c r="AB468" s="136"/>
      <c r="AC468" s="137"/>
      <c r="AD468" s="137"/>
      <c r="AE468" s="137"/>
      <c r="AF468" s="137"/>
    </row>
    <row r="469" spans="2:32" s="1" customFormat="1" hidden="1">
      <c r="B469" s="2"/>
      <c r="C469" s="133"/>
      <c r="D469" s="134"/>
      <c r="E469" s="134"/>
      <c r="F469" s="134"/>
      <c r="G469" s="134"/>
      <c r="H469" s="134"/>
      <c r="I469" s="134"/>
      <c r="J469" s="134"/>
      <c r="K469" s="134"/>
      <c r="L469" s="134"/>
      <c r="M469" s="135"/>
      <c r="N469" s="134"/>
      <c r="O469" s="134"/>
      <c r="P469" s="134"/>
      <c r="Q469" s="134"/>
      <c r="R469" s="134"/>
      <c r="S469" s="134"/>
      <c r="T469" s="134"/>
      <c r="U469" s="134"/>
      <c r="V469" s="134"/>
      <c r="W469" s="134"/>
      <c r="X469" s="134"/>
      <c r="Y469" s="135"/>
      <c r="Z469" s="135"/>
      <c r="AA469" s="136"/>
      <c r="AB469" s="136"/>
      <c r="AC469" s="137"/>
      <c r="AD469" s="137"/>
      <c r="AE469" s="137"/>
      <c r="AF469" s="137"/>
    </row>
    <row r="470" spans="2:32" s="1" customFormat="1" hidden="1">
      <c r="B470" s="2"/>
      <c r="C470" s="133"/>
      <c r="D470" s="134"/>
      <c r="E470" s="134"/>
      <c r="F470" s="134"/>
      <c r="G470" s="134"/>
      <c r="H470" s="134"/>
      <c r="I470" s="134"/>
      <c r="J470" s="134"/>
      <c r="K470" s="134"/>
      <c r="L470" s="134"/>
      <c r="M470" s="135"/>
      <c r="N470" s="134"/>
      <c r="O470" s="134"/>
      <c r="P470" s="134"/>
      <c r="Q470" s="134"/>
      <c r="R470" s="134"/>
      <c r="S470" s="134"/>
      <c r="T470" s="134"/>
      <c r="U470" s="134"/>
      <c r="V470" s="134"/>
      <c r="W470" s="134"/>
      <c r="X470" s="134"/>
      <c r="Y470" s="135"/>
      <c r="Z470" s="135"/>
      <c r="AA470" s="136"/>
      <c r="AB470" s="136"/>
      <c r="AC470" s="137"/>
      <c r="AD470" s="137"/>
      <c r="AE470" s="137"/>
      <c r="AF470" s="137"/>
    </row>
    <row r="471" spans="2:32" s="1" customFormat="1" hidden="1">
      <c r="B471" s="2"/>
      <c r="C471" s="133"/>
      <c r="D471" s="134"/>
      <c r="E471" s="134"/>
      <c r="F471" s="134"/>
      <c r="G471" s="134"/>
      <c r="H471" s="134"/>
      <c r="I471" s="134"/>
      <c r="J471" s="134"/>
      <c r="K471" s="134"/>
      <c r="L471" s="134"/>
      <c r="M471" s="135"/>
      <c r="N471" s="134"/>
      <c r="O471" s="134"/>
      <c r="P471" s="134"/>
      <c r="Q471" s="134"/>
      <c r="R471" s="134"/>
      <c r="S471" s="134"/>
      <c r="T471" s="134"/>
      <c r="U471" s="134"/>
      <c r="V471" s="134"/>
      <c r="W471" s="134"/>
      <c r="X471" s="134"/>
      <c r="Y471" s="135"/>
      <c r="Z471" s="135"/>
      <c r="AA471" s="136"/>
      <c r="AB471" s="136"/>
      <c r="AC471" s="137"/>
      <c r="AD471" s="137"/>
      <c r="AE471" s="137"/>
      <c r="AF471" s="137"/>
    </row>
    <row r="472" spans="2:32" s="1" customFormat="1" hidden="1">
      <c r="B472" s="2"/>
      <c r="C472" s="133"/>
      <c r="D472" s="134"/>
      <c r="E472" s="134"/>
      <c r="F472" s="134"/>
      <c r="G472" s="134"/>
      <c r="H472" s="134"/>
      <c r="I472" s="134"/>
      <c r="J472" s="134"/>
      <c r="K472" s="134"/>
      <c r="L472" s="134"/>
      <c r="M472" s="135"/>
      <c r="N472" s="134"/>
      <c r="O472" s="134"/>
      <c r="P472" s="134"/>
      <c r="Q472" s="134"/>
      <c r="R472" s="134"/>
      <c r="S472" s="134"/>
      <c r="T472" s="134"/>
      <c r="U472" s="134"/>
      <c r="V472" s="134"/>
      <c r="W472" s="134"/>
      <c r="X472" s="134"/>
      <c r="Y472" s="135"/>
      <c r="Z472" s="135"/>
      <c r="AA472" s="136"/>
      <c r="AB472" s="136"/>
      <c r="AC472" s="137"/>
      <c r="AD472" s="137"/>
      <c r="AE472" s="137"/>
      <c r="AF472" s="137"/>
    </row>
    <row r="473" spans="2:32" s="1" customFormat="1" hidden="1">
      <c r="B473" s="2"/>
      <c r="C473" s="133"/>
      <c r="D473" s="134"/>
      <c r="E473" s="134"/>
      <c r="F473" s="134"/>
      <c r="G473" s="134"/>
      <c r="H473" s="134"/>
      <c r="I473" s="134"/>
      <c r="J473" s="134"/>
      <c r="K473" s="134"/>
      <c r="L473" s="134"/>
      <c r="M473" s="135"/>
      <c r="N473" s="134"/>
      <c r="O473" s="134"/>
      <c r="P473" s="134"/>
      <c r="Q473" s="134"/>
      <c r="R473" s="134"/>
      <c r="S473" s="134"/>
      <c r="T473" s="134"/>
      <c r="U473" s="134"/>
      <c r="V473" s="134"/>
      <c r="W473" s="134"/>
      <c r="X473" s="134"/>
      <c r="Y473" s="135"/>
      <c r="Z473" s="135"/>
      <c r="AA473" s="136"/>
      <c r="AB473" s="136"/>
      <c r="AC473" s="137"/>
      <c r="AD473" s="137"/>
      <c r="AE473" s="137"/>
      <c r="AF473" s="137"/>
    </row>
    <row r="474" spans="2:32" s="1" customFormat="1" hidden="1">
      <c r="B474" s="2"/>
      <c r="C474" s="133"/>
      <c r="D474" s="134"/>
      <c r="E474" s="134"/>
      <c r="F474" s="134"/>
      <c r="G474" s="134"/>
      <c r="H474" s="134"/>
      <c r="I474" s="134"/>
      <c r="J474" s="134"/>
      <c r="K474" s="134"/>
      <c r="L474" s="134"/>
      <c r="M474" s="135"/>
      <c r="N474" s="134"/>
      <c r="O474" s="134"/>
      <c r="P474" s="134"/>
      <c r="Q474" s="134"/>
      <c r="R474" s="134"/>
      <c r="S474" s="134"/>
      <c r="T474" s="134"/>
      <c r="U474" s="134"/>
      <c r="V474" s="134"/>
      <c r="W474" s="134"/>
      <c r="X474" s="134"/>
      <c r="Y474" s="135"/>
      <c r="Z474" s="135"/>
      <c r="AA474" s="136"/>
      <c r="AB474" s="136"/>
      <c r="AC474" s="137"/>
      <c r="AD474" s="137"/>
      <c r="AE474" s="137"/>
      <c r="AF474" s="137"/>
    </row>
    <row r="475" spans="2:32" s="1" customFormat="1" hidden="1">
      <c r="B475" s="2"/>
      <c r="C475" s="133"/>
      <c r="D475" s="134"/>
      <c r="E475" s="134"/>
      <c r="F475" s="134"/>
      <c r="G475" s="134"/>
      <c r="H475" s="134"/>
      <c r="I475" s="134"/>
      <c r="J475" s="134"/>
      <c r="K475" s="134"/>
      <c r="L475" s="134"/>
      <c r="M475" s="135"/>
      <c r="N475" s="134"/>
      <c r="O475" s="134"/>
      <c r="P475" s="134"/>
      <c r="Q475" s="134"/>
      <c r="R475" s="134"/>
      <c r="S475" s="134"/>
      <c r="T475" s="134"/>
      <c r="U475" s="134"/>
      <c r="V475" s="134"/>
      <c r="W475" s="134"/>
      <c r="X475" s="134"/>
      <c r="Y475" s="135"/>
      <c r="Z475" s="135"/>
      <c r="AA475" s="136"/>
      <c r="AB475" s="136"/>
      <c r="AC475" s="137"/>
      <c r="AD475" s="137"/>
      <c r="AE475" s="137"/>
      <c r="AF475" s="137"/>
    </row>
    <row r="476" spans="2:32" s="1" customFormat="1" hidden="1">
      <c r="B476" s="2"/>
      <c r="C476" s="133"/>
      <c r="D476" s="134"/>
      <c r="E476" s="134"/>
      <c r="F476" s="134"/>
      <c r="G476" s="134"/>
      <c r="H476" s="134"/>
      <c r="I476" s="134"/>
      <c r="J476" s="134"/>
      <c r="K476" s="134"/>
      <c r="L476" s="134"/>
      <c r="M476" s="135"/>
      <c r="N476" s="134"/>
      <c r="O476" s="134"/>
      <c r="P476" s="134"/>
      <c r="Q476" s="134"/>
      <c r="R476" s="134"/>
      <c r="S476" s="134"/>
      <c r="T476" s="134"/>
      <c r="U476" s="134"/>
      <c r="V476" s="134"/>
      <c r="W476" s="134"/>
      <c r="X476" s="134"/>
      <c r="Y476" s="135"/>
      <c r="Z476" s="135"/>
      <c r="AA476" s="136"/>
      <c r="AB476" s="136"/>
      <c r="AC476" s="137"/>
      <c r="AD476" s="137"/>
      <c r="AE476" s="137"/>
      <c r="AF476" s="137"/>
    </row>
    <row r="477" spans="2:32" s="1" customFormat="1" hidden="1">
      <c r="B477" s="2"/>
      <c r="C477" s="133"/>
      <c r="D477" s="134"/>
      <c r="E477" s="134"/>
      <c r="F477" s="134"/>
      <c r="G477" s="134"/>
      <c r="H477" s="134"/>
      <c r="I477" s="134"/>
      <c r="J477" s="134"/>
      <c r="K477" s="134"/>
      <c r="L477" s="134"/>
      <c r="M477" s="135"/>
      <c r="N477" s="134"/>
      <c r="O477" s="134"/>
      <c r="P477" s="134"/>
      <c r="Q477" s="134"/>
      <c r="R477" s="134"/>
      <c r="S477" s="134"/>
      <c r="T477" s="134"/>
      <c r="U477" s="134"/>
      <c r="V477" s="134"/>
      <c r="W477" s="134"/>
      <c r="X477" s="134"/>
      <c r="Y477" s="135"/>
      <c r="Z477" s="135"/>
      <c r="AA477" s="136"/>
      <c r="AB477" s="136"/>
      <c r="AC477" s="137"/>
      <c r="AD477" s="137"/>
      <c r="AE477" s="137"/>
      <c r="AF477" s="137"/>
    </row>
    <row r="478" spans="2:32" s="1" customFormat="1" hidden="1">
      <c r="B478" s="2"/>
      <c r="C478" s="133"/>
      <c r="D478" s="134"/>
      <c r="E478" s="134"/>
      <c r="F478" s="134"/>
      <c r="G478" s="134"/>
      <c r="H478" s="134"/>
      <c r="I478" s="134"/>
      <c r="J478" s="134"/>
      <c r="K478" s="134"/>
      <c r="L478" s="134"/>
      <c r="M478" s="135"/>
      <c r="N478" s="134"/>
      <c r="O478" s="134"/>
      <c r="P478" s="134"/>
      <c r="Q478" s="134"/>
      <c r="R478" s="134"/>
      <c r="S478" s="134"/>
      <c r="T478" s="134"/>
      <c r="U478" s="134"/>
      <c r="V478" s="134"/>
      <c r="W478" s="134"/>
      <c r="X478" s="134"/>
      <c r="Y478" s="135"/>
      <c r="Z478" s="135"/>
      <c r="AA478" s="136"/>
      <c r="AB478" s="136"/>
      <c r="AC478" s="137"/>
      <c r="AD478" s="137"/>
      <c r="AE478" s="137"/>
      <c r="AF478" s="137"/>
    </row>
    <row r="479" spans="2:32" s="1" customFormat="1" hidden="1">
      <c r="B479" s="2"/>
      <c r="C479" s="133"/>
      <c r="D479" s="134"/>
      <c r="E479" s="134"/>
      <c r="F479" s="134"/>
      <c r="G479" s="134"/>
      <c r="H479" s="134"/>
      <c r="I479" s="134"/>
      <c r="J479" s="134"/>
      <c r="K479" s="134"/>
      <c r="L479" s="134"/>
      <c r="M479" s="135"/>
      <c r="N479" s="134"/>
      <c r="O479" s="134"/>
      <c r="P479" s="134"/>
      <c r="Q479" s="134"/>
      <c r="R479" s="134"/>
      <c r="S479" s="134"/>
      <c r="T479" s="134"/>
      <c r="U479" s="134"/>
      <c r="V479" s="134"/>
      <c r="W479" s="134"/>
      <c r="X479" s="134"/>
      <c r="Y479" s="135"/>
      <c r="Z479" s="135"/>
      <c r="AA479" s="136"/>
      <c r="AB479" s="136"/>
      <c r="AC479" s="137"/>
      <c r="AD479" s="137"/>
      <c r="AE479" s="137"/>
      <c r="AF479" s="137"/>
    </row>
    <row r="480" spans="2:32" s="1" customFormat="1" hidden="1">
      <c r="B480" s="2"/>
      <c r="C480" s="133"/>
      <c r="D480" s="134"/>
      <c r="E480" s="134"/>
      <c r="F480" s="134"/>
      <c r="G480" s="134"/>
      <c r="H480" s="134"/>
      <c r="I480" s="134"/>
      <c r="J480" s="134"/>
      <c r="K480" s="134"/>
      <c r="L480" s="134"/>
      <c r="M480" s="135"/>
      <c r="N480" s="134"/>
      <c r="O480" s="134"/>
      <c r="P480" s="134"/>
      <c r="Q480" s="134"/>
      <c r="R480" s="134"/>
      <c r="S480" s="134"/>
      <c r="T480" s="134"/>
      <c r="U480" s="134"/>
      <c r="V480" s="134"/>
      <c r="W480" s="134"/>
      <c r="X480" s="134"/>
      <c r="Y480" s="135"/>
      <c r="Z480" s="135"/>
      <c r="AA480" s="136"/>
      <c r="AB480" s="136"/>
      <c r="AC480" s="137"/>
      <c r="AD480" s="137"/>
      <c r="AE480" s="137"/>
      <c r="AF480" s="137"/>
    </row>
    <row r="481" spans="2:32" s="1" customFormat="1" hidden="1">
      <c r="B481" s="2"/>
      <c r="C481" s="133"/>
      <c r="D481" s="134"/>
      <c r="E481" s="134"/>
      <c r="F481" s="134"/>
      <c r="G481" s="134"/>
      <c r="H481" s="134"/>
      <c r="I481" s="134"/>
      <c r="J481" s="134"/>
      <c r="K481" s="134"/>
      <c r="L481" s="134"/>
      <c r="M481" s="135"/>
      <c r="N481" s="134"/>
      <c r="O481" s="134"/>
      <c r="P481" s="134"/>
      <c r="Q481" s="134"/>
      <c r="R481" s="134"/>
      <c r="S481" s="134"/>
      <c r="T481" s="134"/>
      <c r="U481" s="134"/>
      <c r="V481" s="134"/>
      <c r="W481" s="134"/>
      <c r="X481" s="134"/>
      <c r="Y481" s="135"/>
      <c r="Z481" s="135"/>
      <c r="AA481" s="136"/>
      <c r="AB481" s="136"/>
      <c r="AC481" s="137"/>
      <c r="AD481" s="137"/>
      <c r="AE481" s="137"/>
      <c r="AF481" s="137"/>
    </row>
    <row r="482" spans="2:32" s="1" customFormat="1" hidden="1">
      <c r="B482" s="2"/>
      <c r="C482" s="133"/>
      <c r="D482" s="134"/>
      <c r="E482" s="134"/>
      <c r="F482" s="134"/>
      <c r="G482" s="134"/>
      <c r="H482" s="134"/>
      <c r="I482" s="134"/>
      <c r="J482" s="134"/>
      <c r="K482" s="134"/>
      <c r="L482" s="134"/>
      <c r="M482" s="135"/>
      <c r="N482" s="134"/>
      <c r="O482" s="134"/>
      <c r="P482" s="134"/>
      <c r="Q482" s="134"/>
      <c r="R482" s="134"/>
      <c r="S482" s="134"/>
      <c r="T482" s="134"/>
      <c r="U482" s="134"/>
      <c r="V482" s="134"/>
      <c r="W482" s="134"/>
      <c r="X482" s="134"/>
      <c r="Y482" s="135"/>
      <c r="Z482" s="135"/>
      <c r="AA482" s="136"/>
      <c r="AB482" s="136"/>
      <c r="AC482" s="137"/>
      <c r="AD482" s="137"/>
      <c r="AE482" s="137"/>
      <c r="AF482" s="137"/>
    </row>
    <row r="483" spans="2:32" s="1" customFormat="1" hidden="1">
      <c r="B483" s="2"/>
      <c r="C483" s="133"/>
      <c r="D483" s="134"/>
      <c r="E483" s="134"/>
      <c r="F483" s="134"/>
      <c r="G483" s="134"/>
      <c r="H483" s="134"/>
      <c r="I483" s="134"/>
      <c r="J483" s="134"/>
      <c r="K483" s="134"/>
      <c r="L483" s="134"/>
      <c r="M483" s="135"/>
      <c r="N483" s="134"/>
      <c r="O483" s="134"/>
      <c r="P483" s="134"/>
      <c r="Q483" s="134"/>
      <c r="R483" s="134"/>
      <c r="S483" s="134"/>
      <c r="T483" s="134"/>
      <c r="U483" s="134"/>
      <c r="V483" s="134"/>
      <c r="W483" s="134"/>
      <c r="X483" s="134"/>
      <c r="Y483" s="135"/>
      <c r="Z483" s="135"/>
      <c r="AA483" s="136"/>
      <c r="AB483" s="136"/>
      <c r="AC483" s="137"/>
      <c r="AD483" s="137"/>
      <c r="AE483" s="137"/>
      <c r="AF483" s="137"/>
    </row>
    <row r="484" spans="2:32" s="1" customFormat="1" hidden="1">
      <c r="B484" s="2"/>
      <c r="C484" s="133"/>
      <c r="D484" s="134"/>
      <c r="E484" s="134"/>
      <c r="F484" s="134"/>
      <c r="G484" s="134"/>
      <c r="H484" s="134"/>
      <c r="I484" s="134"/>
      <c r="J484" s="134"/>
      <c r="K484" s="134"/>
      <c r="L484" s="134"/>
      <c r="M484" s="135"/>
      <c r="N484" s="134"/>
      <c r="O484" s="134"/>
      <c r="P484" s="134"/>
      <c r="Q484" s="134"/>
      <c r="R484" s="134"/>
      <c r="S484" s="134"/>
      <c r="T484" s="134"/>
      <c r="U484" s="134"/>
      <c r="V484" s="134"/>
      <c r="W484" s="134"/>
      <c r="X484" s="134"/>
      <c r="Y484" s="135"/>
      <c r="Z484" s="135"/>
      <c r="AA484" s="136"/>
      <c r="AB484" s="136"/>
      <c r="AC484" s="137"/>
      <c r="AD484" s="137"/>
      <c r="AE484" s="137"/>
      <c r="AF484" s="137"/>
    </row>
    <row r="485" spans="2:32" s="1" customFormat="1" hidden="1">
      <c r="B485" s="2"/>
      <c r="C485" s="133"/>
      <c r="D485" s="134"/>
      <c r="E485" s="134"/>
      <c r="F485" s="134"/>
      <c r="G485" s="134"/>
      <c r="H485" s="134"/>
      <c r="I485" s="134"/>
      <c r="J485" s="134"/>
      <c r="K485" s="134"/>
      <c r="L485" s="134"/>
      <c r="M485" s="135"/>
      <c r="N485" s="134"/>
      <c r="O485" s="134"/>
      <c r="P485" s="134"/>
      <c r="Q485" s="134"/>
      <c r="R485" s="134"/>
      <c r="S485" s="134"/>
      <c r="T485" s="134"/>
      <c r="U485" s="134"/>
      <c r="V485" s="134"/>
      <c r="W485" s="134"/>
      <c r="X485" s="134"/>
      <c r="Y485" s="135"/>
      <c r="Z485" s="135"/>
      <c r="AA485" s="136"/>
      <c r="AB485" s="136"/>
      <c r="AC485" s="137"/>
      <c r="AD485" s="137"/>
      <c r="AE485" s="137"/>
      <c r="AF485" s="137"/>
    </row>
    <row r="486" spans="2:32" s="1" customFormat="1" hidden="1">
      <c r="B486" s="2"/>
      <c r="C486" s="133"/>
      <c r="D486" s="134"/>
      <c r="E486" s="134"/>
      <c r="F486" s="134"/>
      <c r="G486" s="134"/>
      <c r="H486" s="134"/>
      <c r="I486" s="134"/>
      <c r="J486" s="134"/>
      <c r="K486" s="134"/>
      <c r="L486" s="134"/>
      <c r="M486" s="135"/>
      <c r="N486" s="134"/>
      <c r="O486" s="134"/>
      <c r="P486" s="134"/>
      <c r="Q486" s="134"/>
      <c r="R486" s="134"/>
      <c r="S486" s="134"/>
      <c r="T486" s="134"/>
      <c r="U486" s="134"/>
      <c r="V486" s="134"/>
      <c r="W486" s="134"/>
      <c r="X486" s="134"/>
      <c r="Y486" s="135"/>
      <c r="Z486" s="135"/>
      <c r="AA486" s="136"/>
      <c r="AB486" s="136"/>
      <c r="AC486" s="137"/>
      <c r="AD486" s="137"/>
      <c r="AE486" s="137"/>
      <c r="AF486" s="137"/>
    </row>
    <row r="487" spans="2:32" s="1" customFormat="1" hidden="1">
      <c r="B487" s="2"/>
      <c r="C487" s="133"/>
      <c r="D487" s="134"/>
      <c r="E487" s="134"/>
      <c r="F487" s="134"/>
      <c r="G487" s="134"/>
      <c r="H487" s="134"/>
      <c r="I487" s="134"/>
      <c r="J487" s="134"/>
      <c r="K487" s="134"/>
      <c r="L487" s="134"/>
      <c r="M487" s="135"/>
      <c r="N487" s="134"/>
      <c r="O487" s="134"/>
      <c r="P487" s="134"/>
      <c r="Q487" s="134"/>
      <c r="R487" s="134"/>
      <c r="S487" s="134"/>
      <c r="T487" s="134"/>
      <c r="U487" s="134"/>
      <c r="V487" s="134"/>
      <c r="W487" s="134"/>
      <c r="X487" s="134"/>
      <c r="Y487" s="135"/>
      <c r="Z487" s="135"/>
      <c r="AA487" s="136"/>
      <c r="AB487" s="136"/>
      <c r="AC487" s="137"/>
      <c r="AD487" s="137"/>
      <c r="AE487" s="137"/>
      <c r="AF487" s="137"/>
    </row>
    <row r="488" spans="2:32" s="1" customFormat="1" hidden="1">
      <c r="B488" s="2"/>
      <c r="C488" s="133"/>
      <c r="D488" s="134"/>
      <c r="E488" s="134"/>
      <c r="F488" s="134"/>
      <c r="G488" s="134"/>
      <c r="H488" s="134"/>
      <c r="I488" s="134"/>
      <c r="J488" s="134"/>
      <c r="K488" s="134"/>
      <c r="L488" s="134"/>
      <c r="M488" s="135"/>
      <c r="N488" s="134"/>
      <c r="O488" s="134"/>
      <c r="P488" s="134"/>
      <c r="Q488" s="134"/>
      <c r="R488" s="134"/>
      <c r="S488" s="134"/>
      <c r="T488" s="134"/>
      <c r="U488" s="134"/>
      <c r="V488" s="134"/>
      <c r="W488" s="134"/>
      <c r="X488" s="134"/>
      <c r="Y488" s="135"/>
      <c r="Z488" s="135"/>
      <c r="AA488" s="136"/>
      <c r="AB488" s="136"/>
      <c r="AC488" s="137"/>
      <c r="AD488" s="137"/>
      <c r="AE488" s="137"/>
      <c r="AF488" s="137"/>
    </row>
    <row r="489" spans="2:32" s="1" customFormat="1" hidden="1">
      <c r="B489" s="2"/>
      <c r="C489" s="133"/>
      <c r="D489" s="134"/>
      <c r="E489" s="134"/>
      <c r="F489" s="134"/>
      <c r="G489" s="134"/>
      <c r="H489" s="134"/>
      <c r="I489" s="134"/>
      <c r="J489" s="134"/>
      <c r="K489" s="134"/>
      <c r="L489" s="134"/>
      <c r="M489" s="135"/>
      <c r="N489" s="134"/>
      <c r="O489" s="134"/>
      <c r="P489" s="134"/>
      <c r="Q489" s="134"/>
      <c r="R489" s="134"/>
      <c r="S489" s="134"/>
      <c r="T489" s="134"/>
      <c r="U489" s="134"/>
      <c r="V489" s="134"/>
      <c r="W489" s="134"/>
      <c r="X489" s="134"/>
      <c r="Y489" s="135"/>
      <c r="Z489" s="135"/>
      <c r="AA489" s="136"/>
      <c r="AB489" s="136"/>
      <c r="AC489" s="137"/>
      <c r="AD489" s="137"/>
      <c r="AE489" s="137"/>
      <c r="AF489" s="137"/>
    </row>
    <row r="490" spans="2:32" s="1" customFormat="1" hidden="1">
      <c r="B490" s="2"/>
      <c r="C490" s="133"/>
      <c r="D490" s="134"/>
      <c r="E490" s="134"/>
      <c r="F490" s="134"/>
      <c r="G490" s="134"/>
      <c r="H490" s="134"/>
      <c r="I490" s="134"/>
      <c r="J490" s="134"/>
      <c r="K490" s="134"/>
      <c r="L490" s="134"/>
      <c r="M490" s="135"/>
      <c r="N490" s="134"/>
      <c r="O490" s="134"/>
      <c r="P490" s="134"/>
      <c r="Q490" s="134"/>
      <c r="R490" s="134"/>
      <c r="S490" s="134"/>
      <c r="T490" s="134"/>
      <c r="U490" s="134"/>
      <c r="V490" s="134"/>
      <c r="W490" s="134"/>
      <c r="X490" s="134"/>
      <c r="Y490" s="135"/>
      <c r="Z490" s="135"/>
      <c r="AA490" s="136"/>
      <c r="AB490" s="136"/>
      <c r="AC490" s="137"/>
      <c r="AD490" s="137"/>
      <c r="AE490" s="137"/>
      <c r="AF490" s="137"/>
    </row>
    <row r="491" spans="2:32" s="1" customFormat="1" hidden="1">
      <c r="B491" s="2"/>
      <c r="C491" s="133"/>
      <c r="D491" s="134"/>
      <c r="E491" s="134"/>
      <c r="F491" s="134"/>
      <c r="G491" s="134"/>
      <c r="H491" s="134"/>
      <c r="I491" s="134"/>
      <c r="J491" s="134"/>
      <c r="K491" s="134"/>
      <c r="L491" s="134"/>
      <c r="M491" s="135"/>
      <c r="N491" s="134"/>
      <c r="O491" s="134"/>
      <c r="P491" s="134"/>
      <c r="Q491" s="134"/>
      <c r="R491" s="134"/>
      <c r="S491" s="134"/>
      <c r="T491" s="134"/>
      <c r="U491" s="134"/>
      <c r="V491" s="134"/>
      <c r="W491" s="134"/>
      <c r="X491" s="134"/>
      <c r="Y491" s="135"/>
      <c r="Z491" s="135"/>
      <c r="AA491" s="136"/>
      <c r="AB491" s="136"/>
      <c r="AC491" s="137"/>
      <c r="AD491" s="137"/>
      <c r="AE491" s="137"/>
      <c r="AF491" s="137"/>
    </row>
    <row r="492" spans="2:32" s="1" customFormat="1" hidden="1">
      <c r="B492" s="2"/>
      <c r="C492" s="133"/>
      <c r="D492" s="134"/>
      <c r="E492" s="134"/>
      <c r="F492" s="134"/>
      <c r="G492" s="134"/>
      <c r="H492" s="134"/>
      <c r="I492" s="134"/>
      <c r="J492" s="134"/>
      <c r="K492" s="134"/>
      <c r="L492" s="134"/>
      <c r="M492" s="135"/>
      <c r="N492" s="134"/>
      <c r="O492" s="134"/>
      <c r="P492" s="134"/>
      <c r="Q492" s="134"/>
      <c r="R492" s="134"/>
      <c r="S492" s="134"/>
      <c r="T492" s="134"/>
      <c r="U492" s="134"/>
      <c r="V492" s="134"/>
      <c r="W492" s="134"/>
      <c r="X492" s="134"/>
      <c r="Y492" s="135"/>
      <c r="Z492" s="135"/>
      <c r="AA492" s="136"/>
      <c r="AB492" s="136"/>
      <c r="AC492" s="137"/>
      <c r="AD492" s="137"/>
      <c r="AE492" s="137"/>
      <c r="AF492" s="137"/>
    </row>
    <row r="493" spans="2:32" s="1" customFormat="1" hidden="1">
      <c r="B493" s="2"/>
      <c r="C493" s="133"/>
      <c r="D493" s="134"/>
      <c r="E493" s="134"/>
      <c r="F493" s="134"/>
      <c r="G493" s="134"/>
      <c r="H493" s="134"/>
      <c r="I493" s="134"/>
      <c r="J493" s="134"/>
      <c r="K493" s="134"/>
      <c r="L493" s="134"/>
      <c r="M493" s="135"/>
      <c r="N493" s="134"/>
      <c r="O493" s="134"/>
      <c r="P493" s="134"/>
      <c r="Q493" s="134"/>
      <c r="R493" s="134"/>
      <c r="S493" s="134"/>
      <c r="T493" s="134"/>
      <c r="U493" s="134"/>
      <c r="V493" s="134"/>
      <c r="W493" s="134"/>
      <c r="X493" s="134"/>
      <c r="Y493" s="135"/>
      <c r="Z493" s="135"/>
      <c r="AA493" s="136"/>
      <c r="AB493" s="136"/>
      <c r="AC493" s="137"/>
      <c r="AD493" s="137"/>
      <c r="AE493" s="137"/>
      <c r="AF493" s="137"/>
    </row>
    <row r="494" spans="2:32" s="1" customFormat="1" hidden="1">
      <c r="B494" s="2"/>
      <c r="C494" s="133"/>
      <c r="D494" s="134"/>
      <c r="E494" s="134"/>
      <c r="F494" s="134"/>
      <c r="G494" s="134"/>
      <c r="H494" s="134"/>
      <c r="I494" s="134"/>
      <c r="J494" s="134"/>
      <c r="K494" s="134"/>
      <c r="L494" s="134"/>
      <c r="M494" s="135"/>
      <c r="N494" s="134"/>
      <c r="O494" s="134"/>
      <c r="P494" s="134"/>
      <c r="Q494" s="134"/>
      <c r="R494" s="134"/>
      <c r="S494" s="134"/>
      <c r="T494" s="134"/>
      <c r="U494" s="134"/>
      <c r="V494" s="134"/>
      <c r="W494" s="134"/>
      <c r="X494" s="134"/>
      <c r="Y494" s="135"/>
      <c r="Z494" s="135"/>
      <c r="AA494" s="136"/>
      <c r="AB494" s="136"/>
      <c r="AC494" s="137"/>
      <c r="AD494" s="137"/>
      <c r="AE494" s="137"/>
      <c r="AF494" s="137"/>
    </row>
    <row r="495" spans="2:32" s="1" customFormat="1" hidden="1">
      <c r="B495" s="2"/>
      <c r="C495" s="133"/>
      <c r="D495" s="134"/>
      <c r="E495" s="134"/>
      <c r="F495" s="134"/>
      <c r="G495" s="134"/>
      <c r="H495" s="134"/>
      <c r="I495" s="134"/>
      <c r="J495" s="134"/>
      <c r="K495" s="134"/>
      <c r="L495" s="134"/>
      <c r="M495" s="135"/>
      <c r="N495" s="134"/>
      <c r="O495" s="134"/>
      <c r="P495" s="134"/>
      <c r="Q495" s="134"/>
      <c r="R495" s="134"/>
      <c r="S495" s="134"/>
      <c r="T495" s="134"/>
      <c r="U495" s="134"/>
      <c r="V495" s="134"/>
      <c r="W495" s="134"/>
      <c r="X495" s="134"/>
      <c r="Y495" s="135"/>
      <c r="Z495" s="135"/>
      <c r="AA495" s="136"/>
      <c r="AB495" s="136"/>
      <c r="AC495" s="137"/>
      <c r="AD495" s="137"/>
      <c r="AE495" s="137"/>
      <c r="AF495" s="137"/>
    </row>
    <row r="496" spans="2:32" s="1" customFormat="1" hidden="1">
      <c r="B496" s="2"/>
      <c r="C496" s="133"/>
      <c r="D496" s="134"/>
      <c r="E496" s="134"/>
      <c r="F496" s="134"/>
      <c r="G496" s="134"/>
      <c r="H496" s="134"/>
      <c r="I496" s="134"/>
      <c r="J496" s="134"/>
      <c r="K496" s="134"/>
      <c r="L496" s="134"/>
      <c r="M496" s="135"/>
      <c r="N496" s="134"/>
      <c r="O496" s="134"/>
      <c r="P496" s="134"/>
      <c r="Q496" s="134"/>
      <c r="R496" s="134"/>
      <c r="S496" s="134"/>
      <c r="T496" s="134"/>
      <c r="U496" s="134"/>
      <c r="V496" s="134"/>
      <c r="W496" s="134"/>
      <c r="X496" s="134"/>
      <c r="Y496" s="135"/>
      <c r="Z496" s="135"/>
      <c r="AA496" s="136"/>
      <c r="AB496" s="136"/>
      <c r="AC496" s="137"/>
      <c r="AD496" s="137"/>
      <c r="AE496" s="137"/>
      <c r="AF496" s="137"/>
    </row>
    <row r="497" spans="2:32" s="1" customFormat="1" hidden="1">
      <c r="B497" s="2"/>
      <c r="C497" s="133"/>
      <c r="D497" s="134"/>
      <c r="E497" s="134"/>
      <c r="F497" s="134"/>
      <c r="G497" s="134"/>
      <c r="H497" s="134"/>
      <c r="I497" s="134"/>
      <c r="J497" s="134"/>
      <c r="K497" s="134"/>
      <c r="L497" s="134"/>
      <c r="M497" s="135"/>
      <c r="N497" s="134"/>
      <c r="O497" s="134"/>
      <c r="P497" s="134"/>
      <c r="Q497" s="134"/>
      <c r="R497" s="134"/>
      <c r="S497" s="134"/>
      <c r="T497" s="134"/>
      <c r="U497" s="134"/>
      <c r="V497" s="134"/>
      <c r="W497" s="134"/>
      <c r="X497" s="134"/>
      <c r="Y497" s="135"/>
      <c r="Z497" s="135"/>
      <c r="AA497" s="136"/>
      <c r="AB497" s="136"/>
      <c r="AC497" s="137"/>
      <c r="AD497" s="137"/>
      <c r="AE497" s="137"/>
      <c r="AF497" s="137"/>
    </row>
    <row r="498" spans="2:32" s="1" customFormat="1" hidden="1">
      <c r="B498" s="2"/>
      <c r="C498" s="133"/>
      <c r="D498" s="134"/>
      <c r="E498" s="134"/>
      <c r="F498" s="134"/>
      <c r="G498" s="134"/>
      <c r="H498" s="134"/>
      <c r="I498" s="134"/>
      <c r="J498" s="134"/>
      <c r="K498" s="134"/>
      <c r="L498" s="134"/>
      <c r="M498" s="135"/>
      <c r="N498" s="134"/>
      <c r="O498" s="134"/>
      <c r="P498" s="134"/>
      <c r="Q498" s="134"/>
      <c r="R498" s="134"/>
      <c r="S498" s="134"/>
      <c r="T498" s="134"/>
      <c r="U498" s="134"/>
      <c r="V498" s="134"/>
      <c r="W498" s="134"/>
      <c r="X498" s="134"/>
      <c r="Y498" s="135"/>
      <c r="Z498" s="135"/>
      <c r="AA498" s="136"/>
      <c r="AB498" s="136"/>
      <c r="AC498" s="137"/>
      <c r="AD498" s="137"/>
      <c r="AE498" s="137"/>
      <c r="AF498" s="137"/>
    </row>
    <row r="499" spans="2:32" s="1" customFormat="1" hidden="1">
      <c r="B499" s="2"/>
      <c r="C499" s="133"/>
      <c r="D499" s="134"/>
      <c r="E499" s="134"/>
      <c r="F499" s="134"/>
      <c r="G499" s="134"/>
      <c r="H499" s="134"/>
      <c r="I499" s="134"/>
      <c r="J499" s="134"/>
      <c r="K499" s="134"/>
      <c r="L499" s="134"/>
      <c r="M499" s="135"/>
      <c r="N499" s="134"/>
      <c r="O499" s="134"/>
      <c r="P499" s="134"/>
      <c r="Q499" s="134"/>
      <c r="R499" s="134"/>
      <c r="S499" s="134"/>
      <c r="T499" s="134"/>
      <c r="U499" s="134"/>
      <c r="V499" s="134"/>
      <c r="W499" s="134"/>
      <c r="X499" s="134"/>
      <c r="Y499" s="135"/>
      <c r="Z499" s="135"/>
      <c r="AA499" s="136"/>
      <c r="AB499" s="136"/>
      <c r="AC499" s="137"/>
      <c r="AD499" s="137"/>
      <c r="AE499" s="137"/>
      <c r="AF499" s="137"/>
    </row>
    <row r="500" spans="2:32" s="1" customFormat="1" hidden="1">
      <c r="B500" s="2"/>
      <c r="C500" s="133"/>
      <c r="D500" s="134"/>
      <c r="E500" s="134"/>
      <c r="F500" s="134"/>
      <c r="G500" s="134"/>
      <c r="H500" s="134"/>
      <c r="I500" s="134"/>
      <c r="J500" s="134"/>
      <c r="K500" s="134"/>
      <c r="L500" s="134"/>
      <c r="M500" s="135"/>
      <c r="N500" s="134"/>
      <c r="O500" s="134"/>
      <c r="P500" s="134"/>
      <c r="Q500" s="134"/>
      <c r="R500" s="134"/>
      <c r="S500" s="134"/>
      <c r="T500" s="134"/>
      <c r="U500" s="134"/>
      <c r="V500" s="134"/>
      <c r="W500" s="134"/>
      <c r="X500" s="134"/>
      <c r="Y500" s="135"/>
      <c r="Z500" s="135"/>
      <c r="AA500" s="136"/>
      <c r="AB500" s="136"/>
      <c r="AC500" s="137"/>
      <c r="AD500" s="137"/>
      <c r="AE500" s="137"/>
      <c r="AF500" s="137"/>
    </row>
    <row r="501" spans="2:32" s="1" customFormat="1" hidden="1">
      <c r="B501" s="2"/>
      <c r="C501" s="133"/>
      <c r="D501" s="134"/>
      <c r="E501" s="134"/>
      <c r="F501" s="134"/>
      <c r="G501" s="134"/>
      <c r="H501" s="134"/>
      <c r="I501" s="134"/>
      <c r="J501" s="134"/>
      <c r="K501" s="134"/>
      <c r="L501" s="134"/>
      <c r="M501" s="135"/>
      <c r="N501" s="134"/>
      <c r="O501" s="134"/>
      <c r="P501" s="134"/>
      <c r="Q501" s="134"/>
      <c r="R501" s="134"/>
      <c r="S501" s="134"/>
      <c r="T501" s="134"/>
      <c r="U501" s="134"/>
      <c r="V501" s="134"/>
      <c r="W501" s="134"/>
      <c r="X501" s="134"/>
      <c r="Y501" s="135"/>
      <c r="Z501" s="135"/>
      <c r="AA501" s="136"/>
      <c r="AB501" s="136"/>
      <c r="AC501" s="137"/>
      <c r="AD501" s="137"/>
      <c r="AE501" s="137"/>
      <c r="AF501" s="137"/>
    </row>
    <row r="502" spans="2:32" s="1" customFormat="1" hidden="1">
      <c r="B502" s="2"/>
      <c r="C502" s="133"/>
      <c r="D502" s="134"/>
      <c r="E502" s="134"/>
      <c r="F502" s="134"/>
      <c r="G502" s="134"/>
      <c r="H502" s="134"/>
      <c r="I502" s="134"/>
      <c r="J502" s="134"/>
      <c r="K502" s="134"/>
      <c r="L502" s="134"/>
      <c r="M502" s="135"/>
      <c r="N502" s="134"/>
      <c r="O502" s="134"/>
      <c r="P502" s="134"/>
      <c r="Q502" s="134"/>
      <c r="R502" s="134"/>
      <c r="S502" s="134"/>
      <c r="T502" s="134"/>
      <c r="U502" s="134"/>
      <c r="V502" s="134"/>
      <c r="W502" s="134"/>
      <c r="X502" s="134"/>
      <c r="Y502" s="135"/>
      <c r="Z502" s="135"/>
      <c r="AA502" s="136"/>
      <c r="AB502" s="136"/>
      <c r="AC502" s="137"/>
      <c r="AD502" s="137"/>
      <c r="AE502" s="137"/>
      <c r="AF502" s="137"/>
    </row>
    <row r="503" spans="2:32" s="1" customFormat="1" hidden="1">
      <c r="B503" s="2"/>
      <c r="C503" s="133"/>
      <c r="D503" s="134"/>
      <c r="E503" s="134"/>
      <c r="F503" s="134"/>
      <c r="G503" s="134"/>
      <c r="H503" s="134"/>
      <c r="I503" s="134"/>
      <c r="J503" s="134"/>
      <c r="K503" s="134"/>
      <c r="L503" s="134"/>
      <c r="M503" s="135"/>
      <c r="N503" s="134"/>
      <c r="O503" s="134"/>
      <c r="P503" s="134"/>
      <c r="Q503" s="134"/>
      <c r="R503" s="134"/>
      <c r="S503" s="134"/>
      <c r="T503" s="134"/>
      <c r="U503" s="134"/>
      <c r="V503" s="134"/>
      <c r="W503" s="134"/>
      <c r="X503" s="134"/>
      <c r="Y503" s="135"/>
      <c r="Z503" s="135"/>
      <c r="AA503" s="136"/>
      <c r="AB503" s="136"/>
      <c r="AC503" s="137"/>
      <c r="AD503" s="137"/>
      <c r="AE503" s="137"/>
      <c r="AF503" s="137"/>
    </row>
    <row r="504" spans="2:32" s="1" customFormat="1" hidden="1">
      <c r="B504" s="2"/>
      <c r="C504" s="133"/>
      <c r="D504" s="134"/>
      <c r="E504" s="134"/>
      <c r="F504" s="134"/>
      <c r="G504" s="134"/>
      <c r="H504" s="134"/>
      <c r="I504" s="134"/>
      <c r="J504" s="134"/>
      <c r="K504" s="134"/>
      <c r="L504" s="134"/>
      <c r="M504" s="135"/>
      <c r="N504" s="134"/>
      <c r="O504" s="134"/>
      <c r="P504" s="134"/>
      <c r="Q504" s="134"/>
      <c r="R504" s="134"/>
      <c r="S504" s="134"/>
      <c r="T504" s="134"/>
      <c r="U504" s="134"/>
      <c r="V504" s="134"/>
      <c r="W504" s="134"/>
      <c r="X504" s="134"/>
      <c r="Y504" s="135"/>
      <c r="Z504" s="135"/>
      <c r="AA504" s="136"/>
      <c r="AB504" s="136"/>
      <c r="AC504" s="137"/>
      <c r="AD504" s="137"/>
      <c r="AE504" s="137"/>
      <c r="AF504" s="137"/>
    </row>
    <row r="505" spans="2:32" s="1" customFormat="1" hidden="1">
      <c r="B505" s="2"/>
      <c r="C505" s="133"/>
      <c r="D505" s="134"/>
      <c r="E505" s="134"/>
      <c r="F505" s="134"/>
      <c r="G505" s="134"/>
      <c r="H505" s="134"/>
      <c r="I505" s="134"/>
      <c r="J505" s="134"/>
      <c r="K505" s="134"/>
      <c r="L505" s="134"/>
      <c r="M505" s="135"/>
      <c r="N505" s="134"/>
      <c r="O505" s="134"/>
      <c r="P505" s="134"/>
      <c r="Q505" s="134"/>
      <c r="R505" s="134"/>
      <c r="S505" s="134"/>
      <c r="T505" s="134"/>
      <c r="U505" s="134"/>
      <c r="V505" s="134"/>
      <c r="W505" s="134"/>
      <c r="X505" s="134"/>
      <c r="Y505" s="135"/>
      <c r="Z505" s="135"/>
      <c r="AA505" s="136"/>
      <c r="AB505" s="136"/>
      <c r="AC505" s="137"/>
      <c r="AD505" s="137"/>
      <c r="AE505" s="137"/>
      <c r="AF505" s="137"/>
    </row>
    <row r="506" spans="2:32" s="1" customFormat="1" hidden="1">
      <c r="B506" s="2"/>
      <c r="C506" s="133"/>
      <c r="D506" s="134"/>
      <c r="E506" s="134"/>
      <c r="F506" s="134"/>
      <c r="G506" s="134"/>
      <c r="H506" s="134"/>
      <c r="I506" s="134"/>
      <c r="J506" s="134"/>
      <c r="K506" s="134"/>
      <c r="L506" s="134"/>
      <c r="M506" s="135"/>
      <c r="N506" s="134"/>
      <c r="O506" s="134"/>
      <c r="P506" s="134"/>
      <c r="Q506" s="134"/>
      <c r="R506" s="134"/>
      <c r="S506" s="134"/>
      <c r="T506" s="134"/>
      <c r="U506" s="134"/>
      <c r="V506" s="134"/>
      <c r="W506" s="134"/>
      <c r="X506" s="134"/>
      <c r="Y506" s="135"/>
      <c r="Z506" s="135"/>
      <c r="AA506" s="136"/>
      <c r="AB506" s="136"/>
      <c r="AC506" s="137"/>
      <c r="AD506" s="137"/>
      <c r="AE506" s="137"/>
      <c r="AF506" s="137"/>
    </row>
    <row r="507" spans="2:32" s="1" customFormat="1" hidden="1">
      <c r="B507" s="2"/>
      <c r="C507" s="133"/>
      <c r="D507" s="134"/>
      <c r="E507" s="134"/>
      <c r="F507" s="134"/>
      <c r="G507" s="134"/>
      <c r="H507" s="134"/>
      <c r="I507" s="134"/>
      <c r="J507" s="134"/>
      <c r="K507" s="134"/>
      <c r="L507" s="134"/>
      <c r="M507" s="135"/>
      <c r="N507" s="134"/>
      <c r="O507" s="134"/>
      <c r="P507" s="134"/>
      <c r="Q507" s="134"/>
      <c r="R507" s="134"/>
      <c r="S507" s="134"/>
      <c r="T507" s="134"/>
      <c r="U507" s="134"/>
      <c r="V507" s="134"/>
      <c r="W507" s="134"/>
      <c r="X507" s="134"/>
      <c r="Y507" s="135"/>
      <c r="Z507" s="135"/>
      <c r="AA507" s="136"/>
      <c r="AB507" s="136"/>
      <c r="AC507" s="137"/>
      <c r="AD507" s="137"/>
      <c r="AE507" s="137"/>
      <c r="AF507" s="137"/>
    </row>
    <row r="508" spans="2:32" s="1" customFormat="1" hidden="1">
      <c r="B508" s="2"/>
      <c r="C508" s="133"/>
      <c r="D508" s="134"/>
      <c r="E508" s="134"/>
      <c r="F508" s="134"/>
      <c r="G508" s="134"/>
      <c r="H508" s="134"/>
      <c r="I508" s="134"/>
      <c r="J508" s="134"/>
      <c r="K508" s="134"/>
      <c r="L508" s="134"/>
      <c r="M508" s="135"/>
      <c r="N508" s="134"/>
      <c r="O508" s="134"/>
      <c r="P508" s="134"/>
      <c r="Q508" s="134"/>
      <c r="R508" s="134"/>
      <c r="S508" s="134"/>
      <c r="T508" s="134"/>
      <c r="U508" s="134"/>
      <c r="V508" s="134"/>
      <c r="W508" s="134"/>
      <c r="X508" s="134"/>
      <c r="Y508" s="135"/>
      <c r="Z508" s="135"/>
      <c r="AA508" s="136"/>
      <c r="AB508" s="136"/>
      <c r="AC508" s="137"/>
      <c r="AD508" s="137"/>
      <c r="AE508" s="137"/>
      <c r="AF508" s="137"/>
    </row>
    <row r="509" spans="2:32" s="1" customFormat="1" hidden="1">
      <c r="B509" s="2"/>
      <c r="C509" s="133"/>
      <c r="D509" s="134"/>
      <c r="E509" s="134"/>
      <c r="F509" s="134"/>
      <c r="G509" s="134"/>
      <c r="H509" s="134"/>
      <c r="I509" s="134"/>
      <c r="J509" s="134"/>
      <c r="K509" s="134"/>
      <c r="L509" s="134"/>
      <c r="M509" s="135"/>
      <c r="N509" s="134"/>
      <c r="O509" s="134"/>
      <c r="P509" s="134"/>
      <c r="Q509" s="134"/>
      <c r="R509" s="134"/>
      <c r="S509" s="134"/>
      <c r="T509" s="134"/>
      <c r="U509" s="134"/>
      <c r="V509" s="134"/>
      <c r="W509" s="134"/>
      <c r="X509" s="134"/>
      <c r="Y509" s="135"/>
      <c r="Z509" s="135"/>
      <c r="AA509" s="136"/>
      <c r="AB509" s="136"/>
      <c r="AC509" s="137"/>
      <c r="AD509" s="137"/>
      <c r="AE509" s="137"/>
      <c r="AF509" s="137"/>
    </row>
    <row r="510" spans="2:32" s="1" customFormat="1" hidden="1">
      <c r="B510" s="2"/>
      <c r="C510" s="133"/>
      <c r="D510" s="134"/>
      <c r="E510" s="134"/>
      <c r="F510" s="134"/>
      <c r="G510" s="134"/>
      <c r="H510" s="134"/>
      <c r="I510" s="134"/>
      <c r="J510" s="134"/>
      <c r="K510" s="134"/>
      <c r="L510" s="134"/>
      <c r="M510" s="135"/>
      <c r="N510" s="134"/>
      <c r="O510" s="134"/>
      <c r="P510" s="134"/>
      <c r="Q510" s="134"/>
      <c r="R510" s="134"/>
      <c r="S510" s="134"/>
      <c r="T510" s="134"/>
      <c r="U510" s="134"/>
      <c r="V510" s="134"/>
      <c r="W510" s="134"/>
      <c r="X510" s="134"/>
      <c r="Y510" s="135"/>
      <c r="Z510" s="135"/>
      <c r="AA510" s="136"/>
      <c r="AB510" s="136"/>
      <c r="AC510" s="137"/>
      <c r="AD510" s="137"/>
      <c r="AE510" s="137"/>
      <c r="AF510" s="137"/>
    </row>
    <row r="511" spans="2:32" s="1" customFormat="1" hidden="1">
      <c r="B511" s="2"/>
      <c r="C511" s="133"/>
      <c r="D511" s="134"/>
      <c r="E511" s="134"/>
      <c r="F511" s="134"/>
      <c r="G511" s="134"/>
      <c r="H511" s="134"/>
      <c r="I511" s="134"/>
      <c r="J511" s="134"/>
      <c r="K511" s="134"/>
      <c r="L511" s="134"/>
      <c r="M511" s="135"/>
      <c r="N511" s="134"/>
      <c r="O511" s="134"/>
      <c r="P511" s="134"/>
      <c r="Q511" s="134"/>
      <c r="R511" s="134"/>
      <c r="S511" s="134"/>
      <c r="T511" s="134"/>
      <c r="U511" s="134"/>
      <c r="V511" s="134"/>
      <c r="W511" s="134"/>
      <c r="X511" s="134"/>
      <c r="Y511" s="135"/>
      <c r="Z511" s="135"/>
      <c r="AA511" s="136"/>
      <c r="AB511" s="136"/>
      <c r="AC511" s="137"/>
      <c r="AD511" s="137"/>
      <c r="AE511" s="137"/>
      <c r="AF511" s="137"/>
    </row>
    <row r="512" spans="2:32" s="1" customFormat="1" hidden="1">
      <c r="B512" s="2"/>
      <c r="C512" s="133"/>
      <c r="D512" s="134"/>
      <c r="E512" s="134"/>
      <c r="F512" s="134"/>
      <c r="G512" s="134"/>
      <c r="H512" s="134"/>
      <c r="I512" s="134"/>
      <c r="J512" s="134"/>
      <c r="K512" s="134"/>
      <c r="L512" s="134"/>
      <c r="M512" s="135"/>
      <c r="N512" s="134"/>
      <c r="O512" s="134"/>
      <c r="P512" s="134"/>
      <c r="Q512" s="134"/>
      <c r="R512" s="134"/>
      <c r="S512" s="134"/>
      <c r="T512" s="134"/>
      <c r="U512" s="134"/>
      <c r="V512" s="134"/>
      <c r="W512" s="134"/>
      <c r="X512" s="134"/>
      <c r="Y512" s="135"/>
      <c r="Z512" s="135"/>
      <c r="AA512" s="136"/>
      <c r="AB512" s="136"/>
      <c r="AC512" s="137"/>
      <c r="AD512" s="137"/>
      <c r="AE512" s="137"/>
      <c r="AF512" s="137"/>
    </row>
    <row r="513" spans="2:32" s="1" customFormat="1" hidden="1">
      <c r="B513" s="2"/>
      <c r="C513" s="133"/>
      <c r="D513" s="134"/>
      <c r="E513" s="134"/>
      <c r="F513" s="134"/>
      <c r="G513" s="134"/>
      <c r="H513" s="134"/>
      <c r="I513" s="134"/>
      <c r="J513" s="134"/>
      <c r="K513" s="134"/>
      <c r="L513" s="134"/>
      <c r="M513" s="135"/>
      <c r="N513" s="134"/>
      <c r="O513" s="134"/>
      <c r="P513" s="134"/>
      <c r="Q513" s="134"/>
      <c r="R513" s="134"/>
      <c r="S513" s="134"/>
      <c r="T513" s="134"/>
      <c r="U513" s="134"/>
      <c r="V513" s="134"/>
      <c r="W513" s="134"/>
      <c r="X513" s="134"/>
      <c r="Y513" s="135"/>
      <c r="Z513" s="135"/>
      <c r="AA513" s="136"/>
      <c r="AB513" s="136"/>
      <c r="AC513" s="137"/>
      <c r="AD513" s="137"/>
      <c r="AE513" s="137"/>
      <c r="AF513" s="137"/>
    </row>
    <row r="514" spans="2:32" s="1" customFormat="1" hidden="1">
      <c r="B514" s="2"/>
      <c r="C514" s="133"/>
      <c r="D514" s="134"/>
      <c r="E514" s="134"/>
      <c r="F514" s="134"/>
      <c r="G514" s="134"/>
      <c r="H514" s="134"/>
      <c r="I514" s="134"/>
      <c r="J514" s="134"/>
      <c r="K514" s="134"/>
      <c r="L514" s="134"/>
      <c r="M514" s="135"/>
      <c r="N514" s="134"/>
      <c r="O514" s="134"/>
      <c r="P514" s="134"/>
      <c r="Q514" s="134"/>
      <c r="R514" s="134"/>
      <c r="S514" s="134"/>
      <c r="T514" s="134"/>
      <c r="U514" s="134"/>
      <c r="V514" s="134"/>
      <c r="W514" s="134"/>
      <c r="X514" s="134"/>
      <c r="Y514" s="135"/>
      <c r="Z514" s="135"/>
      <c r="AA514" s="136"/>
      <c r="AB514" s="136"/>
      <c r="AC514" s="137"/>
      <c r="AD514" s="137"/>
      <c r="AE514" s="137"/>
      <c r="AF514" s="137"/>
    </row>
    <row r="515" spans="2:32" s="1" customFormat="1" hidden="1">
      <c r="B515" s="2"/>
      <c r="C515" s="133"/>
      <c r="D515" s="134"/>
      <c r="E515" s="134"/>
      <c r="F515" s="134"/>
      <c r="G515" s="134"/>
      <c r="H515" s="134"/>
      <c r="I515" s="134"/>
      <c r="J515" s="134"/>
      <c r="K515" s="134"/>
      <c r="L515" s="134"/>
      <c r="M515" s="135"/>
      <c r="N515" s="134"/>
      <c r="O515" s="134"/>
      <c r="P515" s="134"/>
      <c r="Q515" s="134"/>
      <c r="R515" s="134"/>
      <c r="S515" s="134"/>
      <c r="T515" s="134"/>
      <c r="U515" s="134"/>
      <c r="V515" s="134"/>
      <c r="W515" s="134"/>
      <c r="X515" s="134"/>
      <c r="Y515" s="135"/>
      <c r="Z515" s="135"/>
      <c r="AA515" s="136"/>
      <c r="AB515" s="136"/>
      <c r="AC515" s="137"/>
      <c r="AD515" s="137"/>
      <c r="AE515" s="137"/>
      <c r="AF515" s="137"/>
    </row>
    <row r="516" spans="2:32" s="1" customFormat="1" hidden="1">
      <c r="B516" s="2"/>
      <c r="C516" s="133"/>
      <c r="D516" s="134"/>
      <c r="E516" s="134"/>
      <c r="F516" s="134"/>
      <c r="G516" s="134"/>
      <c r="H516" s="134"/>
      <c r="I516" s="134"/>
      <c r="J516" s="134"/>
      <c r="K516" s="134"/>
      <c r="L516" s="134"/>
      <c r="M516" s="135"/>
      <c r="N516" s="134"/>
      <c r="O516" s="134"/>
      <c r="P516" s="134"/>
      <c r="Q516" s="134"/>
      <c r="R516" s="134"/>
      <c r="S516" s="134"/>
      <c r="T516" s="134"/>
      <c r="U516" s="134"/>
      <c r="V516" s="134"/>
      <c r="W516" s="134"/>
      <c r="X516" s="134"/>
      <c r="Y516" s="135"/>
      <c r="Z516" s="135"/>
      <c r="AA516" s="136"/>
      <c r="AB516" s="136"/>
      <c r="AC516" s="137"/>
      <c r="AD516" s="137"/>
      <c r="AE516" s="137"/>
      <c r="AF516" s="137"/>
    </row>
    <row r="517" spans="2:32" s="1" customFormat="1" hidden="1">
      <c r="B517" s="2"/>
      <c r="C517" s="133"/>
      <c r="D517" s="134"/>
      <c r="E517" s="134"/>
      <c r="F517" s="134"/>
      <c r="G517" s="134"/>
      <c r="H517" s="134"/>
      <c r="I517" s="134"/>
      <c r="J517" s="134"/>
      <c r="K517" s="134"/>
      <c r="L517" s="134"/>
      <c r="M517" s="135"/>
      <c r="N517" s="134"/>
      <c r="O517" s="134"/>
      <c r="P517" s="134"/>
      <c r="Q517" s="134"/>
      <c r="R517" s="134"/>
      <c r="S517" s="134"/>
      <c r="T517" s="134"/>
      <c r="U517" s="134"/>
      <c r="V517" s="134"/>
      <c r="W517" s="134"/>
      <c r="X517" s="134"/>
      <c r="Y517" s="135"/>
      <c r="Z517" s="135"/>
      <c r="AA517" s="136"/>
      <c r="AB517" s="136"/>
      <c r="AC517" s="137"/>
      <c r="AD517" s="137"/>
      <c r="AE517" s="137"/>
      <c r="AF517" s="137"/>
    </row>
    <row r="518" spans="2:32" s="1" customFormat="1" hidden="1">
      <c r="B518" s="2"/>
      <c r="C518" s="133"/>
      <c r="D518" s="134"/>
      <c r="E518" s="134"/>
      <c r="F518" s="134"/>
      <c r="G518" s="134"/>
      <c r="H518" s="134"/>
      <c r="I518" s="134"/>
      <c r="J518" s="134"/>
      <c r="K518" s="134"/>
      <c r="L518" s="134"/>
      <c r="M518" s="135"/>
      <c r="N518" s="134"/>
      <c r="O518" s="134"/>
      <c r="P518" s="134"/>
      <c r="Q518" s="134"/>
      <c r="R518" s="134"/>
      <c r="S518" s="134"/>
      <c r="T518" s="134"/>
      <c r="U518" s="134"/>
      <c r="V518" s="134"/>
      <c r="W518" s="134"/>
      <c r="X518" s="134"/>
      <c r="Y518" s="135"/>
      <c r="Z518" s="135"/>
      <c r="AA518" s="136"/>
      <c r="AB518" s="136"/>
      <c r="AC518" s="137"/>
      <c r="AD518" s="137"/>
      <c r="AE518" s="137"/>
      <c r="AF518" s="137"/>
    </row>
    <row r="519" spans="2:32" s="1" customFormat="1" hidden="1">
      <c r="B519" s="2"/>
      <c r="C519" s="133"/>
      <c r="D519" s="134"/>
      <c r="E519" s="134"/>
      <c r="F519" s="134"/>
      <c r="G519" s="134"/>
      <c r="H519" s="134"/>
      <c r="I519" s="134"/>
      <c r="J519" s="134"/>
      <c r="K519" s="134"/>
      <c r="L519" s="134"/>
      <c r="M519" s="135"/>
      <c r="N519" s="134"/>
      <c r="O519" s="134"/>
      <c r="P519" s="134"/>
      <c r="Q519" s="134"/>
      <c r="R519" s="134"/>
      <c r="S519" s="134"/>
      <c r="T519" s="134"/>
      <c r="U519" s="134"/>
      <c r="V519" s="134"/>
      <c r="W519" s="134"/>
      <c r="X519" s="134"/>
      <c r="Y519" s="135"/>
      <c r="Z519" s="135"/>
      <c r="AA519" s="136"/>
      <c r="AB519" s="136"/>
      <c r="AC519" s="137"/>
      <c r="AD519" s="137"/>
      <c r="AE519" s="137"/>
      <c r="AF519" s="137"/>
    </row>
    <row r="520" spans="2:32" s="1" customFormat="1" hidden="1">
      <c r="B520" s="2"/>
      <c r="C520" s="133"/>
      <c r="D520" s="134"/>
      <c r="E520" s="134"/>
      <c r="F520" s="134"/>
      <c r="G520" s="134"/>
      <c r="H520" s="134"/>
      <c r="I520" s="134"/>
      <c r="J520" s="134"/>
      <c r="K520" s="134"/>
      <c r="L520" s="134"/>
      <c r="M520" s="135"/>
      <c r="N520" s="134"/>
      <c r="O520" s="134"/>
      <c r="P520" s="134"/>
      <c r="Q520" s="134"/>
      <c r="R520" s="134"/>
      <c r="S520" s="134"/>
      <c r="T520" s="134"/>
      <c r="U520" s="134"/>
      <c r="V520" s="134"/>
      <c r="W520" s="134"/>
      <c r="X520" s="134"/>
      <c r="Y520" s="135"/>
      <c r="Z520" s="135"/>
      <c r="AA520" s="136"/>
      <c r="AB520" s="136"/>
      <c r="AC520" s="137"/>
      <c r="AD520" s="137"/>
      <c r="AE520" s="137"/>
      <c r="AF520" s="137"/>
    </row>
    <row r="521" spans="2:32" s="1" customFormat="1" hidden="1">
      <c r="B521" s="2"/>
      <c r="C521" s="133"/>
      <c r="D521" s="134"/>
      <c r="E521" s="134"/>
      <c r="F521" s="134"/>
      <c r="G521" s="134"/>
      <c r="H521" s="134"/>
      <c r="I521" s="134"/>
      <c r="J521" s="134"/>
      <c r="K521" s="134"/>
      <c r="L521" s="134"/>
      <c r="M521" s="135"/>
      <c r="N521" s="134"/>
      <c r="O521" s="134"/>
      <c r="P521" s="134"/>
      <c r="Q521" s="134"/>
      <c r="R521" s="134"/>
      <c r="S521" s="134"/>
      <c r="T521" s="134"/>
      <c r="U521" s="134"/>
      <c r="V521" s="134"/>
      <c r="W521" s="134"/>
      <c r="X521" s="134"/>
      <c r="Y521" s="135"/>
      <c r="Z521" s="135"/>
      <c r="AA521" s="136"/>
      <c r="AB521" s="136"/>
      <c r="AC521" s="137"/>
      <c r="AD521" s="137"/>
      <c r="AE521" s="137"/>
      <c r="AF521" s="137"/>
    </row>
    <row r="522" spans="2:32" s="1" customFormat="1" hidden="1">
      <c r="B522" s="2"/>
      <c r="C522" s="133"/>
      <c r="D522" s="134"/>
      <c r="E522" s="134"/>
      <c r="F522" s="134"/>
      <c r="G522" s="134"/>
      <c r="H522" s="134"/>
      <c r="I522" s="134"/>
      <c r="J522" s="134"/>
      <c r="K522" s="134"/>
      <c r="L522" s="134"/>
      <c r="M522" s="135"/>
      <c r="N522" s="134"/>
      <c r="O522" s="134"/>
      <c r="P522" s="134"/>
      <c r="Q522" s="134"/>
      <c r="R522" s="134"/>
      <c r="S522" s="134"/>
      <c r="T522" s="134"/>
      <c r="U522" s="134"/>
      <c r="V522" s="134"/>
      <c r="W522" s="134"/>
      <c r="X522" s="134"/>
      <c r="Y522" s="135"/>
      <c r="Z522" s="135"/>
      <c r="AA522" s="136"/>
      <c r="AB522" s="136"/>
      <c r="AC522" s="137"/>
      <c r="AD522" s="137"/>
      <c r="AE522" s="137"/>
      <c r="AF522" s="137"/>
    </row>
    <row r="523" spans="2:32" s="1" customFormat="1" hidden="1">
      <c r="B523" s="2"/>
      <c r="C523" s="133"/>
      <c r="D523" s="134"/>
      <c r="E523" s="134"/>
      <c r="F523" s="134"/>
      <c r="G523" s="134"/>
      <c r="H523" s="134"/>
      <c r="I523" s="134"/>
      <c r="J523" s="134"/>
      <c r="K523" s="134"/>
      <c r="L523" s="134"/>
      <c r="M523" s="135"/>
      <c r="N523" s="134"/>
      <c r="O523" s="134"/>
      <c r="P523" s="134"/>
      <c r="Q523" s="134"/>
      <c r="R523" s="134"/>
      <c r="S523" s="134"/>
      <c r="T523" s="134"/>
      <c r="U523" s="134"/>
      <c r="V523" s="134"/>
      <c r="W523" s="134"/>
      <c r="X523" s="134"/>
      <c r="Y523" s="135"/>
      <c r="Z523" s="135"/>
      <c r="AA523" s="136"/>
      <c r="AB523" s="136"/>
      <c r="AC523" s="137"/>
      <c r="AD523" s="137"/>
      <c r="AE523" s="137"/>
      <c r="AF523" s="137"/>
    </row>
    <row r="524" spans="2:32" s="1" customFormat="1" hidden="1">
      <c r="B524" s="2"/>
      <c r="C524" s="133"/>
      <c r="D524" s="134"/>
      <c r="E524" s="134"/>
      <c r="F524" s="134"/>
      <c r="G524" s="134"/>
      <c r="H524" s="134"/>
      <c r="I524" s="134"/>
      <c r="J524" s="134"/>
      <c r="K524" s="134"/>
      <c r="L524" s="134"/>
      <c r="M524" s="135"/>
      <c r="N524" s="134"/>
      <c r="O524" s="134"/>
      <c r="P524" s="134"/>
      <c r="Q524" s="134"/>
      <c r="R524" s="134"/>
      <c r="S524" s="134"/>
      <c r="T524" s="134"/>
      <c r="U524" s="134"/>
      <c r="V524" s="134"/>
      <c r="W524" s="134"/>
      <c r="X524" s="134"/>
      <c r="Y524" s="135"/>
      <c r="Z524" s="135"/>
      <c r="AA524" s="136"/>
      <c r="AB524" s="136"/>
      <c r="AC524" s="137"/>
      <c r="AD524" s="137"/>
      <c r="AE524" s="137"/>
      <c r="AF524" s="137"/>
    </row>
    <row r="525" spans="2:32" s="1" customFormat="1" hidden="1">
      <c r="B525" s="2"/>
      <c r="C525" s="133"/>
      <c r="D525" s="134"/>
      <c r="E525" s="134"/>
      <c r="F525" s="134"/>
      <c r="G525" s="134"/>
      <c r="H525" s="134"/>
      <c r="I525" s="134"/>
      <c r="J525" s="134"/>
      <c r="K525" s="134"/>
      <c r="L525" s="134"/>
      <c r="M525" s="135"/>
      <c r="N525" s="134"/>
      <c r="O525" s="134"/>
      <c r="P525" s="134"/>
      <c r="Q525" s="134"/>
      <c r="R525" s="134"/>
      <c r="S525" s="134"/>
      <c r="T525" s="134"/>
      <c r="U525" s="134"/>
      <c r="V525" s="134"/>
      <c r="W525" s="134"/>
      <c r="X525" s="134"/>
      <c r="Y525" s="135"/>
      <c r="Z525" s="135"/>
      <c r="AA525" s="136"/>
      <c r="AB525" s="136"/>
      <c r="AC525" s="137"/>
      <c r="AD525" s="137"/>
      <c r="AE525" s="137"/>
      <c r="AF525" s="137"/>
    </row>
    <row r="526" spans="2:32" s="1" customFormat="1" hidden="1">
      <c r="B526" s="2"/>
      <c r="C526" s="133"/>
      <c r="D526" s="134"/>
      <c r="E526" s="134"/>
      <c r="F526" s="134"/>
      <c r="G526" s="134"/>
      <c r="H526" s="134"/>
      <c r="I526" s="134"/>
      <c r="J526" s="134"/>
      <c r="K526" s="134"/>
      <c r="L526" s="134"/>
      <c r="M526" s="135"/>
      <c r="N526" s="134"/>
      <c r="O526" s="134"/>
      <c r="P526" s="134"/>
      <c r="Q526" s="134"/>
      <c r="R526" s="134"/>
      <c r="S526" s="134"/>
      <c r="T526" s="134"/>
      <c r="U526" s="134"/>
      <c r="V526" s="134"/>
      <c r="W526" s="134"/>
      <c r="X526" s="134"/>
      <c r="Y526" s="135"/>
      <c r="Z526" s="135"/>
      <c r="AA526" s="136"/>
      <c r="AB526" s="136"/>
      <c r="AC526" s="137"/>
      <c r="AD526" s="137"/>
      <c r="AE526" s="137"/>
      <c r="AF526" s="137"/>
    </row>
    <row r="527" spans="2:32" s="1" customFormat="1" hidden="1">
      <c r="B527" s="2"/>
      <c r="C527" s="133"/>
      <c r="D527" s="134"/>
      <c r="E527" s="134"/>
      <c r="F527" s="134"/>
      <c r="G527" s="134"/>
      <c r="H527" s="134"/>
      <c r="I527" s="134"/>
      <c r="J527" s="134"/>
      <c r="K527" s="134"/>
      <c r="L527" s="134"/>
      <c r="M527" s="135"/>
      <c r="N527" s="134"/>
      <c r="O527" s="134"/>
      <c r="P527" s="134"/>
      <c r="Q527" s="134"/>
      <c r="R527" s="134"/>
      <c r="S527" s="134"/>
      <c r="T527" s="134"/>
      <c r="U527" s="134"/>
      <c r="V527" s="134"/>
      <c r="W527" s="134"/>
      <c r="X527" s="134"/>
      <c r="Y527" s="135"/>
      <c r="Z527" s="135"/>
      <c r="AA527" s="136"/>
      <c r="AB527" s="136"/>
      <c r="AC527" s="137"/>
      <c r="AD527" s="137"/>
      <c r="AE527" s="137"/>
      <c r="AF527" s="137"/>
    </row>
    <row r="528" spans="2:32" s="1" customFormat="1" hidden="1">
      <c r="B528" s="2"/>
      <c r="C528" s="133"/>
      <c r="D528" s="134"/>
      <c r="E528" s="134"/>
      <c r="F528" s="134"/>
      <c r="G528" s="134"/>
      <c r="H528" s="134"/>
      <c r="I528" s="134"/>
      <c r="J528" s="134"/>
      <c r="K528" s="134"/>
      <c r="L528" s="134"/>
      <c r="M528" s="135"/>
      <c r="N528" s="134"/>
      <c r="O528" s="134"/>
      <c r="P528" s="134"/>
      <c r="Q528" s="134"/>
      <c r="R528" s="134"/>
      <c r="S528" s="134"/>
      <c r="T528" s="134"/>
      <c r="U528" s="134"/>
      <c r="V528" s="134"/>
      <c r="W528" s="134"/>
      <c r="X528" s="134"/>
      <c r="Y528" s="135"/>
      <c r="Z528" s="135"/>
      <c r="AA528" s="136"/>
      <c r="AB528" s="136"/>
      <c r="AC528" s="137"/>
      <c r="AD528" s="137"/>
      <c r="AE528" s="137"/>
      <c r="AF528" s="137"/>
    </row>
    <row r="529" spans="2:32" s="1" customFormat="1" hidden="1">
      <c r="B529" s="2"/>
      <c r="C529" s="133"/>
      <c r="D529" s="134"/>
      <c r="E529" s="134"/>
      <c r="F529" s="134"/>
      <c r="G529" s="134"/>
      <c r="H529" s="134"/>
      <c r="I529" s="134"/>
      <c r="J529" s="134"/>
      <c r="K529" s="134"/>
      <c r="L529" s="134"/>
      <c r="M529" s="135"/>
      <c r="N529" s="134"/>
      <c r="O529" s="134"/>
      <c r="P529" s="134"/>
      <c r="Q529" s="134"/>
      <c r="R529" s="134"/>
      <c r="S529" s="134"/>
      <c r="T529" s="134"/>
      <c r="U529" s="134"/>
      <c r="V529" s="134"/>
      <c r="W529" s="134"/>
      <c r="X529" s="134"/>
      <c r="Y529" s="135"/>
      <c r="Z529" s="135"/>
      <c r="AA529" s="136"/>
      <c r="AB529" s="136"/>
      <c r="AC529" s="137"/>
      <c r="AD529" s="137"/>
      <c r="AE529" s="137"/>
      <c r="AF529" s="137"/>
    </row>
    <row r="530" spans="2:32" s="1" customFormat="1" hidden="1">
      <c r="B530" s="2"/>
      <c r="C530" s="133"/>
      <c r="D530" s="134"/>
      <c r="E530" s="134"/>
      <c r="F530" s="134"/>
      <c r="G530" s="134"/>
      <c r="H530" s="134"/>
      <c r="I530" s="134"/>
      <c r="J530" s="134"/>
      <c r="K530" s="134"/>
      <c r="L530" s="134"/>
      <c r="M530" s="135"/>
      <c r="N530" s="134"/>
      <c r="O530" s="134"/>
      <c r="P530" s="134"/>
      <c r="Q530" s="134"/>
      <c r="R530" s="134"/>
      <c r="S530" s="134"/>
      <c r="T530" s="134"/>
      <c r="U530" s="134"/>
      <c r="V530" s="134"/>
      <c r="W530" s="134"/>
      <c r="X530" s="134"/>
      <c r="Y530" s="135"/>
      <c r="Z530" s="135"/>
      <c r="AA530" s="136"/>
      <c r="AB530" s="136"/>
      <c r="AC530" s="137"/>
      <c r="AD530" s="137"/>
      <c r="AE530" s="137"/>
      <c r="AF530" s="137"/>
    </row>
    <row r="531" spans="2:32" s="1" customFormat="1" hidden="1">
      <c r="B531" s="2"/>
      <c r="C531" s="133"/>
      <c r="D531" s="134"/>
      <c r="E531" s="134"/>
      <c r="F531" s="134"/>
      <c r="G531" s="134"/>
      <c r="H531" s="134"/>
      <c r="I531" s="134"/>
      <c r="J531" s="134"/>
      <c r="K531" s="134"/>
      <c r="L531" s="134"/>
      <c r="M531" s="135"/>
      <c r="N531" s="134"/>
      <c r="O531" s="134"/>
      <c r="P531" s="134"/>
      <c r="Q531" s="134"/>
      <c r="R531" s="134"/>
      <c r="S531" s="134"/>
      <c r="T531" s="134"/>
      <c r="U531" s="134"/>
      <c r="V531" s="134"/>
      <c r="W531" s="134"/>
      <c r="X531" s="134"/>
      <c r="Y531" s="135"/>
      <c r="Z531" s="135"/>
      <c r="AA531" s="136"/>
      <c r="AB531" s="136"/>
      <c r="AC531" s="137"/>
      <c r="AD531" s="137"/>
      <c r="AE531" s="137"/>
      <c r="AF531" s="137"/>
    </row>
    <row r="532" spans="2:32" s="1" customFormat="1" hidden="1">
      <c r="B532" s="2"/>
      <c r="C532" s="133"/>
      <c r="D532" s="134"/>
      <c r="E532" s="134"/>
      <c r="F532" s="134"/>
      <c r="G532" s="134"/>
      <c r="H532" s="134"/>
      <c r="I532" s="134"/>
      <c r="J532" s="134"/>
      <c r="K532" s="134"/>
      <c r="L532" s="134"/>
      <c r="M532" s="135"/>
      <c r="N532" s="134"/>
      <c r="O532" s="134"/>
      <c r="P532" s="134"/>
      <c r="Q532" s="134"/>
      <c r="R532" s="134"/>
      <c r="S532" s="134"/>
      <c r="T532" s="134"/>
      <c r="U532" s="134"/>
      <c r="V532" s="134"/>
      <c r="W532" s="134"/>
      <c r="X532" s="134"/>
      <c r="Y532" s="135"/>
      <c r="Z532" s="135"/>
      <c r="AA532" s="136"/>
      <c r="AB532" s="136"/>
      <c r="AC532" s="137"/>
      <c r="AD532" s="137"/>
      <c r="AE532" s="137"/>
      <c r="AF532" s="137"/>
    </row>
    <row r="533" spans="2:32" s="1" customFormat="1" hidden="1">
      <c r="B533" s="2"/>
      <c r="C533" s="133"/>
      <c r="D533" s="134"/>
      <c r="E533" s="134"/>
      <c r="F533" s="134"/>
      <c r="G533" s="134"/>
      <c r="H533" s="134"/>
      <c r="I533" s="134"/>
      <c r="J533" s="134"/>
      <c r="K533" s="134"/>
      <c r="L533" s="134"/>
      <c r="M533" s="135"/>
      <c r="N533" s="134"/>
      <c r="O533" s="134"/>
      <c r="P533" s="134"/>
      <c r="Q533" s="134"/>
      <c r="R533" s="134"/>
      <c r="S533" s="134"/>
      <c r="T533" s="134"/>
      <c r="U533" s="134"/>
      <c r="V533" s="134"/>
      <c r="W533" s="134"/>
      <c r="X533" s="134"/>
      <c r="Y533" s="135"/>
      <c r="Z533" s="135"/>
      <c r="AA533" s="136"/>
      <c r="AB533" s="136"/>
      <c r="AC533" s="137"/>
      <c r="AD533" s="137"/>
      <c r="AE533" s="137"/>
      <c r="AF533" s="137"/>
    </row>
    <row r="534" spans="2:32" s="1" customFormat="1" hidden="1">
      <c r="B534" s="2"/>
      <c r="C534" s="133"/>
      <c r="D534" s="134"/>
      <c r="E534" s="134"/>
      <c r="F534" s="134"/>
      <c r="G534" s="134"/>
      <c r="H534" s="134"/>
      <c r="I534" s="134"/>
      <c r="J534" s="134"/>
      <c r="K534" s="134"/>
      <c r="L534" s="134"/>
      <c r="M534" s="135"/>
      <c r="N534" s="134"/>
      <c r="O534" s="134"/>
      <c r="P534" s="134"/>
      <c r="Q534" s="134"/>
      <c r="R534" s="134"/>
      <c r="S534" s="134"/>
      <c r="T534" s="134"/>
      <c r="U534" s="134"/>
      <c r="V534" s="134"/>
      <c r="W534" s="134"/>
      <c r="X534" s="134"/>
      <c r="Y534" s="135"/>
      <c r="Z534" s="135"/>
      <c r="AA534" s="136"/>
      <c r="AB534" s="136"/>
      <c r="AC534" s="137"/>
      <c r="AD534" s="137"/>
      <c r="AE534" s="137"/>
      <c r="AF534" s="137"/>
    </row>
    <row r="535" spans="2:32" s="1" customFormat="1" hidden="1">
      <c r="B535" s="2"/>
      <c r="C535" s="133"/>
      <c r="D535" s="134"/>
      <c r="E535" s="134"/>
      <c r="F535" s="134"/>
      <c r="G535" s="134"/>
      <c r="H535" s="134"/>
      <c r="I535" s="134"/>
      <c r="J535" s="134"/>
      <c r="K535" s="134"/>
      <c r="L535" s="134"/>
      <c r="M535" s="135"/>
      <c r="N535" s="134"/>
      <c r="O535" s="134"/>
      <c r="P535" s="134"/>
      <c r="Q535" s="134"/>
      <c r="R535" s="134"/>
      <c r="S535" s="134"/>
      <c r="T535" s="134"/>
      <c r="U535" s="134"/>
      <c r="V535" s="134"/>
      <c r="W535" s="134"/>
      <c r="X535" s="134"/>
      <c r="Y535" s="135"/>
      <c r="Z535" s="135"/>
      <c r="AA535" s="136"/>
      <c r="AB535" s="136"/>
      <c r="AC535" s="137"/>
      <c r="AD535" s="137"/>
      <c r="AE535" s="137"/>
      <c r="AF535" s="137"/>
    </row>
    <row r="536" spans="2:32" s="1" customFormat="1" hidden="1">
      <c r="B536" s="2"/>
      <c r="C536" s="133"/>
      <c r="D536" s="134"/>
      <c r="E536" s="134"/>
      <c r="F536" s="134"/>
      <c r="G536" s="134"/>
      <c r="H536" s="134"/>
      <c r="I536" s="134"/>
      <c r="J536" s="134"/>
      <c r="K536" s="134"/>
      <c r="L536" s="134"/>
      <c r="M536" s="135"/>
      <c r="N536" s="134"/>
      <c r="O536" s="134"/>
      <c r="P536" s="134"/>
      <c r="Q536" s="134"/>
      <c r="R536" s="134"/>
      <c r="S536" s="134"/>
      <c r="T536" s="134"/>
      <c r="U536" s="134"/>
      <c r="V536" s="134"/>
      <c r="W536" s="134"/>
      <c r="X536" s="134"/>
      <c r="Y536" s="135"/>
      <c r="Z536" s="135"/>
      <c r="AA536" s="136"/>
      <c r="AB536" s="136"/>
      <c r="AC536" s="137"/>
      <c r="AD536" s="137"/>
      <c r="AE536" s="137"/>
      <c r="AF536" s="137"/>
    </row>
    <row r="537" spans="2:32" s="1" customFormat="1" hidden="1">
      <c r="B537" s="2"/>
      <c r="C537" s="133"/>
      <c r="D537" s="134"/>
      <c r="E537" s="134"/>
      <c r="F537" s="134"/>
      <c r="G537" s="134"/>
      <c r="H537" s="134"/>
      <c r="I537" s="134"/>
      <c r="J537" s="134"/>
      <c r="K537" s="134"/>
      <c r="L537" s="134"/>
      <c r="M537" s="135"/>
      <c r="N537" s="134"/>
      <c r="O537" s="134"/>
      <c r="P537" s="134"/>
      <c r="Q537" s="134"/>
      <c r="R537" s="134"/>
      <c r="S537" s="134"/>
      <c r="T537" s="134"/>
      <c r="U537" s="134"/>
      <c r="V537" s="134"/>
      <c r="W537" s="134"/>
      <c r="X537" s="134"/>
      <c r="Y537" s="135"/>
      <c r="Z537" s="135"/>
      <c r="AA537" s="136"/>
      <c r="AB537" s="136"/>
      <c r="AC537" s="137"/>
      <c r="AD537" s="137"/>
      <c r="AE537" s="137"/>
      <c r="AF537" s="137"/>
    </row>
    <row r="538" spans="2:32" s="1" customFormat="1" hidden="1">
      <c r="B538" s="2"/>
      <c r="C538" s="133"/>
      <c r="D538" s="134"/>
      <c r="E538" s="134"/>
      <c r="F538" s="134"/>
      <c r="G538" s="134"/>
      <c r="H538" s="134"/>
      <c r="I538" s="134"/>
      <c r="J538" s="134"/>
      <c r="K538" s="134"/>
      <c r="L538" s="134"/>
      <c r="M538" s="135"/>
      <c r="N538" s="134"/>
      <c r="O538" s="134"/>
      <c r="P538" s="134"/>
      <c r="Q538" s="134"/>
      <c r="R538" s="134"/>
      <c r="S538" s="134"/>
      <c r="T538" s="134"/>
      <c r="U538" s="134"/>
      <c r="V538" s="134"/>
      <c r="W538" s="134"/>
      <c r="X538" s="134"/>
      <c r="Y538" s="135"/>
      <c r="Z538" s="135"/>
      <c r="AA538" s="136"/>
      <c r="AB538" s="136"/>
      <c r="AC538" s="137"/>
      <c r="AD538" s="137"/>
      <c r="AE538" s="137"/>
      <c r="AF538" s="137"/>
    </row>
    <row r="539" spans="2:32" s="1" customFormat="1" hidden="1">
      <c r="B539" s="2"/>
      <c r="C539" s="133"/>
      <c r="D539" s="134"/>
      <c r="E539" s="134"/>
      <c r="F539" s="134"/>
      <c r="G539" s="134"/>
      <c r="H539" s="134"/>
      <c r="I539" s="134"/>
      <c r="J539" s="134"/>
      <c r="K539" s="134"/>
      <c r="L539" s="134"/>
      <c r="M539" s="135"/>
      <c r="N539" s="134"/>
      <c r="O539" s="134"/>
      <c r="P539" s="134"/>
      <c r="Q539" s="134"/>
      <c r="R539" s="134"/>
      <c r="S539" s="134"/>
      <c r="T539" s="134"/>
      <c r="U539" s="134"/>
      <c r="V539" s="134"/>
      <c r="W539" s="134"/>
      <c r="X539" s="134"/>
      <c r="Y539" s="135"/>
      <c r="Z539" s="135"/>
      <c r="AA539" s="136"/>
      <c r="AB539" s="136"/>
      <c r="AC539" s="137"/>
      <c r="AD539" s="137"/>
      <c r="AE539" s="137"/>
      <c r="AF539" s="137"/>
    </row>
    <row r="540" spans="2:32" s="1" customFormat="1" hidden="1">
      <c r="B540" s="2"/>
      <c r="C540" s="133"/>
      <c r="D540" s="134"/>
      <c r="E540" s="134"/>
      <c r="F540" s="134"/>
      <c r="G540" s="134"/>
      <c r="H540" s="134"/>
      <c r="I540" s="134"/>
      <c r="J540" s="134"/>
      <c r="K540" s="134"/>
      <c r="L540" s="134"/>
      <c r="M540" s="135"/>
      <c r="N540" s="134"/>
      <c r="O540" s="134"/>
      <c r="P540" s="134"/>
      <c r="Q540" s="134"/>
      <c r="R540" s="134"/>
      <c r="S540" s="134"/>
      <c r="T540" s="134"/>
      <c r="U540" s="134"/>
      <c r="V540" s="134"/>
      <c r="W540" s="134"/>
      <c r="X540" s="134"/>
      <c r="Y540" s="135"/>
      <c r="Z540" s="135"/>
      <c r="AA540" s="136"/>
      <c r="AB540" s="136"/>
      <c r="AC540" s="137"/>
      <c r="AD540" s="137"/>
      <c r="AE540" s="137"/>
      <c r="AF540" s="137"/>
    </row>
    <row r="541" spans="2:32" s="1" customFormat="1" hidden="1">
      <c r="B541" s="2"/>
      <c r="C541" s="133"/>
      <c r="D541" s="134"/>
      <c r="E541" s="134"/>
      <c r="F541" s="134"/>
      <c r="G541" s="134"/>
      <c r="H541" s="134"/>
      <c r="I541" s="134"/>
      <c r="J541" s="134"/>
      <c r="K541" s="134"/>
      <c r="L541" s="134"/>
      <c r="M541" s="135"/>
      <c r="N541" s="134"/>
      <c r="O541" s="134"/>
      <c r="P541" s="134"/>
      <c r="Q541" s="134"/>
      <c r="R541" s="134"/>
      <c r="S541" s="134"/>
      <c r="T541" s="134"/>
      <c r="U541" s="134"/>
      <c r="V541" s="134"/>
      <c r="W541" s="134"/>
      <c r="X541" s="134"/>
      <c r="Y541" s="135"/>
      <c r="Z541" s="135"/>
      <c r="AA541" s="136"/>
      <c r="AB541" s="136"/>
      <c r="AC541" s="137"/>
      <c r="AD541" s="137"/>
      <c r="AE541" s="137"/>
      <c r="AF541" s="137"/>
    </row>
    <row r="542" spans="2:32" s="1" customFormat="1" hidden="1">
      <c r="B542" s="2"/>
      <c r="C542" s="133"/>
      <c r="D542" s="134"/>
      <c r="E542" s="134"/>
      <c r="F542" s="134"/>
      <c r="G542" s="134"/>
      <c r="H542" s="134"/>
      <c r="I542" s="134"/>
      <c r="J542" s="134"/>
      <c r="K542" s="134"/>
      <c r="L542" s="134"/>
      <c r="M542" s="135"/>
      <c r="N542" s="134"/>
      <c r="O542" s="134"/>
      <c r="P542" s="134"/>
      <c r="Q542" s="134"/>
      <c r="R542" s="134"/>
      <c r="S542" s="134"/>
      <c r="T542" s="134"/>
      <c r="U542" s="134"/>
      <c r="V542" s="134"/>
      <c r="W542" s="134"/>
      <c r="X542" s="134"/>
      <c r="Y542" s="135"/>
      <c r="Z542" s="135"/>
      <c r="AA542" s="136"/>
      <c r="AB542" s="136"/>
      <c r="AC542" s="137"/>
      <c r="AD542" s="137"/>
      <c r="AE542" s="137"/>
      <c r="AF542" s="137"/>
    </row>
    <row r="543" spans="2:32" s="1" customFormat="1" hidden="1">
      <c r="B543" s="2"/>
      <c r="C543" s="133"/>
      <c r="D543" s="134"/>
      <c r="E543" s="134"/>
      <c r="F543" s="134"/>
      <c r="G543" s="134"/>
      <c r="H543" s="134"/>
      <c r="I543" s="134"/>
      <c r="J543" s="134"/>
      <c r="K543" s="134"/>
      <c r="L543" s="134"/>
      <c r="M543" s="135"/>
      <c r="N543" s="134"/>
      <c r="O543" s="134"/>
      <c r="P543" s="134"/>
      <c r="Q543" s="134"/>
      <c r="R543" s="134"/>
      <c r="S543" s="134"/>
      <c r="T543" s="134"/>
      <c r="U543" s="134"/>
      <c r="V543" s="134"/>
      <c r="W543" s="134"/>
      <c r="X543" s="134"/>
      <c r="Y543" s="135"/>
      <c r="Z543" s="135"/>
      <c r="AA543" s="136"/>
      <c r="AB543" s="136"/>
      <c r="AC543" s="137"/>
      <c r="AD543" s="137"/>
      <c r="AE543" s="137"/>
      <c r="AF543" s="137"/>
    </row>
    <row r="544" spans="2:32" s="1" customFormat="1" hidden="1">
      <c r="B544" s="2"/>
      <c r="C544" s="133"/>
      <c r="D544" s="134"/>
      <c r="E544" s="134"/>
      <c r="F544" s="134"/>
      <c r="G544" s="134"/>
      <c r="H544" s="134"/>
      <c r="I544" s="134"/>
      <c r="J544" s="134"/>
      <c r="K544" s="134"/>
      <c r="L544" s="134"/>
      <c r="M544" s="135"/>
      <c r="N544" s="134"/>
      <c r="O544" s="134"/>
      <c r="P544" s="134"/>
      <c r="Q544" s="134"/>
      <c r="R544" s="134"/>
      <c r="S544" s="134"/>
      <c r="T544" s="134"/>
      <c r="U544" s="134"/>
      <c r="V544" s="134"/>
      <c r="W544" s="134"/>
      <c r="X544" s="134"/>
      <c r="Y544" s="135"/>
      <c r="Z544" s="135"/>
      <c r="AA544" s="136"/>
      <c r="AB544" s="136"/>
      <c r="AC544" s="137"/>
      <c r="AD544" s="137"/>
      <c r="AE544" s="137"/>
      <c r="AF544" s="137"/>
    </row>
    <row r="545" spans="2:32" s="1" customFormat="1" hidden="1">
      <c r="B545" s="2"/>
      <c r="C545" s="133"/>
      <c r="D545" s="134"/>
      <c r="E545" s="134"/>
      <c r="F545" s="134"/>
      <c r="G545" s="134"/>
      <c r="H545" s="134"/>
      <c r="I545" s="134"/>
      <c r="J545" s="134"/>
      <c r="K545" s="134"/>
      <c r="L545" s="134"/>
      <c r="M545" s="135"/>
      <c r="N545" s="134"/>
      <c r="O545" s="134"/>
      <c r="P545" s="134"/>
      <c r="Q545" s="134"/>
      <c r="R545" s="134"/>
      <c r="S545" s="134"/>
      <c r="T545" s="134"/>
      <c r="U545" s="134"/>
      <c r="V545" s="134"/>
      <c r="W545" s="134"/>
      <c r="X545" s="134"/>
      <c r="Y545" s="135"/>
      <c r="Z545" s="135"/>
      <c r="AA545" s="136"/>
      <c r="AB545" s="136"/>
      <c r="AC545" s="137"/>
      <c r="AD545" s="137"/>
      <c r="AE545" s="137"/>
      <c r="AF545" s="137"/>
    </row>
    <row r="546" spans="2:32" s="1" customFormat="1" hidden="1">
      <c r="B546" s="2"/>
      <c r="C546" s="133"/>
      <c r="D546" s="134"/>
      <c r="E546" s="134"/>
      <c r="F546" s="134"/>
      <c r="G546" s="134"/>
      <c r="H546" s="134"/>
      <c r="I546" s="134"/>
      <c r="J546" s="134"/>
      <c r="K546" s="134"/>
      <c r="L546" s="134"/>
      <c r="M546" s="135"/>
      <c r="N546" s="134"/>
      <c r="O546" s="134"/>
      <c r="P546" s="134"/>
      <c r="Q546" s="134"/>
      <c r="R546" s="134"/>
      <c r="S546" s="134"/>
      <c r="T546" s="134"/>
      <c r="U546" s="134"/>
      <c r="V546" s="134"/>
      <c r="W546" s="134"/>
      <c r="X546" s="134"/>
      <c r="Y546" s="135"/>
      <c r="Z546" s="135"/>
      <c r="AA546" s="136"/>
      <c r="AB546" s="136"/>
      <c r="AC546" s="137"/>
      <c r="AD546" s="137"/>
      <c r="AE546" s="137"/>
      <c r="AF546" s="137"/>
    </row>
    <row r="547" spans="2:32" s="1" customFormat="1" hidden="1">
      <c r="B547" s="2"/>
      <c r="C547" s="133"/>
      <c r="D547" s="134"/>
      <c r="E547" s="134"/>
      <c r="F547" s="134"/>
      <c r="G547" s="134"/>
      <c r="H547" s="134"/>
      <c r="I547" s="134"/>
      <c r="J547" s="134"/>
      <c r="K547" s="134"/>
      <c r="L547" s="134"/>
      <c r="M547" s="135"/>
      <c r="N547" s="134"/>
      <c r="O547" s="134"/>
      <c r="P547" s="134"/>
      <c r="Q547" s="134"/>
      <c r="R547" s="134"/>
      <c r="S547" s="134"/>
      <c r="T547" s="134"/>
      <c r="U547" s="134"/>
      <c r="V547" s="134"/>
      <c r="W547" s="134"/>
      <c r="X547" s="134"/>
      <c r="Y547" s="135"/>
      <c r="Z547" s="135"/>
      <c r="AA547" s="136"/>
      <c r="AB547" s="136"/>
      <c r="AC547" s="137"/>
      <c r="AD547" s="137"/>
      <c r="AE547" s="137"/>
      <c r="AF547" s="137"/>
    </row>
    <row r="548" spans="2:32" s="1" customFormat="1" hidden="1">
      <c r="B548" s="2"/>
      <c r="C548" s="133"/>
      <c r="D548" s="134"/>
      <c r="E548" s="134"/>
      <c r="F548" s="134"/>
      <c r="G548" s="134"/>
      <c r="H548" s="134"/>
      <c r="I548" s="134"/>
      <c r="J548" s="134"/>
      <c r="K548" s="134"/>
      <c r="L548" s="134"/>
      <c r="M548" s="135"/>
      <c r="N548" s="134"/>
      <c r="O548" s="134"/>
      <c r="P548" s="134"/>
      <c r="Q548" s="134"/>
      <c r="R548" s="134"/>
      <c r="S548" s="134"/>
      <c r="T548" s="134"/>
      <c r="U548" s="134"/>
      <c r="V548" s="134"/>
      <c r="W548" s="134"/>
      <c r="X548" s="134"/>
      <c r="Y548" s="135"/>
      <c r="Z548" s="135"/>
      <c r="AA548" s="136"/>
      <c r="AB548" s="136"/>
      <c r="AC548" s="137"/>
      <c r="AD548" s="137"/>
      <c r="AE548" s="137"/>
      <c r="AF548" s="137"/>
    </row>
    <row r="549" spans="2:32" s="1" customFormat="1" hidden="1">
      <c r="B549" s="2"/>
      <c r="C549" s="133"/>
      <c r="D549" s="134"/>
      <c r="E549" s="134"/>
      <c r="F549" s="134"/>
      <c r="G549" s="134"/>
      <c r="H549" s="134"/>
      <c r="I549" s="134"/>
      <c r="J549" s="134"/>
      <c r="K549" s="134"/>
      <c r="L549" s="134"/>
      <c r="M549" s="135"/>
      <c r="N549" s="134"/>
      <c r="O549" s="134"/>
      <c r="P549" s="134"/>
      <c r="Q549" s="134"/>
      <c r="R549" s="134"/>
      <c r="S549" s="134"/>
      <c r="T549" s="134"/>
      <c r="U549" s="134"/>
      <c r="V549" s="134"/>
      <c r="W549" s="134"/>
      <c r="X549" s="134"/>
      <c r="Y549" s="135"/>
      <c r="Z549" s="135"/>
      <c r="AA549" s="136"/>
      <c r="AB549" s="136"/>
      <c r="AC549" s="137"/>
      <c r="AD549" s="137"/>
      <c r="AE549" s="137"/>
      <c r="AF549" s="137"/>
    </row>
    <row r="550" spans="2:32" s="1" customFormat="1" hidden="1">
      <c r="B550" s="2"/>
      <c r="C550" s="133"/>
      <c r="D550" s="134"/>
      <c r="E550" s="134"/>
      <c r="F550" s="134"/>
      <c r="G550" s="134"/>
      <c r="H550" s="134"/>
      <c r="I550" s="134"/>
      <c r="J550" s="134"/>
      <c r="K550" s="134"/>
      <c r="L550" s="134"/>
      <c r="M550" s="135"/>
      <c r="N550" s="134"/>
      <c r="O550" s="134"/>
      <c r="P550" s="134"/>
      <c r="Q550" s="134"/>
      <c r="R550" s="134"/>
      <c r="S550" s="134"/>
      <c r="T550" s="134"/>
      <c r="U550" s="134"/>
      <c r="V550" s="134"/>
      <c r="W550" s="134"/>
      <c r="X550" s="134"/>
      <c r="Y550" s="135"/>
      <c r="Z550" s="135"/>
      <c r="AA550" s="136"/>
      <c r="AB550" s="136"/>
      <c r="AC550" s="137"/>
      <c r="AD550" s="137"/>
      <c r="AE550" s="137"/>
      <c r="AF550" s="137"/>
    </row>
    <row r="551" spans="2:32" s="1" customFormat="1" hidden="1">
      <c r="B551" s="2"/>
      <c r="C551" s="133"/>
      <c r="D551" s="134"/>
      <c r="E551" s="134"/>
      <c r="F551" s="134"/>
      <c r="G551" s="134"/>
      <c r="H551" s="134"/>
      <c r="I551" s="134"/>
      <c r="J551" s="134"/>
      <c r="K551" s="134"/>
      <c r="L551" s="134"/>
      <c r="M551" s="135"/>
      <c r="N551" s="134"/>
      <c r="O551" s="134"/>
      <c r="P551" s="134"/>
      <c r="Q551" s="134"/>
      <c r="R551" s="134"/>
      <c r="S551" s="134"/>
      <c r="T551" s="134"/>
      <c r="U551" s="134"/>
      <c r="V551" s="134"/>
      <c r="W551" s="134"/>
      <c r="X551" s="134"/>
      <c r="Y551" s="135"/>
      <c r="Z551" s="135"/>
      <c r="AA551" s="136"/>
      <c r="AB551" s="136"/>
      <c r="AC551" s="137"/>
      <c r="AD551" s="137"/>
      <c r="AE551" s="137"/>
      <c r="AF551" s="137"/>
    </row>
    <row r="552" spans="2:32" s="1" customFormat="1" hidden="1">
      <c r="B552" s="2"/>
      <c r="C552" s="133"/>
      <c r="D552" s="134"/>
      <c r="E552" s="134"/>
      <c r="F552" s="134"/>
      <c r="G552" s="134"/>
      <c r="H552" s="134"/>
      <c r="I552" s="134"/>
      <c r="J552" s="134"/>
      <c r="K552" s="134"/>
      <c r="L552" s="134"/>
      <c r="M552" s="135"/>
      <c r="N552" s="134"/>
      <c r="O552" s="134"/>
      <c r="P552" s="134"/>
      <c r="Q552" s="134"/>
      <c r="R552" s="134"/>
      <c r="S552" s="134"/>
      <c r="T552" s="134"/>
      <c r="U552" s="134"/>
      <c r="V552" s="134"/>
      <c r="W552" s="134"/>
      <c r="X552" s="134"/>
      <c r="Y552" s="135"/>
      <c r="Z552" s="135"/>
      <c r="AA552" s="136"/>
      <c r="AB552" s="136"/>
      <c r="AC552" s="137"/>
      <c r="AD552" s="137"/>
      <c r="AE552" s="137"/>
      <c r="AF552" s="137"/>
    </row>
    <row r="553" spans="2:32" s="1" customFormat="1" hidden="1">
      <c r="B553" s="2"/>
      <c r="C553" s="133"/>
      <c r="D553" s="134"/>
      <c r="E553" s="134"/>
      <c r="F553" s="134"/>
      <c r="G553" s="134"/>
      <c r="H553" s="134"/>
      <c r="I553" s="134"/>
      <c r="J553" s="134"/>
      <c r="K553" s="134"/>
      <c r="L553" s="134"/>
      <c r="M553" s="135"/>
      <c r="N553" s="134"/>
      <c r="O553" s="134"/>
      <c r="P553" s="134"/>
      <c r="Q553" s="134"/>
      <c r="R553" s="134"/>
      <c r="S553" s="134"/>
      <c r="T553" s="134"/>
      <c r="U553" s="134"/>
      <c r="V553" s="134"/>
      <c r="W553" s="134"/>
      <c r="X553" s="134"/>
      <c r="Y553" s="135"/>
      <c r="Z553" s="135"/>
      <c r="AA553" s="136"/>
      <c r="AB553" s="136"/>
      <c r="AC553" s="137"/>
      <c r="AD553" s="137"/>
      <c r="AE553" s="137"/>
      <c r="AF553" s="137"/>
    </row>
    <row r="554" spans="2:32" s="1" customFormat="1" hidden="1">
      <c r="B554" s="2"/>
      <c r="C554" s="133"/>
      <c r="D554" s="134"/>
      <c r="E554" s="134"/>
      <c r="F554" s="134"/>
      <c r="G554" s="134"/>
      <c r="H554" s="134"/>
      <c r="I554" s="134"/>
      <c r="J554" s="134"/>
      <c r="K554" s="134"/>
      <c r="L554" s="134"/>
      <c r="M554" s="135"/>
      <c r="N554" s="134"/>
      <c r="O554" s="134"/>
      <c r="P554" s="134"/>
      <c r="Q554" s="134"/>
      <c r="R554" s="134"/>
      <c r="S554" s="134"/>
      <c r="T554" s="134"/>
      <c r="U554" s="134"/>
      <c r="V554" s="134"/>
      <c r="W554" s="134"/>
      <c r="X554" s="134"/>
      <c r="Y554" s="135"/>
      <c r="Z554" s="135"/>
      <c r="AA554" s="136"/>
      <c r="AB554" s="136"/>
      <c r="AC554" s="137"/>
      <c r="AD554" s="137"/>
      <c r="AE554" s="137"/>
      <c r="AF554" s="137"/>
    </row>
    <row r="555" spans="2:32" s="1" customFormat="1" hidden="1">
      <c r="B555" s="2"/>
      <c r="C555" s="133"/>
      <c r="D555" s="134"/>
      <c r="E555" s="134"/>
      <c r="F555" s="134"/>
      <c r="G555" s="134"/>
      <c r="H555" s="134"/>
      <c r="I555" s="134"/>
      <c r="J555" s="134"/>
      <c r="K555" s="134"/>
      <c r="L555" s="134"/>
      <c r="M555" s="135"/>
      <c r="N555" s="134"/>
      <c r="O555" s="134"/>
      <c r="P555" s="134"/>
      <c r="Q555" s="134"/>
      <c r="R555" s="134"/>
      <c r="S555" s="134"/>
      <c r="T555" s="134"/>
      <c r="U555" s="134"/>
      <c r="V555" s="134"/>
      <c r="W555" s="134"/>
      <c r="X555" s="134"/>
      <c r="Y555" s="135"/>
      <c r="Z555" s="135"/>
      <c r="AA555" s="136"/>
      <c r="AB555" s="136"/>
      <c r="AC555" s="137"/>
      <c r="AD555" s="137"/>
      <c r="AE555" s="137"/>
      <c r="AF555" s="137"/>
    </row>
    <row r="556" spans="2:32" s="1" customFormat="1" hidden="1">
      <c r="B556" s="2"/>
      <c r="C556" s="133"/>
      <c r="D556" s="134"/>
      <c r="E556" s="134"/>
      <c r="F556" s="134"/>
      <c r="G556" s="134"/>
      <c r="H556" s="134"/>
      <c r="I556" s="134"/>
      <c r="J556" s="134"/>
      <c r="K556" s="134"/>
      <c r="L556" s="134"/>
      <c r="M556" s="135"/>
      <c r="N556" s="134"/>
      <c r="O556" s="134"/>
      <c r="P556" s="134"/>
      <c r="Q556" s="134"/>
      <c r="R556" s="134"/>
      <c r="S556" s="134"/>
      <c r="T556" s="134"/>
      <c r="U556" s="134"/>
      <c r="V556" s="134"/>
      <c r="W556" s="134"/>
      <c r="X556" s="134"/>
      <c r="Y556" s="135"/>
      <c r="Z556" s="135"/>
      <c r="AA556" s="136"/>
      <c r="AB556" s="136"/>
      <c r="AC556" s="137"/>
      <c r="AD556" s="137"/>
      <c r="AE556" s="137"/>
      <c r="AF556" s="137"/>
    </row>
    <row r="557" spans="2:32" s="1" customFormat="1" hidden="1">
      <c r="B557" s="2"/>
      <c r="C557" s="133"/>
      <c r="D557" s="134"/>
      <c r="E557" s="134"/>
      <c r="F557" s="134"/>
      <c r="G557" s="134"/>
      <c r="H557" s="134"/>
      <c r="I557" s="134"/>
      <c r="J557" s="134"/>
      <c r="K557" s="134"/>
      <c r="L557" s="134"/>
      <c r="M557" s="135"/>
      <c r="N557" s="134"/>
      <c r="O557" s="134"/>
      <c r="P557" s="134"/>
      <c r="Q557" s="134"/>
      <c r="R557" s="134"/>
      <c r="S557" s="134"/>
      <c r="T557" s="134"/>
      <c r="U557" s="134"/>
      <c r="V557" s="134"/>
      <c r="W557" s="134"/>
      <c r="X557" s="134"/>
      <c r="Y557" s="135"/>
      <c r="Z557" s="135"/>
      <c r="AA557" s="136"/>
      <c r="AB557" s="136"/>
      <c r="AC557" s="137"/>
      <c r="AD557" s="137"/>
      <c r="AE557" s="137"/>
      <c r="AF557" s="137"/>
    </row>
    <row r="558" spans="2:32" s="1" customFormat="1" hidden="1">
      <c r="B558" s="2"/>
      <c r="C558" s="133"/>
      <c r="D558" s="134"/>
      <c r="E558" s="134"/>
      <c r="F558" s="134"/>
      <c r="G558" s="134"/>
      <c r="H558" s="134"/>
      <c r="I558" s="134"/>
      <c r="J558" s="134"/>
      <c r="K558" s="134"/>
      <c r="L558" s="134"/>
      <c r="M558" s="135"/>
      <c r="N558" s="134"/>
      <c r="O558" s="134"/>
      <c r="P558" s="134"/>
      <c r="Q558" s="134"/>
      <c r="R558" s="134"/>
      <c r="S558" s="134"/>
      <c r="T558" s="134"/>
      <c r="U558" s="134"/>
      <c r="V558" s="134"/>
      <c r="W558" s="134"/>
      <c r="X558" s="134"/>
      <c r="Y558" s="135"/>
      <c r="Z558" s="135"/>
      <c r="AA558" s="136"/>
      <c r="AB558" s="136"/>
      <c r="AC558" s="137"/>
      <c r="AD558" s="137"/>
      <c r="AE558" s="137"/>
      <c r="AF558" s="137"/>
    </row>
    <row r="559" spans="2:32" s="1" customFormat="1" hidden="1">
      <c r="B559" s="2"/>
      <c r="C559" s="133"/>
      <c r="D559" s="134"/>
      <c r="E559" s="134"/>
      <c r="F559" s="134"/>
      <c r="G559" s="134"/>
      <c r="H559" s="134"/>
      <c r="I559" s="134"/>
      <c r="J559" s="134"/>
      <c r="K559" s="134"/>
      <c r="L559" s="134"/>
      <c r="M559" s="135"/>
      <c r="N559" s="134"/>
      <c r="O559" s="134"/>
      <c r="P559" s="134"/>
      <c r="Q559" s="134"/>
      <c r="R559" s="134"/>
      <c r="S559" s="134"/>
      <c r="T559" s="134"/>
      <c r="U559" s="134"/>
      <c r="V559" s="134"/>
      <c r="W559" s="134"/>
      <c r="X559" s="134"/>
      <c r="Y559" s="135"/>
      <c r="Z559" s="135"/>
      <c r="AA559" s="136"/>
      <c r="AB559" s="136"/>
      <c r="AC559" s="137"/>
      <c r="AD559" s="137"/>
      <c r="AE559" s="137"/>
      <c r="AF559" s="137"/>
    </row>
    <row r="560" spans="2:32" s="1" customFormat="1" hidden="1">
      <c r="B560" s="2"/>
      <c r="C560" s="133"/>
      <c r="D560" s="134"/>
      <c r="E560" s="134"/>
      <c r="F560" s="134"/>
      <c r="G560" s="134"/>
      <c r="H560" s="134"/>
      <c r="I560" s="134"/>
      <c r="J560" s="134"/>
      <c r="K560" s="134"/>
      <c r="L560" s="134"/>
      <c r="M560" s="135"/>
      <c r="N560" s="134"/>
      <c r="O560" s="134"/>
      <c r="P560" s="134"/>
      <c r="Q560" s="134"/>
      <c r="R560" s="134"/>
      <c r="S560" s="134"/>
      <c r="T560" s="134"/>
      <c r="U560" s="134"/>
      <c r="V560" s="134"/>
      <c r="W560" s="134"/>
      <c r="X560" s="134"/>
      <c r="Y560" s="135"/>
      <c r="Z560" s="135"/>
      <c r="AA560" s="136"/>
      <c r="AB560" s="136"/>
      <c r="AC560" s="137"/>
      <c r="AD560" s="137"/>
      <c r="AE560" s="137"/>
      <c r="AF560" s="137"/>
    </row>
    <row r="561" spans="2:32" s="1" customFormat="1" hidden="1">
      <c r="B561" s="2"/>
      <c r="C561" s="133"/>
      <c r="D561" s="134"/>
      <c r="E561" s="134"/>
      <c r="F561" s="134"/>
      <c r="G561" s="134"/>
      <c r="H561" s="134"/>
      <c r="I561" s="134"/>
      <c r="J561" s="134"/>
      <c r="K561" s="134"/>
      <c r="L561" s="134"/>
      <c r="M561" s="135"/>
      <c r="N561" s="134"/>
      <c r="O561" s="134"/>
      <c r="P561" s="134"/>
      <c r="Q561" s="134"/>
      <c r="R561" s="134"/>
      <c r="S561" s="134"/>
      <c r="T561" s="134"/>
      <c r="U561" s="134"/>
      <c r="V561" s="134"/>
      <c r="W561" s="134"/>
      <c r="X561" s="134"/>
      <c r="Y561" s="135"/>
      <c r="Z561" s="135"/>
      <c r="AA561" s="136"/>
      <c r="AB561" s="136"/>
      <c r="AC561" s="137"/>
      <c r="AD561" s="137"/>
      <c r="AE561" s="137"/>
      <c r="AF561" s="137"/>
    </row>
    <row r="562" spans="2:32" s="1" customFormat="1" hidden="1">
      <c r="B562" s="2"/>
      <c r="C562" s="133"/>
      <c r="D562" s="134"/>
      <c r="E562" s="134"/>
      <c r="F562" s="134"/>
      <c r="G562" s="134"/>
      <c r="H562" s="134"/>
      <c r="I562" s="134"/>
      <c r="J562" s="134"/>
      <c r="K562" s="134"/>
      <c r="L562" s="134"/>
      <c r="M562" s="135"/>
      <c r="N562" s="134"/>
      <c r="O562" s="134"/>
      <c r="P562" s="134"/>
      <c r="Q562" s="134"/>
      <c r="R562" s="134"/>
      <c r="S562" s="134"/>
      <c r="T562" s="134"/>
      <c r="U562" s="134"/>
      <c r="V562" s="134"/>
      <c r="W562" s="134"/>
      <c r="X562" s="134"/>
      <c r="Y562" s="135"/>
      <c r="Z562" s="135"/>
      <c r="AA562" s="136"/>
      <c r="AB562" s="136"/>
      <c r="AC562" s="137"/>
      <c r="AD562" s="137"/>
      <c r="AE562" s="137"/>
      <c r="AF562" s="137"/>
    </row>
    <row r="563" spans="2:32" s="1" customFormat="1" hidden="1">
      <c r="B563" s="2"/>
      <c r="C563" s="133"/>
      <c r="D563" s="134"/>
      <c r="E563" s="134"/>
      <c r="F563" s="134"/>
      <c r="G563" s="134"/>
      <c r="H563" s="134"/>
      <c r="I563" s="134"/>
      <c r="J563" s="134"/>
      <c r="K563" s="134"/>
      <c r="L563" s="134"/>
      <c r="M563" s="135"/>
      <c r="N563" s="134"/>
      <c r="O563" s="134"/>
      <c r="P563" s="134"/>
      <c r="Q563" s="134"/>
      <c r="R563" s="134"/>
      <c r="S563" s="134"/>
      <c r="T563" s="134"/>
      <c r="U563" s="134"/>
      <c r="V563" s="134"/>
      <c r="W563" s="134"/>
      <c r="X563" s="134"/>
      <c r="Y563" s="135"/>
      <c r="Z563" s="135"/>
      <c r="AA563" s="136"/>
      <c r="AB563" s="136"/>
      <c r="AC563" s="137"/>
      <c r="AD563" s="137"/>
      <c r="AE563" s="137"/>
      <c r="AF563" s="137"/>
    </row>
    <row r="564" spans="2:32" s="1" customFormat="1" hidden="1">
      <c r="B564" s="2"/>
      <c r="C564" s="133"/>
      <c r="D564" s="134"/>
      <c r="E564" s="134"/>
      <c r="F564" s="134"/>
      <c r="G564" s="134"/>
      <c r="H564" s="134"/>
      <c r="I564" s="134"/>
      <c r="J564" s="134"/>
      <c r="K564" s="134"/>
      <c r="L564" s="134"/>
      <c r="M564" s="135"/>
      <c r="N564" s="134"/>
      <c r="O564" s="134"/>
      <c r="P564" s="134"/>
      <c r="Q564" s="134"/>
      <c r="R564" s="134"/>
      <c r="S564" s="134"/>
      <c r="T564" s="134"/>
      <c r="U564" s="134"/>
      <c r="V564" s="134"/>
      <c r="W564" s="134"/>
      <c r="X564" s="134"/>
      <c r="Y564" s="135"/>
      <c r="Z564" s="135"/>
      <c r="AA564" s="136"/>
      <c r="AB564" s="136"/>
      <c r="AC564" s="137"/>
      <c r="AD564" s="137"/>
      <c r="AE564" s="137"/>
      <c r="AF564" s="137"/>
    </row>
    <row r="565" spans="2:32" s="1" customFormat="1" hidden="1">
      <c r="B565" s="2"/>
      <c r="C565" s="133"/>
      <c r="D565" s="134"/>
      <c r="E565" s="134"/>
      <c r="F565" s="134"/>
      <c r="G565" s="134"/>
      <c r="H565" s="134"/>
      <c r="I565" s="134"/>
      <c r="J565" s="134"/>
      <c r="K565" s="134"/>
      <c r="L565" s="134"/>
      <c r="M565" s="135"/>
      <c r="N565" s="134"/>
      <c r="O565" s="134"/>
      <c r="P565" s="134"/>
      <c r="Q565" s="134"/>
      <c r="R565" s="134"/>
      <c r="S565" s="134"/>
      <c r="T565" s="134"/>
      <c r="U565" s="134"/>
      <c r="V565" s="134"/>
      <c r="W565" s="134"/>
      <c r="X565" s="134"/>
      <c r="Y565" s="135"/>
      <c r="Z565" s="135"/>
      <c r="AA565" s="136"/>
      <c r="AB565" s="136"/>
      <c r="AC565" s="137"/>
      <c r="AD565" s="137"/>
      <c r="AE565" s="137"/>
      <c r="AF565" s="137"/>
    </row>
    <row r="566" spans="2:32" s="1" customFormat="1" hidden="1">
      <c r="B566" s="2"/>
      <c r="C566" s="133"/>
      <c r="D566" s="134"/>
      <c r="E566" s="134"/>
      <c r="F566" s="134"/>
      <c r="G566" s="134"/>
      <c r="H566" s="134"/>
      <c r="I566" s="134"/>
      <c r="J566" s="134"/>
      <c r="K566" s="134"/>
      <c r="L566" s="134"/>
      <c r="M566" s="135"/>
      <c r="N566" s="134"/>
      <c r="O566" s="134"/>
      <c r="P566" s="134"/>
      <c r="Q566" s="134"/>
      <c r="R566" s="134"/>
      <c r="S566" s="134"/>
      <c r="T566" s="134"/>
      <c r="U566" s="134"/>
      <c r="V566" s="134"/>
      <c r="W566" s="134"/>
      <c r="X566" s="134"/>
      <c r="Y566" s="135"/>
      <c r="Z566" s="135"/>
      <c r="AA566" s="136"/>
      <c r="AB566" s="136"/>
      <c r="AC566" s="137"/>
      <c r="AD566" s="137"/>
      <c r="AE566" s="137"/>
      <c r="AF566" s="137"/>
    </row>
    <row r="567" spans="2:32" s="1" customFormat="1" hidden="1">
      <c r="B567" s="2"/>
      <c r="C567" s="133"/>
      <c r="D567" s="134"/>
      <c r="E567" s="134"/>
      <c r="F567" s="134"/>
      <c r="G567" s="134"/>
      <c r="H567" s="134"/>
      <c r="I567" s="134"/>
      <c r="J567" s="134"/>
      <c r="K567" s="134"/>
      <c r="L567" s="134"/>
      <c r="M567" s="135"/>
      <c r="N567" s="134"/>
      <c r="O567" s="134"/>
      <c r="P567" s="134"/>
      <c r="Q567" s="134"/>
      <c r="R567" s="134"/>
      <c r="S567" s="134"/>
      <c r="T567" s="134"/>
      <c r="U567" s="134"/>
      <c r="V567" s="134"/>
      <c r="W567" s="134"/>
      <c r="X567" s="134"/>
      <c r="Y567" s="135"/>
      <c r="Z567" s="135"/>
      <c r="AA567" s="136"/>
      <c r="AB567" s="136"/>
      <c r="AC567" s="137"/>
      <c r="AD567" s="137"/>
      <c r="AE567" s="137"/>
      <c r="AF567" s="137"/>
    </row>
    <row r="568" spans="2:32" s="1" customFormat="1" hidden="1">
      <c r="B568" s="2"/>
      <c r="C568" s="133"/>
      <c r="D568" s="134"/>
      <c r="E568" s="134"/>
      <c r="F568" s="134"/>
      <c r="G568" s="134"/>
      <c r="H568" s="134"/>
      <c r="I568" s="134"/>
      <c r="J568" s="134"/>
      <c r="K568" s="134"/>
      <c r="L568" s="134"/>
      <c r="M568" s="135"/>
      <c r="N568" s="134"/>
      <c r="O568" s="134"/>
      <c r="P568" s="134"/>
      <c r="Q568" s="134"/>
      <c r="R568" s="134"/>
      <c r="S568" s="134"/>
      <c r="T568" s="134"/>
      <c r="U568" s="134"/>
      <c r="V568" s="134"/>
      <c r="W568" s="134"/>
      <c r="X568" s="134"/>
      <c r="Y568" s="135"/>
      <c r="Z568" s="135"/>
      <c r="AA568" s="136"/>
      <c r="AB568" s="136"/>
      <c r="AC568" s="137"/>
      <c r="AD568" s="137"/>
      <c r="AE568" s="137"/>
      <c r="AF568" s="137"/>
    </row>
    <row r="569" spans="2:32" s="1" customFormat="1" hidden="1">
      <c r="B569" s="2"/>
      <c r="C569" s="133"/>
      <c r="D569" s="134"/>
      <c r="E569" s="134"/>
      <c r="F569" s="134"/>
      <c r="G569" s="134"/>
      <c r="H569" s="134"/>
      <c r="I569" s="134"/>
      <c r="J569" s="134"/>
      <c r="K569" s="134"/>
      <c r="L569" s="134"/>
      <c r="M569" s="135"/>
      <c r="N569" s="134"/>
      <c r="O569" s="134"/>
      <c r="P569" s="134"/>
      <c r="Q569" s="134"/>
      <c r="R569" s="134"/>
      <c r="S569" s="134"/>
      <c r="T569" s="134"/>
      <c r="U569" s="134"/>
      <c r="V569" s="134"/>
      <c r="W569" s="134"/>
      <c r="X569" s="134"/>
      <c r="Y569" s="135"/>
      <c r="Z569" s="135"/>
      <c r="AA569" s="136"/>
      <c r="AB569" s="136"/>
      <c r="AC569" s="137"/>
      <c r="AD569" s="137"/>
      <c r="AE569" s="137"/>
      <c r="AF569" s="137"/>
    </row>
    <row r="570" spans="2:32" s="1" customFormat="1" hidden="1">
      <c r="B570" s="2"/>
      <c r="C570" s="133"/>
      <c r="D570" s="134"/>
      <c r="E570" s="134"/>
      <c r="F570" s="134"/>
      <c r="G570" s="134"/>
      <c r="H570" s="134"/>
      <c r="I570" s="134"/>
      <c r="J570" s="134"/>
      <c r="K570" s="134"/>
      <c r="L570" s="134"/>
      <c r="M570" s="135"/>
      <c r="N570" s="134"/>
      <c r="O570" s="134"/>
      <c r="P570" s="134"/>
      <c r="Q570" s="134"/>
      <c r="R570" s="134"/>
      <c r="S570" s="134"/>
      <c r="T570" s="134"/>
      <c r="U570" s="134"/>
      <c r="V570" s="134"/>
      <c r="W570" s="134"/>
      <c r="X570" s="134"/>
      <c r="Y570" s="135"/>
      <c r="Z570" s="135"/>
      <c r="AA570" s="136"/>
      <c r="AB570" s="136"/>
      <c r="AC570" s="137"/>
      <c r="AD570" s="137"/>
      <c r="AE570" s="137"/>
      <c r="AF570" s="137"/>
    </row>
    <row r="571" spans="2:32" s="1" customFormat="1" hidden="1">
      <c r="B571" s="2"/>
      <c r="C571" s="133"/>
      <c r="D571" s="134"/>
      <c r="E571" s="134"/>
      <c r="F571" s="134"/>
      <c r="G571" s="134"/>
      <c r="H571" s="134"/>
      <c r="I571" s="134"/>
      <c r="J571" s="134"/>
      <c r="K571" s="134"/>
      <c r="L571" s="134"/>
      <c r="M571" s="135"/>
      <c r="N571" s="134"/>
      <c r="O571" s="134"/>
      <c r="P571" s="134"/>
      <c r="Q571" s="134"/>
      <c r="R571" s="134"/>
      <c r="S571" s="134"/>
      <c r="T571" s="134"/>
      <c r="U571" s="134"/>
      <c r="V571" s="134"/>
      <c r="W571" s="134"/>
      <c r="X571" s="134"/>
      <c r="Y571" s="135"/>
      <c r="Z571" s="135"/>
      <c r="AA571" s="136"/>
      <c r="AB571" s="136"/>
      <c r="AC571" s="137"/>
      <c r="AD571" s="137"/>
      <c r="AE571" s="137"/>
      <c r="AF571" s="137"/>
    </row>
    <row r="572" spans="2:32" s="1" customFormat="1" hidden="1">
      <c r="B572" s="2"/>
      <c r="C572" s="133"/>
      <c r="D572" s="134"/>
      <c r="E572" s="134"/>
      <c r="F572" s="134"/>
      <c r="G572" s="134"/>
      <c r="H572" s="134"/>
      <c r="I572" s="134"/>
      <c r="J572" s="134"/>
      <c r="K572" s="134"/>
      <c r="L572" s="134"/>
      <c r="M572" s="135"/>
      <c r="N572" s="134"/>
      <c r="O572" s="134"/>
      <c r="P572" s="134"/>
      <c r="Q572" s="134"/>
      <c r="R572" s="134"/>
      <c r="S572" s="134"/>
      <c r="T572" s="134"/>
      <c r="U572" s="134"/>
      <c r="V572" s="134"/>
      <c r="W572" s="134"/>
      <c r="X572" s="134"/>
      <c r="Y572" s="135"/>
      <c r="Z572" s="135"/>
      <c r="AA572" s="136"/>
      <c r="AB572" s="136"/>
      <c r="AC572" s="137"/>
      <c r="AD572" s="137"/>
      <c r="AE572" s="137"/>
      <c r="AF572" s="137"/>
    </row>
    <row r="573" spans="2:32" s="1" customFormat="1" hidden="1">
      <c r="B573" s="2"/>
      <c r="C573" s="133"/>
      <c r="D573" s="134"/>
      <c r="E573" s="134"/>
      <c r="F573" s="134"/>
      <c r="G573" s="134"/>
      <c r="H573" s="134"/>
      <c r="I573" s="134"/>
      <c r="J573" s="134"/>
      <c r="K573" s="134"/>
      <c r="L573" s="134"/>
      <c r="M573" s="135"/>
      <c r="N573" s="134"/>
      <c r="O573" s="134"/>
      <c r="P573" s="134"/>
      <c r="Q573" s="134"/>
      <c r="R573" s="134"/>
      <c r="S573" s="134"/>
      <c r="T573" s="134"/>
      <c r="U573" s="134"/>
      <c r="V573" s="134"/>
      <c r="W573" s="134"/>
      <c r="X573" s="134"/>
      <c r="Y573" s="135"/>
      <c r="Z573" s="135"/>
      <c r="AA573" s="136"/>
      <c r="AB573" s="136"/>
      <c r="AC573" s="137"/>
      <c r="AD573" s="137"/>
      <c r="AE573" s="137"/>
      <c r="AF573" s="137"/>
    </row>
    <row r="574" spans="2:32" s="1" customFormat="1" hidden="1">
      <c r="B574" s="2"/>
      <c r="C574" s="133"/>
      <c r="D574" s="134"/>
      <c r="E574" s="134"/>
      <c r="F574" s="134"/>
      <c r="G574" s="134"/>
      <c r="H574" s="134"/>
      <c r="I574" s="134"/>
      <c r="J574" s="134"/>
      <c r="K574" s="134"/>
      <c r="L574" s="134"/>
      <c r="M574" s="135"/>
      <c r="N574" s="134"/>
      <c r="O574" s="134"/>
      <c r="P574" s="134"/>
      <c r="Q574" s="134"/>
      <c r="R574" s="134"/>
      <c r="S574" s="134"/>
      <c r="T574" s="134"/>
      <c r="U574" s="134"/>
      <c r="V574" s="134"/>
      <c r="W574" s="134"/>
      <c r="X574" s="134"/>
      <c r="Y574" s="135"/>
      <c r="Z574" s="135"/>
      <c r="AA574" s="136"/>
      <c r="AB574" s="136"/>
      <c r="AC574" s="137"/>
      <c r="AD574" s="137"/>
      <c r="AE574" s="137"/>
      <c r="AF574" s="137"/>
    </row>
    <row r="575" spans="2:32" s="1" customFormat="1" hidden="1">
      <c r="B575" s="2"/>
      <c r="C575" s="133"/>
      <c r="D575" s="134"/>
      <c r="E575" s="134"/>
      <c r="F575" s="134"/>
      <c r="G575" s="134"/>
      <c r="H575" s="134"/>
      <c r="I575" s="134"/>
      <c r="J575" s="134"/>
      <c r="K575" s="134"/>
      <c r="L575" s="134"/>
      <c r="M575" s="135"/>
      <c r="N575" s="134"/>
      <c r="O575" s="134"/>
      <c r="P575" s="134"/>
      <c r="Q575" s="134"/>
      <c r="R575" s="134"/>
      <c r="S575" s="134"/>
      <c r="T575" s="134"/>
      <c r="U575" s="134"/>
      <c r="V575" s="134"/>
      <c r="W575" s="134"/>
      <c r="X575" s="134"/>
      <c r="Y575" s="135"/>
      <c r="Z575" s="135"/>
      <c r="AA575" s="136"/>
      <c r="AB575" s="136"/>
      <c r="AC575" s="137"/>
      <c r="AD575" s="137"/>
      <c r="AE575" s="137"/>
      <c r="AF575" s="137"/>
    </row>
    <row r="576" spans="2:32" s="1" customFormat="1" hidden="1">
      <c r="B576" s="2"/>
      <c r="C576" s="133"/>
      <c r="D576" s="134"/>
      <c r="E576" s="134"/>
      <c r="F576" s="134"/>
      <c r="G576" s="134"/>
      <c r="H576" s="134"/>
      <c r="I576" s="134"/>
      <c r="J576" s="134"/>
      <c r="K576" s="134"/>
      <c r="L576" s="134"/>
      <c r="M576" s="135"/>
      <c r="N576" s="134"/>
      <c r="O576" s="134"/>
      <c r="P576" s="134"/>
      <c r="Q576" s="134"/>
      <c r="R576" s="134"/>
      <c r="S576" s="134"/>
      <c r="T576" s="134"/>
      <c r="U576" s="134"/>
      <c r="V576" s="134"/>
      <c r="W576" s="134"/>
      <c r="X576" s="134"/>
      <c r="Y576" s="135"/>
      <c r="Z576" s="135"/>
      <c r="AA576" s="136"/>
      <c r="AB576" s="136"/>
      <c r="AC576" s="137"/>
      <c r="AD576" s="137"/>
      <c r="AE576" s="137"/>
      <c r="AF576" s="137"/>
    </row>
    <row r="577" spans="2:32" s="1" customFormat="1" hidden="1">
      <c r="B577" s="2"/>
      <c r="C577" s="133"/>
      <c r="D577" s="134"/>
      <c r="E577" s="134"/>
      <c r="F577" s="134"/>
      <c r="G577" s="134"/>
      <c r="H577" s="134"/>
      <c r="I577" s="134"/>
      <c r="J577" s="134"/>
      <c r="K577" s="134"/>
      <c r="L577" s="134"/>
      <c r="M577" s="135"/>
      <c r="N577" s="134"/>
      <c r="O577" s="134"/>
      <c r="P577" s="134"/>
      <c r="Q577" s="134"/>
      <c r="R577" s="134"/>
      <c r="S577" s="134"/>
      <c r="T577" s="134"/>
      <c r="U577" s="134"/>
      <c r="V577" s="134"/>
      <c r="W577" s="134"/>
      <c r="X577" s="134"/>
      <c r="Y577" s="135"/>
      <c r="Z577" s="135"/>
      <c r="AA577" s="136"/>
      <c r="AB577" s="136"/>
      <c r="AC577" s="137"/>
      <c r="AD577" s="137"/>
      <c r="AE577" s="137"/>
      <c r="AF577" s="137"/>
    </row>
    <row r="578" spans="2:32" s="1" customFormat="1" hidden="1">
      <c r="B578" s="2"/>
      <c r="C578" s="133"/>
      <c r="D578" s="134"/>
      <c r="E578" s="134"/>
      <c r="F578" s="134"/>
      <c r="G578" s="134"/>
      <c r="H578" s="134"/>
      <c r="I578" s="134"/>
      <c r="J578" s="134"/>
      <c r="K578" s="134"/>
      <c r="L578" s="134"/>
      <c r="M578" s="135"/>
      <c r="N578" s="134"/>
      <c r="O578" s="134"/>
      <c r="P578" s="134"/>
      <c r="Q578" s="134"/>
      <c r="R578" s="134"/>
      <c r="S578" s="134"/>
      <c r="T578" s="134"/>
      <c r="U578" s="134"/>
      <c r="V578" s="134"/>
      <c r="W578" s="134"/>
      <c r="X578" s="134"/>
      <c r="Y578" s="135"/>
      <c r="Z578" s="135"/>
      <c r="AA578" s="136"/>
      <c r="AB578" s="136"/>
      <c r="AC578" s="137"/>
      <c r="AD578" s="137"/>
      <c r="AE578" s="137"/>
      <c r="AF578" s="137"/>
    </row>
    <row r="579" spans="2:32" s="1" customFormat="1" hidden="1">
      <c r="B579" s="2"/>
      <c r="C579" s="133"/>
      <c r="D579" s="134"/>
      <c r="E579" s="134"/>
      <c r="F579" s="134"/>
      <c r="G579" s="134"/>
      <c r="H579" s="134"/>
      <c r="I579" s="134"/>
      <c r="J579" s="134"/>
      <c r="K579" s="134"/>
      <c r="L579" s="134"/>
      <c r="M579" s="135"/>
      <c r="N579" s="134"/>
      <c r="O579" s="134"/>
      <c r="P579" s="134"/>
      <c r="Q579" s="134"/>
      <c r="R579" s="134"/>
      <c r="S579" s="134"/>
      <c r="T579" s="134"/>
      <c r="U579" s="134"/>
      <c r="V579" s="134"/>
      <c r="W579" s="134"/>
      <c r="X579" s="134"/>
      <c r="Y579" s="135"/>
      <c r="Z579" s="135"/>
      <c r="AA579" s="136"/>
      <c r="AB579" s="136"/>
      <c r="AC579" s="137"/>
      <c r="AD579" s="137"/>
      <c r="AE579" s="137"/>
      <c r="AF579" s="137"/>
    </row>
    <row r="580" spans="2:32" s="1" customFormat="1" hidden="1">
      <c r="B580" s="2"/>
      <c r="C580" s="133"/>
      <c r="D580" s="134"/>
      <c r="E580" s="134"/>
      <c r="F580" s="134"/>
      <c r="G580" s="134"/>
      <c r="H580" s="134"/>
      <c r="I580" s="134"/>
      <c r="J580" s="134"/>
      <c r="K580" s="134"/>
      <c r="L580" s="134"/>
      <c r="M580" s="135"/>
      <c r="N580" s="134"/>
      <c r="O580" s="134"/>
      <c r="P580" s="134"/>
      <c r="Q580" s="134"/>
      <c r="R580" s="134"/>
      <c r="S580" s="134"/>
      <c r="T580" s="134"/>
      <c r="U580" s="134"/>
      <c r="V580" s="134"/>
      <c r="W580" s="134"/>
      <c r="X580" s="134"/>
      <c r="Y580" s="135"/>
      <c r="Z580" s="135"/>
      <c r="AA580" s="136"/>
      <c r="AB580" s="136"/>
      <c r="AC580" s="137"/>
      <c r="AD580" s="137"/>
      <c r="AE580" s="137"/>
      <c r="AF580" s="137"/>
    </row>
    <row r="581" spans="2:32" s="1" customFormat="1" hidden="1">
      <c r="B581" s="2"/>
      <c r="C581" s="133"/>
      <c r="D581" s="134"/>
      <c r="E581" s="134"/>
      <c r="F581" s="134"/>
      <c r="G581" s="134"/>
      <c r="H581" s="134"/>
      <c r="I581" s="134"/>
      <c r="J581" s="134"/>
      <c r="K581" s="134"/>
      <c r="L581" s="134"/>
      <c r="M581" s="135"/>
      <c r="N581" s="134"/>
      <c r="O581" s="134"/>
      <c r="P581" s="134"/>
      <c r="Q581" s="134"/>
      <c r="R581" s="134"/>
      <c r="S581" s="134"/>
      <c r="T581" s="134"/>
      <c r="U581" s="134"/>
      <c r="V581" s="134"/>
      <c r="W581" s="134"/>
      <c r="X581" s="134"/>
      <c r="Y581" s="135"/>
      <c r="Z581" s="135"/>
      <c r="AA581" s="136"/>
      <c r="AB581" s="136"/>
      <c r="AC581" s="137"/>
      <c r="AD581" s="137"/>
      <c r="AE581" s="137"/>
      <c r="AF581" s="137"/>
    </row>
    <row r="582" spans="2:32" s="1" customFormat="1" hidden="1">
      <c r="B582" s="2"/>
      <c r="C582" s="133"/>
      <c r="D582" s="134"/>
      <c r="E582" s="134"/>
      <c r="F582" s="134"/>
      <c r="G582" s="134"/>
      <c r="H582" s="134"/>
      <c r="I582" s="134"/>
      <c r="J582" s="134"/>
      <c r="K582" s="134"/>
      <c r="L582" s="134"/>
      <c r="M582" s="135"/>
      <c r="N582" s="134"/>
      <c r="O582" s="134"/>
      <c r="P582" s="134"/>
      <c r="Q582" s="134"/>
      <c r="R582" s="134"/>
      <c r="S582" s="134"/>
      <c r="T582" s="134"/>
      <c r="U582" s="134"/>
      <c r="V582" s="134"/>
      <c r="W582" s="134"/>
      <c r="X582" s="134"/>
      <c r="Y582" s="135"/>
      <c r="Z582" s="135"/>
      <c r="AA582" s="136"/>
      <c r="AB582" s="136"/>
      <c r="AC582" s="137"/>
      <c r="AD582" s="137"/>
      <c r="AE582" s="137"/>
      <c r="AF582" s="137"/>
    </row>
    <row r="583" spans="2:32" s="1" customFormat="1" hidden="1">
      <c r="B583" s="2"/>
      <c r="C583" s="133"/>
      <c r="D583" s="134"/>
      <c r="E583" s="134"/>
      <c r="F583" s="134"/>
      <c r="G583" s="134"/>
      <c r="H583" s="134"/>
      <c r="I583" s="134"/>
      <c r="J583" s="134"/>
      <c r="K583" s="134"/>
      <c r="L583" s="134"/>
      <c r="M583" s="135"/>
      <c r="N583" s="134"/>
      <c r="O583" s="134"/>
      <c r="P583" s="134"/>
      <c r="Q583" s="134"/>
      <c r="R583" s="134"/>
      <c r="S583" s="134"/>
      <c r="T583" s="134"/>
      <c r="U583" s="134"/>
      <c r="V583" s="134"/>
      <c r="W583" s="134"/>
      <c r="X583" s="134"/>
      <c r="Y583" s="135"/>
      <c r="Z583" s="135"/>
      <c r="AA583" s="136"/>
      <c r="AB583" s="136"/>
      <c r="AC583" s="137"/>
      <c r="AD583" s="137"/>
      <c r="AE583" s="137"/>
      <c r="AF583" s="137"/>
    </row>
    <row r="584" spans="2:32" s="1" customFormat="1" hidden="1">
      <c r="B584" s="2"/>
      <c r="C584" s="133"/>
      <c r="D584" s="134"/>
      <c r="E584" s="134"/>
      <c r="F584" s="134"/>
      <c r="G584" s="134"/>
      <c r="H584" s="134"/>
      <c r="I584" s="134"/>
      <c r="J584" s="134"/>
      <c r="K584" s="134"/>
      <c r="L584" s="134"/>
      <c r="M584" s="135"/>
      <c r="N584" s="134"/>
      <c r="O584" s="134"/>
      <c r="P584" s="134"/>
      <c r="Q584" s="134"/>
      <c r="R584" s="134"/>
      <c r="S584" s="134"/>
      <c r="T584" s="134"/>
      <c r="U584" s="134"/>
      <c r="V584" s="134"/>
      <c r="W584" s="134"/>
      <c r="X584" s="134"/>
      <c r="Y584" s="135"/>
      <c r="Z584" s="135"/>
      <c r="AA584" s="136"/>
      <c r="AB584" s="136"/>
      <c r="AC584" s="137"/>
      <c r="AD584" s="137"/>
      <c r="AE584" s="137"/>
      <c r="AF584" s="137"/>
    </row>
    <row r="585" spans="2:32" s="1" customFormat="1" hidden="1">
      <c r="B585" s="2"/>
      <c r="C585" s="133"/>
      <c r="D585" s="134"/>
      <c r="E585" s="134"/>
      <c r="F585" s="134"/>
      <c r="G585" s="134"/>
      <c r="H585" s="134"/>
      <c r="I585" s="134"/>
      <c r="J585" s="134"/>
      <c r="K585" s="134"/>
      <c r="L585" s="134"/>
      <c r="M585" s="135"/>
      <c r="N585" s="134"/>
      <c r="O585" s="134"/>
      <c r="P585" s="134"/>
      <c r="Q585" s="134"/>
      <c r="R585" s="134"/>
      <c r="S585" s="134"/>
      <c r="T585" s="134"/>
      <c r="U585" s="134"/>
      <c r="V585" s="134"/>
      <c r="W585" s="134"/>
      <c r="X585" s="134"/>
      <c r="Y585" s="135"/>
      <c r="Z585" s="135"/>
      <c r="AA585" s="136"/>
      <c r="AB585" s="136"/>
      <c r="AC585" s="137"/>
      <c r="AD585" s="137"/>
      <c r="AE585" s="137"/>
      <c r="AF585" s="137"/>
    </row>
    <row r="586" spans="2:32" s="1" customFormat="1" hidden="1">
      <c r="B586" s="2"/>
      <c r="C586" s="133"/>
      <c r="D586" s="134"/>
      <c r="E586" s="134"/>
      <c r="F586" s="134"/>
      <c r="G586" s="134"/>
      <c r="H586" s="134"/>
      <c r="I586" s="134"/>
      <c r="J586" s="134"/>
      <c r="K586" s="134"/>
      <c r="L586" s="134"/>
      <c r="M586" s="135"/>
      <c r="N586" s="134"/>
      <c r="O586" s="134"/>
      <c r="P586" s="134"/>
      <c r="Q586" s="134"/>
      <c r="R586" s="134"/>
      <c r="S586" s="134"/>
      <c r="T586" s="134"/>
      <c r="U586" s="134"/>
      <c r="V586" s="134"/>
      <c r="W586" s="134"/>
      <c r="X586" s="134"/>
      <c r="Y586" s="135"/>
      <c r="Z586" s="135"/>
      <c r="AA586" s="136"/>
      <c r="AB586" s="136"/>
      <c r="AC586" s="137"/>
      <c r="AD586" s="137"/>
      <c r="AE586" s="137"/>
      <c r="AF586" s="137"/>
    </row>
    <row r="587" spans="2:32" s="1" customFormat="1" hidden="1">
      <c r="B587" s="2"/>
      <c r="C587" s="133"/>
      <c r="D587" s="134"/>
      <c r="E587" s="134"/>
      <c r="F587" s="134"/>
      <c r="G587" s="134"/>
      <c r="H587" s="134"/>
      <c r="I587" s="134"/>
      <c r="J587" s="134"/>
      <c r="K587" s="134"/>
      <c r="L587" s="134"/>
      <c r="M587" s="135"/>
      <c r="N587" s="134"/>
      <c r="O587" s="134"/>
      <c r="P587" s="134"/>
      <c r="Q587" s="134"/>
      <c r="R587" s="134"/>
      <c r="S587" s="134"/>
      <c r="T587" s="134"/>
      <c r="U587" s="134"/>
      <c r="V587" s="134"/>
      <c r="W587" s="134"/>
      <c r="X587" s="134"/>
      <c r="Y587" s="135"/>
      <c r="Z587" s="135"/>
      <c r="AA587" s="136"/>
      <c r="AB587" s="136"/>
      <c r="AC587" s="137"/>
      <c r="AD587" s="137"/>
      <c r="AE587" s="137"/>
      <c r="AF587" s="137"/>
    </row>
    <row r="588" spans="2:32" s="1" customFormat="1" hidden="1">
      <c r="B588" s="2"/>
      <c r="C588" s="133"/>
      <c r="D588" s="134"/>
      <c r="E588" s="134"/>
      <c r="F588" s="134"/>
      <c r="G588" s="134"/>
      <c r="H588" s="134"/>
      <c r="I588" s="134"/>
      <c r="J588" s="134"/>
      <c r="K588" s="134"/>
      <c r="L588" s="134"/>
      <c r="M588" s="135"/>
      <c r="N588" s="134"/>
      <c r="O588" s="134"/>
      <c r="P588" s="134"/>
      <c r="Q588" s="134"/>
      <c r="R588" s="134"/>
      <c r="S588" s="134"/>
      <c r="T588" s="134"/>
      <c r="U588" s="134"/>
      <c r="V588" s="134"/>
      <c r="W588" s="134"/>
      <c r="X588" s="134"/>
      <c r="Y588" s="135"/>
      <c r="Z588" s="135"/>
      <c r="AA588" s="136"/>
      <c r="AB588" s="136"/>
      <c r="AC588" s="137"/>
      <c r="AD588" s="137"/>
      <c r="AE588" s="137"/>
      <c r="AF588" s="137"/>
    </row>
    <row r="589" spans="2:32" s="1" customFormat="1" hidden="1">
      <c r="B589" s="2"/>
      <c r="C589" s="133"/>
      <c r="D589" s="134"/>
      <c r="E589" s="134"/>
      <c r="F589" s="134"/>
      <c r="G589" s="134"/>
      <c r="H589" s="134"/>
      <c r="I589" s="134"/>
      <c r="J589" s="134"/>
      <c r="K589" s="134"/>
      <c r="L589" s="134"/>
      <c r="M589" s="135"/>
      <c r="N589" s="134"/>
      <c r="O589" s="134"/>
      <c r="P589" s="134"/>
      <c r="Q589" s="134"/>
      <c r="R589" s="134"/>
      <c r="S589" s="134"/>
      <c r="T589" s="134"/>
      <c r="U589" s="134"/>
      <c r="V589" s="134"/>
      <c r="W589" s="134"/>
      <c r="X589" s="134"/>
      <c r="Y589" s="135"/>
      <c r="Z589" s="135"/>
      <c r="AA589" s="136"/>
      <c r="AB589" s="136"/>
      <c r="AC589" s="137"/>
      <c r="AD589" s="137"/>
      <c r="AE589" s="137"/>
      <c r="AF589" s="137"/>
    </row>
    <row r="590" spans="2:32" s="1" customFormat="1" hidden="1">
      <c r="B590" s="2"/>
      <c r="C590" s="133"/>
      <c r="D590" s="134"/>
      <c r="E590" s="134"/>
      <c r="F590" s="134"/>
      <c r="G590" s="134"/>
      <c r="H590" s="134"/>
      <c r="I590" s="134"/>
      <c r="J590" s="134"/>
      <c r="K590" s="134"/>
      <c r="L590" s="134"/>
      <c r="M590" s="135"/>
      <c r="N590" s="134"/>
      <c r="O590" s="134"/>
      <c r="P590" s="134"/>
      <c r="Q590" s="134"/>
      <c r="R590" s="134"/>
      <c r="S590" s="134"/>
      <c r="T590" s="134"/>
      <c r="U590" s="134"/>
      <c r="V590" s="134"/>
      <c r="W590" s="134"/>
      <c r="X590" s="134"/>
      <c r="Y590" s="135"/>
      <c r="Z590" s="135"/>
      <c r="AA590" s="136"/>
      <c r="AB590" s="136"/>
      <c r="AC590" s="137"/>
      <c r="AD590" s="137"/>
      <c r="AE590" s="137"/>
      <c r="AF590" s="137"/>
    </row>
    <row r="591" spans="2:32" s="1" customFormat="1" hidden="1">
      <c r="B591" s="2"/>
      <c r="C591" s="133"/>
      <c r="D591" s="134"/>
      <c r="E591" s="134"/>
      <c r="F591" s="134"/>
      <c r="G591" s="134"/>
      <c r="H591" s="134"/>
      <c r="I591" s="134"/>
      <c r="J591" s="134"/>
      <c r="K591" s="134"/>
      <c r="L591" s="134"/>
      <c r="M591" s="135"/>
      <c r="N591" s="134"/>
      <c r="O591" s="134"/>
      <c r="P591" s="134"/>
      <c r="Q591" s="134"/>
      <c r="R591" s="134"/>
      <c r="S591" s="134"/>
      <c r="T591" s="134"/>
      <c r="U591" s="134"/>
      <c r="V591" s="134"/>
      <c r="W591" s="134"/>
      <c r="X591" s="134"/>
      <c r="Y591" s="135"/>
      <c r="Z591" s="135"/>
      <c r="AA591" s="136"/>
      <c r="AB591" s="136"/>
      <c r="AC591" s="137"/>
      <c r="AD591" s="137"/>
      <c r="AE591" s="137"/>
      <c r="AF591" s="137"/>
    </row>
    <row r="592" spans="2:32" s="1" customFormat="1" hidden="1">
      <c r="B592" s="2"/>
      <c r="C592" s="133"/>
      <c r="D592" s="134"/>
      <c r="E592" s="134"/>
      <c r="F592" s="134"/>
      <c r="G592" s="134"/>
      <c r="H592" s="134"/>
      <c r="I592" s="134"/>
      <c r="J592" s="134"/>
      <c r="K592" s="134"/>
      <c r="L592" s="134"/>
      <c r="M592" s="135"/>
      <c r="N592" s="134"/>
      <c r="O592" s="134"/>
      <c r="P592" s="134"/>
      <c r="Q592" s="134"/>
      <c r="R592" s="134"/>
      <c r="S592" s="134"/>
      <c r="T592" s="134"/>
      <c r="U592" s="134"/>
      <c r="V592" s="134"/>
      <c r="W592" s="134"/>
      <c r="X592" s="134"/>
      <c r="Y592" s="135"/>
      <c r="Z592" s="135"/>
      <c r="AA592" s="136"/>
      <c r="AB592" s="136"/>
      <c r="AC592" s="137"/>
      <c r="AD592" s="137"/>
      <c r="AE592" s="137"/>
      <c r="AF592" s="137"/>
    </row>
    <row r="593" spans="2:32" s="1" customFormat="1" hidden="1">
      <c r="B593" s="2"/>
      <c r="C593" s="133"/>
      <c r="D593" s="134"/>
      <c r="E593" s="134"/>
      <c r="F593" s="134"/>
      <c r="G593" s="134"/>
      <c r="H593" s="134"/>
      <c r="I593" s="134"/>
      <c r="J593" s="134"/>
      <c r="K593" s="134"/>
      <c r="L593" s="134"/>
      <c r="M593" s="135"/>
      <c r="N593" s="134"/>
      <c r="O593" s="134"/>
      <c r="P593" s="134"/>
      <c r="Q593" s="134"/>
      <c r="R593" s="134"/>
      <c r="S593" s="134"/>
      <c r="T593" s="134"/>
      <c r="U593" s="134"/>
      <c r="V593" s="134"/>
      <c r="W593" s="134"/>
      <c r="X593" s="134"/>
      <c r="Y593" s="135"/>
      <c r="Z593" s="135"/>
      <c r="AA593" s="136"/>
      <c r="AB593" s="136"/>
      <c r="AC593" s="137"/>
      <c r="AD593" s="137"/>
      <c r="AE593" s="137"/>
      <c r="AF593" s="137"/>
    </row>
    <row r="594" spans="2:32" s="1" customFormat="1" hidden="1">
      <c r="B594" s="2"/>
      <c r="C594" s="133"/>
      <c r="D594" s="134"/>
      <c r="E594" s="134"/>
      <c r="F594" s="134"/>
      <c r="G594" s="134"/>
      <c r="H594" s="134"/>
      <c r="I594" s="134"/>
      <c r="J594" s="134"/>
      <c r="K594" s="134"/>
      <c r="L594" s="134"/>
      <c r="M594" s="135"/>
      <c r="N594" s="134"/>
      <c r="O594" s="134"/>
      <c r="P594" s="134"/>
      <c r="Q594" s="134"/>
      <c r="R594" s="134"/>
      <c r="S594" s="134"/>
      <c r="T594" s="134"/>
      <c r="U594" s="134"/>
      <c r="V594" s="134"/>
      <c r="W594" s="134"/>
      <c r="X594" s="134"/>
      <c r="Y594" s="135"/>
      <c r="Z594" s="135"/>
      <c r="AA594" s="136"/>
      <c r="AB594" s="136"/>
      <c r="AC594" s="137"/>
      <c r="AD594" s="137"/>
      <c r="AE594" s="137"/>
      <c r="AF594" s="137"/>
    </row>
    <row r="595" spans="2:32" s="1" customFormat="1" hidden="1">
      <c r="B595" s="2"/>
      <c r="C595" s="133"/>
      <c r="D595" s="134"/>
      <c r="E595" s="134"/>
      <c r="F595" s="134"/>
      <c r="G595" s="134"/>
      <c r="H595" s="134"/>
      <c r="I595" s="134"/>
      <c r="J595" s="134"/>
      <c r="K595" s="134"/>
      <c r="L595" s="134"/>
      <c r="M595" s="135"/>
      <c r="N595" s="134"/>
      <c r="O595" s="134"/>
      <c r="P595" s="134"/>
      <c r="Q595" s="134"/>
      <c r="R595" s="134"/>
      <c r="S595" s="134"/>
      <c r="T595" s="134"/>
      <c r="U595" s="134"/>
      <c r="V595" s="134"/>
      <c r="W595" s="134"/>
      <c r="X595" s="134"/>
      <c r="Y595" s="135"/>
      <c r="Z595" s="135"/>
      <c r="AA595" s="136"/>
      <c r="AB595" s="136"/>
      <c r="AC595" s="137"/>
      <c r="AD595" s="137"/>
      <c r="AE595" s="137"/>
      <c r="AF595" s="137"/>
    </row>
    <row r="596" spans="2:32" s="1" customFormat="1" hidden="1">
      <c r="B596" s="2"/>
      <c r="C596" s="133"/>
      <c r="D596" s="134"/>
      <c r="E596" s="134"/>
      <c r="F596" s="134"/>
      <c r="G596" s="134"/>
      <c r="H596" s="134"/>
      <c r="I596" s="134"/>
      <c r="J596" s="134"/>
      <c r="K596" s="134"/>
      <c r="L596" s="134"/>
      <c r="M596" s="135"/>
      <c r="N596" s="134"/>
      <c r="O596" s="134"/>
      <c r="P596" s="134"/>
      <c r="Q596" s="134"/>
      <c r="R596" s="134"/>
      <c r="S596" s="134"/>
      <c r="T596" s="134"/>
      <c r="U596" s="134"/>
      <c r="V596" s="134"/>
      <c r="W596" s="134"/>
      <c r="X596" s="134"/>
      <c r="Y596" s="135"/>
      <c r="Z596" s="135"/>
      <c r="AA596" s="136"/>
      <c r="AB596" s="136"/>
      <c r="AC596" s="137"/>
      <c r="AD596" s="137"/>
      <c r="AE596" s="137"/>
      <c r="AF596" s="137"/>
    </row>
    <row r="597" spans="2:32" s="1" customFormat="1" hidden="1">
      <c r="B597" s="2"/>
      <c r="C597" s="133"/>
      <c r="D597" s="134"/>
      <c r="E597" s="134"/>
      <c r="F597" s="134"/>
      <c r="G597" s="134"/>
      <c r="H597" s="134"/>
      <c r="I597" s="134"/>
      <c r="J597" s="134"/>
      <c r="K597" s="134"/>
      <c r="L597" s="134"/>
      <c r="M597" s="135"/>
      <c r="N597" s="134"/>
      <c r="O597" s="134"/>
      <c r="P597" s="134"/>
      <c r="Q597" s="134"/>
      <c r="R597" s="134"/>
      <c r="S597" s="134"/>
      <c r="T597" s="134"/>
      <c r="U597" s="134"/>
      <c r="V597" s="134"/>
      <c r="W597" s="134"/>
      <c r="X597" s="134"/>
      <c r="Y597" s="135"/>
      <c r="Z597" s="135"/>
      <c r="AA597" s="136"/>
      <c r="AB597" s="136"/>
      <c r="AC597" s="137"/>
      <c r="AD597" s="137"/>
      <c r="AE597" s="137"/>
      <c r="AF597" s="137"/>
    </row>
    <row r="598" spans="2:32" s="1" customFormat="1" hidden="1">
      <c r="B598" s="2"/>
      <c r="C598" s="133"/>
      <c r="D598" s="134"/>
      <c r="E598" s="134"/>
      <c r="F598" s="134"/>
      <c r="G598" s="134"/>
      <c r="H598" s="134"/>
      <c r="I598" s="134"/>
      <c r="J598" s="134"/>
      <c r="K598" s="134"/>
      <c r="L598" s="134"/>
      <c r="M598" s="135"/>
      <c r="N598" s="134"/>
      <c r="O598" s="134"/>
      <c r="P598" s="134"/>
      <c r="Q598" s="134"/>
      <c r="R598" s="134"/>
      <c r="S598" s="134"/>
      <c r="T598" s="134"/>
      <c r="U598" s="134"/>
      <c r="V598" s="134"/>
      <c r="W598" s="134"/>
      <c r="X598" s="134"/>
      <c r="Y598" s="135"/>
      <c r="Z598" s="135"/>
      <c r="AA598" s="136"/>
      <c r="AB598" s="136"/>
      <c r="AC598" s="137"/>
      <c r="AD598" s="137"/>
      <c r="AE598" s="137"/>
      <c r="AF598" s="137"/>
    </row>
    <row r="599" spans="2:32" s="1" customFormat="1" hidden="1">
      <c r="B599" s="2"/>
      <c r="C599" s="133"/>
      <c r="D599" s="134"/>
      <c r="E599" s="134"/>
      <c r="F599" s="134"/>
      <c r="G599" s="134"/>
      <c r="H599" s="134"/>
      <c r="I599" s="134"/>
      <c r="J599" s="134"/>
      <c r="K599" s="134"/>
      <c r="L599" s="134"/>
      <c r="M599" s="135"/>
      <c r="N599" s="134"/>
      <c r="O599" s="134"/>
      <c r="P599" s="134"/>
      <c r="Q599" s="134"/>
      <c r="R599" s="134"/>
      <c r="S599" s="134"/>
      <c r="T599" s="134"/>
      <c r="U599" s="134"/>
      <c r="V599" s="134"/>
      <c r="W599" s="134"/>
      <c r="X599" s="134"/>
      <c r="Y599" s="135"/>
      <c r="Z599" s="135"/>
      <c r="AA599" s="136"/>
      <c r="AB599" s="136"/>
      <c r="AC599" s="137"/>
      <c r="AD599" s="137"/>
      <c r="AE599" s="137"/>
      <c r="AF599" s="137"/>
    </row>
    <row r="600" spans="2:32" s="1" customFormat="1" hidden="1">
      <c r="B600" s="2"/>
      <c r="C600" s="133"/>
      <c r="D600" s="134"/>
      <c r="E600" s="134"/>
      <c r="F600" s="134"/>
      <c r="G600" s="134"/>
      <c r="H600" s="134"/>
      <c r="I600" s="134"/>
      <c r="J600" s="134"/>
      <c r="K600" s="134"/>
      <c r="L600" s="134"/>
      <c r="M600" s="135"/>
      <c r="N600" s="134"/>
      <c r="O600" s="134"/>
      <c r="P600" s="134"/>
      <c r="Q600" s="134"/>
      <c r="R600" s="134"/>
      <c r="S600" s="134"/>
      <c r="T600" s="134"/>
      <c r="U600" s="134"/>
      <c r="V600" s="134"/>
      <c r="W600" s="134"/>
      <c r="X600" s="134"/>
      <c r="Y600" s="135"/>
      <c r="Z600" s="135"/>
      <c r="AA600" s="136"/>
      <c r="AB600" s="136"/>
      <c r="AC600" s="137"/>
      <c r="AD600" s="137"/>
      <c r="AE600" s="137"/>
      <c r="AF600" s="137"/>
    </row>
    <row r="601" spans="2:32" s="1" customFormat="1" hidden="1">
      <c r="B601" s="2"/>
      <c r="C601" s="133"/>
      <c r="D601" s="134"/>
      <c r="E601" s="134"/>
      <c r="F601" s="134"/>
      <c r="G601" s="134"/>
      <c r="H601" s="134"/>
      <c r="I601" s="134"/>
      <c r="J601" s="134"/>
      <c r="K601" s="134"/>
      <c r="L601" s="134"/>
      <c r="M601" s="135"/>
      <c r="N601" s="134"/>
      <c r="O601" s="134"/>
      <c r="P601" s="134"/>
      <c r="Q601" s="134"/>
      <c r="R601" s="134"/>
      <c r="S601" s="134"/>
      <c r="T601" s="134"/>
      <c r="U601" s="134"/>
      <c r="V601" s="134"/>
      <c r="W601" s="134"/>
      <c r="X601" s="134"/>
      <c r="Y601" s="135"/>
      <c r="Z601" s="135"/>
      <c r="AA601" s="136"/>
      <c r="AB601" s="136"/>
      <c r="AC601" s="137"/>
      <c r="AD601" s="137"/>
      <c r="AE601" s="137"/>
      <c r="AF601" s="137"/>
    </row>
    <row r="602" spans="2:32" s="1" customFormat="1" hidden="1">
      <c r="B602" s="2"/>
      <c r="C602" s="133"/>
      <c r="D602" s="134"/>
      <c r="E602" s="134"/>
      <c r="F602" s="134"/>
      <c r="G602" s="134"/>
      <c r="H602" s="134"/>
      <c r="I602" s="134"/>
      <c r="J602" s="134"/>
      <c r="K602" s="134"/>
      <c r="L602" s="134"/>
      <c r="M602" s="135"/>
      <c r="N602" s="134"/>
      <c r="O602" s="134"/>
      <c r="P602" s="134"/>
      <c r="Q602" s="134"/>
      <c r="R602" s="134"/>
      <c r="S602" s="134"/>
      <c r="T602" s="134"/>
      <c r="U602" s="134"/>
      <c r="V602" s="134"/>
      <c r="W602" s="134"/>
      <c r="X602" s="134"/>
      <c r="Y602" s="135"/>
      <c r="Z602" s="135"/>
      <c r="AA602" s="136"/>
      <c r="AB602" s="136"/>
      <c r="AC602" s="137"/>
      <c r="AD602" s="137"/>
      <c r="AE602" s="137"/>
      <c r="AF602" s="137"/>
    </row>
    <row r="603" spans="2:32" s="1" customFormat="1" hidden="1">
      <c r="B603" s="2"/>
      <c r="C603" s="133"/>
      <c r="D603" s="134"/>
      <c r="E603" s="134"/>
      <c r="F603" s="134"/>
      <c r="G603" s="134"/>
      <c r="H603" s="134"/>
      <c r="I603" s="134"/>
      <c r="J603" s="134"/>
      <c r="K603" s="134"/>
      <c r="L603" s="134"/>
      <c r="M603" s="135"/>
      <c r="N603" s="134"/>
      <c r="O603" s="134"/>
      <c r="P603" s="134"/>
      <c r="Q603" s="134"/>
      <c r="R603" s="134"/>
      <c r="S603" s="134"/>
      <c r="T603" s="134"/>
      <c r="U603" s="134"/>
      <c r="V603" s="134"/>
      <c r="W603" s="134"/>
      <c r="X603" s="134"/>
      <c r="Y603" s="135"/>
      <c r="Z603" s="135"/>
      <c r="AA603" s="136"/>
      <c r="AB603" s="136"/>
      <c r="AC603" s="137"/>
      <c r="AD603" s="137"/>
      <c r="AE603" s="137"/>
      <c r="AF603" s="137"/>
    </row>
    <row r="604" spans="2:32" s="1" customFormat="1" hidden="1">
      <c r="B604" s="2"/>
      <c r="C604" s="133"/>
      <c r="D604" s="134"/>
      <c r="E604" s="134"/>
      <c r="F604" s="134"/>
      <c r="G604" s="134"/>
      <c r="H604" s="134"/>
      <c r="I604" s="134"/>
      <c r="J604" s="134"/>
      <c r="K604" s="134"/>
      <c r="L604" s="134"/>
      <c r="M604" s="135"/>
      <c r="N604" s="134"/>
      <c r="O604" s="134"/>
      <c r="P604" s="134"/>
      <c r="Q604" s="134"/>
      <c r="R604" s="134"/>
      <c r="S604" s="134"/>
      <c r="T604" s="134"/>
      <c r="U604" s="134"/>
      <c r="V604" s="134"/>
      <c r="W604" s="134"/>
      <c r="X604" s="134"/>
      <c r="Y604" s="135"/>
      <c r="Z604" s="135"/>
      <c r="AA604" s="136"/>
      <c r="AB604" s="136"/>
      <c r="AC604" s="137"/>
      <c r="AD604" s="137"/>
      <c r="AE604" s="137"/>
      <c r="AF604" s="137"/>
    </row>
    <row r="605" spans="2:32" s="1" customFormat="1" hidden="1">
      <c r="B605" s="2"/>
      <c r="C605" s="133"/>
      <c r="D605" s="134"/>
      <c r="E605" s="134"/>
      <c r="F605" s="134"/>
      <c r="G605" s="134"/>
      <c r="H605" s="134"/>
      <c r="I605" s="134"/>
      <c r="J605" s="134"/>
      <c r="K605" s="134"/>
      <c r="L605" s="134"/>
      <c r="M605" s="135"/>
      <c r="N605" s="134"/>
      <c r="O605" s="134"/>
      <c r="P605" s="134"/>
      <c r="Q605" s="134"/>
      <c r="R605" s="134"/>
      <c r="S605" s="134"/>
      <c r="T605" s="134"/>
      <c r="U605" s="134"/>
      <c r="V605" s="134"/>
      <c r="W605" s="134"/>
      <c r="X605" s="134"/>
      <c r="Y605" s="135"/>
      <c r="Z605" s="135"/>
      <c r="AA605" s="136"/>
      <c r="AB605" s="136"/>
      <c r="AC605" s="137"/>
      <c r="AD605" s="137"/>
      <c r="AE605" s="137"/>
      <c r="AF605" s="137"/>
    </row>
    <row r="606" spans="2:32" s="1" customFormat="1" hidden="1">
      <c r="B606" s="2"/>
      <c r="C606" s="133"/>
      <c r="D606" s="134"/>
      <c r="E606" s="134"/>
      <c r="F606" s="134"/>
      <c r="G606" s="134"/>
      <c r="H606" s="134"/>
      <c r="I606" s="134"/>
      <c r="J606" s="134"/>
      <c r="K606" s="134"/>
      <c r="L606" s="134"/>
      <c r="M606" s="135"/>
      <c r="N606" s="134"/>
      <c r="O606" s="134"/>
      <c r="P606" s="134"/>
      <c r="Q606" s="134"/>
      <c r="R606" s="134"/>
      <c r="S606" s="134"/>
      <c r="T606" s="134"/>
      <c r="U606" s="134"/>
      <c r="V606" s="134"/>
      <c r="W606" s="134"/>
      <c r="X606" s="134"/>
      <c r="Y606" s="135"/>
      <c r="Z606" s="135"/>
      <c r="AA606" s="136"/>
      <c r="AB606" s="136"/>
      <c r="AC606" s="137"/>
      <c r="AD606" s="137"/>
      <c r="AE606" s="137"/>
      <c r="AF606" s="137"/>
    </row>
    <row r="607" spans="2:32" s="1" customFormat="1" hidden="1">
      <c r="B607" s="2"/>
      <c r="C607" s="133"/>
      <c r="D607" s="134"/>
      <c r="E607" s="134"/>
      <c r="F607" s="134"/>
      <c r="G607" s="134"/>
      <c r="H607" s="134"/>
      <c r="I607" s="134"/>
      <c r="J607" s="134"/>
      <c r="K607" s="134"/>
      <c r="L607" s="134"/>
      <c r="M607" s="135"/>
      <c r="N607" s="134"/>
      <c r="O607" s="134"/>
      <c r="P607" s="134"/>
      <c r="Q607" s="134"/>
      <c r="R607" s="134"/>
      <c r="S607" s="134"/>
      <c r="T607" s="134"/>
      <c r="U607" s="134"/>
      <c r="V607" s="134"/>
      <c r="W607" s="134"/>
      <c r="X607" s="134"/>
      <c r="Y607" s="135"/>
      <c r="Z607" s="135"/>
      <c r="AA607" s="136"/>
      <c r="AB607" s="136"/>
      <c r="AC607" s="137"/>
      <c r="AD607" s="137"/>
      <c r="AE607" s="137"/>
      <c r="AF607" s="137"/>
    </row>
    <row r="608" spans="2:32" s="1" customFormat="1" hidden="1">
      <c r="B608" s="2"/>
      <c r="C608" s="133"/>
      <c r="D608" s="134"/>
      <c r="E608" s="134"/>
      <c r="F608" s="134"/>
      <c r="G608" s="134"/>
      <c r="H608" s="134"/>
      <c r="I608" s="134"/>
      <c r="J608" s="134"/>
      <c r="K608" s="134"/>
      <c r="L608" s="134"/>
      <c r="M608" s="135"/>
      <c r="N608" s="134"/>
      <c r="O608" s="134"/>
      <c r="P608" s="134"/>
      <c r="Q608" s="134"/>
      <c r="R608" s="134"/>
      <c r="S608" s="134"/>
      <c r="T608" s="134"/>
      <c r="U608" s="134"/>
      <c r="V608" s="134"/>
      <c r="W608" s="134"/>
      <c r="X608" s="134"/>
      <c r="Y608" s="135"/>
      <c r="Z608" s="135"/>
      <c r="AA608" s="136"/>
      <c r="AB608" s="136"/>
      <c r="AC608" s="137"/>
      <c r="AD608" s="137"/>
      <c r="AE608" s="137"/>
      <c r="AF608" s="137"/>
    </row>
    <row r="609" spans="2:32" s="1" customFormat="1" hidden="1">
      <c r="B609" s="2"/>
      <c r="C609" s="133"/>
      <c r="D609" s="134"/>
      <c r="E609" s="134"/>
      <c r="F609" s="134"/>
      <c r="G609" s="134"/>
      <c r="H609" s="134"/>
      <c r="I609" s="134"/>
      <c r="J609" s="134"/>
      <c r="K609" s="134"/>
      <c r="L609" s="134"/>
      <c r="M609" s="135"/>
      <c r="N609" s="134"/>
      <c r="O609" s="134"/>
      <c r="P609" s="134"/>
      <c r="Q609" s="134"/>
      <c r="R609" s="134"/>
      <c r="S609" s="134"/>
      <c r="T609" s="134"/>
      <c r="U609" s="134"/>
      <c r="V609" s="134"/>
      <c r="W609" s="134"/>
      <c r="X609" s="134"/>
      <c r="Y609" s="135"/>
      <c r="Z609" s="135"/>
      <c r="AA609" s="136"/>
      <c r="AB609" s="136"/>
      <c r="AC609" s="137"/>
      <c r="AD609" s="137"/>
      <c r="AE609" s="137"/>
      <c r="AF609" s="137"/>
    </row>
    <row r="610" spans="2:32" s="1" customFormat="1" hidden="1">
      <c r="B610" s="2"/>
      <c r="C610" s="133"/>
      <c r="D610" s="134"/>
      <c r="E610" s="134"/>
      <c r="F610" s="134"/>
      <c r="G610" s="134"/>
      <c r="H610" s="134"/>
      <c r="I610" s="134"/>
      <c r="J610" s="134"/>
      <c r="K610" s="134"/>
      <c r="L610" s="134"/>
      <c r="M610" s="135"/>
      <c r="N610" s="134"/>
      <c r="O610" s="134"/>
      <c r="P610" s="134"/>
      <c r="Q610" s="134"/>
      <c r="R610" s="134"/>
      <c r="S610" s="134"/>
      <c r="T610" s="134"/>
      <c r="U610" s="134"/>
      <c r="V610" s="134"/>
      <c r="W610" s="134"/>
      <c r="X610" s="134"/>
      <c r="Y610" s="135"/>
      <c r="Z610" s="135"/>
      <c r="AA610" s="136"/>
      <c r="AB610" s="136"/>
      <c r="AC610" s="137"/>
      <c r="AD610" s="137"/>
      <c r="AE610" s="137"/>
      <c r="AF610" s="137"/>
    </row>
    <row r="611" spans="2:32" s="1" customFormat="1" hidden="1">
      <c r="B611" s="2"/>
      <c r="C611" s="133"/>
      <c r="D611" s="134"/>
      <c r="E611" s="134"/>
      <c r="F611" s="134"/>
      <c r="G611" s="134"/>
      <c r="H611" s="134"/>
      <c r="I611" s="134"/>
      <c r="J611" s="134"/>
      <c r="K611" s="134"/>
      <c r="L611" s="134"/>
      <c r="M611" s="135"/>
      <c r="N611" s="134"/>
      <c r="O611" s="134"/>
      <c r="P611" s="134"/>
      <c r="Q611" s="134"/>
      <c r="R611" s="134"/>
      <c r="S611" s="134"/>
      <c r="T611" s="134"/>
      <c r="U611" s="134"/>
      <c r="V611" s="134"/>
      <c r="W611" s="134"/>
      <c r="X611" s="134"/>
      <c r="Y611" s="135"/>
      <c r="Z611" s="135"/>
      <c r="AA611" s="136"/>
      <c r="AB611" s="136"/>
      <c r="AC611" s="137"/>
      <c r="AD611" s="137"/>
      <c r="AE611" s="137"/>
      <c r="AF611" s="137"/>
    </row>
    <row r="612" spans="2:32" s="1" customFormat="1" hidden="1">
      <c r="B612" s="2"/>
      <c r="C612" s="133"/>
      <c r="D612" s="134"/>
      <c r="E612" s="134"/>
      <c r="F612" s="134"/>
      <c r="G612" s="134"/>
      <c r="H612" s="134"/>
      <c r="I612" s="134"/>
      <c r="J612" s="134"/>
      <c r="K612" s="134"/>
      <c r="L612" s="134"/>
      <c r="M612" s="135"/>
      <c r="N612" s="134"/>
      <c r="O612" s="134"/>
      <c r="P612" s="134"/>
      <c r="Q612" s="134"/>
      <c r="R612" s="134"/>
      <c r="S612" s="134"/>
      <c r="T612" s="134"/>
      <c r="U612" s="134"/>
      <c r="V612" s="134"/>
      <c r="W612" s="134"/>
      <c r="X612" s="134"/>
      <c r="Y612" s="135"/>
      <c r="Z612" s="135"/>
      <c r="AA612" s="136"/>
      <c r="AB612" s="136"/>
      <c r="AC612" s="137"/>
      <c r="AD612" s="137"/>
      <c r="AE612" s="137"/>
      <c r="AF612" s="137"/>
    </row>
    <row r="613" spans="2:32" s="1" customFormat="1" hidden="1">
      <c r="B613" s="2"/>
      <c r="C613" s="133"/>
      <c r="D613" s="134"/>
      <c r="E613" s="134"/>
      <c r="F613" s="134"/>
      <c r="G613" s="134"/>
      <c r="H613" s="134"/>
      <c r="I613" s="134"/>
      <c r="J613" s="134"/>
      <c r="K613" s="134"/>
      <c r="L613" s="134"/>
      <c r="M613" s="135"/>
      <c r="N613" s="134"/>
      <c r="O613" s="134"/>
      <c r="P613" s="134"/>
      <c r="Q613" s="134"/>
      <c r="R613" s="134"/>
      <c r="S613" s="134"/>
      <c r="T613" s="134"/>
      <c r="U613" s="134"/>
      <c r="V613" s="134"/>
      <c r="W613" s="134"/>
      <c r="X613" s="134"/>
      <c r="Y613" s="135"/>
      <c r="Z613" s="135"/>
      <c r="AA613" s="136"/>
      <c r="AB613" s="136"/>
      <c r="AC613" s="137"/>
      <c r="AD613" s="137"/>
      <c r="AE613" s="137"/>
      <c r="AF613" s="137"/>
    </row>
    <row r="614" spans="2:32" s="1" customFormat="1" hidden="1">
      <c r="B614" s="2"/>
      <c r="C614" s="133"/>
      <c r="D614" s="134"/>
      <c r="E614" s="134"/>
      <c r="F614" s="134"/>
      <c r="G614" s="134"/>
      <c r="H614" s="134"/>
      <c r="I614" s="134"/>
      <c r="J614" s="134"/>
      <c r="K614" s="134"/>
      <c r="L614" s="134"/>
      <c r="M614" s="135"/>
      <c r="N614" s="134"/>
      <c r="O614" s="134"/>
      <c r="P614" s="134"/>
      <c r="Q614" s="134"/>
      <c r="R614" s="134"/>
      <c r="S614" s="134"/>
      <c r="T614" s="134"/>
      <c r="U614" s="134"/>
      <c r="V614" s="134"/>
      <c r="W614" s="134"/>
      <c r="X614" s="134"/>
      <c r="Y614" s="135"/>
      <c r="Z614" s="135"/>
      <c r="AA614" s="136"/>
      <c r="AB614" s="136"/>
      <c r="AC614" s="137"/>
      <c r="AD614" s="137"/>
      <c r="AE614" s="137"/>
      <c r="AF614" s="137"/>
    </row>
    <row r="615" spans="2:32" s="1" customFormat="1" hidden="1">
      <c r="B615" s="2"/>
      <c r="C615" s="133"/>
      <c r="D615" s="134"/>
      <c r="E615" s="134"/>
      <c r="F615" s="134"/>
      <c r="G615" s="134"/>
      <c r="H615" s="134"/>
      <c r="I615" s="134"/>
      <c r="J615" s="134"/>
      <c r="K615" s="134"/>
      <c r="L615" s="134"/>
      <c r="M615" s="135"/>
      <c r="N615" s="134"/>
      <c r="O615" s="134"/>
      <c r="P615" s="134"/>
      <c r="Q615" s="134"/>
      <c r="R615" s="134"/>
      <c r="S615" s="134"/>
      <c r="T615" s="134"/>
      <c r="U615" s="134"/>
      <c r="V615" s="134"/>
      <c r="W615" s="134"/>
      <c r="X615" s="134"/>
      <c r="Y615" s="135"/>
      <c r="Z615" s="135"/>
      <c r="AA615" s="136"/>
      <c r="AB615" s="136"/>
      <c r="AC615" s="137"/>
      <c r="AD615" s="137"/>
      <c r="AE615" s="137"/>
      <c r="AF615" s="137"/>
    </row>
    <row r="616" spans="2:32" s="1" customFormat="1" hidden="1">
      <c r="B616" s="2"/>
      <c r="C616" s="133"/>
      <c r="D616" s="134"/>
      <c r="E616" s="134"/>
      <c r="F616" s="134"/>
      <c r="G616" s="134"/>
      <c r="H616" s="134"/>
      <c r="I616" s="134"/>
      <c r="J616" s="134"/>
      <c r="K616" s="134"/>
      <c r="L616" s="134"/>
      <c r="M616" s="135"/>
      <c r="N616" s="134"/>
      <c r="O616" s="134"/>
      <c r="P616" s="134"/>
      <c r="Q616" s="134"/>
      <c r="R616" s="134"/>
      <c r="S616" s="134"/>
      <c r="T616" s="134"/>
      <c r="U616" s="134"/>
      <c r="V616" s="134"/>
      <c r="W616" s="134"/>
      <c r="X616" s="134"/>
      <c r="Y616" s="135"/>
      <c r="Z616" s="135"/>
      <c r="AA616" s="136"/>
      <c r="AB616" s="136"/>
      <c r="AC616" s="137"/>
      <c r="AD616" s="137"/>
      <c r="AE616" s="137"/>
      <c r="AF616" s="137"/>
    </row>
    <row r="617" spans="2:32" s="1" customFormat="1" hidden="1">
      <c r="B617" s="2"/>
      <c r="C617" s="133"/>
      <c r="D617" s="134"/>
      <c r="E617" s="134"/>
      <c r="F617" s="134"/>
      <c r="G617" s="134"/>
      <c r="H617" s="134"/>
      <c r="I617" s="134"/>
      <c r="J617" s="134"/>
      <c r="K617" s="134"/>
      <c r="L617" s="134"/>
      <c r="M617" s="135"/>
      <c r="N617" s="134"/>
      <c r="O617" s="134"/>
      <c r="P617" s="134"/>
      <c r="Q617" s="134"/>
      <c r="R617" s="134"/>
      <c r="S617" s="134"/>
      <c r="T617" s="134"/>
      <c r="U617" s="134"/>
      <c r="V617" s="134"/>
      <c r="W617" s="134"/>
      <c r="X617" s="134"/>
      <c r="Y617" s="135"/>
      <c r="Z617" s="135"/>
      <c r="AA617" s="136"/>
      <c r="AB617" s="136"/>
      <c r="AC617" s="137"/>
      <c r="AD617" s="137"/>
      <c r="AE617" s="137"/>
      <c r="AF617" s="137"/>
    </row>
    <row r="618" spans="2:32" s="1" customFormat="1" hidden="1">
      <c r="B618" s="2"/>
      <c r="C618" s="133"/>
      <c r="D618" s="134"/>
      <c r="E618" s="134"/>
      <c r="F618" s="134"/>
      <c r="G618" s="134"/>
      <c r="H618" s="134"/>
      <c r="I618" s="134"/>
      <c r="J618" s="134"/>
      <c r="K618" s="134"/>
      <c r="L618" s="134"/>
      <c r="M618" s="135"/>
      <c r="N618" s="134"/>
      <c r="O618" s="134"/>
      <c r="P618" s="134"/>
      <c r="Q618" s="134"/>
      <c r="R618" s="134"/>
      <c r="S618" s="134"/>
      <c r="T618" s="134"/>
      <c r="U618" s="134"/>
      <c r="V618" s="134"/>
      <c r="W618" s="134"/>
      <c r="X618" s="134"/>
      <c r="Y618" s="135"/>
      <c r="Z618" s="135"/>
      <c r="AA618" s="136"/>
      <c r="AB618" s="136"/>
      <c r="AC618" s="137"/>
      <c r="AD618" s="137"/>
      <c r="AE618" s="137"/>
      <c r="AF618" s="137"/>
    </row>
    <row r="619" spans="2:32" s="1" customFormat="1" hidden="1">
      <c r="B619" s="2"/>
      <c r="C619" s="133"/>
      <c r="D619" s="134"/>
      <c r="E619" s="134"/>
      <c r="F619" s="134"/>
      <c r="G619" s="134"/>
      <c r="H619" s="134"/>
      <c r="I619" s="134"/>
      <c r="J619" s="134"/>
      <c r="K619" s="134"/>
      <c r="L619" s="134"/>
      <c r="M619" s="135"/>
      <c r="N619" s="134"/>
      <c r="O619" s="134"/>
      <c r="P619" s="134"/>
      <c r="Q619" s="134"/>
      <c r="R619" s="134"/>
      <c r="S619" s="134"/>
      <c r="T619" s="134"/>
      <c r="U619" s="134"/>
      <c r="V619" s="134"/>
      <c r="W619" s="134"/>
      <c r="X619" s="134"/>
      <c r="Y619" s="135"/>
      <c r="Z619" s="135"/>
      <c r="AA619" s="136"/>
      <c r="AB619" s="136"/>
      <c r="AC619" s="137"/>
      <c r="AD619" s="137"/>
      <c r="AE619" s="137"/>
      <c r="AF619" s="137"/>
    </row>
    <row r="620" spans="2:32" s="1" customFormat="1" hidden="1">
      <c r="B620" s="2"/>
      <c r="C620" s="133"/>
      <c r="D620" s="134"/>
      <c r="E620" s="134"/>
      <c r="F620" s="134"/>
      <c r="G620" s="134"/>
      <c r="H620" s="134"/>
      <c r="I620" s="134"/>
      <c r="J620" s="134"/>
      <c r="K620" s="134"/>
      <c r="L620" s="134"/>
      <c r="M620" s="135"/>
      <c r="N620" s="134"/>
      <c r="O620" s="134"/>
      <c r="P620" s="134"/>
      <c r="Q620" s="134"/>
      <c r="R620" s="134"/>
      <c r="S620" s="134"/>
      <c r="T620" s="134"/>
      <c r="U620" s="134"/>
      <c r="V620" s="134"/>
      <c r="W620" s="134"/>
      <c r="X620" s="134"/>
      <c r="Y620" s="135"/>
      <c r="Z620" s="135"/>
      <c r="AA620" s="136"/>
      <c r="AB620" s="136"/>
      <c r="AC620" s="137"/>
      <c r="AD620" s="137"/>
      <c r="AE620" s="137"/>
      <c r="AF620" s="137"/>
    </row>
    <row r="621" spans="2:32" s="1" customFormat="1" hidden="1">
      <c r="B621" s="2"/>
      <c r="C621" s="133"/>
      <c r="D621" s="134"/>
      <c r="E621" s="134"/>
      <c r="F621" s="134"/>
      <c r="G621" s="134"/>
      <c r="H621" s="134"/>
      <c r="I621" s="134"/>
      <c r="J621" s="134"/>
      <c r="K621" s="134"/>
      <c r="L621" s="134"/>
      <c r="M621" s="135"/>
      <c r="N621" s="134"/>
      <c r="O621" s="134"/>
      <c r="P621" s="134"/>
      <c r="Q621" s="134"/>
      <c r="R621" s="134"/>
      <c r="S621" s="134"/>
      <c r="T621" s="134"/>
      <c r="U621" s="134"/>
      <c r="V621" s="134"/>
      <c r="W621" s="134"/>
      <c r="X621" s="134"/>
      <c r="Y621" s="135"/>
      <c r="Z621" s="135"/>
      <c r="AA621" s="136"/>
      <c r="AB621" s="136"/>
      <c r="AC621" s="137"/>
      <c r="AD621" s="137"/>
      <c r="AE621" s="137"/>
      <c r="AF621" s="137"/>
    </row>
    <row r="622" spans="2:32" s="1" customFormat="1" hidden="1">
      <c r="B622" s="2"/>
      <c r="C622" s="133"/>
      <c r="D622" s="134"/>
      <c r="E622" s="134"/>
      <c r="F622" s="134"/>
      <c r="G622" s="134"/>
      <c r="H622" s="134"/>
      <c r="I622" s="134"/>
      <c r="J622" s="134"/>
      <c r="K622" s="134"/>
      <c r="L622" s="134"/>
      <c r="M622" s="135"/>
      <c r="N622" s="134"/>
      <c r="O622" s="134"/>
      <c r="P622" s="134"/>
      <c r="Q622" s="134"/>
      <c r="R622" s="134"/>
      <c r="S622" s="134"/>
      <c r="T622" s="134"/>
      <c r="U622" s="134"/>
      <c r="V622" s="134"/>
      <c r="W622" s="134"/>
      <c r="X622" s="134"/>
      <c r="Y622" s="135"/>
      <c r="Z622" s="135"/>
      <c r="AA622" s="136"/>
      <c r="AB622" s="136"/>
      <c r="AC622" s="137"/>
      <c r="AD622" s="137"/>
      <c r="AE622" s="137"/>
      <c r="AF622" s="137"/>
    </row>
    <row r="623" spans="2:32" s="1" customFormat="1" hidden="1">
      <c r="B623" s="2"/>
      <c r="C623" s="133"/>
      <c r="D623" s="134"/>
      <c r="E623" s="134"/>
      <c r="F623" s="134"/>
      <c r="G623" s="134"/>
      <c r="H623" s="134"/>
      <c r="I623" s="134"/>
      <c r="J623" s="134"/>
      <c r="K623" s="134"/>
      <c r="L623" s="134"/>
      <c r="M623" s="135"/>
      <c r="N623" s="134"/>
      <c r="O623" s="134"/>
      <c r="P623" s="134"/>
      <c r="Q623" s="134"/>
      <c r="R623" s="134"/>
      <c r="S623" s="134"/>
      <c r="T623" s="134"/>
      <c r="U623" s="134"/>
      <c r="V623" s="134"/>
      <c r="W623" s="134"/>
      <c r="X623" s="134"/>
      <c r="Y623" s="135"/>
      <c r="Z623" s="135"/>
      <c r="AA623" s="136"/>
      <c r="AB623" s="136"/>
      <c r="AC623" s="137"/>
      <c r="AD623" s="137"/>
      <c r="AE623" s="137"/>
      <c r="AF623" s="137"/>
    </row>
    <row r="624" spans="2:32" s="1" customFormat="1" hidden="1">
      <c r="B624" s="2"/>
      <c r="C624" s="133"/>
      <c r="D624" s="134"/>
      <c r="E624" s="134"/>
      <c r="F624" s="134"/>
      <c r="G624" s="134"/>
      <c r="H624" s="134"/>
      <c r="I624" s="134"/>
      <c r="J624" s="134"/>
      <c r="K624" s="134"/>
      <c r="L624" s="134"/>
      <c r="M624" s="135"/>
      <c r="N624" s="134"/>
      <c r="O624" s="134"/>
      <c r="P624" s="134"/>
      <c r="Q624" s="134"/>
      <c r="R624" s="134"/>
      <c r="S624" s="134"/>
      <c r="T624" s="134"/>
      <c r="U624" s="134"/>
      <c r="V624" s="134"/>
      <c r="W624" s="134"/>
      <c r="X624" s="134"/>
      <c r="Y624" s="135"/>
      <c r="Z624" s="135"/>
      <c r="AA624" s="136"/>
      <c r="AB624" s="136"/>
      <c r="AC624" s="137"/>
      <c r="AD624" s="137"/>
      <c r="AE624" s="137"/>
      <c r="AF624" s="137"/>
    </row>
    <row r="625" spans="2:32" s="1" customFormat="1" hidden="1">
      <c r="B625" s="2"/>
      <c r="C625" s="133"/>
      <c r="D625" s="134"/>
      <c r="E625" s="134"/>
      <c r="F625" s="134"/>
      <c r="G625" s="134"/>
      <c r="H625" s="134"/>
      <c r="I625" s="134"/>
      <c r="J625" s="134"/>
      <c r="K625" s="134"/>
      <c r="L625" s="134"/>
      <c r="M625" s="135"/>
      <c r="N625" s="134"/>
      <c r="O625" s="134"/>
      <c r="P625" s="134"/>
      <c r="Q625" s="134"/>
      <c r="R625" s="134"/>
      <c r="S625" s="134"/>
      <c r="T625" s="134"/>
      <c r="U625" s="134"/>
      <c r="V625" s="134"/>
      <c r="W625" s="134"/>
      <c r="X625" s="134"/>
      <c r="Y625" s="135"/>
      <c r="Z625" s="135"/>
      <c r="AA625" s="136"/>
      <c r="AB625" s="136"/>
      <c r="AC625" s="137"/>
      <c r="AD625" s="137"/>
      <c r="AE625" s="137"/>
      <c r="AF625" s="137"/>
    </row>
    <row r="626" spans="2:32" s="1" customFormat="1" hidden="1">
      <c r="B626" s="2"/>
      <c r="C626" s="133"/>
      <c r="D626" s="134"/>
      <c r="E626" s="134"/>
      <c r="F626" s="134"/>
      <c r="G626" s="134"/>
      <c r="H626" s="134"/>
      <c r="I626" s="134"/>
      <c r="J626" s="134"/>
      <c r="K626" s="134"/>
      <c r="L626" s="134"/>
      <c r="M626" s="135"/>
      <c r="N626" s="134"/>
      <c r="O626" s="134"/>
      <c r="P626" s="134"/>
      <c r="Q626" s="134"/>
      <c r="R626" s="134"/>
      <c r="S626" s="134"/>
      <c r="T626" s="134"/>
      <c r="U626" s="134"/>
      <c r="V626" s="134"/>
      <c r="W626" s="134"/>
      <c r="X626" s="134"/>
      <c r="Y626" s="135"/>
      <c r="Z626" s="135"/>
      <c r="AA626" s="136"/>
      <c r="AB626" s="136"/>
      <c r="AC626" s="137"/>
      <c r="AD626" s="137"/>
      <c r="AE626" s="137"/>
      <c r="AF626" s="137"/>
    </row>
    <row r="627" spans="2:32" s="1" customFormat="1" hidden="1">
      <c r="B627" s="2"/>
      <c r="C627" s="133"/>
      <c r="D627" s="134"/>
      <c r="E627" s="134"/>
      <c r="F627" s="134"/>
      <c r="G627" s="134"/>
      <c r="H627" s="134"/>
      <c r="I627" s="134"/>
      <c r="J627" s="134"/>
      <c r="K627" s="134"/>
      <c r="L627" s="134"/>
      <c r="M627" s="135"/>
      <c r="N627" s="134"/>
      <c r="O627" s="134"/>
      <c r="P627" s="134"/>
      <c r="Q627" s="134"/>
      <c r="R627" s="134"/>
      <c r="S627" s="134"/>
      <c r="T627" s="134"/>
      <c r="U627" s="134"/>
      <c r="V627" s="134"/>
      <c r="W627" s="134"/>
      <c r="X627" s="134"/>
      <c r="Y627" s="135"/>
      <c r="Z627" s="135"/>
      <c r="AA627" s="136"/>
      <c r="AB627" s="136"/>
      <c r="AC627" s="137"/>
      <c r="AD627" s="137"/>
      <c r="AE627" s="137"/>
      <c r="AF627" s="137"/>
    </row>
    <row r="628" spans="2:32" s="1" customFormat="1" hidden="1">
      <c r="B628" s="2"/>
      <c r="C628" s="133"/>
      <c r="D628" s="134"/>
      <c r="E628" s="134"/>
      <c r="F628" s="134"/>
      <c r="G628" s="134"/>
      <c r="H628" s="134"/>
      <c r="I628" s="134"/>
      <c r="J628" s="134"/>
      <c r="K628" s="134"/>
      <c r="L628" s="134"/>
      <c r="M628" s="135"/>
      <c r="N628" s="134"/>
      <c r="O628" s="134"/>
      <c r="P628" s="134"/>
      <c r="Q628" s="134"/>
      <c r="R628" s="134"/>
      <c r="S628" s="134"/>
      <c r="T628" s="134"/>
      <c r="U628" s="134"/>
      <c r="V628" s="134"/>
      <c r="W628" s="134"/>
      <c r="X628" s="134"/>
      <c r="Y628" s="135"/>
      <c r="Z628" s="135"/>
      <c r="AA628" s="136"/>
      <c r="AB628" s="136"/>
      <c r="AC628" s="137"/>
      <c r="AD628" s="137"/>
      <c r="AE628" s="137"/>
      <c r="AF628" s="137"/>
    </row>
    <row r="629" spans="2:32" s="1" customFormat="1" hidden="1">
      <c r="B629" s="2"/>
      <c r="C629" s="133"/>
      <c r="D629" s="134"/>
      <c r="E629" s="134"/>
      <c r="F629" s="134"/>
      <c r="G629" s="134"/>
      <c r="H629" s="134"/>
      <c r="I629" s="134"/>
      <c r="J629" s="134"/>
      <c r="K629" s="134"/>
      <c r="L629" s="134"/>
      <c r="M629" s="135"/>
      <c r="N629" s="134"/>
      <c r="O629" s="134"/>
      <c r="P629" s="134"/>
      <c r="Q629" s="134"/>
      <c r="R629" s="134"/>
      <c r="S629" s="134"/>
      <c r="T629" s="134"/>
      <c r="U629" s="134"/>
      <c r="V629" s="134"/>
      <c r="W629" s="134"/>
      <c r="X629" s="134"/>
      <c r="Y629" s="135"/>
      <c r="Z629" s="135"/>
      <c r="AA629" s="136"/>
      <c r="AB629" s="136"/>
      <c r="AC629" s="137"/>
      <c r="AD629" s="137"/>
      <c r="AE629" s="137"/>
      <c r="AF629" s="137"/>
    </row>
    <row r="630" spans="2:32" s="1" customFormat="1" hidden="1">
      <c r="B630" s="2"/>
      <c r="C630" s="133"/>
      <c r="D630" s="134"/>
      <c r="E630" s="134"/>
      <c r="F630" s="134"/>
      <c r="G630" s="134"/>
      <c r="H630" s="134"/>
      <c r="I630" s="134"/>
      <c r="J630" s="134"/>
      <c r="K630" s="134"/>
      <c r="L630" s="134"/>
      <c r="M630" s="135"/>
      <c r="N630" s="134"/>
      <c r="O630" s="134"/>
      <c r="P630" s="134"/>
      <c r="Q630" s="134"/>
      <c r="R630" s="134"/>
      <c r="S630" s="134"/>
      <c r="T630" s="134"/>
      <c r="U630" s="134"/>
      <c r="V630" s="134"/>
      <c r="W630" s="134"/>
      <c r="X630" s="134"/>
      <c r="Y630" s="135"/>
      <c r="Z630" s="135"/>
      <c r="AA630" s="136"/>
      <c r="AB630" s="136"/>
      <c r="AC630" s="137"/>
      <c r="AD630" s="137"/>
      <c r="AE630" s="137"/>
      <c r="AF630" s="137"/>
    </row>
    <row r="631" spans="2:32" s="1" customFormat="1" hidden="1">
      <c r="B631" s="2"/>
      <c r="C631" s="133"/>
      <c r="D631" s="134"/>
      <c r="E631" s="134"/>
      <c r="F631" s="134"/>
      <c r="G631" s="134"/>
      <c r="H631" s="134"/>
      <c r="I631" s="134"/>
      <c r="J631" s="134"/>
      <c r="K631" s="134"/>
      <c r="L631" s="134"/>
      <c r="M631" s="135"/>
      <c r="N631" s="134"/>
      <c r="O631" s="134"/>
      <c r="P631" s="134"/>
      <c r="Q631" s="134"/>
      <c r="R631" s="134"/>
      <c r="S631" s="134"/>
      <c r="T631" s="134"/>
      <c r="U631" s="134"/>
      <c r="V631" s="134"/>
      <c r="W631" s="134"/>
      <c r="X631" s="134"/>
      <c r="Y631" s="135"/>
      <c r="Z631" s="135"/>
      <c r="AA631" s="136"/>
      <c r="AB631" s="136"/>
      <c r="AC631" s="137"/>
      <c r="AD631" s="137"/>
      <c r="AE631" s="137"/>
      <c r="AF631" s="137"/>
    </row>
    <row r="632" spans="2:32" s="1" customFormat="1" hidden="1">
      <c r="B632" s="2"/>
      <c r="C632" s="133"/>
      <c r="D632" s="134"/>
      <c r="E632" s="134"/>
      <c r="F632" s="134"/>
      <c r="G632" s="134"/>
      <c r="H632" s="134"/>
      <c r="I632" s="134"/>
      <c r="J632" s="134"/>
      <c r="K632" s="134"/>
      <c r="L632" s="134"/>
      <c r="M632" s="135"/>
      <c r="N632" s="134"/>
      <c r="O632" s="134"/>
      <c r="P632" s="134"/>
      <c r="Q632" s="134"/>
      <c r="R632" s="134"/>
      <c r="S632" s="134"/>
      <c r="T632" s="134"/>
      <c r="U632" s="134"/>
      <c r="V632" s="134"/>
      <c r="W632" s="134"/>
      <c r="X632" s="134"/>
      <c r="Y632" s="135"/>
      <c r="Z632" s="135"/>
      <c r="AA632" s="136"/>
      <c r="AB632" s="136"/>
      <c r="AC632" s="137"/>
      <c r="AD632" s="137"/>
      <c r="AE632" s="137"/>
      <c r="AF632" s="137"/>
    </row>
    <row r="633" spans="2:32" s="1" customFormat="1" hidden="1">
      <c r="B633" s="2"/>
      <c r="C633" s="133"/>
      <c r="D633" s="134"/>
      <c r="E633" s="134"/>
      <c r="F633" s="134"/>
      <c r="G633" s="134"/>
      <c r="H633" s="134"/>
      <c r="I633" s="134"/>
      <c r="J633" s="134"/>
      <c r="K633" s="134"/>
      <c r="L633" s="134"/>
      <c r="M633" s="135"/>
      <c r="N633" s="134"/>
      <c r="O633" s="134"/>
      <c r="P633" s="134"/>
      <c r="Q633" s="134"/>
      <c r="R633" s="134"/>
      <c r="S633" s="134"/>
      <c r="T633" s="134"/>
      <c r="U633" s="134"/>
      <c r="V633" s="134"/>
      <c r="W633" s="134"/>
      <c r="X633" s="134"/>
      <c r="Y633" s="135"/>
      <c r="Z633" s="135"/>
      <c r="AA633" s="136"/>
      <c r="AB633" s="136"/>
      <c r="AC633" s="137"/>
      <c r="AD633" s="137"/>
      <c r="AE633" s="137"/>
      <c r="AF633" s="137"/>
    </row>
    <row r="634" spans="2:32" s="1" customFormat="1" hidden="1">
      <c r="B634" s="2"/>
      <c r="C634" s="133"/>
      <c r="D634" s="134"/>
      <c r="E634" s="134"/>
      <c r="F634" s="134"/>
      <c r="G634" s="134"/>
      <c r="H634" s="134"/>
      <c r="I634" s="134"/>
      <c r="J634" s="134"/>
      <c r="K634" s="134"/>
      <c r="L634" s="134"/>
      <c r="M634" s="135"/>
      <c r="N634" s="134"/>
      <c r="O634" s="134"/>
      <c r="P634" s="134"/>
      <c r="Q634" s="134"/>
      <c r="R634" s="134"/>
      <c r="S634" s="134"/>
      <c r="T634" s="134"/>
      <c r="U634" s="134"/>
      <c r="V634" s="134"/>
      <c r="W634" s="134"/>
      <c r="X634" s="134"/>
      <c r="Y634" s="135"/>
      <c r="Z634" s="135"/>
      <c r="AA634" s="136"/>
      <c r="AB634" s="136"/>
      <c r="AC634" s="137"/>
      <c r="AD634" s="137"/>
      <c r="AE634" s="137"/>
      <c r="AF634" s="137"/>
    </row>
    <row r="635" spans="2:32" s="1" customFormat="1" hidden="1">
      <c r="B635" s="2"/>
      <c r="C635" s="133"/>
      <c r="D635" s="134"/>
      <c r="E635" s="134"/>
      <c r="F635" s="134"/>
      <c r="G635" s="134"/>
      <c r="H635" s="134"/>
      <c r="I635" s="134"/>
      <c r="J635" s="134"/>
      <c r="K635" s="134"/>
      <c r="L635" s="134"/>
      <c r="M635" s="135"/>
      <c r="N635" s="134"/>
      <c r="O635" s="134"/>
      <c r="P635" s="134"/>
      <c r="Q635" s="134"/>
      <c r="R635" s="134"/>
      <c r="S635" s="134"/>
      <c r="T635" s="134"/>
      <c r="U635" s="134"/>
      <c r="V635" s="134"/>
      <c r="W635" s="134"/>
      <c r="X635" s="134"/>
      <c r="Y635" s="135"/>
      <c r="Z635" s="135"/>
      <c r="AA635" s="136"/>
      <c r="AB635" s="136"/>
      <c r="AC635" s="137"/>
      <c r="AD635" s="137"/>
      <c r="AE635" s="137"/>
      <c r="AF635" s="137"/>
    </row>
    <row r="636" spans="2:32" s="1" customFormat="1" hidden="1">
      <c r="B636" s="2"/>
      <c r="C636" s="133"/>
      <c r="D636" s="134"/>
      <c r="E636" s="134"/>
      <c r="F636" s="134"/>
      <c r="G636" s="134"/>
      <c r="H636" s="134"/>
      <c r="I636" s="134"/>
      <c r="J636" s="134"/>
      <c r="K636" s="134"/>
      <c r="L636" s="134"/>
      <c r="M636" s="135"/>
      <c r="N636" s="134"/>
      <c r="O636" s="134"/>
      <c r="P636" s="134"/>
      <c r="Q636" s="134"/>
      <c r="R636" s="134"/>
      <c r="S636" s="134"/>
      <c r="T636" s="134"/>
      <c r="U636" s="134"/>
      <c r="V636" s="134"/>
      <c r="W636" s="134"/>
      <c r="X636" s="134"/>
      <c r="Y636" s="135"/>
      <c r="Z636" s="135"/>
      <c r="AA636" s="136"/>
      <c r="AB636" s="136"/>
      <c r="AC636" s="137"/>
      <c r="AD636" s="137"/>
      <c r="AE636" s="137"/>
      <c r="AF636" s="137"/>
    </row>
    <row r="637" spans="2:32" s="1" customFormat="1" hidden="1">
      <c r="B637" s="2"/>
      <c r="C637" s="133"/>
      <c r="D637" s="134"/>
      <c r="E637" s="134"/>
      <c r="F637" s="134"/>
      <c r="G637" s="134"/>
      <c r="H637" s="134"/>
      <c r="I637" s="134"/>
      <c r="J637" s="134"/>
      <c r="K637" s="134"/>
      <c r="L637" s="134"/>
      <c r="M637" s="135"/>
      <c r="N637" s="134"/>
      <c r="O637" s="134"/>
      <c r="P637" s="134"/>
      <c r="Q637" s="134"/>
      <c r="R637" s="134"/>
      <c r="S637" s="134"/>
      <c r="T637" s="134"/>
      <c r="U637" s="134"/>
      <c r="V637" s="134"/>
      <c r="W637" s="134"/>
      <c r="X637" s="134"/>
      <c r="Y637" s="135"/>
      <c r="Z637" s="135"/>
      <c r="AA637" s="136"/>
      <c r="AB637" s="136"/>
      <c r="AC637" s="137"/>
      <c r="AD637" s="137"/>
      <c r="AE637" s="137"/>
      <c r="AF637" s="137"/>
    </row>
    <row r="638" spans="2:32" s="1" customFormat="1" hidden="1">
      <c r="B638" s="2"/>
      <c r="C638" s="133"/>
      <c r="D638" s="134"/>
      <c r="E638" s="134"/>
      <c r="F638" s="134"/>
      <c r="G638" s="134"/>
      <c r="H638" s="134"/>
      <c r="I638" s="134"/>
      <c r="J638" s="134"/>
      <c r="K638" s="134"/>
      <c r="L638" s="134"/>
      <c r="M638" s="135"/>
      <c r="N638" s="134"/>
      <c r="O638" s="134"/>
      <c r="P638" s="134"/>
      <c r="Q638" s="134"/>
      <c r="R638" s="134"/>
      <c r="S638" s="134"/>
      <c r="T638" s="134"/>
      <c r="U638" s="134"/>
      <c r="V638" s="134"/>
      <c r="W638" s="134"/>
      <c r="X638" s="134"/>
      <c r="Y638" s="135"/>
      <c r="Z638" s="135"/>
      <c r="AA638" s="136"/>
      <c r="AB638" s="136"/>
      <c r="AC638" s="137"/>
      <c r="AD638" s="137"/>
      <c r="AE638" s="137"/>
      <c r="AF638" s="137"/>
    </row>
    <row r="639" spans="2:32" s="1" customFormat="1" hidden="1">
      <c r="B639" s="2"/>
      <c r="C639" s="133"/>
      <c r="D639" s="134"/>
      <c r="E639" s="134"/>
      <c r="F639" s="134"/>
      <c r="G639" s="134"/>
      <c r="H639" s="134"/>
      <c r="I639" s="134"/>
      <c r="J639" s="134"/>
      <c r="K639" s="134"/>
      <c r="L639" s="134"/>
      <c r="M639" s="135"/>
      <c r="N639" s="134"/>
      <c r="O639" s="134"/>
      <c r="P639" s="134"/>
      <c r="Q639" s="134"/>
      <c r="R639" s="134"/>
      <c r="S639" s="134"/>
      <c r="T639" s="134"/>
      <c r="U639" s="134"/>
      <c r="V639" s="134"/>
      <c r="W639" s="134"/>
      <c r="X639" s="134"/>
      <c r="Y639" s="135"/>
      <c r="Z639" s="135"/>
      <c r="AA639" s="136"/>
      <c r="AB639" s="136"/>
      <c r="AC639" s="137"/>
      <c r="AD639" s="137"/>
      <c r="AE639" s="137"/>
      <c r="AF639" s="137"/>
    </row>
    <row r="640" spans="2:32" s="1" customFormat="1" hidden="1">
      <c r="B640" s="2"/>
      <c r="C640" s="133"/>
      <c r="D640" s="134"/>
      <c r="E640" s="134"/>
      <c r="F640" s="134"/>
      <c r="G640" s="134"/>
      <c r="H640" s="134"/>
      <c r="I640" s="134"/>
      <c r="J640" s="134"/>
      <c r="K640" s="134"/>
      <c r="L640" s="134"/>
      <c r="M640" s="135"/>
      <c r="N640" s="134"/>
      <c r="O640" s="134"/>
      <c r="P640" s="134"/>
      <c r="Q640" s="134"/>
      <c r="R640" s="134"/>
      <c r="S640" s="134"/>
      <c r="T640" s="134"/>
      <c r="U640" s="134"/>
      <c r="V640" s="134"/>
      <c r="W640" s="134"/>
      <c r="X640" s="134"/>
      <c r="Y640" s="135"/>
      <c r="Z640" s="135"/>
      <c r="AA640" s="136"/>
      <c r="AB640" s="136"/>
      <c r="AC640" s="137"/>
      <c r="AD640" s="137"/>
      <c r="AE640" s="137"/>
      <c r="AF640" s="137"/>
    </row>
    <row r="641" spans="2:32" s="1" customFormat="1" hidden="1">
      <c r="B641" s="2"/>
      <c r="C641" s="133"/>
      <c r="D641" s="134"/>
      <c r="E641" s="134"/>
      <c r="F641" s="134"/>
      <c r="G641" s="134"/>
      <c r="H641" s="134"/>
      <c r="I641" s="134"/>
      <c r="J641" s="134"/>
      <c r="K641" s="134"/>
      <c r="L641" s="134"/>
      <c r="M641" s="135"/>
      <c r="N641" s="134"/>
      <c r="O641" s="134"/>
      <c r="P641" s="134"/>
      <c r="Q641" s="134"/>
      <c r="R641" s="134"/>
      <c r="S641" s="134"/>
      <c r="T641" s="134"/>
      <c r="U641" s="134"/>
      <c r="V641" s="134"/>
      <c r="W641" s="134"/>
      <c r="X641" s="134"/>
      <c r="Y641" s="135"/>
      <c r="Z641" s="135"/>
      <c r="AA641" s="136"/>
      <c r="AB641" s="136"/>
      <c r="AC641" s="137"/>
      <c r="AD641" s="137"/>
      <c r="AE641" s="137"/>
      <c r="AF641" s="137"/>
    </row>
    <row r="642" spans="2:32" s="1" customFormat="1" hidden="1">
      <c r="B642" s="2"/>
      <c r="C642" s="133"/>
      <c r="D642" s="134"/>
      <c r="E642" s="134"/>
      <c r="F642" s="134"/>
      <c r="G642" s="134"/>
      <c r="H642" s="134"/>
      <c r="I642" s="134"/>
      <c r="J642" s="134"/>
      <c r="K642" s="134"/>
      <c r="L642" s="134"/>
      <c r="M642" s="135"/>
      <c r="N642" s="134"/>
      <c r="O642" s="134"/>
      <c r="P642" s="134"/>
      <c r="Q642" s="134"/>
      <c r="R642" s="134"/>
      <c r="S642" s="134"/>
      <c r="T642" s="134"/>
      <c r="U642" s="134"/>
      <c r="V642" s="134"/>
      <c r="W642" s="134"/>
      <c r="X642" s="134"/>
      <c r="Y642" s="135"/>
      <c r="Z642" s="135"/>
      <c r="AA642" s="136"/>
      <c r="AB642" s="136"/>
      <c r="AC642" s="137"/>
      <c r="AD642" s="137"/>
      <c r="AE642" s="137"/>
      <c r="AF642" s="137"/>
    </row>
    <row r="643" spans="2:32" s="1" customFormat="1" hidden="1">
      <c r="B643" s="2"/>
      <c r="C643" s="133"/>
      <c r="D643" s="134"/>
      <c r="E643" s="134"/>
      <c r="F643" s="134"/>
      <c r="G643" s="134"/>
      <c r="H643" s="134"/>
      <c r="I643" s="134"/>
      <c r="J643" s="134"/>
      <c r="K643" s="134"/>
      <c r="L643" s="134"/>
      <c r="M643" s="135"/>
      <c r="N643" s="134"/>
      <c r="O643" s="134"/>
      <c r="P643" s="134"/>
      <c r="Q643" s="134"/>
      <c r="R643" s="134"/>
      <c r="S643" s="134"/>
      <c r="T643" s="134"/>
      <c r="U643" s="134"/>
      <c r="V643" s="134"/>
      <c r="W643" s="134"/>
      <c r="X643" s="134"/>
      <c r="Y643" s="135"/>
      <c r="Z643" s="135"/>
      <c r="AA643" s="136"/>
      <c r="AB643" s="136"/>
      <c r="AC643" s="137"/>
      <c r="AD643" s="137"/>
      <c r="AE643" s="137"/>
      <c r="AF643" s="137"/>
    </row>
    <row r="644" spans="2:32" s="1" customFormat="1" hidden="1">
      <c r="B644" s="2"/>
      <c r="C644" s="133"/>
      <c r="D644" s="134"/>
      <c r="E644" s="134"/>
      <c r="F644" s="134"/>
      <c r="G644" s="134"/>
      <c r="H644" s="134"/>
      <c r="I644" s="134"/>
      <c r="J644" s="134"/>
      <c r="K644" s="134"/>
      <c r="L644" s="134"/>
      <c r="M644" s="135"/>
      <c r="N644" s="134"/>
      <c r="O644" s="134"/>
      <c r="P644" s="134"/>
      <c r="Q644" s="134"/>
      <c r="R644" s="134"/>
      <c r="S644" s="134"/>
      <c r="T644" s="134"/>
      <c r="U644" s="134"/>
      <c r="V644" s="134"/>
      <c r="W644" s="134"/>
      <c r="X644" s="134"/>
      <c r="Y644" s="135"/>
      <c r="Z644" s="135"/>
      <c r="AA644" s="136"/>
      <c r="AB644" s="136"/>
      <c r="AC644" s="137"/>
      <c r="AD644" s="137"/>
      <c r="AE644" s="137"/>
      <c r="AF644" s="137"/>
    </row>
    <row r="645" spans="2:32" s="1" customFormat="1" hidden="1">
      <c r="B645" s="2"/>
      <c r="C645" s="133"/>
      <c r="D645" s="134"/>
      <c r="E645" s="134"/>
      <c r="F645" s="134"/>
      <c r="G645" s="134"/>
      <c r="H645" s="134"/>
      <c r="I645" s="134"/>
      <c r="J645" s="134"/>
      <c r="K645" s="134"/>
      <c r="L645" s="134"/>
      <c r="M645" s="135"/>
      <c r="N645" s="134"/>
      <c r="O645" s="134"/>
      <c r="P645" s="134"/>
      <c r="Q645" s="134"/>
      <c r="R645" s="134"/>
      <c r="S645" s="134"/>
      <c r="T645" s="134"/>
      <c r="U645" s="134"/>
      <c r="V645" s="134"/>
      <c r="W645" s="134"/>
      <c r="X645" s="134"/>
      <c r="Y645" s="135"/>
      <c r="Z645" s="135"/>
      <c r="AA645" s="136"/>
      <c r="AB645" s="136"/>
      <c r="AC645" s="137"/>
      <c r="AD645" s="137"/>
      <c r="AE645" s="137"/>
      <c r="AF645" s="137"/>
    </row>
    <row r="646" spans="2:32" s="1" customFormat="1" hidden="1">
      <c r="B646" s="2"/>
      <c r="C646" s="133"/>
      <c r="D646" s="134"/>
      <c r="E646" s="134"/>
      <c r="F646" s="134"/>
      <c r="G646" s="134"/>
      <c r="H646" s="134"/>
      <c r="I646" s="134"/>
      <c r="J646" s="134"/>
      <c r="K646" s="134"/>
      <c r="L646" s="134"/>
      <c r="M646" s="135"/>
      <c r="N646" s="134"/>
      <c r="O646" s="134"/>
      <c r="P646" s="134"/>
      <c r="Q646" s="134"/>
      <c r="R646" s="134"/>
      <c r="S646" s="134"/>
      <c r="T646" s="134"/>
      <c r="U646" s="134"/>
      <c r="V646" s="134"/>
      <c r="W646" s="134"/>
      <c r="X646" s="134"/>
      <c r="Y646" s="135"/>
      <c r="Z646" s="135"/>
      <c r="AA646" s="136"/>
      <c r="AB646" s="136"/>
      <c r="AC646" s="137"/>
      <c r="AD646" s="137"/>
      <c r="AE646" s="137"/>
      <c r="AF646" s="137"/>
    </row>
    <row r="647" spans="2:32" s="1" customFormat="1" hidden="1">
      <c r="B647" s="2"/>
      <c r="C647" s="133"/>
      <c r="D647" s="134"/>
      <c r="E647" s="134"/>
      <c r="F647" s="134"/>
      <c r="G647" s="134"/>
      <c r="H647" s="134"/>
      <c r="I647" s="134"/>
      <c r="J647" s="134"/>
      <c r="K647" s="134"/>
      <c r="L647" s="134"/>
      <c r="M647" s="135"/>
      <c r="N647" s="134"/>
      <c r="O647" s="134"/>
      <c r="P647" s="134"/>
      <c r="Q647" s="134"/>
      <c r="R647" s="134"/>
      <c r="S647" s="134"/>
      <c r="T647" s="134"/>
      <c r="U647" s="134"/>
      <c r="V647" s="134"/>
      <c r="W647" s="134"/>
      <c r="X647" s="134"/>
      <c r="Y647" s="135"/>
      <c r="Z647" s="135"/>
      <c r="AA647" s="136"/>
      <c r="AB647" s="136"/>
      <c r="AC647" s="137"/>
      <c r="AD647" s="137"/>
      <c r="AE647" s="137"/>
      <c r="AF647" s="137"/>
    </row>
    <row r="648" spans="2:32" s="1" customFormat="1" hidden="1">
      <c r="B648" s="2"/>
      <c r="C648" s="133"/>
      <c r="D648" s="134"/>
      <c r="E648" s="134"/>
      <c r="F648" s="134"/>
      <c r="G648" s="134"/>
      <c r="H648" s="134"/>
      <c r="I648" s="134"/>
      <c r="J648" s="134"/>
      <c r="K648" s="134"/>
      <c r="L648" s="134"/>
      <c r="M648" s="135"/>
      <c r="N648" s="134"/>
      <c r="O648" s="134"/>
      <c r="P648" s="134"/>
      <c r="Q648" s="134"/>
      <c r="R648" s="134"/>
      <c r="S648" s="134"/>
      <c r="T648" s="134"/>
      <c r="U648" s="134"/>
      <c r="V648" s="134"/>
      <c r="W648" s="134"/>
      <c r="X648" s="134"/>
      <c r="Y648" s="135"/>
      <c r="Z648" s="135"/>
      <c r="AA648" s="136"/>
      <c r="AB648" s="136"/>
      <c r="AC648" s="137"/>
      <c r="AD648" s="137"/>
      <c r="AE648" s="137"/>
      <c r="AF648" s="137"/>
    </row>
    <row r="649" spans="2:32" s="1" customFormat="1" hidden="1">
      <c r="B649" s="2"/>
      <c r="C649" s="133"/>
      <c r="D649" s="134"/>
      <c r="E649" s="134"/>
      <c r="F649" s="134"/>
      <c r="G649" s="134"/>
      <c r="H649" s="134"/>
      <c r="I649" s="134"/>
      <c r="J649" s="134"/>
      <c r="K649" s="134"/>
      <c r="L649" s="134"/>
      <c r="M649" s="135"/>
      <c r="N649" s="134"/>
      <c r="O649" s="134"/>
      <c r="P649" s="134"/>
      <c r="Q649" s="134"/>
      <c r="R649" s="134"/>
      <c r="S649" s="134"/>
      <c r="T649" s="134"/>
      <c r="U649" s="134"/>
      <c r="V649" s="134"/>
      <c r="W649" s="134"/>
      <c r="X649" s="134"/>
      <c r="Y649" s="135"/>
      <c r="Z649" s="135"/>
      <c r="AA649" s="136"/>
      <c r="AB649" s="136"/>
      <c r="AC649" s="137"/>
      <c r="AD649" s="137"/>
      <c r="AE649" s="137"/>
      <c r="AF649" s="137"/>
    </row>
    <row r="650" spans="2:32" s="1" customFormat="1" hidden="1">
      <c r="B650" s="2"/>
      <c r="C650" s="133"/>
      <c r="D650" s="134"/>
      <c r="E650" s="134"/>
      <c r="F650" s="134"/>
      <c r="G650" s="134"/>
      <c r="H650" s="134"/>
      <c r="I650" s="134"/>
      <c r="J650" s="134"/>
      <c r="K650" s="134"/>
      <c r="L650" s="134"/>
      <c r="M650" s="135"/>
      <c r="N650" s="134"/>
      <c r="O650" s="134"/>
      <c r="P650" s="134"/>
      <c r="Q650" s="134"/>
      <c r="R650" s="134"/>
      <c r="S650" s="134"/>
      <c r="T650" s="134"/>
      <c r="U650" s="134"/>
      <c r="V650" s="134"/>
      <c r="W650" s="134"/>
      <c r="X650" s="134"/>
      <c r="Y650" s="135"/>
      <c r="Z650" s="135"/>
      <c r="AA650" s="136"/>
      <c r="AB650" s="136"/>
      <c r="AC650" s="137"/>
      <c r="AD650" s="137"/>
      <c r="AE650" s="137"/>
      <c r="AF650" s="137"/>
    </row>
    <row r="651" spans="2:32" s="1" customFormat="1" hidden="1">
      <c r="B651" s="2"/>
      <c r="C651" s="133"/>
      <c r="D651" s="134"/>
      <c r="E651" s="134"/>
      <c r="F651" s="134"/>
      <c r="G651" s="134"/>
      <c r="H651" s="134"/>
      <c r="I651" s="134"/>
      <c r="J651" s="134"/>
      <c r="K651" s="134"/>
      <c r="L651" s="134"/>
      <c r="M651" s="135"/>
      <c r="N651" s="134"/>
      <c r="O651" s="134"/>
      <c r="P651" s="134"/>
      <c r="Q651" s="134"/>
      <c r="R651" s="134"/>
      <c r="S651" s="134"/>
      <c r="T651" s="134"/>
      <c r="U651" s="134"/>
      <c r="V651" s="134"/>
      <c r="W651" s="134"/>
      <c r="X651" s="134"/>
      <c r="Y651" s="135"/>
      <c r="Z651" s="135"/>
      <c r="AA651" s="136"/>
      <c r="AB651" s="136"/>
      <c r="AC651" s="137"/>
      <c r="AD651" s="137"/>
      <c r="AE651" s="137"/>
      <c r="AF651" s="137"/>
    </row>
    <row r="652" spans="2:32" s="1" customFormat="1" hidden="1">
      <c r="B652" s="2"/>
      <c r="C652" s="133"/>
      <c r="D652" s="134"/>
      <c r="E652" s="134"/>
      <c r="F652" s="134"/>
      <c r="G652" s="134"/>
      <c r="H652" s="134"/>
      <c r="I652" s="134"/>
      <c r="J652" s="134"/>
      <c r="K652" s="134"/>
      <c r="L652" s="134"/>
      <c r="M652" s="135"/>
      <c r="N652" s="134"/>
      <c r="O652" s="134"/>
      <c r="P652" s="134"/>
      <c r="Q652" s="134"/>
      <c r="R652" s="134"/>
      <c r="S652" s="134"/>
      <c r="T652" s="134"/>
      <c r="U652" s="134"/>
      <c r="V652" s="134"/>
      <c r="W652" s="134"/>
      <c r="X652" s="134"/>
      <c r="Y652" s="135"/>
      <c r="Z652" s="135"/>
      <c r="AA652" s="136"/>
      <c r="AB652" s="136"/>
      <c r="AC652" s="137"/>
      <c r="AD652" s="137"/>
      <c r="AE652" s="137"/>
      <c r="AF652" s="137"/>
    </row>
    <row r="653" spans="2:32" s="1" customFormat="1" hidden="1">
      <c r="B653" s="2"/>
      <c r="C653" s="133"/>
      <c r="D653" s="134"/>
      <c r="E653" s="134"/>
      <c r="F653" s="134"/>
      <c r="G653" s="134"/>
      <c r="H653" s="134"/>
      <c r="I653" s="134"/>
      <c r="J653" s="134"/>
      <c r="K653" s="134"/>
      <c r="L653" s="134"/>
      <c r="M653" s="135"/>
      <c r="N653" s="134"/>
      <c r="O653" s="134"/>
      <c r="P653" s="134"/>
      <c r="Q653" s="134"/>
      <c r="R653" s="134"/>
      <c r="S653" s="134"/>
      <c r="T653" s="134"/>
      <c r="U653" s="134"/>
      <c r="V653" s="134"/>
      <c r="W653" s="134"/>
      <c r="X653" s="134"/>
      <c r="Y653" s="135"/>
      <c r="Z653" s="135"/>
      <c r="AA653" s="136"/>
      <c r="AB653" s="136"/>
      <c r="AC653" s="137"/>
      <c r="AD653" s="137"/>
      <c r="AE653" s="137"/>
      <c r="AF653" s="137"/>
    </row>
    <row r="654" spans="2:32" s="1" customFormat="1" hidden="1">
      <c r="B654" s="2"/>
      <c r="C654" s="133"/>
      <c r="D654" s="134"/>
      <c r="E654" s="134"/>
      <c r="F654" s="134"/>
      <c r="G654" s="134"/>
      <c r="H654" s="134"/>
      <c r="I654" s="134"/>
      <c r="J654" s="134"/>
      <c r="K654" s="134"/>
      <c r="L654" s="134"/>
      <c r="M654" s="135"/>
      <c r="N654" s="134"/>
      <c r="O654" s="134"/>
      <c r="P654" s="134"/>
      <c r="Q654" s="134"/>
      <c r="R654" s="134"/>
      <c r="S654" s="134"/>
      <c r="T654" s="134"/>
      <c r="U654" s="134"/>
      <c r="V654" s="134"/>
      <c r="W654" s="134"/>
      <c r="X654" s="134"/>
      <c r="Y654" s="135"/>
      <c r="Z654" s="135"/>
      <c r="AA654" s="136"/>
      <c r="AB654" s="136"/>
      <c r="AC654" s="137"/>
      <c r="AD654" s="137"/>
      <c r="AE654" s="137"/>
      <c r="AF654" s="137"/>
    </row>
    <row r="655" spans="2:32" s="1" customFormat="1" hidden="1">
      <c r="B655" s="2"/>
      <c r="C655" s="133"/>
      <c r="D655" s="134"/>
      <c r="E655" s="134"/>
      <c r="F655" s="134"/>
      <c r="G655" s="134"/>
      <c r="H655" s="134"/>
      <c r="I655" s="134"/>
      <c r="J655" s="134"/>
      <c r="K655" s="134"/>
      <c r="L655" s="134"/>
      <c r="M655" s="135"/>
      <c r="N655" s="134"/>
      <c r="O655" s="134"/>
      <c r="P655" s="134"/>
      <c r="Q655" s="134"/>
      <c r="R655" s="134"/>
      <c r="S655" s="134"/>
      <c r="T655" s="134"/>
      <c r="U655" s="134"/>
      <c r="V655" s="134"/>
      <c r="W655" s="134"/>
      <c r="X655" s="134"/>
      <c r="Y655" s="135"/>
      <c r="Z655" s="135"/>
      <c r="AA655" s="136"/>
      <c r="AB655" s="136"/>
      <c r="AC655" s="137"/>
      <c r="AD655" s="137"/>
      <c r="AE655" s="137"/>
      <c r="AF655" s="137"/>
    </row>
    <row r="656" spans="2:32" s="1" customFormat="1" hidden="1">
      <c r="B656" s="2"/>
      <c r="C656" s="133"/>
      <c r="D656" s="134"/>
      <c r="E656" s="134"/>
      <c r="F656" s="134"/>
      <c r="G656" s="134"/>
      <c r="H656" s="134"/>
      <c r="I656" s="134"/>
      <c r="J656" s="134"/>
      <c r="K656" s="134"/>
      <c r="L656" s="134"/>
      <c r="M656" s="135"/>
      <c r="N656" s="134"/>
      <c r="O656" s="134"/>
      <c r="P656" s="134"/>
      <c r="Q656" s="134"/>
      <c r="R656" s="134"/>
      <c r="S656" s="134"/>
      <c r="T656" s="134"/>
      <c r="U656" s="134"/>
      <c r="V656" s="134"/>
      <c r="W656" s="134"/>
      <c r="X656" s="134"/>
      <c r="Y656" s="135"/>
      <c r="Z656" s="135"/>
      <c r="AA656" s="136"/>
      <c r="AB656" s="136"/>
      <c r="AC656" s="137"/>
      <c r="AD656" s="137"/>
      <c r="AE656" s="137"/>
      <c r="AF656" s="137"/>
    </row>
    <row r="657" spans="2:32" s="1" customFormat="1" hidden="1">
      <c r="B657" s="2"/>
      <c r="C657" s="133"/>
      <c r="D657" s="134"/>
      <c r="E657" s="134"/>
      <c r="F657" s="134"/>
      <c r="G657" s="134"/>
      <c r="H657" s="134"/>
      <c r="I657" s="134"/>
      <c r="J657" s="134"/>
      <c r="K657" s="134"/>
      <c r="L657" s="134"/>
      <c r="M657" s="135"/>
      <c r="N657" s="134"/>
      <c r="O657" s="134"/>
      <c r="P657" s="134"/>
      <c r="Q657" s="134"/>
      <c r="R657" s="134"/>
      <c r="S657" s="134"/>
      <c r="T657" s="134"/>
      <c r="U657" s="134"/>
      <c r="V657" s="134"/>
      <c r="W657" s="134"/>
      <c r="X657" s="134"/>
      <c r="Y657" s="135"/>
      <c r="Z657" s="135"/>
      <c r="AA657" s="136"/>
      <c r="AB657" s="136"/>
      <c r="AC657" s="137"/>
      <c r="AD657" s="137"/>
      <c r="AE657" s="137"/>
      <c r="AF657" s="137"/>
    </row>
    <row r="658" spans="2:32" s="1" customFormat="1" hidden="1">
      <c r="B658" s="2"/>
      <c r="C658" s="133"/>
      <c r="D658" s="134"/>
      <c r="E658" s="134"/>
      <c r="F658" s="134"/>
      <c r="G658" s="134"/>
      <c r="H658" s="134"/>
      <c r="I658" s="134"/>
      <c r="J658" s="134"/>
      <c r="K658" s="134"/>
      <c r="L658" s="134"/>
      <c r="M658" s="135"/>
      <c r="N658" s="134"/>
      <c r="O658" s="134"/>
      <c r="P658" s="134"/>
      <c r="Q658" s="134"/>
      <c r="R658" s="134"/>
      <c r="S658" s="134"/>
      <c r="T658" s="134"/>
      <c r="U658" s="134"/>
      <c r="V658" s="134"/>
      <c r="W658" s="134"/>
      <c r="X658" s="134"/>
      <c r="Y658" s="135"/>
      <c r="Z658" s="135"/>
      <c r="AA658" s="136"/>
      <c r="AB658" s="136"/>
      <c r="AC658" s="137"/>
      <c r="AD658" s="137"/>
      <c r="AE658" s="137"/>
      <c r="AF658" s="137"/>
    </row>
    <row r="659" spans="2:32" s="1" customFormat="1" hidden="1">
      <c r="B659" s="2"/>
      <c r="C659" s="133"/>
      <c r="D659" s="134"/>
      <c r="E659" s="134"/>
      <c r="F659" s="134"/>
      <c r="G659" s="134"/>
      <c r="H659" s="134"/>
      <c r="I659" s="134"/>
      <c r="J659" s="134"/>
      <c r="K659" s="134"/>
      <c r="L659" s="134"/>
      <c r="M659" s="135"/>
      <c r="N659" s="134"/>
      <c r="O659" s="134"/>
      <c r="P659" s="134"/>
      <c r="Q659" s="134"/>
      <c r="R659" s="134"/>
      <c r="S659" s="134"/>
      <c r="T659" s="134"/>
      <c r="U659" s="134"/>
      <c r="V659" s="134"/>
      <c r="W659" s="134"/>
      <c r="X659" s="134"/>
      <c r="Y659" s="135"/>
      <c r="Z659" s="135"/>
      <c r="AA659" s="136"/>
      <c r="AB659" s="136"/>
      <c r="AC659" s="137"/>
      <c r="AD659" s="137"/>
      <c r="AE659" s="137"/>
      <c r="AF659" s="137"/>
    </row>
    <row r="660" spans="2:32" s="1" customFormat="1" hidden="1">
      <c r="B660" s="2"/>
      <c r="C660" s="133"/>
      <c r="D660" s="134"/>
      <c r="E660" s="134"/>
      <c r="F660" s="134"/>
      <c r="G660" s="134"/>
      <c r="H660" s="134"/>
      <c r="I660" s="134"/>
      <c r="J660" s="134"/>
      <c r="K660" s="134"/>
      <c r="L660" s="134"/>
      <c r="M660" s="135"/>
      <c r="N660" s="134"/>
      <c r="O660" s="134"/>
      <c r="P660" s="134"/>
      <c r="Q660" s="134"/>
      <c r="R660" s="134"/>
      <c r="S660" s="134"/>
      <c r="T660" s="134"/>
      <c r="U660" s="134"/>
      <c r="V660" s="134"/>
      <c r="W660" s="134"/>
      <c r="X660" s="134"/>
      <c r="Y660" s="135"/>
      <c r="Z660" s="135"/>
      <c r="AA660" s="136"/>
      <c r="AB660" s="136"/>
      <c r="AC660" s="137"/>
      <c r="AD660" s="137"/>
      <c r="AE660" s="137"/>
      <c r="AF660" s="137"/>
    </row>
    <row r="661" spans="2:32" s="1" customFormat="1" hidden="1">
      <c r="B661" s="2"/>
      <c r="C661" s="133"/>
      <c r="D661" s="134"/>
      <c r="E661" s="134"/>
      <c r="F661" s="134"/>
      <c r="G661" s="134"/>
      <c r="H661" s="134"/>
      <c r="I661" s="134"/>
      <c r="J661" s="134"/>
      <c r="K661" s="134"/>
      <c r="L661" s="134"/>
      <c r="M661" s="135"/>
      <c r="N661" s="134"/>
      <c r="O661" s="134"/>
      <c r="P661" s="134"/>
      <c r="Q661" s="134"/>
      <c r="R661" s="134"/>
      <c r="S661" s="134"/>
      <c r="T661" s="134"/>
      <c r="U661" s="134"/>
      <c r="V661" s="134"/>
      <c r="W661" s="134"/>
      <c r="X661" s="134"/>
      <c r="Y661" s="135"/>
      <c r="Z661" s="135"/>
      <c r="AA661" s="136"/>
      <c r="AB661" s="136"/>
      <c r="AC661" s="137"/>
      <c r="AD661" s="137"/>
      <c r="AE661" s="137"/>
      <c r="AF661" s="137"/>
    </row>
    <row r="662" spans="2:32" s="1" customFormat="1" hidden="1">
      <c r="B662" s="2"/>
      <c r="C662" s="133"/>
      <c r="D662" s="134"/>
      <c r="E662" s="134"/>
      <c r="F662" s="134"/>
      <c r="G662" s="134"/>
      <c r="H662" s="134"/>
      <c r="I662" s="134"/>
      <c r="J662" s="134"/>
      <c r="K662" s="134"/>
      <c r="L662" s="134"/>
      <c r="M662" s="135"/>
      <c r="N662" s="134"/>
      <c r="O662" s="134"/>
      <c r="P662" s="134"/>
      <c r="Q662" s="134"/>
      <c r="R662" s="134"/>
      <c r="S662" s="134"/>
      <c r="T662" s="134"/>
      <c r="U662" s="134"/>
      <c r="V662" s="134"/>
      <c r="W662" s="134"/>
      <c r="X662" s="134"/>
      <c r="Y662" s="135"/>
      <c r="Z662" s="135"/>
      <c r="AA662" s="136"/>
      <c r="AB662" s="136"/>
      <c r="AC662" s="137"/>
      <c r="AD662" s="137"/>
      <c r="AE662" s="137"/>
      <c r="AF662" s="137"/>
    </row>
    <row r="663" spans="2:32" s="1" customFormat="1" hidden="1">
      <c r="B663" s="2"/>
      <c r="C663" s="133"/>
      <c r="D663" s="134"/>
      <c r="E663" s="134"/>
      <c r="F663" s="134"/>
      <c r="G663" s="134"/>
      <c r="H663" s="134"/>
      <c r="I663" s="134"/>
      <c r="J663" s="134"/>
      <c r="K663" s="134"/>
      <c r="L663" s="134"/>
      <c r="M663" s="135"/>
      <c r="N663" s="134"/>
      <c r="O663" s="134"/>
      <c r="P663" s="134"/>
      <c r="Q663" s="134"/>
      <c r="R663" s="134"/>
      <c r="S663" s="134"/>
      <c r="T663" s="134"/>
      <c r="U663" s="134"/>
      <c r="V663" s="134"/>
      <c r="W663" s="134"/>
      <c r="X663" s="134"/>
      <c r="Y663" s="135"/>
      <c r="Z663" s="135"/>
      <c r="AA663" s="136"/>
      <c r="AB663" s="136"/>
      <c r="AC663" s="137"/>
      <c r="AD663" s="137"/>
      <c r="AE663" s="137"/>
      <c r="AF663" s="137"/>
    </row>
    <row r="664" spans="2:32" s="1" customFormat="1" hidden="1">
      <c r="B664" s="2"/>
      <c r="C664" s="133"/>
      <c r="D664" s="134"/>
      <c r="E664" s="134"/>
      <c r="F664" s="134"/>
      <c r="G664" s="134"/>
      <c r="H664" s="134"/>
      <c r="I664" s="134"/>
      <c r="J664" s="134"/>
      <c r="K664" s="134"/>
      <c r="L664" s="134"/>
      <c r="M664" s="135"/>
      <c r="N664" s="134"/>
      <c r="O664" s="134"/>
      <c r="P664" s="134"/>
      <c r="Q664" s="134"/>
      <c r="R664" s="134"/>
      <c r="S664" s="134"/>
      <c r="T664" s="134"/>
      <c r="U664" s="134"/>
      <c r="V664" s="134"/>
      <c r="W664" s="134"/>
      <c r="X664" s="134"/>
      <c r="Y664" s="135"/>
      <c r="Z664" s="135"/>
      <c r="AA664" s="136"/>
      <c r="AB664" s="136"/>
      <c r="AC664" s="137"/>
      <c r="AD664" s="137"/>
      <c r="AE664" s="137"/>
      <c r="AF664" s="137"/>
    </row>
    <row r="665" spans="2:32" s="1" customFormat="1" hidden="1">
      <c r="B665" s="2"/>
      <c r="C665" s="133"/>
      <c r="D665" s="134"/>
      <c r="E665" s="134"/>
      <c r="F665" s="134"/>
      <c r="G665" s="134"/>
      <c r="H665" s="134"/>
      <c r="I665" s="134"/>
      <c r="J665" s="134"/>
      <c r="K665" s="134"/>
      <c r="L665" s="134"/>
      <c r="M665" s="135"/>
      <c r="N665" s="134"/>
      <c r="O665" s="134"/>
      <c r="P665" s="134"/>
      <c r="Q665" s="134"/>
      <c r="R665" s="134"/>
      <c r="S665" s="134"/>
      <c r="T665" s="134"/>
      <c r="U665" s="134"/>
      <c r="V665" s="134"/>
      <c r="W665" s="134"/>
      <c r="X665" s="134"/>
      <c r="Y665" s="135"/>
      <c r="Z665" s="135"/>
      <c r="AA665" s="136"/>
      <c r="AB665" s="136"/>
      <c r="AC665" s="137"/>
      <c r="AD665" s="137"/>
      <c r="AE665" s="137"/>
      <c r="AF665" s="137"/>
    </row>
    <row r="666" spans="2:32" s="1" customFormat="1" hidden="1">
      <c r="B666" s="2"/>
      <c r="C666" s="133"/>
      <c r="D666" s="134"/>
      <c r="E666" s="134"/>
      <c r="F666" s="134"/>
      <c r="G666" s="134"/>
      <c r="H666" s="134"/>
      <c r="I666" s="134"/>
      <c r="J666" s="134"/>
      <c r="K666" s="134"/>
      <c r="L666" s="134"/>
      <c r="M666" s="135"/>
      <c r="N666" s="134"/>
      <c r="O666" s="134"/>
      <c r="P666" s="134"/>
      <c r="Q666" s="134"/>
      <c r="R666" s="134"/>
      <c r="S666" s="134"/>
      <c r="T666" s="134"/>
      <c r="U666" s="134"/>
      <c r="V666" s="134"/>
      <c r="W666" s="134"/>
      <c r="X666" s="134"/>
      <c r="Y666" s="135"/>
      <c r="Z666" s="135"/>
      <c r="AA666" s="136"/>
      <c r="AB666" s="136"/>
      <c r="AC666" s="137"/>
      <c r="AD666" s="137"/>
      <c r="AE666" s="137"/>
      <c r="AF666" s="137"/>
    </row>
    <row r="667" spans="2:32" s="1" customFormat="1" hidden="1">
      <c r="B667" s="2"/>
      <c r="C667" s="133"/>
      <c r="D667" s="134"/>
      <c r="E667" s="134"/>
      <c r="F667" s="134"/>
      <c r="G667" s="134"/>
      <c r="H667" s="134"/>
      <c r="I667" s="134"/>
      <c r="J667" s="134"/>
      <c r="K667" s="134"/>
      <c r="L667" s="134"/>
      <c r="M667" s="135"/>
      <c r="N667" s="134"/>
      <c r="O667" s="134"/>
      <c r="P667" s="134"/>
      <c r="Q667" s="134"/>
      <c r="R667" s="134"/>
      <c r="S667" s="134"/>
      <c r="T667" s="134"/>
      <c r="U667" s="134"/>
      <c r="V667" s="134"/>
      <c r="W667" s="134"/>
      <c r="X667" s="134"/>
      <c r="Y667" s="135"/>
      <c r="Z667" s="135"/>
      <c r="AA667" s="136"/>
      <c r="AB667" s="136"/>
      <c r="AC667" s="137"/>
      <c r="AD667" s="137"/>
      <c r="AE667" s="137"/>
      <c r="AF667" s="137"/>
    </row>
    <row r="668" spans="2:32" s="1" customFormat="1" hidden="1">
      <c r="B668" s="2"/>
      <c r="C668" s="133"/>
      <c r="D668" s="134"/>
      <c r="E668" s="134"/>
      <c r="F668" s="134"/>
      <c r="G668" s="134"/>
      <c r="H668" s="134"/>
      <c r="I668" s="134"/>
      <c r="J668" s="134"/>
      <c r="K668" s="134"/>
      <c r="L668" s="134"/>
      <c r="M668" s="135"/>
      <c r="N668" s="134"/>
      <c r="O668" s="134"/>
      <c r="P668" s="134"/>
      <c r="Q668" s="134"/>
      <c r="R668" s="134"/>
      <c r="S668" s="134"/>
      <c r="T668" s="134"/>
      <c r="U668" s="134"/>
      <c r="V668" s="134"/>
      <c r="W668" s="134"/>
      <c r="X668" s="134"/>
      <c r="Y668" s="135"/>
      <c r="Z668" s="135"/>
      <c r="AA668" s="136"/>
      <c r="AB668" s="136"/>
      <c r="AC668" s="137"/>
      <c r="AD668" s="137"/>
      <c r="AE668" s="137"/>
      <c r="AF668" s="137"/>
    </row>
    <row r="669" spans="2:32" s="1" customFormat="1" hidden="1">
      <c r="B669" s="2"/>
      <c r="C669" s="133"/>
      <c r="D669" s="134"/>
      <c r="E669" s="134"/>
      <c r="F669" s="134"/>
      <c r="G669" s="134"/>
      <c r="H669" s="134"/>
      <c r="I669" s="134"/>
      <c r="J669" s="134"/>
      <c r="K669" s="134"/>
      <c r="L669" s="134"/>
      <c r="M669" s="135"/>
      <c r="N669" s="134"/>
      <c r="O669" s="134"/>
      <c r="P669" s="134"/>
      <c r="Q669" s="134"/>
      <c r="R669" s="134"/>
      <c r="S669" s="134"/>
      <c r="T669" s="134"/>
      <c r="U669" s="134"/>
      <c r="V669" s="134"/>
      <c r="W669" s="134"/>
      <c r="X669" s="134"/>
      <c r="Y669" s="135"/>
      <c r="Z669" s="135"/>
      <c r="AA669" s="136"/>
      <c r="AB669" s="136"/>
      <c r="AC669" s="137"/>
      <c r="AD669" s="137"/>
      <c r="AE669" s="137"/>
      <c r="AF669" s="137"/>
    </row>
    <row r="670" spans="2:32" s="1" customFormat="1" hidden="1">
      <c r="B670" s="2"/>
      <c r="C670" s="133"/>
      <c r="D670" s="134"/>
      <c r="E670" s="134"/>
      <c r="F670" s="134"/>
      <c r="G670" s="134"/>
      <c r="H670" s="134"/>
      <c r="I670" s="134"/>
      <c r="J670" s="134"/>
      <c r="K670" s="134"/>
      <c r="L670" s="134"/>
      <c r="M670" s="135"/>
      <c r="N670" s="134"/>
      <c r="O670" s="134"/>
      <c r="P670" s="134"/>
      <c r="Q670" s="134"/>
      <c r="R670" s="134"/>
      <c r="S670" s="134"/>
      <c r="T670" s="134"/>
      <c r="U670" s="134"/>
      <c r="V670" s="134"/>
      <c r="W670" s="134"/>
      <c r="X670" s="134"/>
      <c r="Y670" s="135"/>
      <c r="Z670" s="135"/>
      <c r="AA670" s="136"/>
      <c r="AB670" s="136"/>
      <c r="AC670" s="137"/>
      <c r="AD670" s="137"/>
      <c r="AE670" s="137"/>
      <c r="AF670" s="137"/>
    </row>
    <row r="671" spans="2:32" s="1" customFormat="1" hidden="1">
      <c r="B671" s="2"/>
      <c r="C671" s="133"/>
      <c r="D671" s="134"/>
      <c r="E671" s="134"/>
      <c r="F671" s="134"/>
      <c r="G671" s="134"/>
      <c r="H671" s="134"/>
      <c r="I671" s="134"/>
      <c r="J671" s="134"/>
      <c r="K671" s="134"/>
      <c r="L671" s="134"/>
      <c r="M671" s="135"/>
      <c r="N671" s="134"/>
      <c r="O671" s="134"/>
      <c r="P671" s="134"/>
      <c r="Q671" s="134"/>
      <c r="R671" s="134"/>
      <c r="S671" s="134"/>
      <c r="T671" s="134"/>
      <c r="U671" s="134"/>
      <c r="V671" s="134"/>
      <c r="W671" s="134"/>
      <c r="X671" s="134"/>
      <c r="Y671" s="135"/>
      <c r="Z671" s="135"/>
      <c r="AA671" s="136"/>
      <c r="AB671" s="136"/>
      <c r="AC671" s="137"/>
      <c r="AD671" s="137"/>
      <c r="AE671" s="137"/>
      <c r="AF671" s="137"/>
    </row>
    <row r="672" spans="2:32" s="1" customFormat="1" hidden="1">
      <c r="B672" s="2"/>
      <c r="C672" s="133"/>
      <c r="D672" s="134"/>
      <c r="E672" s="134"/>
      <c r="F672" s="134"/>
      <c r="G672" s="134"/>
      <c r="H672" s="134"/>
      <c r="I672" s="134"/>
      <c r="J672" s="134"/>
      <c r="K672" s="134"/>
      <c r="L672" s="134"/>
      <c r="M672" s="135"/>
      <c r="N672" s="134"/>
      <c r="O672" s="134"/>
      <c r="P672" s="134"/>
      <c r="Q672" s="134"/>
      <c r="R672" s="134"/>
      <c r="S672" s="134"/>
      <c r="T672" s="134"/>
      <c r="U672" s="134"/>
      <c r="V672" s="134"/>
      <c r="W672" s="134"/>
      <c r="X672" s="134"/>
      <c r="Y672" s="135"/>
      <c r="Z672" s="135"/>
      <c r="AA672" s="136"/>
      <c r="AB672" s="136"/>
      <c r="AC672" s="137"/>
      <c r="AD672" s="137"/>
      <c r="AE672" s="137"/>
      <c r="AF672" s="137"/>
    </row>
    <row r="673" spans="2:32" s="1" customFormat="1" hidden="1">
      <c r="B673" s="2"/>
      <c r="C673" s="133"/>
      <c r="D673" s="134"/>
      <c r="E673" s="134"/>
      <c r="F673" s="134"/>
      <c r="G673" s="134"/>
      <c r="H673" s="134"/>
      <c r="I673" s="134"/>
      <c r="J673" s="134"/>
      <c r="K673" s="134"/>
      <c r="L673" s="134"/>
      <c r="M673" s="135"/>
      <c r="N673" s="134"/>
      <c r="O673" s="134"/>
      <c r="P673" s="134"/>
      <c r="Q673" s="134"/>
      <c r="R673" s="134"/>
      <c r="S673" s="134"/>
      <c r="T673" s="134"/>
      <c r="U673" s="134"/>
      <c r="V673" s="134"/>
      <c r="W673" s="134"/>
      <c r="X673" s="134"/>
      <c r="Y673" s="135"/>
      <c r="Z673" s="135"/>
      <c r="AA673" s="136"/>
      <c r="AB673" s="136"/>
      <c r="AC673" s="137"/>
      <c r="AD673" s="137"/>
      <c r="AE673" s="137"/>
      <c r="AF673" s="137"/>
    </row>
    <row r="674" spans="2:32" s="1" customFormat="1" hidden="1">
      <c r="B674" s="2"/>
      <c r="C674" s="133"/>
      <c r="D674" s="134"/>
      <c r="E674" s="134"/>
      <c r="F674" s="134"/>
      <c r="G674" s="134"/>
      <c r="H674" s="134"/>
      <c r="I674" s="134"/>
      <c r="J674" s="134"/>
      <c r="K674" s="134"/>
      <c r="L674" s="134"/>
      <c r="M674" s="135"/>
      <c r="N674" s="134"/>
      <c r="O674" s="134"/>
      <c r="P674" s="134"/>
      <c r="Q674" s="134"/>
      <c r="R674" s="134"/>
      <c r="S674" s="134"/>
      <c r="T674" s="134"/>
      <c r="U674" s="134"/>
      <c r="V674" s="134"/>
      <c r="W674" s="134"/>
      <c r="X674" s="134"/>
      <c r="Y674" s="135"/>
      <c r="Z674" s="135"/>
      <c r="AA674" s="136"/>
      <c r="AB674" s="136"/>
      <c r="AC674" s="137"/>
      <c r="AD674" s="137"/>
      <c r="AE674" s="137"/>
      <c r="AF674" s="137"/>
    </row>
    <row r="675" spans="2:32" s="1" customFormat="1" hidden="1">
      <c r="B675" s="2"/>
      <c r="C675" s="133"/>
      <c r="D675" s="134"/>
      <c r="E675" s="134"/>
      <c r="F675" s="134"/>
      <c r="G675" s="134"/>
      <c r="H675" s="134"/>
      <c r="I675" s="134"/>
      <c r="J675" s="134"/>
      <c r="K675" s="134"/>
      <c r="L675" s="134"/>
      <c r="M675" s="135"/>
      <c r="N675" s="134"/>
      <c r="O675" s="134"/>
      <c r="P675" s="134"/>
      <c r="Q675" s="134"/>
      <c r="R675" s="134"/>
      <c r="S675" s="134"/>
      <c r="T675" s="134"/>
      <c r="U675" s="134"/>
      <c r="V675" s="134"/>
      <c r="W675" s="134"/>
      <c r="X675" s="134"/>
      <c r="Y675" s="135"/>
      <c r="Z675" s="135"/>
      <c r="AA675" s="136"/>
      <c r="AB675" s="136"/>
      <c r="AC675" s="137"/>
      <c r="AD675" s="137"/>
      <c r="AE675" s="137"/>
      <c r="AF675" s="137"/>
    </row>
    <row r="676" spans="2:32" s="1" customFormat="1" hidden="1">
      <c r="B676" s="2"/>
      <c r="C676" s="133"/>
      <c r="D676" s="134"/>
      <c r="E676" s="134"/>
      <c r="F676" s="134"/>
      <c r="G676" s="134"/>
      <c r="H676" s="134"/>
      <c r="I676" s="134"/>
      <c r="J676" s="134"/>
      <c r="K676" s="134"/>
      <c r="L676" s="134"/>
      <c r="M676" s="135"/>
      <c r="N676" s="134"/>
      <c r="O676" s="134"/>
      <c r="P676" s="134"/>
      <c r="Q676" s="134"/>
      <c r="R676" s="134"/>
      <c r="S676" s="134"/>
      <c r="T676" s="134"/>
      <c r="U676" s="134"/>
      <c r="V676" s="134"/>
      <c r="W676" s="134"/>
      <c r="X676" s="134"/>
      <c r="Y676" s="135"/>
      <c r="Z676" s="135"/>
      <c r="AA676" s="136"/>
      <c r="AB676" s="136"/>
      <c r="AC676" s="137"/>
      <c r="AD676" s="137"/>
      <c r="AE676" s="137"/>
      <c r="AF676" s="137"/>
    </row>
    <row r="677" spans="2:32" s="1" customFormat="1" hidden="1">
      <c r="B677" s="2"/>
      <c r="C677" s="133"/>
      <c r="D677" s="134"/>
      <c r="E677" s="134"/>
      <c r="F677" s="134"/>
      <c r="G677" s="134"/>
      <c r="H677" s="134"/>
      <c r="I677" s="134"/>
      <c r="J677" s="134"/>
      <c r="K677" s="134"/>
      <c r="L677" s="134"/>
      <c r="M677" s="135"/>
      <c r="N677" s="134"/>
      <c r="O677" s="134"/>
      <c r="P677" s="134"/>
      <c r="Q677" s="134"/>
      <c r="R677" s="134"/>
      <c r="S677" s="134"/>
      <c r="T677" s="134"/>
      <c r="U677" s="134"/>
      <c r="V677" s="134"/>
      <c r="W677" s="134"/>
      <c r="X677" s="134"/>
      <c r="Y677" s="135"/>
      <c r="Z677" s="135"/>
      <c r="AA677" s="136"/>
      <c r="AB677" s="136"/>
      <c r="AC677" s="137"/>
      <c r="AD677" s="137"/>
      <c r="AE677" s="137"/>
      <c r="AF677" s="137"/>
    </row>
    <row r="678" spans="2:32" s="1" customFormat="1" hidden="1">
      <c r="B678" s="2"/>
      <c r="C678" s="133"/>
      <c r="D678" s="134"/>
      <c r="E678" s="134"/>
      <c r="F678" s="134"/>
      <c r="G678" s="134"/>
      <c r="H678" s="134"/>
      <c r="I678" s="134"/>
      <c r="J678" s="134"/>
      <c r="K678" s="134"/>
      <c r="L678" s="134"/>
      <c r="M678" s="135"/>
      <c r="N678" s="134"/>
      <c r="O678" s="134"/>
      <c r="P678" s="134"/>
      <c r="Q678" s="134"/>
      <c r="R678" s="134"/>
      <c r="S678" s="134"/>
      <c r="T678" s="134"/>
      <c r="U678" s="134"/>
      <c r="V678" s="134"/>
      <c r="W678" s="134"/>
      <c r="X678" s="134"/>
      <c r="Y678" s="135"/>
      <c r="Z678" s="135"/>
      <c r="AA678" s="136"/>
      <c r="AB678" s="136"/>
      <c r="AC678" s="137"/>
      <c r="AD678" s="137"/>
      <c r="AE678" s="137"/>
      <c r="AF678" s="137"/>
    </row>
    <row r="679" spans="2:32" s="1" customFormat="1" hidden="1">
      <c r="B679" s="2"/>
      <c r="C679" s="133"/>
      <c r="D679" s="134"/>
      <c r="E679" s="134"/>
      <c r="F679" s="134"/>
      <c r="G679" s="134"/>
      <c r="H679" s="134"/>
      <c r="I679" s="134"/>
      <c r="J679" s="134"/>
      <c r="K679" s="134"/>
      <c r="L679" s="134"/>
      <c r="M679" s="135"/>
      <c r="N679" s="134"/>
      <c r="O679" s="134"/>
      <c r="P679" s="134"/>
      <c r="Q679" s="134"/>
      <c r="R679" s="134"/>
      <c r="S679" s="134"/>
      <c r="T679" s="134"/>
      <c r="U679" s="134"/>
      <c r="V679" s="134"/>
      <c r="W679" s="134"/>
      <c r="X679" s="134"/>
      <c r="Y679" s="135"/>
      <c r="Z679" s="135"/>
      <c r="AA679" s="136"/>
      <c r="AB679" s="136"/>
      <c r="AC679" s="137"/>
      <c r="AD679" s="137"/>
      <c r="AE679" s="137"/>
      <c r="AF679" s="137"/>
    </row>
    <row r="680" spans="2:32" s="1" customFormat="1" hidden="1">
      <c r="B680" s="2"/>
      <c r="C680" s="133"/>
      <c r="D680" s="134"/>
      <c r="E680" s="134"/>
      <c r="F680" s="134"/>
      <c r="G680" s="134"/>
      <c r="H680" s="134"/>
      <c r="I680" s="134"/>
      <c r="J680" s="134"/>
      <c r="K680" s="134"/>
      <c r="L680" s="134"/>
      <c r="M680" s="135"/>
      <c r="N680" s="134"/>
      <c r="O680" s="134"/>
      <c r="P680" s="134"/>
      <c r="Q680" s="134"/>
      <c r="R680" s="134"/>
      <c r="S680" s="134"/>
      <c r="T680" s="134"/>
      <c r="U680" s="134"/>
      <c r="V680" s="134"/>
      <c r="W680" s="134"/>
      <c r="X680" s="134"/>
      <c r="Y680" s="135"/>
      <c r="Z680" s="135"/>
      <c r="AA680" s="136"/>
      <c r="AB680" s="136"/>
      <c r="AC680" s="137"/>
      <c r="AD680" s="137"/>
      <c r="AE680" s="137"/>
      <c r="AF680" s="137"/>
    </row>
    <row r="681" spans="2:32" s="1" customFormat="1" hidden="1">
      <c r="B681" s="2"/>
      <c r="C681" s="133"/>
      <c r="D681" s="134"/>
      <c r="E681" s="134"/>
      <c r="F681" s="134"/>
      <c r="G681" s="134"/>
      <c r="H681" s="134"/>
      <c r="I681" s="134"/>
      <c r="J681" s="134"/>
      <c r="K681" s="134"/>
      <c r="L681" s="134"/>
      <c r="M681" s="135"/>
      <c r="N681" s="134"/>
      <c r="O681" s="134"/>
      <c r="P681" s="134"/>
      <c r="Q681" s="134"/>
      <c r="R681" s="134"/>
      <c r="S681" s="134"/>
      <c r="T681" s="134"/>
      <c r="U681" s="134"/>
      <c r="V681" s="134"/>
      <c r="W681" s="134"/>
      <c r="X681" s="134"/>
      <c r="Y681" s="135"/>
      <c r="Z681" s="135"/>
      <c r="AA681" s="136"/>
      <c r="AB681" s="136"/>
      <c r="AC681" s="137"/>
      <c r="AD681" s="137"/>
      <c r="AE681" s="137"/>
      <c r="AF681" s="137"/>
    </row>
    <row r="682" spans="2:32" s="1" customFormat="1" hidden="1">
      <c r="B682" s="2"/>
      <c r="C682" s="133"/>
      <c r="D682" s="134"/>
      <c r="E682" s="134"/>
      <c r="F682" s="134"/>
      <c r="G682" s="134"/>
      <c r="H682" s="134"/>
      <c r="I682" s="134"/>
      <c r="J682" s="134"/>
      <c r="K682" s="134"/>
      <c r="L682" s="134"/>
      <c r="M682" s="135"/>
      <c r="N682" s="134"/>
      <c r="O682" s="134"/>
      <c r="P682" s="134"/>
      <c r="Q682" s="134"/>
      <c r="R682" s="134"/>
      <c r="S682" s="134"/>
      <c r="T682" s="134"/>
      <c r="U682" s="134"/>
      <c r="V682" s="134"/>
      <c r="W682" s="134"/>
      <c r="X682" s="134"/>
      <c r="Y682" s="135"/>
      <c r="Z682" s="135"/>
      <c r="AA682" s="136"/>
      <c r="AB682" s="136"/>
      <c r="AC682" s="137"/>
      <c r="AD682" s="137"/>
      <c r="AE682" s="137"/>
      <c r="AF682" s="137"/>
    </row>
    <row r="683" spans="2:32" s="1" customFormat="1" hidden="1">
      <c r="B683" s="2"/>
      <c r="C683" s="133"/>
      <c r="D683" s="134"/>
      <c r="E683" s="134"/>
      <c r="F683" s="134"/>
      <c r="G683" s="134"/>
      <c r="H683" s="134"/>
      <c r="I683" s="134"/>
      <c r="J683" s="134"/>
      <c r="K683" s="134"/>
      <c r="L683" s="134"/>
      <c r="M683" s="135"/>
      <c r="N683" s="134"/>
      <c r="O683" s="134"/>
      <c r="P683" s="134"/>
      <c r="Q683" s="134"/>
      <c r="R683" s="134"/>
      <c r="S683" s="134"/>
      <c r="T683" s="134"/>
      <c r="U683" s="134"/>
      <c r="V683" s="134"/>
      <c r="W683" s="134"/>
      <c r="X683" s="134"/>
      <c r="Y683" s="135"/>
      <c r="Z683" s="135"/>
      <c r="AA683" s="136"/>
      <c r="AB683" s="136"/>
      <c r="AC683" s="137"/>
      <c r="AD683" s="137"/>
      <c r="AE683" s="137"/>
      <c r="AF683" s="137"/>
    </row>
    <row r="684" spans="2:32" s="1" customFormat="1" hidden="1">
      <c r="B684" s="2"/>
      <c r="C684" s="133"/>
      <c r="D684" s="134"/>
      <c r="E684" s="134"/>
      <c r="F684" s="134"/>
      <c r="G684" s="134"/>
      <c r="H684" s="134"/>
      <c r="I684" s="134"/>
      <c r="J684" s="134"/>
      <c r="K684" s="134"/>
      <c r="L684" s="134"/>
      <c r="M684" s="135"/>
      <c r="N684" s="134"/>
      <c r="O684" s="134"/>
      <c r="P684" s="134"/>
      <c r="Q684" s="134"/>
      <c r="R684" s="134"/>
      <c r="S684" s="134"/>
      <c r="T684" s="134"/>
      <c r="U684" s="134"/>
      <c r="V684" s="134"/>
      <c r="W684" s="134"/>
      <c r="X684" s="134"/>
      <c r="Y684" s="135"/>
      <c r="Z684" s="135"/>
      <c r="AA684" s="136"/>
      <c r="AB684" s="136"/>
      <c r="AC684" s="137"/>
      <c r="AD684" s="137"/>
      <c r="AE684" s="137"/>
      <c r="AF684" s="137"/>
    </row>
    <row r="685" spans="2:32" s="1" customFormat="1" hidden="1">
      <c r="B685" s="2"/>
      <c r="C685" s="133"/>
      <c r="D685" s="134"/>
      <c r="E685" s="134"/>
      <c r="F685" s="134"/>
      <c r="G685" s="134"/>
      <c r="H685" s="134"/>
      <c r="I685" s="134"/>
      <c r="J685" s="134"/>
      <c r="K685" s="134"/>
      <c r="L685" s="134"/>
      <c r="M685" s="135"/>
      <c r="N685" s="134"/>
      <c r="O685" s="134"/>
      <c r="P685" s="134"/>
      <c r="Q685" s="134"/>
      <c r="R685" s="134"/>
      <c r="S685" s="134"/>
      <c r="T685" s="134"/>
      <c r="U685" s="134"/>
      <c r="V685" s="134"/>
      <c r="W685" s="134"/>
      <c r="X685" s="134"/>
      <c r="Y685" s="135"/>
      <c r="Z685" s="135"/>
      <c r="AA685" s="136"/>
      <c r="AB685" s="136"/>
      <c r="AC685" s="137"/>
      <c r="AD685" s="137"/>
      <c r="AE685" s="137"/>
      <c r="AF685" s="137"/>
    </row>
    <row r="686" spans="2:32" s="1" customFormat="1" hidden="1">
      <c r="B686" s="2"/>
      <c r="C686" s="133"/>
      <c r="D686" s="134"/>
      <c r="E686" s="134"/>
      <c r="F686" s="134"/>
      <c r="G686" s="134"/>
      <c r="H686" s="134"/>
      <c r="I686" s="134"/>
      <c r="J686" s="134"/>
      <c r="K686" s="134"/>
      <c r="L686" s="134"/>
      <c r="M686" s="135"/>
      <c r="N686" s="134"/>
      <c r="O686" s="134"/>
      <c r="P686" s="134"/>
      <c r="Q686" s="134"/>
      <c r="R686" s="134"/>
      <c r="S686" s="134"/>
      <c r="T686" s="134"/>
      <c r="U686" s="134"/>
      <c r="V686" s="134"/>
      <c r="W686" s="134"/>
      <c r="X686" s="134"/>
      <c r="Y686" s="135"/>
      <c r="Z686" s="135"/>
      <c r="AA686" s="136"/>
      <c r="AB686" s="136"/>
      <c r="AC686" s="137"/>
      <c r="AD686" s="137"/>
      <c r="AE686" s="137"/>
      <c r="AF686" s="137"/>
    </row>
    <row r="687" spans="2:32" s="1" customFormat="1" hidden="1">
      <c r="B687" s="2"/>
      <c r="C687" s="133"/>
      <c r="D687" s="134"/>
      <c r="E687" s="134"/>
      <c r="F687" s="134"/>
      <c r="G687" s="134"/>
      <c r="H687" s="134"/>
      <c r="I687" s="134"/>
      <c r="J687" s="134"/>
      <c r="K687" s="134"/>
      <c r="L687" s="134"/>
      <c r="M687" s="135"/>
      <c r="N687" s="134"/>
      <c r="O687" s="134"/>
      <c r="P687" s="134"/>
      <c r="Q687" s="134"/>
      <c r="R687" s="134"/>
      <c r="S687" s="134"/>
      <c r="T687" s="134"/>
      <c r="U687" s="134"/>
      <c r="V687" s="134"/>
      <c r="W687" s="134"/>
      <c r="X687" s="134"/>
      <c r="Y687" s="135"/>
      <c r="Z687" s="135"/>
      <c r="AA687" s="136"/>
      <c r="AB687" s="136"/>
      <c r="AC687" s="137"/>
      <c r="AD687" s="137"/>
      <c r="AE687" s="137"/>
      <c r="AF687" s="137"/>
    </row>
    <row r="688" spans="2:32" s="1" customFormat="1" hidden="1">
      <c r="B688" s="2"/>
      <c r="C688" s="133"/>
      <c r="D688" s="134"/>
      <c r="E688" s="134"/>
      <c r="F688" s="134"/>
      <c r="G688" s="134"/>
      <c r="H688" s="134"/>
      <c r="I688" s="134"/>
      <c r="J688" s="134"/>
      <c r="K688" s="134"/>
      <c r="L688" s="134"/>
      <c r="M688" s="135"/>
      <c r="N688" s="134"/>
      <c r="O688" s="134"/>
      <c r="P688" s="134"/>
      <c r="Q688" s="134"/>
      <c r="R688" s="134"/>
      <c r="S688" s="134"/>
      <c r="T688" s="134"/>
      <c r="U688" s="134"/>
      <c r="V688" s="134"/>
      <c r="W688" s="134"/>
      <c r="X688" s="134"/>
      <c r="Y688" s="135"/>
      <c r="Z688" s="135"/>
      <c r="AA688" s="136"/>
      <c r="AB688" s="136"/>
      <c r="AC688" s="137"/>
      <c r="AD688" s="137"/>
      <c r="AE688" s="137"/>
      <c r="AF688" s="137"/>
    </row>
    <row r="689" spans="2:32" s="1" customFormat="1" hidden="1">
      <c r="B689" s="2"/>
      <c r="C689" s="133"/>
      <c r="D689" s="134"/>
      <c r="E689" s="134"/>
      <c r="F689" s="134"/>
      <c r="G689" s="134"/>
      <c r="H689" s="134"/>
      <c r="I689" s="134"/>
      <c r="J689" s="134"/>
      <c r="K689" s="134"/>
      <c r="L689" s="134"/>
      <c r="M689" s="135"/>
      <c r="N689" s="134"/>
      <c r="O689" s="134"/>
      <c r="P689" s="134"/>
      <c r="Q689" s="134"/>
      <c r="R689" s="134"/>
      <c r="S689" s="134"/>
      <c r="T689" s="134"/>
      <c r="U689" s="134"/>
      <c r="V689" s="134"/>
      <c r="W689" s="134"/>
      <c r="X689" s="134"/>
      <c r="Y689" s="135"/>
      <c r="Z689" s="135"/>
      <c r="AA689" s="136"/>
      <c r="AB689" s="136"/>
      <c r="AC689" s="137"/>
      <c r="AD689" s="137"/>
      <c r="AE689" s="137"/>
      <c r="AF689" s="137"/>
    </row>
    <row r="690" spans="2:32" s="1" customFormat="1" hidden="1">
      <c r="B690" s="2"/>
      <c r="C690" s="133"/>
      <c r="D690" s="134"/>
      <c r="E690" s="134"/>
      <c r="F690" s="134"/>
      <c r="G690" s="134"/>
      <c r="H690" s="134"/>
      <c r="I690" s="134"/>
      <c r="J690" s="134"/>
      <c r="K690" s="134"/>
      <c r="L690" s="134"/>
      <c r="M690" s="135"/>
      <c r="N690" s="134"/>
      <c r="O690" s="134"/>
      <c r="P690" s="134"/>
      <c r="Q690" s="134"/>
      <c r="R690" s="134"/>
      <c r="S690" s="134"/>
      <c r="T690" s="134"/>
      <c r="U690" s="134"/>
      <c r="V690" s="134"/>
      <c r="W690" s="134"/>
      <c r="X690" s="134"/>
      <c r="Y690" s="135"/>
      <c r="Z690" s="135"/>
      <c r="AA690" s="136"/>
      <c r="AB690" s="136"/>
      <c r="AC690" s="137"/>
      <c r="AD690" s="137"/>
      <c r="AE690" s="137"/>
      <c r="AF690" s="137"/>
    </row>
    <row r="691" spans="2:32" s="1" customFormat="1" hidden="1">
      <c r="B691" s="2"/>
      <c r="C691" s="133"/>
      <c r="D691" s="134"/>
      <c r="E691" s="134"/>
      <c r="F691" s="134"/>
      <c r="G691" s="134"/>
      <c r="H691" s="134"/>
      <c r="I691" s="134"/>
      <c r="J691" s="134"/>
      <c r="K691" s="134"/>
      <c r="L691" s="134"/>
      <c r="M691" s="135"/>
      <c r="N691" s="134"/>
      <c r="O691" s="134"/>
      <c r="P691" s="134"/>
      <c r="Q691" s="134"/>
      <c r="R691" s="134"/>
      <c r="S691" s="134"/>
      <c r="T691" s="134"/>
      <c r="U691" s="134"/>
      <c r="V691" s="134"/>
      <c r="W691" s="134"/>
      <c r="X691" s="134"/>
      <c r="Y691" s="135"/>
      <c r="Z691" s="135"/>
      <c r="AA691" s="136"/>
      <c r="AB691" s="136"/>
      <c r="AC691" s="137"/>
      <c r="AD691" s="137"/>
      <c r="AE691" s="137"/>
      <c r="AF691" s="137"/>
    </row>
    <row r="692" spans="2:32" s="1" customFormat="1" hidden="1">
      <c r="B692" s="2"/>
      <c r="C692" s="133"/>
      <c r="D692" s="134"/>
      <c r="E692" s="134"/>
      <c r="F692" s="134"/>
      <c r="G692" s="134"/>
      <c r="H692" s="134"/>
      <c r="I692" s="134"/>
      <c r="J692" s="134"/>
      <c r="K692" s="134"/>
      <c r="L692" s="134"/>
      <c r="M692" s="135"/>
      <c r="N692" s="134"/>
      <c r="O692" s="134"/>
      <c r="P692" s="134"/>
      <c r="Q692" s="134"/>
      <c r="R692" s="134"/>
      <c r="S692" s="134"/>
      <c r="T692" s="134"/>
      <c r="U692" s="134"/>
      <c r="V692" s="134"/>
      <c r="W692" s="134"/>
      <c r="X692" s="134"/>
      <c r="Y692" s="135"/>
      <c r="Z692" s="135"/>
      <c r="AA692" s="136"/>
      <c r="AB692" s="136"/>
      <c r="AC692" s="137"/>
      <c r="AD692" s="137"/>
      <c r="AE692" s="137"/>
      <c r="AF692" s="137"/>
    </row>
    <row r="693" spans="2:32" s="1" customFormat="1" hidden="1">
      <c r="B693" s="2"/>
      <c r="C693" s="133"/>
      <c r="D693" s="134"/>
      <c r="E693" s="134"/>
      <c r="F693" s="134"/>
      <c r="G693" s="134"/>
      <c r="H693" s="134"/>
      <c r="I693" s="134"/>
      <c r="J693" s="134"/>
      <c r="K693" s="134"/>
      <c r="L693" s="134"/>
      <c r="M693" s="135"/>
      <c r="N693" s="134"/>
      <c r="O693" s="134"/>
      <c r="P693" s="134"/>
      <c r="Q693" s="134"/>
      <c r="R693" s="134"/>
      <c r="S693" s="134"/>
      <c r="T693" s="134"/>
      <c r="U693" s="134"/>
      <c r="V693" s="134"/>
      <c r="W693" s="134"/>
      <c r="X693" s="134"/>
      <c r="Y693" s="135"/>
      <c r="Z693" s="135"/>
      <c r="AA693" s="136"/>
      <c r="AB693" s="136"/>
      <c r="AC693" s="137"/>
      <c r="AD693" s="137"/>
      <c r="AE693" s="137"/>
      <c r="AF693" s="137"/>
    </row>
    <row r="694" spans="2:32" s="1" customFormat="1" hidden="1">
      <c r="B694" s="2"/>
      <c r="C694" s="133"/>
      <c r="D694" s="134"/>
      <c r="E694" s="134"/>
      <c r="F694" s="134"/>
      <c r="G694" s="134"/>
      <c r="H694" s="134"/>
      <c r="I694" s="134"/>
      <c r="J694" s="134"/>
      <c r="K694" s="134"/>
      <c r="L694" s="134"/>
      <c r="M694" s="135"/>
      <c r="N694" s="134"/>
      <c r="O694" s="134"/>
      <c r="P694" s="134"/>
      <c r="Q694" s="134"/>
      <c r="R694" s="134"/>
      <c r="S694" s="134"/>
      <c r="T694" s="134"/>
      <c r="U694" s="134"/>
      <c r="V694" s="134"/>
      <c r="W694" s="134"/>
      <c r="X694" s="134"/>
      <c r="Y694" s="135"/>
      <c r="Z694" s="135"/>
      <c r="AA694" s="136"/>
      <c r="AB694" s="136"/>
      <c r="AC694" s="137"/>
      <c r="AD694" s="137"/>
      <c r="AE694" s="137"/>
      <c r="AF694" s="137"/>
    </row>
    <row r="695" spans="2:32" s="1" customFormat="1" hidden="1">
      <c r="B695" s="2"/>
      <c r="C695" s="133"/>
      <c r="D695" s="134"/>
      <c r="E695" s="134"/>
      <c r="F695" s="134"/>
      <c r="G695" s="134"/>
      <c r="H695" s="134"/>
      <c r="I695" s="134"/>
      <c r="J695" s="134"/>
      <c r="K695" s="134"/>
      <c r="L695" s="134"/>
      <c r="M695" s="135"/>
      <c r="N695" s="134"/>
      <c r="O695" s="134"/>
      <c r="P695" s="134"/>
      <c r="Q695" s="134"/>
      <c r="R695" s="134"/>
      <c r="S695" s="134"/>
      <c r="T695" s="134"/>
      <c r="U695" s="134"/>
      <c r="V695" s="134"/>
      <c r="W695" s="134"/>
      <c r="X695" s="134"/>
      <c r="Y695" s="135"/>
      <c r="Z695" s="135"/>
      <c r="AA695" s="136"/>
      <c r="AB695" s="136"/>
      <c r="AC695" s="137"/>
      <c r="AD695" s="137"/>
      <c r="AE695" s="137"/>
      <c r="AF695" s="137"/>
    </row>
    <row r="696" spans="2:32" s="1" customFormat="1" hidden="1">
      <c r="B696" s="2"/>
      <c r="C696" s="133"/>
      <c r="D696" s="134"/>
      <c r="E696" s="134"/>
      <c r="F696" s="134"/>
      <c r="G696" s="134"/>
      <c r="H696" s="134"/>
      <c r="I696" s="134"/>
      <c r="J696" s="134"/>
      <c r="K696" s="134"/>
      <c r="L696" s="134"/>
      <c r="M696" s="135"/>
      <c r="N696" s="134"/>
      <c r="O696" s="134"/>
      <c r="P696" s="134"/>
      <c r="Q696" s="134"/>
      <c r="R696" s="134"/>
      <c r="S696" s="134"/>
      <c r="T696" s="134"/>
      <c r="U696" s="134"/>
      <c r="V696" s="134"/>
      <c r="W696" s="134"/>
      <c r="X696" s="134"/>
      <c r="Y696" s="135"/>
      <c r="Z696" s="135"/>
      <c r="AA696" s="136"/>
      <c r="AB696" s="136"/>
      <c r="AC696" s="137"/>
      <c r="AD696" s="137"/>
      <c r="AE696" s="137"/>
      <c r="AF696" s="137"/>
    </row>
    <row r="697" spans="2:32" s="1" customFormat="1" hidden="1">
      <c r="B697" s="2"/>
      <c r="C697" s="133"/>
      <c r="D697" s="134"/>
      <c r="E697" s="134"/>
      <c r="F697" s="134"/>
      <c r="G697" s="134"/>
      <c r="H697" s="134"/>
      <c r="I697" s="134"/>
      <c r="J697" s="134"/>
      <c r="K697" s="134"/>
      <c r="L697" s="134"/>
      <c r="M697" s="135"/>
      <c r="N697" s="134"/>
      <c r="O697" s="134"/>
      <c r="P697" s="134"/>
      <c r="Q697" s="134"/>
      <c r="R697" s="134"/>
      <c r="S697" s="134"/>
      <c r="T697" s="134"/>
      <c r="U697" s="134"/>
      <c r="V697" s="134"/>
      <c r="W697" s="134"/>
      <c r="X697" s="134"/>
      <c r="Y697" s="135"/>
      <c r="Z697" s="135"/>
      <c r="AA697" s="136"/>
      <c r="AB697" s="136"/>
      <c r="AC697" s="137"/>
      <c r="AD697" s="137"/>
      <c r="AE697" s="137"/>
      <c r="AF697" s="137"/>
    </row>
    <row r="698" spans="2:32" s="1" customFormat="1" hidden="1">
      <c r="B698" s="2"/>
      <c r="C698" s="133"/>
      <c r="D698" s="134"/>
      <c r="E698" s="134"/>
      <c r="F698" s="134"/>
      <c r="G698" s="134"/>
      <c r="H698" s="134"/>
      <c r="I698" s="134"/>
      <c r="J698" s="134"/>
      <c r="K698" s="134"/>
      <c r="L698" s="134"/>
      <c r="M698" s="135"/>
      <c r="N698" s="134"/>
      <c r="O698" s="134"/>
      <c r="P698" s="134"/>
      <c r="Q698" s="134"/>
      <c r="R698" s="134"/>
      <c r="S698" s="134"/>
      <c r="T698" s="134"/>
      <c r="U698" s="134"/>
      <c r="V698" s="134"/>
      <c r="W698" s="134"/>
      <c r="X698" s="134"/>
      <c r="Y698" s="135"/>
      <c r="Z698" s="135"/>
      <c r="AA698" s="136"/>
      <c r="AB698" s="136"/>
      <c r="AC698" s="137"/>
      <c r="AD698" s="137"/>
      <c r="AE698" s="137"/>
      <c r="AF698" s="137"/>
    </row>
    <row r="699" spans="2:32" s="1" customFormat="1" hidden="1">
      <c r="B699" s="2"/>
      <c r="C699" s="133"/>
      <c r="D699" s="134"/>
      <c r="E699" s="134"/>
      <c r="F699" s="134"/>
      <c r="G699" s="134"/>
      <c r="H699" s="134"/>
      <c r="I699" s="134"/>
      <c r="J699" s="134"/>
      <c r="K699" s="134"/>
      <c r="L699" s="134"/>
      <c r="M699" s="135"/>
      <c r="N699" s="134"/>
      <c r="O699" s="134"/>
      <c r="P699" s="134"/>
      <c r="Q699" s="134"/>
      <c r="R699" s="134"/>
      <c r="S699" s="134"/>
      <c r="T699" s="134"/>
      <c r="U699" s="134"/>
      <c r="V699" s="134"/>
      <c r="W699" s="134"/>
      <c r="X699" s="134"/>
      <c r="Y699" s="135"/>
      <c r="Z699" s="135"/>
      <c r="AA699" s="136"/>
      <c r="AB699" s="136"/>
      <c r="AC699" s="137"/>
      <c r="AD699" s="137"/>
      <c r="AE699" s="137"/>
      <c r="AF699" s="137"/>
    </row>
    <row r="700" spans="2:32" s="1" customFormat="1" hidden="1">
      <c r="B700" s="2"/>
      <c r="C700" s="133"/>
      <c r="D700" s="134"/>
      <c r="E700" s="134"/>
      <c r="F700" s="134"/>
      <c r="G700" s="134"/>
      <c r="H700" s="134"/>
      <c r="I700" s="134"/>
      <c r="J700" s="134"/>
      <c r="K700" s="134"/>
      <c r="L700" s="134"/>
      <c r="M700" s="135"/>
      <c r="N700" s="134"/>
      <c r="O700" s="134"/>
      <c r="P700" s="134"/>
      <c r="Q700" s="134"/>
      <c r="R700" s="134"/>
      <c r="S700" s="134"/>
      <c r="T700" s="134"/>
      <c r="U700" s="134"/>
      <c r="V700" s="134"/>
      <c r="W700" s="134"/>
      <c r="X700" s="134"/>
      <c r="Y700" s="135"/>
      <c r="Z700" s="135"/>
      <c r="AA700" s="136"/>
      <c r="AB700" s="136"/>
      <c r="AC700" s="137"/>
      <c r="AD700" s="137"/>
      <c r="AE700" s="137"/>
      <c r="AF700" s="137"/>
    </row>
    <row r="701" spans="2:32" s="1" customFormat="1" hidden="1">
      <c r="B701" s="2"/>
      <c r="C701" s="133"/>
      <c r="D701" s="134"/>
      <c r="E701" s="134"/>
      <c r="F701" s="134"/>
      <c r="G701" s="134"/>
      <c r="H701" s="134"/>
      <c r="I701" s="134"/>
      <c r="J701" s="134"/>
      <c r="K701" s="134"/>
      <c r="L701" s="134"/>
      <c r="M701" s="135"/>
      <c r="N701" s="134"/>
      <c r="O701" s="134"/>
      <c r="P701" s="134"/>
      <c r="Q701" s="134"/>
      <c r="R701" s="134"/>
      <c r="S701" s="134"/>
      <c r="T701" s="134"/>
      <c r="U701" s="134"/>
      <c r="V701" s="134"/>
      <c r="W701" s="134"/>
      <c r="X701" s="134"/>
      <c r="Y701" s="135"/>
      <c r="Z701" s="135"/>
      <c r="AA701" s="136"/>
      <c r="AB701" s="136"/>
      <c r="AC701" s="137"/>
      <c r="AD701" s="137"/>
      <c r="AE701" s="137"/>
      <c r="AF701" s="137"/>
    </row>
    <row r="702" spans="2:32" s="1" customFormat="1" hidden="1">
      <c r="B702" s="2"/>
      <c r="C702" s="133"/>
      <c r="D702" s="134"/>
      <c r="E702" s="134"/>
      <c r="F702" s="134"/>
      <c r="G702" s="134"/>
      <c r="H702" s="134"/>
      <c r="I702" s="134"/>
      <c r="J702" s="134"/>
      <c r="K702" s="134"/>
      <c r="L702" s="134"/>
      <c r="M702" s="135"/>
      <c r="N702" s="134"/>
      <c r="O702" s="134"/>
      <c r="P702" s="134"/>
      <c r="Q702" s="134"/>
      <c r="R702" s="134"/>
      <c r="S702" s="134"/>
      <c r="T702" s="134"/>
      <c r="U702" s="134"/>
      <c r="V702" s="134"/>
      <c r="W702" s="134"/>
      <c r="X702" s="134"/>
      <c r="Y702" s="135"/>
      <c r="Z702" s="135"/>
      <c r="AA702" s="136"/>
      <c r="AB702" s="136"/>
      <c r="AC702" s="137"/>
      <c r="AD702" s="137"/>
      <c r="AE702" s="137"/>
      <c r="AF702" s="137"/>
    </row>
    <row r="703" spans="2:32" s="1" customFormat="1" hidden="1">
      <c r="B703" s="2"/>
      <c r="C703" s="133"/>
      <c r="D703" s="134"/>
      <c r="E703" s="134"/>
      <c r="F703" s="134"/>
      <c r="G703" s="134"/>
      <c r="H703" s="134"/>
      <c r="I703" s="134"/>
      <c r="J703" s="134"/>
      <c r="K703" s="134"/>
      <c r="L703" s="134"/>
      <c r="M703" s="135"/>
      <c r="N703" s="134"/>
      <c r="O703" s="134"/>
      <c r="P703" s="134"/>
      <c r="Q703" s="134"/>
      <c r="R703" s="134"/>
      <c r="S703" s="134"/>
      <c r="T703" s="134"/>
      <c r="U703" s="134"/>
      <c r="V703" s="134"/>
      <c r="W703" s="134"/>
      <c r="X703" s="134"/>
      <c r="Y703" s="135"/>
      <c r="Z703" s="135"/>
      <c r="AA703" s="136"/>
      <c r="AB703" s="136"/>
      <c r="AC703" s="137"/>
      <c r="AD703" s="137"/>
      <c r="AE703" s="137"/>
      <c r="AF703" s="137"/>
    </row>
    <row r="704" spans="2:32" s="1" customFormat="1" hidden="1">
      <c r="B704" s="2"/>
      <c r="C704" s="133"/>
      <c r="D704" s="134"/>
      <c r="E704" s="134"/>
      <c r="F704" s="134"/>
      <c r="G704" s="134"/>
      <c r="H704" s="134"/>
      <c r="I704" s="134"/>
      <c r="J704" s="134"/>
      <c r="K704" s="134"/>
      <c r="L704" s="134"/>
      <c r="M704" s="135"/>
      <c r="N704" s="134"/>
      <c r="O704" s="134"/>
      <c r="P704" s="134"/>
      <c r="Q704" s="134"/>
      <c r="R704" s="134"/>
      <c r="S704" s="134"/>
      <c r="T704" s="134"/>
      <c r="U704" s="134"/>
      <c r="V704" s="134"/>
      <c r="W704" s="134"/>
      <c r="X704" s="134"/>
      <c r="Y704" s="135"/>
      <c r="Z704" s="135"/>
      <c r="AA704" s="136"/>
      <c r="AB704" s="136"/>
      <c r="AC704" s="137"/>
      <c r="AD704" s="137"/>
      <c r="AE704" s="137"/>
      <c r="AF704" s="137"/>
    </row>
    <row r="705" spans="2:32" s="1" customFormat="1" hidden="1">
      <c r="B705" s="2"/>
      <c r="C705" s="133"/>
      <c r="D705" s="134"/>
      <c r="E705" s="134"/>
      <c r="F705" s="134"/>
      <c r="G705" s="134"/>
      <c r="H705" s="134"/>
      <c r="I705" s="134"/>
      <c r="J705" s="134"/>
      <c r="K705" s="134"/>
      <c r="L705" s="134"/>
      <c r="M705" s="135"/>
      <c r="N705" s="134"/>
      <c r="O705" s="134"/>
      <c r="P705" s="134"/>
      <c r="Q705" s="134"/>
      <c r="R705" s="134"/>
      <c r="S705" s="134"/>
      <c r="T705" s="134"/>
      <c r="U705" s="134"/>
      <c r="V705" s="134"/>
      <c r="W705" s="134"/>
      <c r="X705" s="134"/>
      <c r="Y705" s="135"/>
      <c r="Z705" s="135"/>
      <c r="AA705" s="136"/>
      <c r="AB705" s="136"/>
      <c r="AC705" s="137"/>
      <c r="AD705" s="137"/>
      <c r="AE705" s="137"/>
      <c r="AF705" s="137"/>
    </row>
    <row r="706" spans="2:32" s="1" customFormat="1" hidden="1">
      <c r="B706" s="2"/>
      <c r="C706" s="133"/>
      <c r="D706" s="134"/>
      <c r="E706" s="134"/>
      <c r="F706" s="134"/>
      <c r="G706" s="134"/>
      <c r="H706" s="134"/>
      <c r="I706" s="134"/>
      <c r="J706" s="134"/>
      <c r="K706" s="134"/>
      <c r="L706" s="134"/>
      <c r="M706" s="135"/>
      <c r="N706" s="134"/>
      <c r="O706" s="134"/>
      <c r="P706" s="134"/>
      <c r="Q706" s="134"/>
      <c r="R706" s="134"/>
      <c r="S706" s="134"/>
      <c r="T706" s="134"/>
      <c r="U706" s="134"/>
      <c r="V706" s="134"/>
      <c r="W706" s="134"/>
      <c r="X706" s="134"/>
      <c r="Y706" s="135"/>
      <c r="Z706" s="135"/>
      <c r="AA706" s="136"/>
      <c r="AB706" s="136"/>
      <c r="AC706" s="137"/>
      <c r="AD706" s="137"/>
      <c r="AE706" s="137"/>
      <c r="AF706" s="137"/>
    </row>
    <row r="707" spans="2:32" s="1" customFormat="1" hidden="1">
      <c r="B707" s="2"/>
      <c r="C707" s="133"/>
      <c r="D707" s="134"/>
      <c r="E707" s="134"/>
      <c r="F707" s="134"/>
      <c r="G707" s="134"/>
      <c r="H707" s="134"/>
      <c r="I707" s="134"/>
      <c r="J707" s="134"/>
      <c r="K707" s="134"/>
      <c r="L707" s="134"/>
      <c r="M707" s="135"/>
      <c r="N707" s="134"/>
      <c r="O707" s="134"/>
      <c r="P707" s="134"/>
      <c r="Q707" s="134"/>
      <c r="R707" s="134"/>
      <c r="S707" s="134"/>
      <c r="T707" s="134"/>
      <c r="U707" s="134"/>
      <c r="V707" s="134"/>
      <c r="W707" s="134"/>
      <c r="X707" s="134"/>
      <c r="Y707" s="135"/>
      <c r="Z707" s="135"/>
      <c r="AA707" s="136"/>
      <c r="AB707" s="136"/>
      <c r="AC707" s="137"/>
      <c r="AD707" s="137"/>
      <c r="AE707" s="137"/>
      <c r="AF707" s="137"/>
    </row>
    <row r="708" spans="2:32" s="1" customFormat="1" hidden="1">
      <c r="B708" s="2"/>
      <c r="C708" s="133"/>
      <c r="D708" s="134"/>
      <c r="E708" s="134"/>
      <c r="F708" s="134"/>
      <c r="G708" s="134"/>
      <c r="H708" s="134"/>
      <c r="I708" s="134"/>
      <c r="J708" s="134"/>
      <c r="K708" s="134"/>
      <c r="L708" s="134"/>
      <c r="M708" s="135"/>
      <c r="N708" s="134"/>
      <c r="O708" s="134"/>
      <c r="P708" s="134"/>
      <c r="Q708" s="134"/>
      <c r="R708" s="134"/>
      <c r="S708" s="134"/>
      <c r="T708" s="134"/>
      <c r="U708" s="134"/>
      <c r="V708" s="134"/>
      <c r="W708" s="134"/>
      <c r="X708" s="134"/>
      <c r="Y708" s="135"/>
      <c r="Z708" s="135"/>
      <c r="AA708" s="136"/>
      <c r="AB708" s="136"/>
      <c r="AC708" s="137"/>
      <c r="AD708" s="137"/>
      <c r="AE708" s="137"/>
      <c r="AF708" s="137"/>
    </row>
    <row r="709" spans="2:32" s="1" customFormat="1" hidden="1">
      <c r="B709" s="2"/>
      <c r="C709" s="133"/>
      <c r="D709" s="134"/>
      <c r="E709" s="134"/>
      <c r="F709" s="134"/>
      <c r="G709" s="134"/>
      <c r="H709" s="134"/>
      <c r="I709" s="134"/>
      <c r="J709" s="134"/>
      <c r="K709" s="134"/>
      <c r="L709" s="134"/>
      <c r="M709" s="135"/>
      <c r="N709" s="134"/>
      <c r="O709" s="134"/>
      <c r="P709" s="134"/>
      <c r="Q709" s="134"/>
      <c r="R709" s="134"/>
      <c r="S709" s="134"/>
      <c r="T709" s="134"/>
      <c r="U709" s="134"/>
      <c r="V709" s="134"/>
      <c r="W709" s="134"/>
      <c r="X709" s="134"/>
      <c r="Y709" s="135"/>
      <c r="Z709" s="135"/>
      <c r="AA709" s="136"/>
      <c r="AB709" s="136"/>
      <c r="AC709" s="137"/>
      <c r="AD709" s="137"/>
      <c r="AE709" s="137"/>
      <c r="AF709" s="137"/>
    </row>
    <row r="710" spans="2:32" s="1" customFormat="1" hidden="1">
      <c r="B710" s="2"/>
      <c r="C710" s="133"/>
      <c r="D710" s="134"/>
      <c r="E710" s="134"/>
      <c r="F710" s="134"/>
      <c r="G710" s="134"/>
      <c r="H710" s="134"/>
      <c r="I710" s="134"/>
      <c r="J710" s="134"/>
      <c r="K710" s="134"/>
      <c r="L710" s="134"/>
      <c r="M710" s="135"/>
      <c r="N710" s="134"/>
      <c r="O710" s="134"/>
      <c r="P710" s="134"/>
      <c r="Q710" s="134"/>
      <c r="R710" s="134"/>
      <c r="S710" s="134"/>
      <c r="T710" s="134"/>
      <c r="U710" s="134"/>
      <c r="V710" s="134"/>
      <c r="W710" s="134"/>
      <c r="X710" s="134"/>
      <c r="Y710" s="135"/>
      <c r="Z710" s="135"/>
      <c r="AA710" s="136"/>
      <c r="AB710" s="136"/>
      <c r="AC710" s="137"/>
      <c r="AD710" s="137"/>
      <c r="AE710" s="137"/>
      <c r="AF710" s="137"/>
    </row>
    <row r="711" spans="2:32" s="1" customFormat="1" hidden="1">
      <c r="B711" s="2"/>
      <c r="C711" s="133"/>
      <c r="D711" s="134"/>
      <c r="E711" s="134"/>
      <c r="F711" s="134"/>
      <c r="G711" s="134"/>
      <c r="H711" s="134"/>
      <c r="I711" s="134"/>
      <c r="J711" s="134"/>
      <c r="K711" s="134"/>
      <c r="L711" s="134"/>
      <c r="M711" s="135"/>
      <c r="N711" s="134"/>
      <c r="O711" s="134"/>
      <c r="P711" s="134"/>
      <c r="Q711" s="134"/>
      <c r="R711" s="134"/>
      <c r="S711" s="134"/>
      <c r="T711" s="134"/>
      <c r="U711" s="134"/>
      <c r="V711" s="134"/>
      <c r="W711" s="134"/>
      <c r="X711" s="134"/>
      <c r="Y711" s="135"/>
      <c r="Z711" s="135"/>
      <c r="AA711" s="136"/>
      <c r="AB711" s="136"/>
      <c r="AC711" s="137"/>
      <c r="AD711" s="137"/>
      <c r="AE711" s="137"/>
      <c r="AF711" s="137"/>
    </row>
    <row r="712" spans="2:32" s="1" customFormat="1" hidden="1">
      <c r="B712" s="2"/>
      <c r="C712" s="133"/>
      <c r="D712" s="134"/>
      <c r="E712" s="134"/>
      <c r="F712" s="134"/>
      <c r="G712" s="134"/>
      <c r="H712" s="134"/>
      <c r="I712" s="134"/>
      <c r="J712" s="134"/>
      <c r="K712" s="134"/>
      <c r="L712" s="134"/>
      <c r="M712" s="135"/>
      <c r="N712" s="134"/>
      <c r="O712" s="134"/>
      <c r="P712" s="134"/>
      <c r="Q712" s="134"/>
      <c r="R712" s="134"/>
      <c r="S712" s="134"/>
      <c r="T712" s="134"/>
      <c r="U712" s="134"/>
      <c r="V712" s="134"/>
      <c r="W712" s="134"/>
      <c r="X712" s="134"/>
      <c r="Y712" s="135"/>
      <c r="Z712" s="135"/>
      <c r="AA712" s="136"/>
      <c r="AB712" s="136"/>
      <c r="AC712" s="137"/>
      <c r="AD712" s="137"/>
      <c r="AE712" s="137"/>
      <c r="AF712" s="137"/>
    </row>
    <row r="713" spans="2:32" s="1" customFormat="1" hidden="1">
      <c r="B713" s="2"/>
      <c r="C713" s="133"/>
      <c r="D713" s="134"/>
      <c r="E713" s="134"/>
      <c r="F713" s="134"/>
      <c r="G713" s="134"/>
      <c r="H713" s="134"/>
      <c r="I713" s="134"/>
      <c r="J713" s="134"/>
      <c r="K713" s="134"/>
      <c r="L713" s="134"/>
      <c r="M713" s="135"/>
      <c r="N713" s="134"/>
      <c r="O713" s="134"/>
      <c r="P713" s="134"/>
      <c r="Q713" s="134"/>
      <c r="R713" s="134"/>
      <c r="S713" s="134"/>
      <c r="T713" s="134"/>
      <c r="U713" s="134"/>
      <c r="V713" s="134"/>
      <c r="W713" s="134"/>
      <c r="X713" s="134"/>
      <c r="Y713" s="135"/>
      <c r="Z713" s="135"/>
      <c r="AA713" s="136"/>
      <c r="AB713" s="136"/>
      <c r="AC713" s="137"/>
      <c r="AD713" s="137"/>
      <c r="AE713" s="137"/>
      <c r="AF713" s="137"/>
    </row>
    <row r="714" spans="2:32" s="1" customFormat="1" hidden="1">
      <c r="B714" s="2"/>
      <c r="C714" s="133"/>
      <c r="D714" s="134"/>
      <c r="E714" s="134"/>
      <c r="F714" s="134"/>
      <c r="G714" s="134"/>
      <c r="H714" s="134"/>
      <c r="I714" s="134"/>
      <c r="J714" s="134"/>
      <c r="K714" s="134"/>
      <c r="L714" s="134"/>
      <c r="M714" s="135"/>
      <c r="N714" s="134"/>
      <c r="O714" s="134"/>
      <c r="P714" s="134"/>
      <c r="Q714" s="134"/>
      <c r="R714" s="134"/>
      <c r="S714" s="134"/>
      <c r="T714" s="134"/>
      <c r="U714" s="134"/>
      <c r="V714" s="134"/>
      <c r="W714" s="134"/>
      <c r="X714" s="134"/>
      <c r="Y714" s="135"/>
      <c r="Z714" s="135"/>
      <c r="AA714" s="136"/>
      <c r="AB714" s="136"/>
      <c r="AC714" s="137"/>
      <c r="AD714" s="137"/>
      <c r="AE714" s="137"/>
      <c r="AF714" s="137"/>
    </row>
    <row r="715" spans="2:32" s="1" customFormat="1" hidden="1">
      <c r="B715" s="2"/>
      <c r="C715" s="133"/>
      <c r="D715" s="134"/>
      <c r="E715" s="134"/>
      <c r="F715" s="134"/>
      <c r="G715" s="134"/>
      <c r="H715" s="134"/>
      <c r="I715" s="134"/>
      <c r="J715" s="134"/>
      <c r="K715" s="134"/>
      <c r="L715" s="134"/>
      <c r="M715" s="135"/>
      <c r="N715" s="134"/>
      <c r="O715" s="134"/>
      <c r="P715" s="134"/>
      <c r="Q715" s="134"/>
      <c r="R715" s="134"/>
      <c r="S715" s="134"/>
      <c r="T715" s="134"/>
      <c r="U715" s="134"/>
      <c r="V715" s="134"/>
      <c r="W715" s="134"/>
      <c r="X715" s="134"/>
      <c r="Y715" s="135"/>
      <c r="Z715" s="135"/>
      <c r="AA715" s="136"/>
      <c r="AB715" s="136"/>
      <c r="AC715" s="137"/>
      <c r="AD715" s="137"/>
      <c r="AE715" s="137"/>
      <c r="AF715" s="137"/>
    </row>
    <row r="716" spans="2:32" s="1" customFormat="1" hidden="1">
      <c r="B716" s="2"/>
      <c r="C716" s="133"/>
      <c r="D716" s="134"/>
      <c r="E716" s="134"/>
      <c r="F716" s="134"/>
      <c r="G716" s="134"/>
      <c r="H716" s="134"/>
      <c r="I716" s="134"/>
      <c r="J716" s="134"/>
      <c r="K716" s="134"/>
      <c r="L716" s="134"/>
      <c r="M716" s="135"/>
      <c r="N716" s="134"/>
      <c r="O716" s="134"/>
      <c r="P716" s="134"/>
      <c r="Q716" s="134"/>
      <c r="R716" s="134"/>
      <c r="S716" s="134"/>
      <c r="T716" s="134"/>
      <c r="U716" s="134"/>
      <c r="V716" s="134"/>
      <c r="W716" s="134"/>
      <c r="X716" s="134"/>
      <c r="Y716" s="135"/>
      <c r="Z716" s="135"/>
      <c r="AA716" s="136"/>
      <c r="AB716" s="136"/>
      <c r="AC716" s="137"/>
      <c r="AD716" s="137"/>
      <c r="AE716" s="137"/>
      <c r="AF716" s="137"/>
    </row>
    <row r="717" spans="2:32" s="1" customFormat="1" hidden="1">
      <c r="B717" s="2"/>
      <c r="C717" s="133"/>
      <c r="D717" s="134"/>
      <c r="E717" s="134"/>
      <c r="F717" s="134"/>
      <c r="G717" s="134"/>
      <c r="H717" s="134"/>
      <c r="I717" s="134"/>
      <c r="J717" s="134"/>
      <c r="K717" s="134"/>
      <c r="L717" s="134"/>
      <c r="M717" s="135"/>
      <c r="N717" s="134"/>
      <c r="O717" s="134"/>
      <c r="P717" s="134"/>
      <c r="Q717" s="134"/>
      <c r="R717" s="134"/>
      <c r="S717" s="134"/>
      <c r="T717" s="134"/>
      <c r="U717" s="134"/>
      <c r="V717" s="134"/>
      <c r="W717" s="134"/>
      <c r="X717" s="134"/>
      <c r="Y717" s="135"/>
      <c r="Z717" s="135"/>
      <c r="AA717" s="136"/>
      <c r="AB717" s="136"/>
      <c r="AC717" s="137"/>
      <c r="AD717" s="137"/>
      <c r="AE717" s="137"/>
      <c r="AF717" s="137"/>
    </row>
    <row r="718" spans="2:32" s="1" customFormat="1" hidden="1">
      <c r="B718" s="2"/>
      <c r="C718" s="133"/>
      <c r="D718" s="134"/>
      <c r="E718" s="134"/>
      <c r="F718" s="134"/>
      <c r="G718" s="134"/>
      <c r="H718" s="134"/>
      <c r="I718" s="134"/>
      <c r="J718" s="134"/>
      <c r="K718" s="134"/>
      <c r="L718" s="134"/>
      <c r="M718" s="135"/>
      <c r="N718" s="134"/>
      <c r="O718" s="134"/>
      <c r="P718" s="134"/>
      <c r="Q718" s="134"/>
      <c r="R718" s="134"/>
      <c r="S718" s="134"/>
      <c r="T718" s="134"/>
      <c r="U718" s="134"/>
      <c r="V718" s="134"/>
      <c r="W718" s="134"/>
      <c r="X718" s="134"/>
      <c r="Y718" s="135"/>
      <c r="Z718" s="135"/>
      <c r="AA718" s="136"/>
      <c r="AB718" s="136"/>
      <c r="AC718" s="137"/>
      <c r="AD718" s="137"/>
      <c r="AE718" s="137"/>
      <c r="AF718" s="137"/>
    </row>
    <row r="719" spans="2:32" s="1" customFormat="1" hidden="1">
      <c r="B719" s="2"/>
      <c r="C719" s="133"/>
      <c r="D719" s="134"/>
      <c r="E719" s="134"/>
      <c r="F719" s="134"/>
      <c r="G719" s="134"/>
      <c r="H719" s="134"/>
      <c r="I719" s="134"/>
      <c r="J719" s="134"/>
      <c r="K719" s="134"/>
      <c r="L719" s="134"/>
      <c r="M719" s="135"/>
      <c r="N719" s="134"/>
      <c r="O719" s="134"/>
      <c r="P719" s="134"/>
      <c r="Q719" s="134"/>
      <c r="R719" s="134"/>
      <c r="S719" s="134"/>
      <c r="T719" s="134"/>
      <c r="U719" s="134"/>
      <c r="V719" s="134"/>
      <c r="W719" s="134"/>
      <c r="X719" s="134"/>
      <c r="Y719" s="135"/>
      <c r="Z719" s="135"/>
      <c r="AA719" s="136"/>
      <c r="AB719" s="136"/>
      <c r="AC719" s="137"/>
      <c r="AD719" s="137"/>
      <c r="AE719" s="137"/>
      <c r="AF719" s="137"/>
    </row>
    <row r="720" spans="2:32" s="1" customFormat="1" hidden="1">
      <c r="B720" s="2"/>
      <c r="C720" s="133"/>
      <c r="D720" s="134"/>
      <c r="E720" s="134"/>
      <c r="F720" s="134"/>
      <c r="G720" s="134"/>
      <c r="H720" s="134"/>
      <c r="I720" s="134"/>
      <c r="J720" s="134"/>
      <c r="K720" s="134"/>
      <c r="L720" s="134"/>
      <c r="M720" s="135"/>
      <c r="N720" s="134"/>
      <c r="O720" s="134"/>
      <c r="P720" s="134"/>
      <c r="Q720" s="134"/>
      <c r="R720" s="134"/>
      <c r="S720" s="134"/>
      <c r="T720" s="134"/>
      <c r="U720" s="134"/>
      <c r="V720" s="134"/>
      <c r="W720" s="134"/>
      <c r="X720" s="134"/>
      <c r="Y720" s="135"/>
      <c r="Z720" s="135"/>
      <c r="AA720" s="136"/>
      <c r="AB720" s="136"/>
      <c r="AC720" s="137"/>
      <c r="AD720" s="137"/>
      <c r="AE720" s="137"/>
      <c r="AF720" s="137"/>
    </row>
    <row r="721" spans="2:32" s="1" customFormat="1" hidden="1">
      <c r="B721" s="2"/>
      <c r="C721" s="133"/>
      <c r="D721" s="134"/>
      <c r="E721" s="134"/>
      <c r="F721" s="134"/>
      <c r="G721" s="134"/>
      <c r="H721" s="134"/>
      <c r="I721" s="134"/>
      <c r="J721" s="134"/>
      <c r="K721" s="134"/>
      <c r="L721" s="134"/>
      <c r="M721" s="135"/>
      <c r="N721" s="134"/>
      <c r="O721" s="134"/>
      <c r="P721" s="134"/>
      <c r="Q721" s="134"/>
      <c r="R721" s="134"/>
      <c r="S721" s="134"/>
      <c r="T721" s="134"/>
      <c r="U721" s="134"/>
      <c r="V721" s="134"/>
      <c r="W721" s="134"/>
      <c r="X721" s="134"/>
      <c r="Y721" s="135"/>
      <c r="Z721" s="135"/>
      <c r="AA721" s="136"/>
      <c r="AB721" s="136"/>
      <c r="AC721" s="137"/>
      <c r="AD721" s="137"/>
      <c r="AE721" s="137"/>
      <c r="AF721" s="137"/>
    </row>
    <row r="722" spans="2:32" s="1" customFormat="1" hidden="1">
      <c r="B722" s="2"/>
      <c r="C722" s="133"/>
      <c r="D722" s="134"/>
      <c r="E722" s="134"/>
      <c r="F722" s="134"/>
      <c r="G722" s="134"/>
      <c r="H722" s="134"/>
      <c r="I722" s="134"/>
      <c r="J722" s="134"/>
      <c r="K722" s="134"/>
      <c r="L722" s="134"/>
      <c r="M722" s="135"/>
      <c r="N722" s="134"/>
      <c r="O722" s="134"/>
      <c r="P722" s="134"/>
      <c r="Q722" s="134"/>
      <c r="R722" s="134"/>
      <c r="S722" s="134"/>
      <c r="T722" s="134"/>
      <c r="U722" s="134"/>
      <c r="V722" s="134"/>
      <c r="W722" s="134"/>
      <c r="X722" s="134"/>
      <c r="Y722" s="135"/>
      <c r="Z722" s="135"/>
      <c r="AA722" s="136"/>
      <c r="AB722" s="136"/>
      <c r="AC722" s="137"/>
      <c r="AD722" s="137"/>
      <c r="AE722" s="137"/>
      <c r="AF722" s="137"/>
    </row>
    <row r="723" spans="2:32" s="1" customFormat="1" hidden="1">
      <c r="B723" s="2"/>
      <c r="C723" s="133"/>
      <c r="D723" s="134"/>
      <c r="E723" s="134"/>
      <c r="F723" s="134"/>
      <c r="G723" s="134"/>
      <c r="H723" s="134"/>
      <c r="I723" s="134"/>
      <c r="J723" s="134"/>
      <c r="K723" s="134"/>
      <c r="L723" s="134"/>
      <c r="M723" s="135"/>
      <c r="N723" s="134"/>
      <c r="O723" s="134"/>
      <c r="P723" s="134"/>
      <c r="Q723" s="134"/>
      <c r="R723" s="134"/>
      <c r="S723" s="134"/>
      <c r="T723" s="134"/>
      <c r="U723" s="134"/>
      <c r="V723" s="134"/>
      <c r="W723" s="134"/>
      <c r="X723" s="134"/>
      <c r="Y723" s="135"/>
      <c r="Z723" s="135"/>
      <c r="AA723" s="136"/>
      <c r="AB723" s="136"/>
      <c r="AC723" s="137"/>
      <c r="AD723" s="137"/>
      <c r="AE723" s="137"/>
      <c r="AF723" s="137"/>
    </row>
    <row r="724" spans="2:32" s="1" customFormat="1" hidden="1">
      <c r="B724" s="2"/>
      <c r="C724" s="133"/>
      <c r="D724" s="134"/>
      <c r="E724" s="134"/>
      <c r="F724" s="134"/>
      <c r="G724" s="134"/>
      <c r="H724" s="134"/>
      <c r="I724" s="134"/>
      <c r="J724" s="134"/>
      <c r="K724" s="134"/>
      <c r="L724" s="134"/>
      <c r="M724" s="135"/>
      <c r="N724" s="134"/>
      <c r="O724" s="134"/>
      <c r="P724" s="134"/>
      <c r="Q724" s="134"/>
      <c r="R724" s="134"/>
      <c r="S724" s="134"/>
      <c r="T724" s="134"/>
      <c r="U724" s="134"/>
      <c r="V724" s="134"/>
      <c r="W724" s="134"/>
      <c r="X724" s="134"/>
      <c r="Y724" s="135"/>
      <c r="Z724" s="135"/>
      <c r="AA724" s="136"/>
      <c r="AB724" s="136"/>
      <c r="AC724" s="137"/>
      <c r="AD724" s="137"/>
      <c r="AE724" s="137"/>
      <c r="AF724" s="137"/>
    </row>
    <row r="725" spans="2:32" s="1" customFormat="1" hidden="1">
      <c r="B725" s="2"/>
      <c r="C725" s="133"/>
      <c r="D725" s="134"/>
      <c r="E725" s="134"/>
      <c r="F725" s="134"/>
      <c r="G725" s="134"/>
      <c r="H725" s="134"/>
      <c r="I725" s="134"/>
      <c r="J725" s="134"/>
      <c r="K725" s="134"/>
      <c r="L725" s="134"/>
      <c r="M725" s="135"/>
      <c r="N725" s="134"/>
      <c r="O725" s="134"/>
      <c r="P725" s="134"/>
      <c r="Q725" s="134"/>
      <c r="R725" s="134"/>
      <c r="S725" s="134"/>
      <c r="T725" s="134"/>
      <c r="U725" s="134"/>
      <c r="V725" s="134"/>
      <c r="W725" s="134"/>
      <c r="X725" s="134"/>
      <c r="Y725" s="135"/>
      <c r="Z725" s="135"/>
      <c r="AA725" s="136"/>
      <c r="AB725" s="136"/>
      <c r="AC725" s="137"/>
      <c r="AD725" s="137"/>
      <c r="AE725" s="137"/>
      <c r="AF725" s="137"/>
    </row>
    <row r="726" spans="2:32" s="1" customFormat="1" hidden="1">
      <c r="B726" s="2"/>
      <c r="C726" s="133"/>
      <c r="D726" s="134"/>
      <c r="E726" s="134"/>
      <c r="F726" s="134"/>
      <c r="G726" s="134"/>
      <c r="H726" s="134"/>
      <c r="I726" s="134"/>
      <c r="J726" s="134"/>
      <c r="K726" s="134"/>
      <c r="L726" s="134"/>
      <c r="M726" s="135"/>
      <c r="N726" s="134"/>
      <c r="O726" s="134"/>
      <c r="P726" s="134"/>
      <c r="Q726" s="134"/>
      <c r="R726" s="134"/>
      <c r="S726" s="134"/>
      <c r="T726" s="134"/>
      <c r="U726" s="134"/>
      <c r="V726" s="134"/>
      <c r="W726" s="134"/>
      <c r="X726" s="134"/>
      <c r="Y726" s="135"/>
      <c r="Z726" s="135"/>
      <c r="AA726" s="136"/>
      <c r="AB726" s="136"/>
      <c r="AC726" s="137"/>
      <c r="AD726" s="137"/>
      <c r="AE726" s="137"/>
      <c r="AF726" s="137"/>
    </row>
    <row r="727" spans="2:32" s="1" customFormat="1" hidden="1">
      <c r="B727" s="2"/>
      <c r="C727" s="133"/>
      <c r="D727" s="134"/>
      <c r="E727" s="134"/>
      <c r="F727" s="134"/>
      <c r="G727" s="134"/>
      <c r="H727" s="134"/>
      <c r="I727" s="134"/>
      <c r="J727" s="134"/>
      <c r="K727" s="134"/>
      <c r="L727" s="134"/>
      <c r="M727" s="135"/>
      <c r="N727" s="134"/>
      <c r="O727" s="134"/>
      <c r="P727" s="134"/>
      <c r="Q727" s="134"/>
      <c r="R727" s="134"/>
      <c r="S727" s="134"/>
      <c r="T727" s="134"/>
      <c r="U727" s="134"/>
      <c r="V727" s="134"/>
      <c r="W727" s="134"/>
      <c r="X727" s="134"/>
      <c r="Y727" s="135"/>
      <c r="Z727" s="135"/>
      <c r="AA727" s="136"/>
      <c r="AB727" s="136"/>
      <c r="AC727" s="137"/>
      <c r="AD727" s="137"/>
      <c r="AE727" s="137"/>
      <c r="AF727" s="137"/>
    </row>
    <row r="728" spans="2:32" s="1" customFormat="1" hidden="1">
      <c r="B728" s="2"/>
      <c r="C728" s="133"/>
      <c r="D728" s="134"/>
      <c r="E728" s="134"/>
      <c r="F728" s="134"/>
      <c r="G728" s="134"/>
      <c r="H728" s="134"/>
      <c r="I728" s="134"/>
      <c r="J728" s="134"/>
      <c r="K728" s="134"/>
      <c r="L728" s="134"/>
      <c r="M728" s="135"/>
      <c r="N728" s="134"/>
      <c r="O728" s="134"/>
      <c r="P728" s="134"/>
      <c r="Q728" s="134"/>
      <c r="R728" s="134"/>
      <c r="S728" s="134"/>
      <c r="T728" s="134"/>
      <c r="U728" s="134"/>
      <c r="V728" s="134"/>
      <c r="W728" s="134"/>
      <c r="X728" s="134"/>
      <c r="Y728" s="135"/>
      <c r="Z728" s="135"/>
      <c r="AA728" s="136"/>
      <c r="AB728" s="136"/>
      <c r="AC728" s="137"/>
      <c r="AD728" s="137"/>
      <c r="AE728" s="137"/>
      <c r="AF728" s="137"/>
    </row>
    <row r="729" spans="2:32" s="1" customFormat="1" hidden="1">
      <c r="B729" s="2"/>
      <c r="C729" s="133"/>
      <c r="D729" s="134"/>
      <c r="E729" s="134"/>
      <c r="F729" s="134"/>
      <c r="G729" s="134"/>
      <c r="H729" s="134"/>
      <c r="I729" s="134"/>
      <c r="J729" s="134"/>
      <c r="K729" s="134"/>
      <c r="L729" s="134"/>
      <c r="M729" s="135"/>
      <c r="N729" s="134"/>
      <c r="O729" s="134"/>
      <c r="P729" s="134"/>
      <c r="Q729" s="134"/>
      <c r="R729" s="134"/>
      <c r="S729" s="134"/>
      <c r="T729" s="134"/>
      <c r="U729" s="134"/>
      <c r="V729" s="134"/>
      <c r="W729" s="134"/>
      <c r="X729" s="134"/>
      <c r="Y729" s="135"/>
      <c r="Z729" s="135"/>
      <c r="AA729" s="136"/>
      <c r="AB729" s="136"/>
      <c r="AC729" s="137"/>
      <c r="AD729" s="137"/>
      <c r="AE729" s="137"/>
      <c r="AF729" s="137"/>
    </row>
    <row r="730" spans="2:32" s="1" customFormat="1" hidden="1">
      <c r="B730" s="2"/>
      <c r="C730" s="133"/>
      <c r="D730" s="134"/>
      <c r="E730" s="134"/>
      <c r="F730" s="134"/>
      <c r="G730" s="134"/>
      <c r="H730" s="134"/>
      <c r="I730" s="134"/>
      <c r="J730" s="134"/>
      <c r="K730" s="134"/>
      <c r="L730" s="134"/>
      <c r="M730" s="135"/>
      <c r="N730" s="134"/>
      <c r="O730" s="134"/>
      <c r="P730" s="134"/>
      <c r="Q730" s="134"/>
      <c r="R730" s="134"/>
      <c r="S730" s="134"/>
      <c r="T730" s="134"/>
      <c r="U730" s="134"/>
      <c r="V730" s="134"/>
      <c r="W730" s="134"/>
      <c r="X730" s="134"/>
      <c r="Y730" s="135"/>
      <c r="Z730" s="135"/>
      <c r="AA730" s="136"/>
      <c r="AB730" s="136"/>
      <c r="AC730" s="137"/>
      <c r="AD730" s="137"/>
      <c r="AE730" s="137"/>
      <c r="AF730" s="137"/>
    </row>
    <row r="731" spans="2:32" s="1" customFormat="1" hidden="1">
      <c r="B731" s="2"/>
      <c r="C731" s="133"/>
      <c r="D731" s="134"/>
      <c r="E731" s="134"/>
      <c r="F731" s="134"/>
      <c r="G731" s="134"/>
      <c r="H731" s="134"/>
      <c r="I731" s="134"/>
      <c r="J731" s="134"/>
      <c r="K731" s="134"/>
      <c r="L731" s="134"/>
      <c r="M731" s="135"/>
      <c r="N731" s="134"/>
      <c r="O731" s="134"/>
      <c r="P731" s="134"/>
      <c r="Q731" s="134"/>
      <c r="R731" s="134"/>
      <c r="S731" s="134"/>
      <c r="T731" s="134"/>
      <c r="U731" s="134"/>
      <c r="V731" s="134"/>
      <c r="W731" s="134"/>
      <c r="X731" s="134"/>
      <c r="Y731" s="135"/>
      <c r="Z731" s="135"/>
      <c r="AA731" s="136"/>
      <c r="AB731" s="136"/>
      <c r="AC731" s="137"/>
      <c r="AD731" s="137"/>
      <c r="AE731" s="137"/>
      <c r="AF731" s="137"/>
    </row>
    <row r="732" spans="2:32" s="1" customFormat="1" hidden="1">
      <c r="B732" s="2"/>
      <c r="C732" s="133"/>
      <c r="D732" s="134"/>
      <c r="E732" s="134"/>
      <c r="F732" s="134"/>
      <c r="G732" s="134"/>
      <c r="H732" s="134"/>
      <c r="I732" s="134"/>
      <c r="J732" s="134"/>
      <c r="K732" s="134"/>
      <c r="L732" s="134"/>
      <c r="M732" s="135"/>
      <c r="N732" s="134"/>
      <c r="O732" s="134"/>
      <c r="P732" s="134"/>
      <c r="Q732" s="134"/>
      <c r="R732" s="134"/>
      <c r="S732" s="134"/>
      <c r="T732" s="134"/>
      <c r="U732" s="134"/>
      <c r="V732" s="134"/>
      <c r="W732" s="134"/>
      <c r="X732" s="134"/>
      <c r="Y732" s="135"/>
      <c r="Z732" s="135"/>
      <c r="AA732" s="136"/>
      <c r="AB732" s="136"/>
      <c r="AC732" s="137"/>
      <c r="AD732" s="137"/>
      <c r="AE732" s="137"/>
      <c r="AF732" s="137"/>
    </row>
    <row r="733" spans="2:32" s="1" customFormat="1" hidden="1">
      <c r="B733" s="2"/>
      <c r="C733" s="133"/>
      <c r="D733" s="134"/>
      <c r="E733" s="134"/>
      <c r="F733" s="134"/>
      <c r="G733" s="134"/>
      <c r="H733" s="134"/>
      <c r="I733" s="134"/>
      <c r="J733" s="134"/>
      <c r="K733" s="134"/>
      <c r="L733" s="134"/>
      <c r="M733" s="135"/>
      <c r="N733" s="134"/>
      <c r="O733" s="134"/>
      <c r="P733" s="134"/>
      <c r="Q733" s="134"/>
      <c r="R733" s="134"/>
      <c r="S733" s="134"/>
      <c r="T733" s="134"/>
      <c r="U733" s="134"/>
      <c r="V733" s="134"/>
      <c r="W733" s="134"/>
      <c r="X733" s="134"/>
      <c r="Y733" s="135"/>
      <c r="Z733" s="135"/>
      <c r="AA733" s="136"/>
      <c r="AB733" s="136"/>
      <c r="AC733" s="137"/>
      <c r="AD733" s="137"/>
      <c r="AE733" s="137"/>
      <c r="AF733" s="137"/>
    </row>
    <row r="734" spans="2:32" s="1" customFormat="1" hidden="1">
      <c r="B734" s="2"/>
      <c r="C734" s="133"/>
      <c r="D734" s="134"/>
      <c r="E734" s="134"/>
      <c r="F734" s="134"/>
      <c r="G734" s="134"/>
      <c r="H734" s="134"/>
      <c r="I734" s="134"/>
      <c r="J734" s="134"/>
      <c r="K734" s="134"/>
      <c r="L734" s="134"/>
      <c r="M734" s="135"/>
      <c r="N734" s="134"/>
      <c r="O734" s="134"/>
      <c r="P734" s="134"/>
      <c r="Q734" s="134"/>
      <c r="R734" s="134"/>
      <c r="S734" s="134"/>
      <c r="T734" s="134"/>
      <c r="U734" s="134"/>
      <c r="V734" s="134"/>
      <c r="W734" s="134"/>
      <c r="X734" s="134"/>
      <c r="Y734" s="135"/>
      <c r="Z734" s="135"/>
      <c r="AA734" s="136"/>
      <c r="AB734" s="136"/>
      <c r="AC734" s="137"/>
      <c r="AD734" s="137"/>
      <c r="AE734" s="137"/>
      <c r="AF734" s="137"/>
    </row>
    <row r="735" spans="2:32" s="1" customFormat="1" hidden="1">
      <c r="B735" s="2"/>
      <c r="C735" s="133"/>
      <c r="D735" s="134"/>
      <c r="E735" s="134"/>
      <c r="F735" s="134"/>
      <c r="G735" s="134"/>
      <c r="H735" s="134"/>
      <c r="I735" s="134"/>
      <c r="J735" s="134"/>
      <c r="K735" s="134"/>
      <c r="L735" s="134"/>
      <c r="M735" s="135"/>
      <c r="N735" s="134"/>
      <c r="O735" s="134"/>
      <c r="P735" s="134"/>
      <c r="Q735" s="134"/>
      <c r="R735" s="134"/>
      <c r="S735" s="134"/>
      <c r="T735" s="134"/>
      <c r="U735" s="134"/>
      <c r="V735" s="134"/>
      <c r="W735" s="134"/>
      <c r="X735" s="134"/>
      <c r="Y735" s="135"/>
      <c r="Z735" s="135"/>
      <c r="AA735" s="136"/>
      <c r="AB735" s="136"/>
      <c r="AC735" s="137"/>
      <c r="AD735" s="137"/>
      <c r="AE735" s="137"/>
      <c r="AF735" s="137"/>
    </row>
    <row r="736" spans="2:32" s="1" customFormat="1" hidden="1">
      <c r="B736" s="2"/>
      <c r="C736" s="133"/>
      <c r="D736" s="134"/>
      <c r="E736" s="134"/>
      <c r="F736" s="134"/>
      <c r="G736" s="134"/>
      <c r="H736" s="134"/>
      <c r="I736" s="134"/>
      <c r="J736" s="134"/>
      <c r="K736" s="134"/>
      <c r="L736" s="134"/>
      <c r="M736" s="135"/>
      <c r="N736" s="134"/>
      <c r="O736" s="134"/>
      <c r="P736" s="134"/>
      <c r="Q736" s="134"/>
      <c r="R736" s="134"/>
      <c r="S736" s="134"/>
      <c r="T736" s="134"/>
      <c r="U736" s="134"/>
      <c r="V736" s="134"/>
      <c r="W736" s="134"/>
      <c r="X736" s="134"/>
      <c r="Y736" s="135"/>
      <c r="Z736" s="135"/>
      <c r="AA736" s="136"/>
      <c r="AB736" s="136"/>
      <c r="AC736" s="137"/>
      <c r="AD736" s="137"/>
      <c r="AE736" s="137"/>
      <c r="AF736" s="137"/>
    </row>
    <row r="737" spans="2:32" s="1" customFormat="1" hidden="1">
      <c r="B737" s="2"/>
      <c r="C737" s="133"/>
      <c r="D737" s="134"/>
      <c r="E737" s="134"/>
      <c r="F737" s="134"/>
      <c r="G737" s="134"/>
      <c r="H737" s="134"/>
      <c r="I737" s="134"/>
      <c r="J737" s="134"/>
      <c r="K737" s="134"/>
      <c r="L737" s="134"/>
      <c r="M737" s="135"/>
      <c r="N737" s="134"/>
      <c r="O737" s="134"/>
      <c r="P737" s="134"/>
      <c r="Q737" s="134"/>
      <c r="R737" s="134"/>
      <c r="S737" s="134"/>
      <c r="T737" s="134"/>
      <c r="U737" s="134"/>
      <c r="V737" s="134"/>
      <c r="W737" s="134"/>
      <c r="X737" s="134"/>
      <c r="Y737" s="135"/>
      <c r="Z737" s="135"/>
      <c r="AA737" s="136"/>
      <c r="AB737" s="136"/>
      <c r="AC737" s="137"/>
      <c r="AD737" s="137"/>
      <c r="AE737" s="137"/>
      <c r="AF737" s="137"/>
    </row>
    <row r="738" spans="2:32" s="1" customFormat="1" hidden="1">
      <c r="B738" s="2"/>
      <c r="C738" s="133"/>
      <c r="D738" s="134"/>
      <c r="E738" s="134"/>
      <c r="F738" s="134"/>
      <c r="G738" s="134"/>
      <c r="H738" s="134"/>
      <c r="I738" s="134"/>
      <c r="J738" s="134"/>
      <c r="K738" s="134"/>
      <c r="L738" s="134"/>
      <c r="M738" s="135"/>
      <c r="N738" s="134"/>
      <c r="O738" s="134"/>
      <c r="P738" s="134"/>
      <c r="Q738" s="134"/>
      <c r="R738" s="134"/>
      <c r="S738" s="134"/>
      <c r="T738" s="134"/>
      <c r="U738" s="134"/>
      <c r="V738" s="134"/>
      <c r="W738" s="134"/>
      <c r="X738" s="134"/>
      <c r="Y738" s="135"/>
      <c r="Z738" s="135"/>
      <c r="AA738" s="136"/>
      <c r="AB738" s="136"/>
      <c r="AC738" s="137"/>
      <c r="AD738" s="137"/>
      <c r="AE738" s="137"/>
      <c r="AF738" s="137"/>
    </row>
    <row r="739" spans="2:32" s="1" customFormat="1" hidden="1">
      <c r="B739" s="2"/>
      <c r="C739" s="133"/>
      <c r="D739" s="134"/>
      <c r="E739" s="134"/>
      <c r="F739" s="134"/>
      <c r="G739" s="134"/>
      <c r="H739" s="134"/>
      <c r="I739" s="134"/>
      <c r="J739" s="134"/>
      <c r="K739" s="134"/>
      <c r="L739" s="134"/>
      <c r="M739" s="135"/>
      <c r="N739" s="134"/>
      <c r="O739" s="134"/>
      <c r="P739" s="134"/>
      <c r="Q739" s="134"/>
      <c r="R739" s="134"/>
      <c r="S739" s="134"/>
      <c r="T739" s="134"/>
      <c r="U739" s="134"/>
      <c r="V739" s="134"/>
      <c r="W739" s="134"/>
      <c r="X739" s="134"/>
      <c r="Y739" s="135"/>
      <c r="Z739" s="135"/>
      <c r="AA739" s="136"/>
      <c r="AB739" s="136"/>
      <c r="AC739" s="137"/>
      <c r="AD739" s="137"/>
      <c r="AE739" s="137"/>
      <c r="AF739" s="137"/>
    </row>
    <row r="740" spans="2:32" s="1" customFormat="1" hidden="1">
      <c r="B740" s="2"/>
      <c r="C740" s="133"/>
      <c r="D740" s="134"/>
      <c r="E740" s="134"/>
      <c r="F740" s="134"/>
      <c r="G740" s="134"/>
      <c r="H740" s="134"/>
      <c r="I740" s="134"/>
      <c r="J740" s="134"/>
      <c r="K740" s="134"/>
      <c r="L740" s="134"/>
      <c r="M740" s="135"/>
      <c r="N740" s="134"/>
      <c r="O740" s="134"/>
      <c r="P740" s="134"/>
      <c r="Q740" s="134"/>
      <c r="R740" s="134"/>
      <c r="S740" s="134"/>
      <c r="T740" s="134"/>
      <c r="U740" s="134"/>
      <c r="V740" s="134"/>
      <c r="W740" s="134"/>
      <c r="X740" s="134"/>
      <c r="Y740" s="135"/>
      <c r="Z740" s="135"/>
      <c r="AA740" s="136"/>
      <c r="AB740" s="136"/>
      <c r="AC740" s="137"/>
      <c r="AD740" s="137"/>
      <c r="AE740" s="137"/>
      <c r="AF740" s="137"/>
    </row>
    <row r="741" spans="2:32" s="1" customFormat="1" hidden="1">
      <c r="B741" s="2"/>
      <c r="C741" s="133"/>
      <c r="D741" s="134"/>
      <c r="E741" s="134"/>
      <c r="F741" s="134"/>
      <c r="G741" s="134"/>
      <c r="H741" s="134"/>
      <c r="I741" s="134"/>
      <c r="J741" s="134"/>
      <c r="K741" s="134"/>
      <c r="L741" s="134"/>
      <c r="M741" s="135"/>
      <c r="N741" s="134"/>
      <c r="O741" s="134"/>
      <c r="P741" s="134"/>
      <c r="Q741" s="134"/>
      <c r="R741" s="134"/>
      <c r="S741" s="134"/>
      <c r="T741" s="134"/>
      <c r="U741" s="134"/>
      <c r="V741" s="134"/>
      <c r="W741" s="134"/>
      <c r="X741" s="134"/>
      <c r="Y741" s="135"/>
      <c r="Z741" s="135"/>
      <c r="AA741" s="136"/>
      <c r="AB741" s="136"/>
      <c r="AC741" s="137"/>
      <c r="AD741" s="137"/>
      <c r="AE741" s="137"/>
      <c r="AF741" s="137"/>
    </row>
    <row r="742" spans="2:32" s="1" customFormat="1" hidden="1">
      <c r="B742" s="2"/>
      <c r="C742" s="133"/>
      <c r="D742" s="134"/>
      <c r="E742" s="134"/>
      <c r="F742" s="134"/>
      <c r="G742" s="134"/>
      <c r="H742" s="134"/>
      <c r="I742" s="134"/>
      <c r="J742" s="134"/>
      <c r="K742" s="134"/>
      <c r="L742" s="134"/>
      <c r="M742" s="135"/>
      <c r="N742" s="134"/>
      <c r="O742" s="134"/>
      <c r="P742" s="134"/>
      <c r="Q742" s="134"/>
      <c r="R742" s="134"/>
      <c r="S742" s="134"/>
      <c r="T742" s="134"/>
      <c r="U742" s="134"/>
      <c r="V742" s="134"/>
      <c r="W742" s="134"/>
      <c r="X742" s="134"/>
      <c r="Y742" s="135"/>
      <c r="Z742" s="135"/>
      <c r="AA742" s="136"/>
      <c r="AB742" s="136"/>
      <c r="AC742" s="137"/>
      <c r="AD742" s="137"/>
      <c r="AE742" s="137"/>
      <c r="AF742" s="137"/>
    </row>
    <row r="743" spans="2:32" s="1" customFormat="1" hidden="1">
      <c r="B743" s="2"/>
      <c r="C743" s="133"/>
      <c r="D743" s="134"/>
      <c r="E743" s="134"/>
      <c r="F743" s="134"/>
      <c r="G743" s="134"/>
      <c r="H743" s="134"/>
      <c r="I743" s="134"/>
      <c r="J743" s="134"/>
      <c r="K743" s="134"/>
      <c r="L743" s="134"/>
      <c r="M743" s="135"/>
      <c r="N743" s="134"/>
      <c r="O743" s="134"/>
      <c r="P743" s="134"/>
      <c r="Q743" s="134"/>
      <c r="R743" s="134"/>
      <c r="S743" s="134"/>
      <c r="T743" s="134"/>
      <c r="U743" s="134"/>
      <c r="V743" s="134"/>
      <c r="W743" s="134"/>
      <c r="X743" s="134"/>
      <c r="Y743" s="135"/>
      <c r="Z743" s="135"/>
      <c r="AA743" s="136"/>
      <c r="AB743" s="136"/>
      <c r="AC743" s="137"/>
      <c r="AD743" s="137"/>
      <c r="AE743" s="137"/>
      <c r="AF743" s="137"/>
    </row>
    <row r="744" spans="2:32" s="1" customFormat="1" hidden="1">
      <c r="B744" s="2"/>
      <c r="C744" s="133"/>
      <c r="D744" s="134"/>
      <c r="E744" s="134"/>
      <c r="F744" s="134"/>
      <c r="G744" s="134"/>
      <c r="H744" s="134"/>
      <c r="I744" s="134"/>
      <c r="J744" s="134"/>
      <c r="K744" s="134"/>
      <c r="L744" s="134"/>
      <c r="M744" s="135"/>
      <c r="N744" s="134"/>
      <c r="O744" s="134"/>
      <c r="P744" s="134"/>
      <c r="Q744" s="134"/>
      <c r="R744" s="134"/>
      <c r="S744" s="134"/>
      <c r="T744" s="134"/>
      <c r="U744" s="134"/>
      <c r="V744" s="134"/>
      <c r="W744" s="134"/>
      <c r="X744" s="134"/>
      <c r="Y744" s="135"/>
      <c r="Z744" s="135"/>
      <c r="AA744" s="136"/>
      <c r="AB744" s="136"/>
      <c r="AC744" s="137"/>
      <c r="AD744" s="137"/>
      <c r="AE744" s="137"/>
      <c r="AF744" s="137"/>
    </row>
    <row r="745" spans="2:32" s="1" customFormat="1" hidden="1">
      <c r="B745" s="2"/>
      <c r="C745" s="133"/>
      <c r="D745" s="134"/>
      <c r="E745" s="134"/>
      <c r="F745" s="134"/>
      <c r="G745" s="134"/>
      <c r="H745" s="134"/>
      <c r="I745" s="134"/>
      <c r="J745" s="134"/>
      <c r="K745" s="134"/>
      <c r="L745" s="134"/>
      <c r="M745" s="135"/>
      <c r="N745" s="134"/>
      <c r="O745" s="134"/>
      <c r="P745" s="134"/>
      <c r="Q745" s="134"/>
      <c r="R745" s="134"/>
      <c r="S745" s="134"/>
      <c r="T745" s="134"/>
      <c r="U745" s="134"/>
      <c r="V745" s="134"/>
      <c r="W745" s="134"/>
      <c r="X745" s="134"/>
      <c r="Y745" s="135"/>
      <c r="Z745" s="135"/>
      <c r="AA745" s="136"/>
      <c r="AB745" s="136"/>
      <c r="AC745" s="137"/>
      <c r="AD745" s="137"/>
      <c r="AE745" s="137"/>
      <c r="AF745" s="137"/>
    </row>
    <row r="746" spans="2:32" s="1" customFormat="1" hidden="1">
      <c r="B746" s="2"/>
      <c r="C746" s="133"/>
      <c r="D746" s="134"/>
      <c r="E746" s="134"/>
      <c r="F746" s="134"/>
      <c r="G746" s="134"/>
      <c r="H746" s="134"/>
      <c r="I746" s="134"/>
      <c r="J746" s="134"/>
      <c r="K746" s="134"/>
      <c r="L746" s="134"/>
      <c r="M746" s="135"/>
      <c r="N746" s="134"/>
      <c r="O746" s="134"/>
      <c r="P746" s="134"/>
      <c r="Q746" s="134"/>
      <c r="R746" s="134"/>
      <c r="S746" s="134"/>
      <c r="T746" s="134"/>
      <c r="U746" s="134"/>
      <c r="V746" s="134"/>
      <c r="W746" s="134"/>
      <c r="X746" s="134"/>
      <c r="Y746" s="135"/>
      <c r="Z746" s="135"/>
      <c r="AA746" s="136"/>
      <c r="AB746" s="136"/>
      <c r="AC746" s="137"/>
      <c r="AD746" s="137"/>
      <c r="AE746" s="137"/>
      <c r="AF746" s="137"/>
    </row>
    <row r="747" spans="2:32" s="1" customFormat="1" hidden="1">
      <c r="B747" s="2"/>
      <c r="C747" s="133"/>
      <c r="D747" s="134"/>
      <c r="E747" s="134"/>
      <c r="F747" s="134"/>
      <c r="G747" s="134"/>
      <c r="H747" s="134"/>
      <c r="I747" s="134"/>
      <c r="J747" s="134"/>
      <c r="K747" s="134"/>
      <c r="L747" s="134"/>
      <c r="M747" s="135"/>
      <c r="N747" s="134"/>
      <c r="O747" s="134"/>
      <c r="P747" s="134"/>
      <c r="Q747" s="134"/>
      <c r="R747" s="134"/>
      <c r="S747" s="134"/>
      <c r="T747" s="134"/>
      <c r="U747" s="134"/>
      <c r="V747" s="134"/>
      <c r="W747" s="134"/>
      <c r="X747" s="134"/>
      <c r="Y747" s="135"/>
      <c r="Z747" s="135"/>
      <c r="AA747" s="136"/>
      <c r="AB747" s="136"/>
      <c r="AC747" s="137"/>
      <c r="AD747" s="137"/>
      <c r="AE747" s="137"/>
      <c r="AF747" s="137"/>
    </row>
    <row r="748" spans="2:32" s="1" customFormat="1" hidden="1">
      <c r="B748" s="2"/>
      <c r="C748" s="133"/>
      <c r="D748" s="134"/>
      <c r="E748" s="134"/>
      <c r="F748" s="134"/>
      <c r="G748" s="134"/>
      <c r="H748" s="134"/>
      <c r="I748" s="134"/>
      <c r="J748" s="134"/>
      <c r="K748" s="134"/>
      <c r="L748" s="134"/>
      <c r="M748" s="135"/>
      <c r="N748" s="134"/>
      <c r="O748" s="134"/>
      <c r="P748" s="134"/>
      <c r="Q748" s="134"/>
      <c r="R748" s="134"/>
      <c r="S748" s="134"/>
      <c r="T748" s="134"/>
      <c r="U748" s="134"/>
      <c r="V748" s="134"/>
      <c r="W748" s="134"/>
      <c r="X748" s="134"/>
      <c r="Y748" s="135"/>
      <c r="Z748" s="135"/>
      <c r="AA748" s="136"/>
      <c r="AB748" s="136"/>
      <c r="AC748" s="137"/>
      <c r="AD748" s="137"/>
      <c r="AE748" s="137"/>
      <c r="AF748" s="137"/>
    </row>
    <row r="749" spans="2:32" s="1" customFormat="1" hidden="1">
      <c r="B749" s="2"/>
      <c r="C749" s="133"/>
      <c r="D749" s="134"/>
      <c r="E749" s="134"/>
      <c r="F749" s="134"/>
      <c r="G749" s="134"/>
      <c r="H749" s="134"/>
      <c r="I749" s="134"/>
      <c r="J749" s="134"/>
      <c r="K749" s="134"/>
      <c r="L749" s="134"/>
      <c r="M749" s="135"/>
      <c r="N749" s="134"/>
      <c r="O749" s="134"/>
      <c r="P749" s="134"/>
      <c r="Q749" s="134"/>
      <c r="R749" s="134"/>
      <c r="S749" s="134"/>
      <c r="T749" s="134"/>
      <c r="U749" s="134"/>
      <c r="V749" s="134"/>
      <c r="W749" s="134"/>
      <c r="X749" s="134"/>
      <c r="Y749" s="135"/>
      <c r="Z749" s="135"/>
      <c r="AA749" s="136"/>
      <c r="AB749" s="136"/>
      <c r="AC749" s="137"/>
      <c r="AD749" s="137"/>
      <c r="AE749" s="137"/>
      <c r="AF749" s="137"/>
    </row>
    <row r="750" spans="2:32" s="1" customFormat="1" hidden="1">
      <c r="B750" s="2"/>
      <c r="C750" s="133"/>
      <c r="D750" s="134"/>
      <c r="E750" s="134"/>
      <c r="F750" s="134"/>
      <c r="G750" s="134"/>
      <c r="H750" s="134"/>
      <c r="I750" s="134"/>
      <c r="J750" s="134"/>
      <c r="K750" s="134"/>
      <c r="L750" s="134"/>
      <c r="M750" s="135"/>
      <c r="N750" s="134"/>
      <c r="O750" s="134"/>
      <c r="P750" s="134"/>
      <c r="Q750" s="134"/>
      <c r="R750" s="134"/>
      <c r="S750" s="134"/>
      <c r="T750" s="134"/>
      <c r="U750" s="134"/>
      <c r="V750" s="134"/>
      <c r="W750" s="134"/>
      <c r="X750" s="134"/>
      <c r="Y750" s="135"/>
      <c r="Z750" s="135"/>
      <c r="AA750" s="136"/>
      <c r="AB750" s="136"/>
      <c r="AC750" s="137"/>
      <c r="AD750" s="137"/>
      <c r="AE750" s="137"/>
      <c r="AF750" s="137"/>
    </row>
    <row r="751" spans="2:32" s="1" customFormat="1" hidden="1">
      <c r="B751" s="2"/>
      <c r="C751" s="133"/>
      <c r="D751" s="134"/>
      <c r="E751" s="134"/>
      <c r="F751" s="134"/>
      <c r="G751" s="134"/>
      <c r="H751" s="134"/>
      <c r="I751" s="134"/>
      <c r="J751" s="134"/>
      <c r="K751" s="134"/>
      <c r="L751" s="134"/>
      <c r="M751" s="135"/>
      <c r="N751" s="134"/>
      <c r="O751" s="134"/>
      <c r="P751" s="134"/>
      <c r="Q751" s="134"/>
      <c r="R751" s="134"/>
      <c r="S751" s="134"/>
      <c r="T751" s="134"/>
      <c r="U751" s="134"/>
      <c r="V751" s="134"/>
      <c r="W751" s="134"/>
      <c r="X751" s="134"/>
      <c r="Y751" s="135"/>
      <c r="Z751" s="135"/>
      <c r="AA751" s="136"/>
      <c r="AB751" s="136"/>
      <c r="AC751" s="137"/>
      <c r="AD751" s="137"/>
      <c r="AE751" s="137"/>
      <c r="AF751" s="137"/>
    </row>
    <row r="752" spans="2:32" s="1" customFormat="1" hidden="1">
      <c r="B752" s="2"/>
      <c r="C752" s="133"/>
      <c r="D752" s="134"/>
      <c r="E752" s="134"/>
      <c r="F752" s="134"/>
      <c r="G752" s="134"/>
      <c r="H752" s="134"/>
      <c r="I752" s="134"/>
      <c r="J752" s="134"/>
      <c r="K752" s="134"/>
      <c r="L752" s="134"/>
      <c r="M752" s="135"/>
      <c r="N752" s="134"/>
      <c r="O752" s="134"/>
      <c r="P752" s="134"/>
      <c r="Q752" s="134"/>
      <c r="R752" s="134"/>
      <c r="S752" s="134"/>
      <c r="T752" s="134"/>
      <c r="U752" s="134"/>
      <c r="V752" s="134"/>
      <c r="W752" s="134"/>
      <c r="X752" s="134"/>
      <c r="Y752" s="135"/>
      <c r="Z752" s="135"/>
      <c r="AA752" s="136"/>
      <c r="AB752" s="136"/>
      <c r="AC752" s="137"/>
      <c r="AD752" s="137"/>
      <c r="AE752" s="137"/>
      <c r="AF752" s="137"/>
    </row>
    <row r="753" spans="2:32" s="1" customFormat="1" hidden="1">
      <c r="B753" s="2"/>
      <c r="C753" s="133"/>
      <c r="D753" s="134"/>
      <c r="E753" s="134"/>
      <c r="F753" s="134"/>
      <c r="G753" s="134"/>
      <c r="H753" s="134"/>
      <c r="I753" s="134"/>
      <c r="J753" s="134"/>
      <c r="K753" s="134"/>
      <c r="L753" s="134"/>
      <c r="M753" s="135"/>
      <c r="N753" s="134"/>
      <c r="O753" s="134"/>
      <c r="P753" s="134"/>
      <c r="Q753" s="134"/>
      <c r="R753" s="134"/>
      <c r="S753" s="134"/>
      <c r="T753" s="134"/>
      <c r="U753" s="134"/>
      <c r="V753" s="134"/>
      <c r="W753" s="134"/>
      <c r="X753" s="134"/>
      <c r="Y753" s="135"/>
      <c r="Z753" s="135"/>
      <c r="AA753" s="136"/>
      <c r="AB753" s="136"/>
      <c r="AC753" s="137"/>
      <c r="AD753" s="137"/>
      <c r="AE753" s="137"/>
      <c r="AF753" s="137"/>
    </row>
    <row r="754" spans="2:32" s="1" customFormat="1" hidden="1">
      <c r="B754" s="2"/>
      <c r="C754" s="133"/>
      <c r="D754" s="134"/>
      <c r="E754" s="134"/>
      <c r="F754" s="134"/>
      <c r="G754" s="134"/>
      <c r="H754" s="134"/>
      <c r="I754" s="134"/>
      <c r="J754" s="134"/>
      <c r="K754" s="134"/>
      <c r="L754" s="134"/>
      <c r="M754" s="135"/>
      <c r="N754" s="134"/>
      <c r="O754" s="134"/>
      <c r="P754" s="134"/>
      <c r="Q754" s="134"/>
      <c r="R754" s="134"/>
      <c r="S754" s="134"/>
      <c r="T754" s="134"/>
      <c r="U754" s="134"/>
      <c r="V754" s="134"/>
      <c r="W754" s="134"/>
      <c r="X754" s="134"/>
      <c r="Y754" s="135"/>
      <c r="Z754" s="135"/>
      <c r="AA754" s="136"/>
      <c r="AB754" s="136"/>
      <c r="AC754" s="137"/>
      <c r="AD754" s="137"/>
      <c r="AE754" s="137"/>
      <c r="AF754" s="137"/>
    </row>
    <row r="755" spans="2:32" s="1" customFormat="1" hidden="1">
      <c r="B755" s="2"/>
      <c r="C755" s="133"/>
      <c r="D755" s="134"/>
      <c r="E755" s="134"/>
      <c r="F755" s="134"/>
      <c r="G755" s="134"/>
      <c r="H755" s="134"/>
      <c r="I755" s="134"/>
      <c r="J755" s="134"/>
      <c r="K755" s="134"/>
      <c r="L755" s="134"/>
      <c r="M755" s="135"/>
      <c r="N755" s="134"/>
      <c r="O755" s="134"/>
      <c r="P755" s="134"/>
      <c r="Q755" s="134"/>
      <c r="R755" s="134"/>
      <c r="S755" s="134"/>
      <c r="T755" s="134"/>
      <c r="U755" s="134"/>
      <c r="V755" s="134"/>
      <c r="W755" s="134"/>
      <c r="X755" s="134"/>
      <c r="Y755" s="135"/>
      <c r="Z755" s="135"/>
      <c r="AA755" s="136"/>
      <c r="AB755" s="136"/>
      <c r="AC755" s="137"/>
      <c r="AD755" s="137"/>
      <c r="AE755" s="137"/>
      <c r="AF755" s="137"/>
    </row>
    <row r="756" spans="2:32" s="1" customFormat="1" hidden="1">
      <c r="B756" s="2"/>
      <c r="C756" s="133"/>
      <c r="D756" s="134"/>
      <c r="E756" s="134"/>
      <c r="F756" s="134"/>
      <c r="G756" s="134"/>
      <c r="H756" s="134"/>
      <c r="I756" s="134"/>
      <c r="J756" s="134"/>
      <c r="K756" s="134"/>
      <c r="L756" s="134"/>
      <c r="M756" s="135"/>
      <c r="N756" s="134"/>
      <c r="O756" s="134"/>
      <c r="P756" s="134"/>
      <c r="Q756" s="134"/>
      <c r="R756" s="134"/>
      <c r="S756" s="134"/>
      <c r="T756" s="134"/>
      <c r="U756" s="134"/>
      <c r="V756" s="134"/>
      <c r="W756" s="134"/>
      <c r="X756" s="134"/>
      <c r="Y756" s="135"/>
      <c r="Z756" s="135"/>
      <c r="AA756" s="136"/>
      <c r="AB756" s="136"/>
      <c r="AC756" s="137"/>
      <c r="AD756" s="137"/>
      <c r="AE756" s="137"/>
      <c r="AF756" s="137"/>
    </row>
    <row r="757" spans="2:32" s="1" customFormat="1" hidden="1">
      <c r="B757" s="2"/>
      <c r="C757" s="133"/>
      <c r="D757" s="134"/>
      <c r="E757" s="134"/>
      <c r="F757" s="134"/>
      <c r="G757" s="134"/>
      <c r="H757" s="134"/>
      <c r="I757" s="134"/>
      <c r="J757" s="134"/>
      <c r="K757" s="134"/>
      <c r="L757" s="134"/>
      <c r="M757" s="135"/>
      <c r="N757" s="134"/>
      <c r="O757" s="134"/>
      <c r="P757" s="134"/>
      <c r="Q757" s="134"/>
      <c r="R757" s="134"/>
      <c r="S757" s="134"/>
      <c r="T757" s="134"/>
      <c r="U757" s="134"/>
      <c r="V757" s="134"/>
      <c r="W757" s="134"/>
      <c r="X757" s="134"/>
      <c r="Y757" s="135"/>
      <c r="Z757" s="135"/>
      <c r="AA757" s="136"/>
      <c r="AB757" s="136"/>
      <c r="AC757" s="137"/>
      <c r="AD757" s="137"/>
      <c r="AE757" s="137"/>
      <c r="AF757" s="137"/>
    </row>
    <row r="758" spans="2:32" s="1" customFormat="1" hidden="1">
      <c r="B758" s="2"/>
      <c r="C758" s="133"/>
      <c r="D758" s="134"/>
      <c r="E758" s="134"/>
      <c r="F758" s="134"/>
      <c r="G758" s="134"/>
      <c r="H758" s="134"/>
      <c r="I758" s="134"/>
      <c r="J758" s="134"/>
      <c r="K758" s="134"/>
      <c r="L758" s="134"/>
      <c r="M758" s="135"/>
      <c r="N758" s="134"/>
      <c r="O758" s="134"/>
      <c r="P758" s="134"/>
      <c r="Q758" s="134"/>
      <c r="R758" s="134"/>
      <c r="S758" s="134"/>
      <c r="T758" s="134"/>
      <c r="U758" s="134"/>
      <c r="V758" s="134"/>
      <c r="W758" s="134"/>
      <c r="X758" s="134"/>
      <c r="Y758" s="135"/>
      <c r="Z758" s="135"/>
      <c r="AA758" s="136"/>
      <c r="AB758" s="136"/>
      <c r="AC758" s="137"/>
      <c r="AD758" s="137"/>
      <c r="AE758" s="137"/>
      <c r="AF758" s="137"/>
    </row>
    <row r="759" spans="2:32" s="1" customFormat="1" hidden="1">
      <c r="B759" s="2"/>
      <c r="C759" s="133"/>
      <c r="D759" s="134"/>
      <c r="E759" s="134"/>
      <c r="F759" s="134"/>
      <c r="G759" s="134"/>
      <c r="H759" s="134"/>
      <c r="I759" s="134"/>
      <c r="J759" s="134"/>
      <c r="K759" s="134"/>
      <c r="L759" s="134"/>
      <c r="M759" s="135"/>
      <c r="N759" s="134"/>
      <c r="O759" s="134"/>
      <c r="P759" s="134"/>
      <c r="Q759" s="134"/>
      <c r="R759" s="134"/>
      <c r="S759" s="134"/>
      <c r="T759" s="134"/>
      <c r="U759" s="134"/>
      <c r="V759" s="134"/>
      <c r="W759" s="134"/>
      <c r="X759" s="134"/>
      <c r="Y759" s="135"/>
      <c r="Z759" s="135"/>
      <c r="AA759" s="136"/>
      <c r="AB759" s="136"/>
      <c r="AC759" s="137"/>
      <c r="AD759" s="137"/>
      <c r="AE759" s="137"/>
      <c r="AF759" s="137"/>
    </row>
    <row r="760" spans="2:32" s="1" customFormat="1" hidden="1">
      <c r="B760" s="2"/>
      <c r="C760" s="133"/>
      <c r="D760" s="134"/>
      <c r="E760" s="134"/>
      <c r="F760" s="134"/>
      <c r="G760" s="134"/>
      <c r="H760" s="134"/>
      <c r="I760" s="134"/>
      <c r="J760" s="134"/>
      <c r="K760" s="134"/>
      <c r="L760" s="134"/>
      <c r="M760" s="135"/>
      <c r="N760" s="134"/>
      <c r="O760" s="134"/>
      <c r="P760" s="134"/>
      <c r="Q760" s="134"/>
      <c r="R760" s="134"/>
      <c r="S760" s="134"/>
      <c r="T760" s="134"/>
      <c r="U760" s="134"/>
      <c r="V760" s="134"/>
      <c r="W760" s="134"/>
      <c r="X760" s="134"/>
      <c r="Y760" s="135"/>
      <c r="Z760" s="135"/>
      <c r="AA760" s="136"/>
      <c r="AB760" s="136"/>
      <c r="AC760" s="137"/>
      <c r="AD760" s="137"/>
      <c r="AE760" s="137"/>
      <c r="AF760" s="137"/>
    </row>
    <row r="761" spans="2:32" s="1" customFormat="1" hidden="1">
      <c r="B761" s="2"/>
      <c r="C761" s="133"/>
      <c r="D761" s="134"/>
      <c r="E761" s="134"/>
      <c r="F761" s="134"/>
      <c r="G761" s="134"/>
      <c r="H761" s="134"/>
      <c r="I761" s="134"/>
      <c r="J761" s="134"/>
      <c r="K761" s="134"/>
      <c r="L761" s="134"/>
      <c r="M761" s="135"/>
      <c r="N761" s="134"/>
      <c r="O761" s="134"/>
      <c r="P761" s="134"/>
      <c r="Q761" s="134"/>
      <c r="R761" s="134"/>
      <c r="S761" s="134"/>
      <c r="T761" s="134"/>
      <c r="U761" s="134"/>
      <c r="V761" s="134"/>
      <c r="W761" s="134"/>
      <c r="X761" s="134"/>
      <c r="Y761" s="135"/>
      <c r="Z761" s="135"/>
      <c r="AA761" s="136"/>
      <c r="AB761" s="136"/>
      <c r="AC761" s="137"/>
      <c r="AD761" s="137"/>
      <c r="AE761" s="137"/>
      <c r="AF761" s="137"/>
    </row>
    <row r="762" spans="2:32" s="1" customFormat="1" hidden="1">
      <c r="B762" s="2"/>
      <c r="C762" s="133"/>
      <c r="D762" s="134"/>
      <c r="E762" s="134"/>
      <c r="F762" s="134"/>
      <c r="G762" s="134"/>
      <c r="H762" s="134"/>
      <c r="I762" s="134"/>
      <c r="J762" s="134"/>
      <c r="K762" s="134"/>
      <c r="L762" s="134"/>
      <c r="M762" s="135"/>
      <c r="N762" s="134"/>
      <c r="O762" s="134"/>
      <c r="P762" s="134"/>
      <c r="Q762" s="134"/>
      <c r="R762" s="134"/>
      <c r="S762" s="134"/>
      <c r="T762" s="134"/>
      <c r="U762" s="134"/>
      <c r="V762" s="134"/>
      <c r="W762" s="134"/>
      <c r="X762" s="134"/>
      <c r="Y762" s="135"/>
      <c r="Z762" s="135"/>
      <c r="AA762" s="136"/>
      <c r="AB762" s="136"/>
      <c r="AC762" s="137"/>
      <c r="AD762" s="137"/>
      <c r="AE762" s="137"/>
      <c r="AF762" s="137"/>
    </row>
    <row r="763" spans="2:32" s="1" customFormat="1" hidden="1">
      <c r="B763" s="2"/>
      <c r="C763" s="133"/>
      <c r="D763" s="134"/>
      <c r="E763" s="134"/>
      <c r="F763" s="134"/>
      <c r="G763" s="134"/>
      <c r="H763" s="134"/>
      <c r="I763" s="134"/>
      <c r="J763" s="134"/>
      <c r="K763" s="134"/>
      <c r="L763" s="134"/>
      <c r="M763" s="135"/>
      <c r="N763" s="134"/>
      <c r="O763" s="134"/>
      <c r="P763" s="134"/>
      <c r="Q763" s="134"/>
      <c r="R763" s="134"/>
      <c r="S763" s="134"/>
      <c r="T763" s="134"/>
      <c r="U763" s="134"/>
      <c r="V763" s="134"/>
      <c r="W763" s="134"/>
      <c r="X763" s="134"/>
      <c r="Y763" s="135"/>
      <c r="Z763" s="135"/>
      <c r="AA763" s="136"/>
      <c r="AB763" s="136"/>
      <c r="AC763" s="137"/>
      <c r="AD763" s="137"/>
      <c r="AE763" s="137"/>
      <c r="AF763" s="137"/>
    </row>
    <row r="764" spans="2:32" s="1" customFormat="1" hidden="1">
      <c r="B764" s="2"/>
      <c r="C764" s="133"/>
      <c r="D764" s="134"/>
      <c r="E764" s="134"/>
      <c r="F764" s="134"/>
      <c r="G764" s="134"/>
      <c r="H764" s="134"/>
      <c r="I764" s="134"/>
      <c r="J764" s="134"/>
      <c r="K764" s="134"/>
      <c r="L764" s="134"/>
      <c r="M764" s="135"/>
      <c r="N764" s="134"/>
      <c r="O764" s="134"/>
      <c r="P764" s="134"/>
      <c r="Q764" s="134"/>
      <c r="R764" s="134"/>
      <c r="S764" s="134"/>
      <c r="T764" s="134"/>
      <c r="U764" s="134"/>
      <c r="V764" s="134"/>
      <c r="W764" s="134"/>
      <c r="X764" s="134"/>
      <c r="Y764" s="135"/>
      <c r="Z764" s="135"/>
      <c r="AA764" s="136"/>
      <c r="AB764" s="136"/>
      <c r="AC764" s="137"/>
      <c r="AD764" s="137"/>
      <c r="AE764" s="137"/>
      <c r="AF764" s="137"/>
    </row>
    <row r="765" spans="2:32" s="1" customFormat="1" hidden="1">
      <c r="B765" s="2"/>
      <c r="C765" s="133"/>
      <c r="D765" s="134"/>
      <c r="E765" s="134"/>
      <c r="F765" s="134"/>
      <c r="G765" s="134"/>
      <c r="H765" s="134"/>
      <c r="I765" s="134"/>
      <c r="J765" s="134"/>
      <c r="K765" s="134"/>
      <c r="L765" s="134"/>
      <c r="M765" s="135"/>
      <c r="N765" s="134"/>
      <c r="O765" s="134"/>
      <c r="P765" s="134"/>
      <c r="Q765" s="134"/>
      <c r="R765" s="134"/>
      <c r="S765" s="134"/>
      <c r="T765" s="134"/>
      <c r="U765" s="134"/>
      <c r="V765" s="134"/>
      <c r="W765" s="134"/>
      <c r="X765" s="134"/>
      <c r="Y765" s="135"/>
      <c r="Z765" s="135"/>
      <c r="AA765" s="136"/>
      <c r="AB765" s="136"/>
      <c r="AC765" s="137"/>
      <c r="AD765" s="137"/>
      <c r="AE765" s="137"/>
      <c r="AF765" s="137"/>
    </row>
    <row r="766" spans="2:32" s="1" customFormat="1" hidden="1">
      <c r="B766" s="2"/>
      <c r="C766" s="133"/>
      <c r="D766" s="134"/>
      <c r="E766" s="134"/>
      <c r="F766" s="134"/>
      <c r="G766" s="134"/>
      <c r="H766" s="134"/>
      <c r="I766" s="134"/>
      <c r="J766" s="134"/>
      <c r="K766" s="134"/>
      <c r="L766" s="134"/>
      <c r="M766" s="135"/>
      <c r="N766" s="134"/>
      <c r="O766" s="134"/>
      <c r="P766" s="134"/>
      <c r="Q766" s="134"/>
      <c r="R766" s="134"/>
      <c r="S766" s="134"/>
      <c r="T766" s="134"/>
      <c r="U766" s="134"/>
      <c r="V766" s="134"/>
      <c r="W766" s="134"/>
      <c r="X766" s="134"/>
      <c r="Y766" s="135"/>
      <c r="Z766" s="135"/>
      <c r="AA766" s="136"/>
      <c r="AB766" s="136"/>
      <c r="AC766" s="137"/>
      <c r="AD766" s="137"/>
      <c r="AE766" s="137"/>
      <c r="AF766" s="137"/>
    </row>
    <row r="767" spans="2:32" s="1" customFormat="1" hidden="1">
      <c r="B767" s="2"/>
      <c r="C767" s="133"/>
      <c r="D767" s="134"/>
      <c r="E767" s="134"/>
      <c r="F767" s="134"/>
      <c r="G767" s="134"/>
      <c r="H767" s="134"/>
      <c r="I767" s="134"/>
      <c r="J767" s="134"/>
      <c r="K767" s="134"/>
      <c r="L767" s="134"/>
      <c r="M767" s="135"/>
      <c r="N767" s="134"/>
      <c r="O767" s="134"/>
      <c r="P767" s="134"/>
      <c r="Q767" s="134"/>
      <c r="R767" s="134"/>
      <c r="S767" s="134"/>
      <c r="T767" s="134"/>
      <c r="U767" s="134"/>
      <c r="V767" s="134"/>
      <c r="W767" s="134"/>
      <c r="X767" s="134"/>
      <c r="Y767" s="135"/>
      <c r="Z767" s="135"/>
      <c r="AA767" s="136"/>
      <c r="AB767" s="136"/>
      <c r="AC767" s="137"/>
      <c r="AD767" s="137"/>
      <c r="AE767" s="137"/>
      <c r="AF767" s="137"/>
    </row>
    <row r="768" spans="2:32" s="1" customFormat="1" hidden="1">
      <c r="B768" s="2"/>
      <c r="C768" s="133"/>
      <c r="D768" s="134"/>
      <c r="E768" s="134"/>
      <c r="F768" s="134"/>
      <c r="G768" s="134"/>
      <c r="H768" s="134"/>
      <c r="I768" s="134"/>
      <c r="J768" s="134"/>
      <c r="K768" s="134"/>
      <c r="L768" s="134"/>
      <c r="M768" s="135"/>
      <c r="N768" s="134"/>
      <c r="O768" s="134"/>
      <c r="P768" s="134"/>
      <c r="Q768" s="134"/>
      <c r="R768" s="134"/>
      <c r="S768" s="134"/>
      <c r="T768" s="134"/>
      <c r="U768" s="134"/>
      <c r="V768" s="134"/>
      <c r="W768" s="134"/>
      <c r="X768" s="134"/>
      <c r="Y768" s="135"/>
      <c r="Z768" s="135"/>
      <c r="AA768" s="136"/>
      <c r="AB768" s="136"/>
      <c r="AC768" s="137"/>
      <c r="AD768" s="137"/>
      <c r="AE768" s="137"/>
      <c r="AF768" s="137"/>
    </row>
    <row r="769" spans="2:32" s="1" customFormat="1" hidden="1">
      <c r="B769" s="2"/>
      <c r="C769" s="133"/>
      <c r="D769" s="134"/>
      <c r="E769" s="134"/>
      <c r="F769" s="134"/>
      <c r="G769" s="134"/>
      <c r="H769" s="134"/>
      <c r="I769" s="134"/>
      <c r="J769" s="134"/>
      <c r="K769" s="134"/>
      <c r="L769" s="134"/>
      <c r="M769" s="135"/>
      <c r="N769" s="134"/>
      <c r="O769" s="134"/>
      <c r="P769" s="134"/>
      <c r="Q769" s="134"/>
      <c r="R769" s="134"/>
      <c r="S769" s="134"/>
      <c r="T769" s="134"/>
      <c r="U769" s="134"/>
      <c r="V769" s="134"/>
      <c r="W769" s="134"/>
      <c r="X769" s="134"/>
      <c r="Y769" s="135"/>
      <c r="Z769" s="135"/>
      <c r="AA769" s="136"/>
      <c r="AB769" s="136"/>
      <c r="AC769" s="137"/>
      <c r="AD769" s="137"/>
      <c r="AE769" s="137"/>
      <c r="AF769" s="137"/>
    </row>
    <row r="770" spans="2:32" s="1" customFormat="1" hidden="1">
      <c r="B770" s="2"/>
      <c r="C770" s="133"/>
      <c r="D770" s="134"/>
      <c r="E770" s="134"/>
      <c r="F770" s="134"/>
      <c r="G770" s="134"/>
      <c r="H770" s="134"/>
      <c r="I770" s="134"/>
      <c r="J770" s="134"/>
      <c r="K770" s="134"/>
      <c r="L770" s="134"/>
      <c r="M770" s="135"/>
      <c r="N770" s="134"/>
      <c r="O770" s="134"/>
      <c r="P770" s="134"/>
      <c r="Q770" s="134"/>
      <c r="R770" s="134"/>
      <c r="S770" s="134"/>
      <c r="T770" s="134"/>
      <c r="U770" s="134"/>
      <c r="V770" s="134"/>
      <c r="W770" s="134"/>
      <c r="X770" s="134"/>
      <c r="Y770" s="135"/>
      <c r="Z770" s="135"/>
      <c r="AA770" s="136"/>
      <c r="AB770" s="136"/>
      <c r="AC770" s="137"/>
      <c r="AD770" s="137"/>
      <c r="AE770" s="137"/>
      <c r="AF770" s="137"/>
    </row>
    <row r="771" spans="2:32" s="1" customFormat="1" hidden="1">
      <c r="B771" s="2"/>
      <c r="C771" s="133"/>
      <c r="D771" s="134"/>
      <c r="E771" s="134"/>
      <c r="F771" s="134"/>
      <c r="G771" s="134"/>
      <c r="H771" s="134"/>
      <c r="I771" s="134"/>
      <c r="J771" s="134"/>
      <c r="K771" s="134"/>
      <c r="L771" s="134"/>
      <c r="M771" s="135"/>
      <c r="N771" s="134"/>
      <c r="O771" s="134"/>
      <c r="P771" s="134"/>
      <c r="Q771" s="134"/>
      <c r="R771" s="134"/>
      <c r="S771" s="134"/>
      <c r="T771" s="134"/>
      <c r="U771" s="134"/>
      <c r="V771" s="134"/>
      <c r="W771" s="134"/>
      <c r="X771" s="134"/>
      <c r="Y771" s="135"/>
      <c r="Z771" s="135"/>
      <c r="AA771" s="136"/>
      <c r="AB771" s="136"/>
      <c r="AC771" s="137"/>
      <c r="AD771" s="137"/>
      <c r="AE771" s="137"/>
      <c r="AF771" s="137"/>
    </row>
    <row r="772" spans="2:32" s="1" customFormat="1" hidden="1">
      <c r="B772" s="2"/>
      <c r="C772" s="133"/>
      <c r="D772" s="134"/>
      <c r="E772" s="134"/>
      <c r="F772" s="134"/>
      <c r="G772" s="134"/>
      <c r="H772" s="134"/>
      <c r="I772" s="134"/>
      <c r="J772" s="134"/>
      <c r="K772" s="134"/>
      <c r="L772" s="134"/>
      <c r="M772" s="135"/>
      <c r="N772" s="134"/>
      <c r="O772" s="134"/>
      <c r="P772" s="134"/>
      <c r="Q772" s="134"/>
      <c r="R772" s="134"/>
      <c r="S772" s="134"/>
      <c r="T772" s="134"/>
      <c r="U772" s="134"/>
      <c r="V772" s="134"/>
      <c r="W772" s="134"/>
      <c r="X772" s="134"/>
      <c r="Y772" s="135"/>
      <c r="Z772" s="135"/>
      <c r="AA772" s="136"/>
      <c r="AB772" s="136"/>
      <c r="AC772" s="137"/>
      <c r="AD772" s="137"/>
      <c r="AE772" s="137"/>
      <c r="AF772" s="137"/>
    </row>
    <row r="773" spans="2:32" s="1" customFormat="1" hidden="1">
      <c r="B773" s="2"/>
      <c r="C773" s="133"/>
      <c r="D773" s="134"/>
      <c r="E773" s="134"/>
      <c r="F773" s="134"/>
      <c r="G773" s="134"/>
      <c r="H773" s="134"/>
      <c r="I773" s="134"/>
      <c r="J773" s="134"/>
      <c r="K773" s="134"/>
      <c r="L773" s="134"/>
      <c r="M773" s="135"/>
      <c r="N773" s="134"/>
      <c r="O773" s="134"/>
      <c r="P773" s="134"/>
      <c r="Q773" s="134"/>
      <c r="R773" s="134"/>
      <c r="S773" s="134"/>
      <c r="T773" s="134"/>
      <c r="U773" s="134"/>
      <c r="V773" s="134"/>
      <c r="W773" s="134"/>
      <c r="X773" s="134"/>
      <c r="Y773" s="135"/>
      <c r="Z773" s="135"/>
      <c r="AA773" s="136"/>
      <c r="AB773" s="136"/>
      <c r="AC773" s="137"/>
      <c r="AD773" s="137"/>
      <c r="AE773" s="137"/>
      <c r="AF773" s="137"/>
    </row>
    <row r="774" spans="2:32" s="1" customFormat="1" hidden="1">
      <c r="B774" s="2"/>
      <c r="C774" s="133"/>
      <c r="D774" s="134"/>
      <c r="E774" s="134"/>
      <c r="F774" s="134"/>
      <c r="G774" s="134"/>
      <c r="H774" s="134"/>
      <c r="I774" s="134"/>
      <c r="J774" s="134"/>
      <c r="K774" s="134"/>
      <c r="L774" s="134"/>
      <c r="M774" s="135"/>
      <c r="N774" s="134"/>
      <c r="O774" s="134"/>
      <c r="P774" s="134"/>
      <c r="Q774" s="134"/>
      <c r="R774" s="134"/>
      <c r="S774" s="134"/>
      <c r="T774" s="134"/>
      <c r="U774" s="134"/>
      <c r="V774" s="134"/>
      <c r="W774" s="134"/>
      <c r="X774" s="134"/>
      <c r="Y774" s="135"/>
      <c r="Z774" s="135"/>
      <c r="AA774" s="136"/>
      <c r="AB774" s="136"/>
      <c r="AC774" s="137"/>
      <c r="AD774" s="137"/>
      <c r="AE774" s="137"/>
      <c r="AF774" s="137"/>
    </row>
    <row r="775" spans="2:32" s="1" customFormat="1" hidden="1">
      <c r="B775" s="2"/>
      <c r="C775" s="133"/>
      <c r="D775" s="134"/>
      <c r="E775" s="134"/>
      <c r="F775" s="134"/>
      <c r="G775" s="134"/>
      <c r="H775" s="134"/>
      <c r="I775" s="134"/>
      <c r="J775" s="134"/>
      <c r="K775" s="134"/>
      <c r="L775" s="134"/>
      <c r="M775" s="135"/>
      <c r="N775" s="134"/>
      <c r="O775" s="134"/>
      <c r="P775" s="134"/>
      <c r="Q775" s="134"/>
      <c r="R775" s="134"/>
      <c r="S775" s="134"/>
      <c r="T775" s="134"/>
      <c r="U775" s="134"/>
      <c r="V775" s="134"/>
      <c r="W775" s="134"/>
      <c r="X775" s="134"/>
      <c r="Y775" s="135"/>
      <c r="Z775" s="135"/>
      <c r="AA775" s="136"/>
      <c r="AB775" s="136"/>
      <c r="AC775" s="137"/>
      <c r="AD775" s="137"/>
      <c r="AE775" s="137"/>
      <c r="AF775" s="137"/>
    </row>
    <row r="776" spans="2:32" s="1" customFormat="1" hidden="1">
      <c r="B776" s="2"/>
      <c r="C776" s="133"/>
      <c r="D776" s="134"/>
      <c r="E776" s="134"/>
      <c r="F776" s="134"/>
      <c r="G776" s="134"/>
      <c r="H776" s="134"/>
      <c r="I776" s="134"/>
      <c r="J776" s="134"/>
      <c r="K776" s="134"/>
      <c r="L776" s="134"/>
      <c r="M776" s="135"/>
      <c r="N776" s="134"/>
      <c r="O776" s="134"/>
      <c r="P776" s="134"/>
      <c r="Q776" s="134"/>
      <c r="R776" s="134"/>
      <c r="S776" s="134"/>
      <c r="T776" s="134"/>
      <c r="U776" s="134"/>
      <c r="V776" s="134"/>
      <c r="W776" s="134"/>
      <c r="X776" s="134"/>
      <c r="Y776" s="135"/>
      <c r="Z776" s="135"/>
      <c r="AA776" s="136"/>
      <c r="AB776" s="136"/>
      <c r="AC776" s="137"/>
      <c r="AD776" s="137"/>
      <c r="AE776" s="137"/>
      <c r="AF776" s="137"/>
    </row>
    <row r="777" spans="2:32" s="1" customFormat="1" hidden="1">
      <c r="B777" s="2"/>
      <c r="C777" s="133"/>
      <c r="D777" s="134"/>
      <c r="E777" s="134"/>
      <c r="F777" s="134"/>
      <c r="G777" s="134"/>
      <c r="H777" s="134"/>
      <c r="I777" s="134"/>
      <c r="J777" s="134"/>
      <c r="K777" s="134"/>
      <c r="L777" s="134"/>
      <c r="M777" s="135"/>
      <c r="N777" s="134"/>
      <c r="O777" s="134"/>
      <c r="P777" s="134"/>
      <c r="Q777" s="134"/>
      <c r="R777" s="134"/>
      <c r="S777" s="134"/>
      <c r="T777" s="134"/>
      <c r="U777" s="134"/>
      <c r="V777" s="134"/>
      <c r="W777" s="134"/>
      <c r="X777" s="134"/>
      <c r="Y777" s="135"/>
      <c r="Z777" s="135"/>
      <c r="AA777" s="136"/>
      <c r="AB777" s="136"/>
      <c r="AC777" s="137"/>
      <c r="AD777" s="137"/>
      <c r="AE777" s="137"/>
      <c r="AF777" s="137"/>
    </row>
    <row r="778" spans="2:32" s="1" customFormat="1" hidden="1">
      <c r="B778" s="2"/>
      <c r="C778" s="133"/>
      <c r="D778" s="134"/>
      <c r="E778" s="134"/>
      <c r="F778" s="134"/>
      <c r="G778" s="134"/>
      <c r="H778" s="134"/>
      <c r="I778" s="134"/>
      <c r="J778" s="134"/>
      <c r="K778" s="134"/>
      <c r="L778" s="134"/>
      <c r="M778" s="135"/>
      <c r="N778" s="134"/>
      <c r="O778" s="134"/>
      <c r="P778" s="134"/>
      <c r="Q778" s="134"/>
      <c r="R778" s="134"/>
      <c r="S778" s="134"/>
      <c r="T778" s="134"/>
      <c r="U778" s="134"/>
      <c r="V778" s="134"/>
      <c r="W778" s="134"/>
      <c r="X778" s="134"/>
      <c r="Y778" s="135"/>
      <c r="Z778" s="135"/>
      <c r="AA778" s="136"/>
      <c r="AB778" s="136"/>
      <c r="AC778" s="137"/>
      <c r="AD778" s="137"/>
      <c r="AE778" s="137"/>
      <c r="AF778" s="137"/>
    </row>
    <row r="779" spans="2:32" s="1" customFormat="1" hidden="1">
      <c r="B779" s="2"/>
      <c r="C779" s="133"/>
      <c r="D779" s="134"/>
      <c r="E779" s="134"/>
      <c r="F779" s="134"/>
      <c r="G779" s="134"/>
      <c r="H779" s="134"/>
      <c r="I779" s="134"/>
      <c r="J779" s="134"/>
      <c r="K779" s="134"/>
      <c r="L779" s="134"/>
      <c r="M779" s="135"/>
      <c r="N779" s="134"/>
      <c r="O779" s="134"/>
      <c r="P779" s="134"/>
      <c r="Q779" s="134"/>
      <c r="R779" s="134"/>
      <c r="S779" s="134"/>
      <c r="T779" s="134"/>
      <c r="U779" s="134"/>
      <c r="V779" s="134"/>
      <c r="W779" s="134"/>
      <c r="X779" s="134"/>
      <c r="Y779" s="135"/>
      <c r="Z779" s="135"/>
      <c r="AA779" s="136"/>
      <c r="AB779" s="136"/>
      <c r="AC779" s="137"/>
      <c r="AD779" s="137"/>
      <c r="AE779" s="137"/>
      <c r="AF779" s="137"/>
    </row>
    <row r="780" spans="2:32" s="1" customFormat="1" hidden="1">
      <c r="B780" s="2"/>
      <c r="C780" s="133"/>
      <c r="D780" s="134"/>
      <c r="E780" s="134"/>
      <c r="F780" s="134"/>
      <c r="G780" s="134"/>
      <c r="H780" s="134"/>
      <c r="I780" s="134"/>
      <c r="J780" s="134"/>
      <c r="K780" s="134"/>
      <c r="L780" s="134"/>
      <c r="M780" s="135"/>
      <c r="N780" s="134"/>
      <c r="O780" s="134"/>
      <c r="P780" s="134"/>
      <c r="Q780" s="134"/>
      <c r="R780" s="134"/>
      <c r="S780" s="134"/>
      <c r="T780" s="134"/>
      <c r="U780" s="134"/>
      <c r="V780" s="134"/>
      <c r="W780" s="134"/>
      <c r="X780" s="134"/>
      <c r="Y780" s="135"/>
      <c r="Z780" s="135"/>
      <c r="AA780" s="136"/>
      <c r="AB780" s="136"/>
      <c r="AC780" s="137"/>
      <c r="AD780" s="137"/>
      <c r="AE780" s="137"/>
      <c r="AF780" s="137"/>
    </row>
    <row r="781" spans="2:32" s="1" customFormat="1" hidden="1">
      <c r="B781" s="2"/>
      <c r="C781" s="133"/>
      <c r="D781" s="134"/>
      <c r="E781" s="134"/>
      <c r="F781" s="134"/>
      <c r="G781" s="134"/>
      <c r="H781" s="134"/>
      <c r="I781" s="134"/>
      <c r="J781" s="134"/>
      <c r="K781" s="134"/>
      <c r="L781" s="134"/>
      <c r="M781" s="135"/>
      <c r="N781" s="134"/>
      <c r="O781" s="134"/>
      <c r="P781" s="134"/>
      <c r="Q781" s="134"/>
      <c r="R781" s="134"/>
      <c r="S781" s="134"/>
      <c r="T781" s="134"/>
      <c r="U781" s="134"/>
      <c r="V781" s="134"/>
      <c r="W781" s="134"/>
      <c r="X781" s="134"/>
      <c r="Y781" s="135"/>
      <c r="Z781" s="135"/>
      <c r="AA781" s="136"/>
      <c r="AB781" s="136"/>
      <c r="AC781" s="137"/>
      <c r="AD781" s="137"/>
      <c r="AE781" s="137"/>
      <c r="AF781" s="137"/>
    </row>
    <row r="782" spans="2:32" s="1" customFormat="1" hidden="1">
      <c r="B782" s="2"/>
      <c r="C782" s="133"/>
      <c r="D782" s="134"/>
      <c r="E782" s="134"/>
      <c r="F782" s="134"/>
      <c r="G782" s="134"/>
      <c r="H782" s="134"/>
      <c r="I782" s="134"/>
      <c r="J782" s="134"/>
      <c r="K782" s="134"/>
      <c r="L782" s="134"/>
      <c r="M782" s="135"/>
      <c r="N782" s="134"/>
      <c r="O782" s="134"/>
      <c r="P782" s="134"/>
      <c r="Q782" s="134"/>
      <c r="R782" s="134"/>
      <c r="S782" s="134"/>
      <c r="T782" s="134"/>
      <c r="U782" s="134"/>
      <c r="V782" s="134"/>
      <c r="W782" s="134"/>
      <c r="X782" s="134"/>
      <c r="Y782" s="135"/>
      <c r="Z782" s="135"/>
      <c r="AA782" s="136"/>
      <c r="AB782" s="136"/>
      <c r="AC782" s="137"/>
      <c r="AD782" s="137"/>
      <c r="AE782" s="137"/>
      <c r="AF782" s="137"/>
    </row>
    <row r="783" spans="2:32" s="1" customFormat="1" hidden="1">
      <c r="B783" s="2"/>
      <c r="C783" s="133"/>
      <c r="D783" s="134"/>
      <c r="E783" s="134"/>
      <c r="F783" s="134"/>
      <c r="G783" s="134"/>
      <c r="H783" s="134"/>
      <c r="I783" s="134"/>
      <c r="J783" s="134"/>
      <c r="K783" s="134"/>
      <c r="L783" s="134"/>
      <c r="M783" s="135"/>
      <c r="N783" s="134"/>
      <c r="O783" s="134"/>
      <c r="P783" s="134"/>
      <c r="Q783" s="134"/>
      <c r="R783" s="134"/>
      <c r="S783" s="134"/>
      <c r="T783" s="134"/>
      <c r="U783" s="134"/>
      <c r="V783" s="134"/>
      <c r="W783" s="134"/>
      <c r="X783" s="134"/>
      <c r="Y783" s="135"/>
      <c r="Z783" s="135"/>
      <c r="AA783" s="136"/>
      <c r="AB783" s="136"/>
      <c r="AC783" s="137"/>
      <c r="AD783" s="137"/>
      <c r="AE783" s="137"/>
      <c r="AF783" s="137"/>
    </row>
    <row r="784" spans="2:32" s="1" customFormat="1" hidden="1">
      <c r="B784" s="2"/>
      <c r="C784" s="133"/>
      <c r="D784" s="134"/>
      <c r="E784" s="134"/>
      <c r="F784" s="134"/>
      <c r="G784" s="134"/>
      <c r="H784" s="134"/>
      <c r="I784" s="134"/>
      <c r="J784" s="134"/>
      <c r="K784" s="134"/>
      <c r="L784" s="134"/>
      <c r="M784" s="135"/>
      <c r="N784" s="134"/>
      <c r="O784" s="134"/>
      <c r="P784" s="134"/>
      <c r="Q784" s="134"/>
      <c r="R784" s="134"/>
      <c r="S784" s="134"/>
      <c r="T784" s="134"/>
      <c r="U784" s="134"/>
      <c r="V784" s="134"/>
      <c r="W784" s="134"/>
      <c r="X784" s="134"/>
      <c r="Y784" s="135"/>
      <c r="Z784" s="135"/>
      <c r="AA784" s="136"/>
      <c r="AB784" s="136"/>
      <c r="AC784" s="137"/>
      <c r="AD784" s="137"/>
      <c r="AE784" s="137"/>
      <c r="AF784" s="137"/>
    </row>
    <row r="785" spans="2:32" s="1" customFormat="1" hidden="1">
      <c r="B785" s="2"/>
      <c r="C785" s="133"/>
      <c r="D785" s="134"/>
      <c r="E785" s="134"/>
      <c r="F785" s="134"/>
      <c r="G785" s="134"/>
      <c r="H785" s="134"/>
      <c r="I785" s="134"/>
      <c r="J785" s="134"/>
      <c r="K785" s="134"/>
      <c r="L785" s="134"/>
      <c r="M785" s="135"/>
      <c r="N785" s="134"/>
      <c r="O785" s="134"/>
      <c r="P785" s="134"/>
      <c r="Q785" s="134"/>
      <c r="R785" s="134"/>
      <c r="S785" s="134"/>
      <c r="T785" s="134"/>
      <c r="U785" s="134"/>
      <c r="V785" s="134"/>
      <c r="W785" s="134"/>
      <c r="X785" s="134"/>
      <c r="Y785" s="135"/>
      <c r="Z785" s="135"/>
      <c r="AA785" s="136"/>
      <c r="AB785" s="136"/>
      <c r="AC785" s="137"/>
      <c r="AD785" s="137"/>
      <c r="AE785" s="137"/>
      <c r="AF785" s="137"/>
    </row>
    <row r="786" spans="2:32" s="1" customFormat="1" hidden="1">
      <c r="B786" s="2"/>
      <c r="C786" s="133"/>
      <c r="D786" s="134"/>
      <c r="E786" s="134"/>
      <c r="F786" s="134"/>
      <c r="G786" s="134"/>
      <c r="H786" s="134"/>
      <c r="I786" s="134"/>
      <c r="J786" s="134"/>
      <c r="K786" s="134"/>
      <c r="L786" s="134"/>
      <c r="M786" s="135"/>
      <c r="N786" s="134"/>
      <c r="O786" s="134"/>
      <c r="P786" s="134"/>
      <c r="Q786" s="134"/>
      <c r="R786" s="134"/>
      <c r="S786" s="134"/>
      <c r="T786" s="134"/>
      <c r="U786" s="134"/>
      <c r="V786" s="134"/>
      <c r="W786" s="134"/>
      <c r="X786" s="134"/>
      <c r="Y786" s="135"/>
      <c r="Z786" s="135"/>
      <c r="AA786" s="136"/>
      <c r="AB786" s="136"/>
      <c r="AC786" s="137"/>
      <c r="AD786" s="137"/>
      <c r="AE786" s="137"/>
      <c r="AF786" s="137"/>
    </row>
    <row r="787" spans="2:32" s="1" customFormat="1" hidden="1">
      <c r="B787" s="2"/>
      <c r="C787" s="133"/>
      <c r="D787" s="134"/>
      <c r="E787" s="134"/>
      <c r="F787" s="134"/>
      <c r="G787" s="134"/>
      <c r="H787" s="134"/>
      <c r="I787" s="134"/>
      <c r="J787" s="134"/>
      <c r="K787" s="134"/>
      <c r="L787" s="134"/>
      <c r="M787" s="135"/>
      <c r="N787" s="134"/>
      <c r="O787" s="134"/>
      <c r="P787" s="134"/>
      <c r="Q787" s="134"/>
      <c r="R787" s="134"/>
      <c r="S787" s="134"/>
      <c r="T787" s="134"/>
      <c r="U787" s="134"/>
      <c r="V787" s="134"/>
      <c r="W787" s="134"/>
      <c r="X787" s="134"/>
      <c r="Y787" s="135"/>
      <c r="Z787" s="135"/>
      <c r="AA787" s="136"/>
      <c r="AB787" s="136"/>
      <c r="AC787" s="137"/>
      <c r="AD787" s="137"/>
      <c r="AE787" s="137"/>
      <c r="AF787" s="137"/>
    </row>
    <row r="788" spans="2:32" s="1" customFormat="1" hidden="1">
      <c r="B788" s="2"/>
      <c r="C788" s="133"/>
      <c r="D788" s="134"/>
      <c r="E788" s="134"/>
      <c r="F788" s="134"/>
      <c r="G788" s="134"/>
      <c r="H788" s="134"/>
      <c r="I788" s="134"/>
      <c r="J788" s="134"/>
      <c r="K788" s="134"/>
      <c r="L788" s="134"/>
      <c r="M788" s="135"/>
      <c r="N788" s="134"/>
      <c r="O788" s="134"/>
      <c r="P788" s="134"/>
      <c r="Q788" s="134"/>
      <c r="R788" s="134"/>
      <c r="S788" s="134"/>
      <c r="T788" s="134"/>
      <c r="U788" s="134"/>
      <c r="V788" s="134"/>
      <c r="W788" s="134"/>
      <c r="X788" s="134"/>
      <c r="Y788" s="135"/>
      <c r="Z788" s="135"/>
      <c r="AA788" s="136"/>
      <c r="AB788" s="136"/>
      <c r="AC788" s="137"/>
      <c r="AD788" s="137"/>
      <c r="AE788" s="137"/>
      <c r="AF788" s="137"/>
    </row>
    <row r="789" spans="2:32" s="1" customFormat="1" hidden="1">
      <c r="B789" s="2"/>
      <c r="C789" s="133"/>
      <c r="D789" s="134"/>
      <c r="E789" s="134"/>
      <c r="F789" s="134"/>
      <c r="G789" s="134"/>
      <c r="H789" s="134"/>
      <c r="I789" s="134"/>
      <c r="J789" s="134"/>
      <c r="K789" s="134"/>
      <c r="L789" s="134"/>
      <c r="M789" s="135"/>
      <c r="N789" s="134"/>
      <c r="O789" s="134"/>
      <c r="P789" s="134"/>
      <c r="Q789" s="134"/>
      <c r="R789" s="134"/>
      <c r="S789" s="134"/>
      <c r="T789" s="134"/>
      <c r="U789" s="134"/>
      <c r="V789" s="134"/>
      <c r="W789" s="134"/>
      <c r="X789" s="134"/>
      <c r="Y789" s="135"/>
      <c r="Z789" s="135"/>
      <c r="AA789" s="136"/>
      <c r="AB789" s="136"/>
      <c r="AC789" s="137"/>
      <c r="AD789" s="137"/>
      <c r="AE789" s="137"/>
      <c r="AF789" s="137"/>
    </row>
    <row r="790" spans="2:32" s="1" customFormat="1" hidden="1">
      <c r="B790" s="2"/>
      <c r="C790" s="133"/>
      <c r="D790" s="134"/>
      <c r="E790" s="134"/>
      <c r="F790" s="134"/>
      <c r="G790" s="134"/>
      <c r="H790" s="134"/>
      <c r="I790" s="134"/>
      <c r="J790" s="134"/>
      <c r="K790" s="134"/>
      <c r="L790" s="134"/>
      <c r="M790" s="135"/>
      <c r="N790" s="134"/>
      <c r="O790" s="134"/>
      <c r="P790" s="134"/>
      <c r="Q790" s="134"/>
      <c r="R790" s="134"/>
      <c r="S790" s="134"/>
      <c r="T790" s="134"/>
      <c r="U790" s="134"/>
      <c r="V790" s="134"/>
      <c r="W790" s="134"/>
      <c r="X790" s="134"/>
      <c r="Y790" s="135"/>
      <c r="Z790" s="135"/>
      <c r="AA790" s="136"/>
      <c r="AB790" s="136"/>
      <c r="AC790" s="137"/>
      <c r="AD790" s="137"/>
      <c r="AE790" s="137"/>
      <c r="AF790" s="137"/>
    </row>
    <row r="791" spans="2:32" s="1" customFormat="1" hidden="1">
      <c r="B791" s="2"/>
      <c r="C791" s="133"/>
      <c r="D791" s="134"/>
      <c r="E791" s="134"/>
      <c r="F791" s="134"/>
      <c r="G791" s="134"/>
      <c r="H791" s="134"/>
      <c r="I791" s="134"/>
      <c r="J791" s="134"/>
      <c r="K791" s="134"/>
      <c r="L791" s="134"/>
      <c r="M791" s="135"/>
      <c r="N791" s="134"/>
      <c r="O791" s="134"/>
      <c r="P791" s="134"/>
      <c r="Q791" s="134"/>
      <c r="R791" s="134"/>
      <c r="S791" s="134"/>
      <c r="T791" s="134"/>
      <c r="U791" s="134"/>
      <c r="V791" s="134"/>
      <c r="W791" s="134"/>
      <c r="X791" s="134"/>
      <c r="Y791" s="135"/>
      <c r="Z791" s="135"/>
      <c r="AA791" s="136"/>
      <c r="AB791" s="136"/>
      <c r="AC791" s="137"/>
      <c r="AD791" s="137"/>
      <c r="AE791" s="137"/>
      <c r="AF791" s="137"/>
    </row>
    <row r="792" spans="2:32" s="1" customFormat="1" hidden="1">
      <c r="B792" s="2"/>
      <c r="C792" s="133"/>
      <c r="D792" s="134"/>
      <c r="E792" s="134"/>
      <c r="F792" s="134"/>
      <c r="G792" s="134"/>
      <c r="H792" s="134"/>
      <c r="I792" s="134"/>
      <c r="J792" s="134"/>
      <c r="K792" s="134"/>
      <c r="L792" s="134"/>
      <c r="M792" s="135"/>
      <c r="N792" s="134"/>
      <c r="O792" s="134"/>
      <c r="P792" s="134"/>
      <c r="Q792" s="134"/>
      <c r="R792" s="134"/>
      <c r="S792" s="134"/>
      <c r="T792" s="134"/>
      <c r="U792" s="134"/>
      <c r="V792" s="134"/>
      <c r="W792" s="134"/>
      <c r="X792" s="134"/>
      <c r="Y792" s="135"/>
      <c r="Z792" s="135"/>
      <c r="AA792" s="136"/>
      <c r="AB792" s="136"/>
      <c r="AC792" s="137"/>
      <c r="AD792" s="137"/>
      <c r="AE792" s="137"/>
      <c r="AF792" s="137"/>
    </row>
    <row r="793" spans="2:32" s="1" customFormat="1" hidden="1">
      <c r="B793" s="2"/>
      <c r="C793" s="133"/>
      <c r="D793" s="134"/>
      <c r="E793" s="134"/>
      <c r="F793" s="134"/>
      <c r="G793" s="134"/>
      <c r="H793" s="134"/>
      <c r="I793" s="134"/>
      <c r="J793" s="134"/>
      <c r="K793" s="134"/>
      <c r="L793" s="134"/>
      <c r="M793" s="135"/>
      <c r="N793" s="134"/>
      <c r="O793" s="134"/>
      <c r="P793" s="134"/>
      <c r="Q793" s="134"/>
      <c r="R793" s="134"/>
      <c r="S793" s="134"/>
      <c r="T793" s="134"/>
      <c r="U793" s="134"/>
      <c r="V793" s="134"/>
      <c r="W793" s="134"/>
      <c r="X793" s="134"/>
      <c r="Y793" s="135"/>
      <c r="Z793" s="135"/>
      <c r="AA793" s="136"/>
      <c r="AB793" s="136"/>
      <c r="AC793" s="137"/>
      <c r="AD793" s="137"/>
      <c r="AE793" s="137"/>
      <c r="AF793" s="137"/>
    </row>
    <row r="794" spans="2:32" s="1" customFormat="1" hidden="1">
      <c r="B794" s="2"/>
      <c r="C794" s="133"/>
      <c r="D794" s="134"/>
      <c r="E794" s="134"/>
      <c r="F794" s="134"/>
      <c r="G794" s="134"/>
      <c r="H794" s="134"/>
      <c r="I794" s="134"/>
      <c r="J794" s="134"/>
      <c r="K794" s="134"/>
      <c r="L794" s="134"/>
      <c r="M794" s="135"/>
      <c r="N794" s="134"/>
      <c r="O794" s="134"/>
      <c r="P794" s="134"/>
      <c r="Q794" s="134"/>
      <c r="R794" s="134"/>
      <c r="S794" s="134"/>
      <c r="T794" s="134"/>
      <c r="U794" s="134"/>
      <c r="V794" s="134"/>
      <c r="W794" s="134"/>
      <c r="X794" s="134"/>
      <c r="Y794" s="135"/>
      <c r="Z794" s="135"/>
      <c r="AA794" s="136"/>
      <c r="AB794" s="136"/>
      <c r="AC794" s="137"/>
      <c r="AD794" s="137"/>
      <c r="AE794" s="137"/>
      <c r="AF794" s="137"/>
    </row>
    <row r="795" spans="2:32" s="1" customFormat="1" hidden="1">
      <c r="B795" s="2"/>
      <c r="C795" s="133"/>
      <c r="D795" s="134"/>
      <c r="E795" s="134"/>
      <c r="F795" s="134"/>
      <c r="G795" s="134"/>
      <c r="H795" s="134"/>
      <c r="I795" s="134"/>
      <c r="J795" s="134"/>
      <c r="K795" s="134"/>
      <c r="L795" s="134"/>
      <c r="M795" s="135"/>
      <c r="N795" s="134"/>
      <c r="O795" s="134"/>
      <c r="P795" s="134"/>
      <c r="Q795" s="134"/>
      <c r="R795" s="134"/>
      <c r="S795" s="134"/>
      <c r="T795" s="134"/>
      <c r="U795" s="134"/>
      <c r="V795" s="134"/>
      <c r="W795" s="134"/>
      <c r="X795" s="134"/>
      <c r="Y795" s="135"/>
      <c r="Z795" s="135"/>
      <c r="AA795" s="136"/>
      <c r="AB795" s="136"/>
      <c r="AC795" s="137"/>
      <c r="AD795" s="137"/>
      <c r="AE795" s="137"/>
      <c r="AF795" s="137"/>
    </row>
    <row r="796" spans="2:32" s="1" customFormat="1" hidden="1">
      <c r="B796" s="2"/>
      <c r="C796" s="133"/>
      <c r="D796" s="134"/>
      <c r="E796" s="134"/>
      <c r="F796" s="134"/>
      <c r="G796" s="134"/>
      <c r="H796" s="134"/>
      <c r="I796" s="134"/>
      <c r="J796" s="134"/>
      <c r="K796" s="134"/>
      <c r="L796" s="134"/>
      <c r="M796" s="135"/>
      <c r="N796" s="134"/>
      <c r="O796" s="134"/>
      <c r="P796" s="134"/>
      <c r="Q796" s="134"/>
      <c r="R796" s="134"/>
      <c r="S796" s="134"/>
      <c r="T796" s="134"/>
      <c r="U796" s="134"/>
      <c r="V796" s="134"/>
      <c r="W796" s="134"/>
      <c r="X796" s="134"/>
      <c r="Y796" s="135"/>
      <c r="Z796" s="135"/>
      <c r="AA796" s="136"/>
      <c r="AB796" s="136"/>
      <c r="AC796" s="137"/>
      <c r="AD796" s="137"/>
      <c r="AE796" s="137"/>
      <c r="AF796" s="137"/>
    </row>
    <row r="797" spans="2:32" s="1" customFormat="1" hidden="1">
      <c r="B797" s="2"/>
      <c r="C797" s="133"/>
      <c r="D797" s="134"/>
      <c r="E797" s="134"/>
      <c r="F797" s="134"/>
      <c r="G797" s="134"/>
      <c r="H797" s="134"/>
      <c r="I797" s="134"/>
      <c r="J797" s="134"/>
      <c r="K797" s="134"/>
      <c r="L797" s="134"/>
      <c r="M797" s="135"/>
      <c r="N797" s="134"/>
      <c r="O797" s="134"/>
      <c r="P797" s="134"/>
      <c r="Q797" s="134"/>
      <c r="R797" s="134"/>
      <c r="S797" s="134"/>
      <c r="T797" s="134"/>
      <c r="U797" s="134"/>
      <c r="V797" s="134"/>
      <c r="W797" s="134"/>
      <c r="X797" s="134"/>
      <c r="Y797" s="135"/>
      <c r="Z797" s="135"/>
      <c r="AA797" s="136"/>
      <c r="AB797" s="136"/>
      <c r="AC797" s="137"/>
      <c r="AD797" s="137"/>
      <c r="AE797" s="137"/>
      <c r="AF797" s="137"/>
    </row>
    <row r="798" spans="2:32" s="1" customFormat="1" hidden="1">
      <c r="B798" s="2"/>
      <c r="C798" s="133"/>
      <c r="D798" s="134"/>
      <c r="E798" s="134"/>
      <c r="F798" s="134"/>
      <c r="G798" s="134"/>
      <c r="H798" s="134"/>
      <c r="I798" s="134"/>
      <c r="J798" s="134"/>
      <c r="K798" s="134"/>
      <c r="L798" s="134"/>
      <c r="M798" s="135"/>
      <c r="N798" s="134"/>
      <c r="O798" s="134"/>
      <c r="P798" s="134"/>
      <c r="Q798" s="134"/>
      <c r="R798" s="134"/>
      <c r="S798" s="134"/>
      <c r="T798" s="134"/>
      <c r="U798" s="134"/>
      <c r="V798" s="134"/>
      <c r="W798" s="134"/>
      <c r="X798" s="134"/>
      <c r="Y798" s="135"/>
      <c r="Z798" s="135"/>
      <c r="AA798" s="136"/>
      <c r="AB798" s="136"/>
      <c r="AC798" s="137"/>
      <c r="AD798" s="137"/>
      <c r="AE798" s="137"/>
      <c r="AF798" s="137"/>
    </row>
    <row r="799" spans="2:32" s="1" customFormat="1" hidden="1">
      <c r="B799" s="2"/>
      <c r="C799" s="133"/>
      <c r="D799" s="134"/>
      <c r="E799" s="134"/>
      <c r="F799" s="134"/>
      <c r="G799" s="134"/>
      <c r="H799" s="134"/>
      <c r="I799" s="134"/>
      <c r="J799" s="134"/>
      <c r="K799" s="134"/>
      <c r="L799" s="134"/>
      <c r="M799" s="135"/>
      <c r="N799" s="134"/>
      <c r="O799" s="134"/>
      <c r="P799" s="134"/>
      <c r="Q799" s="134"/>
      <c r="R799" s="134"/>
      <c r="S799" s="134"/>
      <c r="T799" s="134"/>
      <c r="U799" s="134"/>
      <c r="V799" s="134"/>
      <c r="W799" s="134"/>
      <c r="X799" s="134"/>
      <c r="Y799" s="135"/>
      <c r="Z799" s="135"/>
      <c r="AA799" s="136"/>
      <c r="AB799" s="136"/>
      <c r="AC799" s="137"/>
      <c r="AD799" s="137"/>
      <c r="AE799" s="137"/>
      <c r="AF799" s="137"/>
    </row>
    <row r="800" spans="2:32" s="1" customFormat="1" hidden="1">
      <c r="B800" s="2"/>
      <c r="C800" s="133"/>
      <c r="D800" s="134"/>
      <c r="E800" s="134"/>
      <c r="F800" s="134"/>
      <c r="G800" s="134"/>
      <c r="H800" s="134"/>
      <c r="I800" s="134"/>
      <c r="J800" s="134"/>
      <c r="K800" s="134"/>
      <c r="L800" s="134"/>
      <c r="M800" s="135"/>
      <c r="N800" s="134"/>
      <c r="O800" s="134"/>
      <c r="P800" s="134"/>
      <c r="Q800" s="134"/>
      <c r="R800" s="134"/>
      <c r="S800" s="134"/>
      <c r="T800" s="134"/>
      <c r="U800" s="134"/>
      <c r="V800" s="134"/>
      <c r="W800" s="134"/>
      <c r="X800" s="134"/>
      <c r="Y800" s="135"/>
      <c r="Z800" s="135"/>
      <c r="AA800" s="136"/>
      <c r="AB800" s="136"/>
      <c r="AC800" s="137"/>
      <c r="AD800" s="137"/>
      <c r="AE800" s="137"/>
      <c r="AF800" s="137"/>
    </row>
    <row r="801" spans="2:32" s="1" customFormat="1" hidden="1">
      <c r="B801" s="2"/>
      <c r="C801" s="133"/>
      <c r="D801" s="134"/>
      <c r="E801" s="134"/>
      <c r="F801" s="134"/>
      <c r="G801" s="134"/>
      <c r="H801" s="134"/>
      <c r="I801" s="134"/>
      <c r="J801" s="134"/>
      <c r="K801" s="134"/>
      <c r="L801" s="134"/>
      <c r="M801" s="135"/>
      <c r="N801" s="134"/>
      <c r="O801" s="134"/>
      <c r="P801" s="134"/>
      <c r="Q801" s="134"/>
      <c r="R801" s="134"/>
      <c r="S801" s="134"/>
      <c r="T801" s="134"/>
      <c r="U801" s="134"/>
      <c r="V801" s="134"/>
      <c r="W801" s="134"/>
      <c r="X801" s="134"/>
      <c r="Y801" s="135"/>
      <c r="Z801" s="135"/>
      <c r="AA801" s="136"/>
      <c r="AB801" s="136"/>
      <c r="AC801" s="137"/>
      <c r="AD801" s="137"/>
      <c r="AE801" s="137"/>
      <c r="AF801" s="137"/>
    </row>
    <row r="802" spans="2:32" s="1" customFormat="1" hidden="1">
      <c r="B802" s="2"/>
      <c r="C802" s="133"/>
      <c r="D802" s="134"/>
      <c r="E802" s="134"/>
      <c r="F802" s="134"/>
      <c r="G802" s="134"/>
      <c r="H802" s="134"/>
      <c r="I802" s="134"/>
      <c r="J802" s="134"/>
      <c r="K802" s="134"/>
      <c r="L802" s="134"/>
      <c r="M802" s="135"/>
      <c r="N802" s="134"/>
      <c r="O802" s="134"/>
      <c r="P802" s="134"/>
      <c r="Q802" s="134"/>
      <c r="R802" s="134"/>
      <c r="S802" s="134"/>
      <c r="T802" s="134"/>
      <c r="U802" s="134"/>
      <c r="V802" s="134"/>
      <c r="W802" s="134"/>
      <c r="X802" s="134"/>
      <c r="Y802" s="135"/>
      <c r="Z802" s="135"/>
      <c r="AA802" s="136"/>
      <c r="AB802" s="136"/>
      <c r="AC802" s="137"/>
      <c r="AD802" s="137"/>
      <c r="AE802" s="137"/>
      <c r="AF802" s="137"/>
    </row>
    <row r="803" spans="2:32" s="1" customFormat="1" hidden="1">
      <c r="B803" s="2"/>
      <c r="C803" s="133"/>
      <c r="D803" s="134"/>
      <c r="E803" s="134"/>
      <c r="F803" s="134"/>
      <c r="G803" s="134"/>
      <c r="H803" s="134"/>
      <c r="I803" s="134"/>
      <c r="J803" s="134"/>
      <c r="K803" s="134"/>
      <c r="L803" s="134"/>
      <c r="M803" s="135"/>
      <c r="N803" s="134"/>
      <c r="O803" s="134"/>
      <c r="P803" s="134"/>
      <c r="Q803" s="134"/>
      <c r="R803" s="134"/>
      <c r="S803" s="134"/>
      <c r="T803" s="134"/>
      <c r="U803" s="134"/>
      <c r="V803" s="134"/>
      <c r="W803" s="134"/>
      <c r="X803" s="134"/>
      <c r="Y803" s="135"/>
      <c r="Z803" s="135"/>
      <c r="AA803" s="136"/>
      <c r="AB803" s="136"/>
      <c r="AC803" s="137"/>
      <c r="AD803" s="137"/>
      <c r="AE803" s="137"/>
      <c r="AF803" s="137"/>
    </row>
    <row r="804" spans="2:32" s="1" customFormat="1" hidden="1">
      <c r="B804" s="2"/>
      <c r="C804" s="133"/>
      <c r="D804" s="134"/>
      <c r="E804" s="134"/>
      <c r="F804" s="134"/>
      <c r="G804" s="134"/>
      <c r="H804" s="134"/>
      <c r="I804" s="134"/>
      <c r="J804" s="134"/>
      <c r="K804" s="134"/>
      <c r="L804" s="134"/>
      <c r="M804" s="135"/>
      <c r="N804" s="134"/>
      <c r="O804" s="134"/>
      <c r="P804" s="134"/>
      <c r="Q804" s="134"/>
      <c r="R804" s="134"/>
      <c r="S804" s="134"/>
      <c r="T804" s="134"/>
      <c r="U804" s="134"/>
      <c r="V804" s="134"/>
      <c r="W804" s="134"/>
      <c r="X804" s="134"/>
      <c r="Y804" s="135"/>
      <c r="Z804" s="135"/>
      <c r="AA804" s="136"/>
      <c r="AB804" s="136"/>
      <c r="AC804" s="137"/>
      <c r="AD804" s="137"/>
      <c r="AE804" s="137"/>
      <c r="AF804" s="137"/>
    </row>
    <row r="805" spans="2:32" s="1" customFormat="1" hidden="1">
      <c r="B805" s="2"/>
      <c r="C805" s="133"/>
      <c r="D805" s="134"/>
      <c r="E805" s="134"/>
      <c r="F805" s="134"/>
      <c r="G805" s="134"/>
      <c r="H805" s="134"/>
      <c r="I805" s="134"/>
      <c r="J805" s="134"/>
      <c r="K805" s="134"/>
      <c r="L805" s="134"/>
      <c r="M805" s="135"/>
      <c r="N805" s="134"/>
      <c r="O805" s="134"/>
      <c r="P805" s="134"/>
      <c r="Q805" s="134"/>
      <c r="R805" s="134"/>
      <c r="S805" s="134"/>
      <c r="T805" s="134"/>
      <c r="U805" s="134"/>
      <c r="V805" s="134"/>
      <c r="W805" s="134"/>
      <c r="X805" s="134"/>
      <c r="Y805" s="135"/>
      <c r="Z805" s="135"/>
      <c r="AA805" s="136"/>
      <c r="AB805" s="136"/>
      <c r="AC805" s="137"/>
      <c r="AD805" s="137"/>
      <c r="AE805" s="137"/>
      <c r="AF805" s="137"/>
    </row>
    <row r="806" spans="2:32" s="1" customFormat="1" hidden="1">
      <c r="B806" s="2"/>
      <c r="C806" s="133"/>
      <c r="D806" s="134"/>
      <c r="E806" s="134"/>
      <c r="F806" s="134"/>
      <c r="G806" s="134"/>
      <c r="H806" s="134"/>
      <c r="I806" s="134"/>
      <c r="J806" s="134"/>
      <c r="K806" s="134"/>
      <c r="L806" s="134"/>
      <c r="M806" s="135"/>
      <c r="N806" s="134"/>
      <c r="O806" s="134"/>
      <c r="P806" s="134"/>
      <c r="Q806" s="134"/>
      <c r="R806" s="134"/>
      <c r="S806" s="134"/>
      <c r="T806" s="134"/>
      <c r="U806" s="134"/>
      <c r="V806" s="134"/>
      <c r="W806" s="134"/>
      <c r="X806" s="134"/>
      <c r="Y806" s="135"/>
      <c r="Z806" s="135"/>
      <c r="AA806" s="136"/>
      <c r="AB806" s="136"/>
      <c r="AC806" s="137"/>
      <c r="AD806" s="137"/>
      <c r="AE806" s="137"/>
      <c r="AF806" s="137"/>
    </row>
    <row r="807" spans="2:32" s="1" customFormat="1" hidden="1">
      <c r="B807" s="2"/>
      <c r="C807" s="133"/>
      <c r="D807" s="134"/>
      <c r="E807" s="134"/>
      <c r="F807" s="134"/>
      <c r="G807" s="134"/>
      <c r="H807" s="134"/>
      <c r="I807" s="134"/>
      <c r="J807" s="134"/>
      <c r="K807" s="134"/>
      <c r="L807" s="134"/>
      <c r="M807" s="135"/>
      <c r="N807" s="134"/>
      <c r="O807" s="134"/>
      <c r="P807" s="134"/>
      <c r="Q807" s="134"/>
      <c r="R807" s="134"/>
      <c r="S807" s="134"/>
      <c r="T807" s="134"/>
      <c r="U807" s="134"/>
      <c r="V807" s="134"/>
      <c r="W807" s="134"/>
      <c r="X807" s="134"/>
      <c r="Y807" s="135"/>
      <c r="Z807" s="135"/>
      <c r="AA807" s="136"/>
      <c r="AB807" s="136"/>
      <c r="AC807" s="137"/>
      <c r="AD807" s="137"/>
      <c r="AE807" s="137"/>
      <c r="AF807" s="137"/>
    </row>
    <row r="808" spans="2:32" s="1" customFormat="1" hidden="1">
      <c r="B808" s="2"/>
      <c r="C808" s="133"/>
      <c r="D808" s="134"/>
      <c r="E808" s="134"/>
      <c r="F808" s="134"/>
      <c r="G808" s="134"/>
      <c r="H808" s="134"/>
      <c r="I808" s="134"/>
      <c r="J808" s="134"/>
      <c r="K808" s="134"/>
      <c r="L808" s="134"/>
      <c r="M808" s="135"/>
      <c r="N808" s="134"/>
      <c r="O808" s="134"/>
      <c r="P808" s="134"/>
      <c r="Q808" s="134"/>
      <c r="R808" s="134"/>
      <c r="S808" s="134"/>
      <c r="T808" s="134"/>
      <c r="U808" s="134"/>
      <c r="V808" s="134"/>
      <c r="W808" s="134"/>
      <c r="X808" s="134"/>
      <c r="Y808" s="135"/>
      <c r="Z808" s="135"/>
      <c r="AA808" s="136"/>
      <c r="AB808" s="136"/>
      <c r="AC808" s="137"/>
      <c r="AD808" s="137"/>
      <c r="AE808" s="137"/>
      <c r="AF808" s="137"/>
    </row>
    <row r="809" spans="2:32" s="1" customFormat="1" hidden="1">
      <c r="B809" s="2"/>
      <c r="C809" s="133"/>
      <c r="D809" s="134"/>
      <c r="E809" s="134"/>
      <c r="F809" s="134"/>
      <c r="G809" s="134"/>
      <c r="H809" s="134"/>
      <c r="I809" s="134"/>
      <c r="J809" s="134"/>
      <c r="K809" s="134"/>
      <c r="L809" s="134"/>
      <c r="M809" s="135"/>
      <c r="N809" s="134"/>
      <c r="O809" s="134"/>
      <c r="P809" s="134"/>
      <c r="Q809" s="134"/>
      <c r="R809" s="134"/>
      <c r="S809" s="134"/>
      <c r="T809" s="134"/>
      <c r="U809" s="134"/>
      <c r="V809" s="134"/>
      <c r="W809" s="134"/>
      <c r="X809" s="134"/>
      <c r="Y809" s="135"/>
      <c r="Z809" s="135"/>
      <c r="AA809" s="136"/>
      <c r="AB809" s="136"/>
      <c r="AC809" s="137"/>
      <c r="AD809" s="137"/>
      <c r="AE809" s="137"/>
      <c r="AF809" s="137"/>
    </row>
    <row r="810" spans="2:32" s="1" customFormat="1" hidden="1">
      <c r="B810" s="2"/>
      <c r="C810" s="133"/>
      <c r="D810" s="134"/>
      <c r="E810" s="134"/>
      <c r="F810" s="134"/>
      <c r="G810" s="134"/>
      <c r="H810" s="134"/>
      <c r="I810" s="134"/>
      <c r="J810" s="134"/>
      <c r="K810" s="134"/>
      <c r="L810" s="134"/>
      <c r="M810" s="135"/>
      <c r="N810" s="134"/>
      <c r="O810" s="134"/>
      <c r="P810" s="134"/>
      <c r="Q810" s="134"/>
      <c r="R810" s="134"/>
      <c r="S810" s="134"/>
      <c r="T810" s="134"/>
      <c r="U810" s="134"/>
      <c r="V810" s="134"/>
      <c r="W810" s="134"/>
      <c r="X810" s="134"/>
      <c r="Y810" s="135"/>
      <c r="Z810" s="135"/>
      <c r="AA810" s="136"/>
      <c r="AB810" s="136"/>
      <c r="AC810" s="137"/>
      <c r="AD810" s="137"/>
      <c r="AE810" s="137"/>
      <c r="AF810" s="137"/>
    </row>
    <row r="811" spans="2:32" s="1" customFormat="1" hidden="1">
      <c r="B811" s="2"/>
      <c r="C811" s="133"/>
      <c r="D811" s="134"/>
      <c r="E811" s="134"/>
      <c r="F811" s="134"/>
      <c r="G811" s="134"/>
      <c r="H811" s="134"/>
      <c r="I811" s="134"/>
      <c r="J811" s="134"/>
      <c r="K811" s="134"/>
      <c r="L811" s="134"/>
      <c r="M811" s="135"/>
      <c r="N811" s="134"/>
      <c r="O811" s="134"/>
      <c r="P811" s="134"/>
      <c r="Q811" s="134"/>
      <c r="R811" s="134"/>
      <c r="S811" s="134"/>
      <c r="T811" s="134"/>
      <c r="U811" s="134"/>
      <c r="V811" s="134"/>
      <c r="W811" s="134"/>
      <c r="X811" s="134"/>
      <c r="Y811" s="135"/>
      <c r="Z811" s="135"/>
      <c r="AA811" s="136"/>
      <c r="AB811" s="136"/>
      <c r="AC811" s="137"/>
      <c r="AD811" s="137"/>
      <c r="AE811" s="137"/>
      <c r="AF811" s="137"/>
    </row>
    <row r="812" spans="2:32" s="1" customFormat="1" hidden="1">
      <c r="B812" s="2"/>
      <c r="C812" s="133"/>
      <c r="D812" s="134"/>
      <c r="E812" s="134"/>
      <c r="F812" s="134"/>
      <c r="G812" s="134"/>
      <c r="H812" s="134"/>
      <c r="I812" s="134"/>
      <c r="J812" s="134"/>
      <c r="K812" s="134"/>
      <c r="L812" s="134"/>
      <c r="M812" s="135"/>
      <c r="N812" s="134"/>
      <c r="O812" s="134"/>
      <c r="P812" s="134"/>
      <c r="Q812" s="134"/>
      <c r="R812" s="134"/>
      <c r="S812" s="134"/>
      <c r="T812" s="134"/>
      <c r="U812" s="134"/>
      <c r="V812" s="134"/>
      <c r="W812" s="134"/>
      <c r="X812" s="134"/>
      <c r="Y812" s="135"/>
      <c r="Z812" s="135"/>
      <c r="AA812" s="136"/>
      <c r="AB812" s="136"/>
      <c r="AC812" s="137"/>
      <c r="AD812" s="137"/>
      <c r="AE812" s="137"/>
      <c r="AF812" s="137"/>
    </row>
    <row r="813" spans="2:32" s="1" customFormat="1" hidden="1">
      <c r="B813" s="2"/>
      <c r="C813" s="133"/>
      <c r="D813" s="134"/>
      <c r="E813" s="134"/>
      <c r="F813" s="134"/>
      <c r="G813" s="134"/>
      <c r="H813" s="134"/>
      <c r="I813" s="134"/>
      <c r="J813" s="134"/>
      <c r="K813" s="134"/>
      <c r="L813" s="134"/>
      <c r="M813" s="135"/>
      <c r="N813" s="134"/>
      <c r="O813" s="134"/>
      <c r="P813" s="134"/>
      <c r="Q813" s="134"/>
      <c r="R813" s="134"/>
      <c r="S813" s="134"/>
      <c r="T813" s="134"/>
      <c r="U813" s="134"/>
      <c r="V813" s="134"/>
      <c r="W813" s="134"/>
      <c r="X813" s="134"/>
      <c r="Y813" s="135"/>
      <c r="Z813" s="135"/>
      <c r="AA813" s="136"/>
      <c r="AB813" s="136"/>
      <c r="AC813" s="137"/>
      <c r="AD813" s="137"/>
      <c r="AE813" s="137"/>
      <c r="AF813" s="137"/>
    </row>
    <row r="814" spans="2:32" s="1" customFormat="1" hidden="1">
      <c r="B814" s="2"/>
      <c r="C814" s="133"/>
      <c r="D814" s="134"/>
      <c r="E814" s="134"/>
      <c r="F814" s="134"/>
      <c r="G814" s="134"/>
      <c r="H814" s="134"/>
      <c r="I814" s="134"/>
      <c r="J814" s="134"/>
      <c r="K814" s="134"/>
      <c r="L814" s="134"/>
      <c r="M814" s="135"/>
      <c r="N814" s="134"/>
      <c r="O814" s="134"/>
      <c r="P814" s="134"/>
      <c r="Q814" s="134"/>
      <c r="R814" s="134"/>
      <c r="S814" s="134"/>
      <c r="T814" s="134"/>
      <c r="U814" s="134"/>
      <c r="V814" s="134"/>
      <c r="W814" s="134"/>
      <c r="X814" s="134"/>
      <c r="Y814" s="135"/>
      <c r="Z814" s="135"/>
      <c r="AA814" s="136"/>
      <c r="AB814" s="136"/>
      <c r="AC814" s="137"/>
      <c r="AD814" s="137"/>
      <c r="AE814" s="137"/>
      <c r="AF814" s="137"/>
    </row>
    <row r="815" spans="2:32" s="1" customFormat="1" hidden="1">
      <c r="B815" s="2"/>
      <c r="C815" s="133"/>
      <c r="D815" s="134"/>
      <c r="E815" s="134"/>
      <c r="F815" s="134"/>
      <c r="G815" s="134"/>
      <c r="H815" s="134"/>
      <c r="I815" s="134"/>
      <c r="J815" s="134"/>
      <c r="K815" s="134"/>
      <c r="L815" s="134"/>
      <c r="M815" s="135"/>
      <c r="N815" s="134"/>
      <c r="O815" s="134"/>
      <c r="P815" s="134"/>
      <c r="Q815" s="134"/>
      <c r="R815" s="134"/>
      <c r="S815" s="134"/>
      <c r="T815" s="134"/>
      <c r="U815" s="134"/>
      <c r="V815" s="134"/>
      <c r="W815" s="134"/>
      <c r="X815" s="134"/>
      <c r="Y815" s="135"/>
      <c r="Z815" s="135"/>
      <c r="AA815" s="136"/>
      <c r="AB815" s="136"/>
      <c r="AC815" s="137"/>
      <c r="AD815" s="137"/>
      <c r="AE815" s="137"/>
      <c r="AF815" s="137"/>
    </row>
    <row r="816" spans="2:32" s="1" customFormat="1" hidden="1">
      <c r="B816" s="2"/>
      <c r="C816" s="133"/>
      <c r="D816" s="134"/>
      <c r="E816" s="134"/>
      <c r="F816" s="134"/>
      <c r="G816" s="134"/>
      <c r="H816" s="134"/>
      <c r="I816" s="134"/>
      <c r="J816" s="134"/>
      <c r="K816" s="134"/>
      <c r="L816" s="134"/>
      <c r="M816" s="135"/>
      <c r="N816" s="134"/>
      <c r="O816" s="134"/>
      <c r="P816" s="134"/>
      <c r="Q816" s="134"/>
      <c r="R816" s="134"/>
      <c r="S816" s="134"/>
      <c r="T816" s="134"/>
      <c r="U816" s="134"/>
      <c r="V816" s="134"/>
      <c r="W816" s="134"/>
      <c r="X816" s="134"/>
      <c r="Y816" s="135"/>
      <c r="Z816" s="135"/>
      <c r="AA816" s="136"/>
      <c r="AB816" s="136"/>
      <c r="AC816" s="137"/>
      <c r="AD816" s="137"/>
      <c r="AE816" s="137"/>
      <c r="AF816" s="137"/>
    </row>
    <row r="817" spans="2:32" s="1" customFormat="1" hidden="1">
      <c r="B817" s="2"/>
      <c r="C817" s="133"/>
      <c r="D817" s="134"/>
      <c r="E817" s="134"/>
      <c r="F817" s="134"/>
      <c r="G817" s="134"/>
      <c r="H817" s="134"/>
      <c r="I817" s="134"/>
      <c r="J817" s="134"/>
      <c r="K817" s="134"/>
      <c r="L817" s="134"/>
      <c r="M817" s="135"/>
      <c r="N817" s="134"/>
      <c r="O817" s="134"/>
      <c r="P817" s="134"/>
      <c r="Q817" s="134"/>
      <c r="R817" s="134"/>
      <c r="S817" s="134"/>
      <c r="T817" s="134"/>
      <c r="U817" s="134"/>
      <c r="V817" s="134"/>
      <c r="W817" s="134"/>
      <c r="X817" s="134"/>
      <c r="Y817" s="135"/>
      <c r="Z817" s="135"/>
      <c r="AA817" s="136"/>
      <c r="AB817" s="136"/>
      <c r="AC817" s="137"/>
      <c r="AD817" s="137"/>
      <c r="AE817" s="137"/>
      <c r="AF817" s="137"/>
    </row>
    <row r="818" spans="2:32" s="1" customFormat="1" hidden="1">
      <c r="B818" s="2"/>
      <c r="C818" s="133"/>
      <c r="D818" s="134"/>
      <c r="E818" s="134"/>
      <c r="F818" s="134"/>
      <c r="G818" s="134"/>
      <c r="H818" s="134"/>
      <c r="I818" s="134"/>
      <c r="J818" s="134"/>
      <c r="K818" s="134"/>
      <c r="L818" s="134"/>
      <c r="M818" s="135"/>
      <c r="N818" s="134"/>
      <c r="O818" s="134"/>
      <c r="P818" s="134"/>
      <c r="Q818" s="134"/>
      <c r="R818" s="134"/>
      <c r="S818" s="134"/>
      <c r="T818" s="134"/>
      <c r="U818" s="134"/>
      <c r="V818" s="134"/>
      <c r="W818" s="134"/>
      <c r="X818" s="134"/>
      <c r="Y818" s="135"/>
      <c r="Z818" s="135"/>
      <c r="AA818" s="136"/>
      <c r="AB818" s="136"/>
      <c r="AC818" s="137"/>
      <c r="AD818" s="137"/>
      <c r="AE818" s="137"/>
      <c r="AF818" s="137"/>
    </row>
    <row r="819" spans="2:32" s="1" customFormat="1" hidden="1">
      <c r="B819" s="2"/>
      <c r="C819" s="133"/>
      <c r="D819" s="134"/>
      <c r="E819" s="134"/>
      <c r="F819" s="134"/>
      <c r="G819" s="134"/>
      <c r="H819" s="134"/>
      <c r="I819" s="134"/>
      <c r="J819" s="134"/>
      <c r="K819" s="134"/>
      <c r="L819" s="134"/>
      <c r="M819" s="135"/>
      <c r="N819" s="134"/>
      <c r="O819" s="134"/>
      <c r="P819" s="134"/>
      <c r="Q819" s="134"/>
      <c r="R819" s="134"/>
      <c r="S819" s="134"/>
      <c r="T819" s="134"/>
      <c r="U819" s="134"/>
      <c r="V819" s="134"/>
      <c r="W819" s="134"/>
      <c r="X819" s="134"/>
      <c r="Y819" s="135"/>
      <c r="Z819" s="135"/>
      <c r="AA819" s="136"/>
      <c r="AB819" s="136"/>
      <c r="AC819" s="137"/>
      <c r="AD819" s="137"/>
      <c r="AE819" s="137"/>
      <c r="AF819" s="137"/>
    </row>
    <row r="820" spans="2:32" s="1" customFormat="1" hidden="1">
      <c r="B820" s="2"/>
      <c r="C820" s="133"/>
      <c r="D820" s="134"/>
      <c r="E820" s="134"/>
      <c r="F820" s="134"/>
      <c r="G820" s="134"/>
      <c r="H820" s="134"/>
      <c r="I820" s="134"/>
      <c r="J820" s="134"/>
      <c r="K820" s="134"/>
      <c r="L820" s="134"/>
      <c r="M820" s="135"/>
      <c r="N820" s="134"/>
      <c r="O820" s="134"/>
      <c r="P820" s="134"/>
      <c r="Q820" s="134"/>
      <c r="R820" s="134"/>
      <c r="S820" s="134"/>
      <c r="T820" s="134"/>
      <c r="U820" s="134"/>
      <c r="V820" s="134"/>
      <c r="W820" s="134"/>
      <c r="X820" s="134"/>
      <c r="Y820" s="135"/>
      <c r="Z820" s="135"/>
      <c r="AA820" s="136"/>
      <c r="AB820" s="136"/>
      <c r="AC820" s="137"/>
      <c r="AD820" s="137"/>
      <c r="AE820" s="137"/>
      <c r="AF820" s="137"/>
    </row>
    <row r="821" spans="2:32" s="1" customFormat="1" hidden="1">
      <c r="B821" s="2"/>
      <c r="C821" s="133"/>
      <c r="D821" s="134"/>
      <c r="E821" s="134"/>
      <c r="F821" s="134"/>
      <c r="G821" s="134"/>
      <c r="H821" s="134"/>
      <c r="I821" s="134"/>
      <c r="J821" s="134"/>
      <c r="K821" s="134"/>
      <c r="L821" s="134"/>
      <c r="M821" s="135"/>
      <c r="N821" s="134"/>
      <c r="O821" s="134"/>
      <c r="P821" s="134"/>
      <c r="Q821" s="134"/>
      <c r="R821" s="134"/>
      <c r="S821" s="134"/>
      <c r="T821" s="134"/>
      <c r="U821" s="134"/>
      <c r="V821" s="134"/>
      <c r="W821" s="134"/>
      <c r="X821" s="134"/>
      <c r="Y821" s="135"/>
      <c r="Z821" s="135"/>
      <c r="AA821" s="136"/>
      <c r="AB821" s="136"/>
      <c r="AC821" s="137"/>
      <c r="AD821" s="137"/>
      <c r="AE821" s="137"/>
      <c r="AF821" s="137"/>
    </row>
    <row r="822" spans="2:32" s="1" customFormat="1" hidden="1">
      <c r="B822" s="2"/>
      <c r="C822" s="133"/>
      <c r="D822" s="134"/>
      <c r="E822" s="134"/>
      <c r="F822" s="134"/>
      <c r="G822" s="134"/>
      <c r="H822" s="134"/>
      <c r="I822" s="134"/>
      <c r="J822" s="134"/>
      <c r="K822" s="134"/>
      <c r="L822" s="134"/>
      <c r="M822" s="135"/>
      <c r="N822" s="134"/>
      <c r="O822" s="134"/>
      <c r="P822" s="134"/>
      <c r="Q822" s="134"/>
      <c r="R822" s="134"/>
      <c r="S822" s="134"/>
      <c r="T822" s="134"/>
      <c r="U822" s="134"/>
      <c r="V822" s="134"/>
      <c r="W822" s="134"/>
      <c r="X822" s="134"/>
      <c r="Y822" s="135"/>
      <c r="Z822" s="135"/>
      <c r="AA822" s="136"/>
      <c r="AB822" s="136"/>
      <c r="AC822" s="137"/>
      <c r="AD822" s="137"/>
      <c r="AE822" s="137"/>
      <c r="AF822" s="137"/>
    </row>
    <row r="823" spans="2:32" s="1" customFormat="1" hidden="1">
      <c r="B823" s="2"/>
      <c r="C823" s="133"/>
      <c r="D823" s="134"/>
      <c r="E823" s="134"/>
      <c r="F823" s="134"/>
      <c r="G823" s="134"/>
      <c r="H823" s="134"/>
      <c r="I823" s="134"/>
      <c r="J823" s="134"/>
      <c r="K823" s="134"/>
      <c r="L823" s="134"/>
      <c r="M823" s="135"/>
      <c r="N823" s="134"/>
      <c r="O823" s="134"/>
      <c r="P823" s="134"/>
      <c r="Q823" s="134"/>
      <c r="R823" s="134"/>
      <c r="S823" s="134"/>
      <c r="T823" s="134"/>
      <c r="U823" s="134"/>
      <c r="V823" s="134"/>
      <c r="W823" s="134"/>
      <c r="X823" s="134"/>
      <c r="Y823" s="135"/>
      <c r="Z823" s="135"/>
      <c r="AA823" s="136"/>
      <c r="AB823" s="136"/>
      <c r="AC823" s="137"/>
      <c r="AD823" s="137"/>
      <c r="AE823" s="137"/>
      <c r="AF823" s="137"/>
    </row>
    <row r="824" spans="2:32" s="1" customFormat="1" hidden="1">
      <c r="B824" s="2"/>
      <c r="C824" s="133"/>
      <c r="D824" s="134"/>
      <c r="E824" s="134"/>
      <c r="F824" s="134"/>
      <c r="G824" s="134"/>
      <c r="H824" s="134"/>
      <c r="I824" s="134"/>
      <c r="J824" s="134"/>
      <c r="K824" s="134"/>
      <c r="L824" s="134"/>
      <c r="M824" s="135"/>
      <c r="N824" s="134"/>
      <c r="O824" s="134"/>
      <c r="P824" s="134"/>
      <c r="Q824" s="134"/>
      <c r="R824" s="134"/>
      <c r="S824" s="134"/>
      <c r="T824" s="134"/>
      <c r="U824" s="134"/>
      <c r="V824" s="134"/>
      <c r="W824" s="134"/>
      <c r="X824" s="134"/>
      <c r="Y824" s="135"/>
      <c r="Z824" s="135"/>
      <c r="AA824" s="136"/>
      <c r="AB824" s="136"/>
      <c r="AC824" s="137"/>
      <c r="AD824" s="137"/>
      <c r="AE824" s="137"/>
      <c r="AF824" s="137"/>
    </row>
    <row r="825" spans="2:32" s="1" customFormat="1" hidden="1">
      <c r="B825" s="2"/>
      <c r="C825" s="133"/>
      <c r="D825" s="134"/>
      <c r="E825" s="134"/>
      <c r="F825" s="134"/>
      <c r="G825" s="134"/>
      <c r="H825" s="134"/>
      <c r="I825" s="134"/>
      <c r="J825" s="134"/>
      <c r="K825" s="134"/>
      <c r="L825" s="134"/>
      <c r="M825" s="135"/>
      <c r="N825" s="134"/>
      <c r="O825" s="134"/>
      <c r="P825" s="134"/>
      <c r="Q825" s="134"/>
      <c r="R825" s="134"/>
      <c r="S825" s="134"/>
      <c r="T825" s="134"/>
      <c r="U825" s="134"/>
      <c r="V825" s="134"/>
      <c r="W825" s="134"/>
      <c r="X825" s="134"/>
      <c r="Y825" s="135"/>
      <c r="Z825" s="135"/>
      <c r="AA825" s="136"/>
      <c r="AB825" s="136"/>
      <c r="AC825" s="137"/>
      <c r="AD825" s="137"/>
      <c r="AE825" s="137"/>
      <c r="AF825" s="137"/>
    </row>
    <row r="826" spans="2:32" s="1" customFormat="1" hidden="1">
      <c r="B826" s="2"/>
      <c r="C826" s="133"/>
      <c r="D826" s="134"/>
      <c r="E826" s="134"/>
      <c r="F826" s="134"/>
      <c r="G826" s="134"/>
      <c r="H826" s="134"/>
      <c r="I826" s="134"/>
      <c r="J826" s="134"/>
      <c r="K826" s="134"/>
      <c r="L826" s="134"/>
      <c r="M826" s="135"/>
      <c r="N826" s="134"/>
      <c r="O826" s="134"/>
      <c r="P826" s="134"/>
      <c r="Q826" s="134"/>
      <c r="R826" s="134"/>
      <c r="S826" s="134"/>
      <c r="T826" s="134"/>
      <c r="U826" s="134"/>
      <c r="V826" s="134"/>
      <c r="W826" s="134"/>
      <c r="X826" s="134"/>
      <c r="Y826" s="135"/>
      <c r="Z826" s="135"/>
      <c r="AA826" s="136"/>
      <c r="AB826" s="136"/>
      <c r="AC826" s="137"/>
      <c r="AD826" s="137"/>
      <c r="AE826" s="137"/>
      <c r="AF826" s="137"/>
    </row>
    <row r="827" spans="2:32" s="1" customFormat="1" hidden="1">
      <c r="B827" s="2"/>
      <c r="C827" s="133"/>
      <c r="D827" s="134"/>
      <c r="E827" s="134"/>
      <c r="F827" s="134"/>
      <c r="G827" s="134"/>
      <c r="H827" s="134"/>
      <c r="I827" s="134"/>
      <c r="J827" s="134"/>
      <c r="K827" s="134"/>
      <c r="L827" s="134"/>
      <c r="M827" s="135"/>
      <c r="N827" s="134"/>
      <c r="O827" s="134"/>
      <c r="P827" s="134"/>
      <c r="Q827" s="134"/>
      <c r="R827" s="134"/>
      <c r="S827" s="134"/>
      <c r="T827" s="134"/>
      <c r="U827" s="134"/>
      <c r="V827" s="134"/>
      <c r="W827" s="134"/>
      <c r="X827" s="134"/>
      <c r="Y827" s="135"/>
      <c r="Z827" s="135"/>
      <c r="AA827" s="136"/>
      <c r="AB827" s="136"/>
      <c r="AC827" s="137"/>
      <c r="AD827" s="137"/>
      <c r="AE827" s="137"/>
      <c r="AF827" s="137"/>
    </row>
    <row r="828" spans="2:32" s="1" customFormat="1" hidden="1">
      <c r="B828" s="2"/>
      <c r="C828" s="133"/>
      <c r="D828" s="134"/>
      <c r="E828" s="134"/>
      <c r="F828" s="134"/>
      <c r="G828" s="134"/>
      <c r="H828" s="134"/>
      <c r="I828" s="134"/>
      <c r="J828" s="134"/>
      <c r="K828" s="134"/>
      <c r="L828" s="134"/>
      <c r="M828" s="135"/>
      <c r="N828" s="134"/>
      <c r="O828" s="134"/>
      <c r="P828" s="134"/>
      <c r="Q828" s="134"/>
      <c r="R828" s="134"/>
      <c r="S828" s="134"/>
      <c r="T828" s="134"/>
      <c r="U828" s="134"/>
      <c r="V828" s="134"/>
      <c r="W828" s="134"/>
      <c r="X828" s="134"/>
      <c r="Y828" s="135"/>
      <c r="Z828" s="135"/>
      <c r="AA828" s="136"/>
      <c r="AB828" s="136"/>
      <c r="AC828" s="137"/>
      <c r="AD828" s="137"/>
      <c r="AE828" s="137"/>
      <c r="AF828" s="137"/>
    </row>
    <row r="829" spans="2:32" s="1" customFormat="1" hidden="1">
      <c r="B829" s="2"/>
      <c r="C829" s="133"/>
      <c r="D829" s="134"/>
      <c r="E829" s="134"/>
      <c r="F829" s="134"/>
      <c r="G829" s="134"/>
      <c r="H829" s="134"/>
      <c r="I829" s="134"/>
      <c r="J829" s="134"/>
      <c r="K829" s="134"/>
      <c r="L829" s="134"/>
      <c r="M829" s="135"/>
      <c r="N829" s="134"/>
      <c r="O829" s="134"/>
      <c r="P829" s="134"/>
      <c r="Q829" s="134"/>
      <c r="R829" s="134"/>
      <c r="S829" s="134"/>
      <c r="T829" s="134"/>
      <c r="U829" s="134"/>
      <c r="V829" s="134"/>
      <c r="W829" s="134"/>
      <c r="X829" s="134"/>
      <c r="Y829" s="135"/>
      <c r="Z829" s="135"/>
      <c r="AA829" s="136"/>
      <c r="AB829" s="136"/>
      <c r="AC829" s="137"/>
      <c r="AD829" s="137"/>
      <c r="AE829" s="137"/>
      <c r="AF829" s="137"/>
    </row>
    <row r="830" spans="2:32" s="1" customFormat="1" hidden="1">
      <c r="B830" s="2"/>
      <c r="C830" s="133"/>
      <c r="D830" s="134"/>
      <c r="E830" s="134"/>
      <c r="F830" s="134"/>
      <c r="G830" s="134"/>
      <c r="H830" s="134"/>
      <c r="I830" s="134"/>
      <c r="J830" s="134"/>
      <c r="K830" s="134"/>
      <c r="L830" s="134"/>
      <c r="M830" s="135"/>
      <c r="N830" s="134"/>
      <c r="O830" s="134"/>
      <c r="P830" s="134"/>
      <c r="Q830" s="134"/>
      <c r="R830" s="134"/>
      <c r="S830" s="134"/>
      <c r="T830" s="134"/>
      <c r="U830" s="134"/>
      <c r="V830" s="134"/>
      <c r="W830" s="134"/>
      <c r="X830" s="134"/>
      <c r="Y830" s="135"/>
      <c r="Z830" s="135"/>
      <c r="AA830" s="136"/>
      <c r="AB830" s="136"/>
      <c r="AC830" s="137"/>
      <c r="AD830" s="137"/>
      <c r="AE830" s="137"/>
      <c r="AF830" s="137"/>
    </row>
    <row r="831" spans="2:32" s="1" customFormat="1" hidden="1">
      <c r="B831" s="2"/>
      <c r="C831" s="133"/>
      <c r="D831" s="134"/>
      <c r="E831" s="134"/>
      <c r="F831" s="134"/>
      <c r="G831" s="134"/>
      <c r="H831" s="134"/>
      <c r="I831" s="134"/>
      <c r="J831" s="134"/>
      <c r="K831" s="134"/>
      <c r="L831" s="134"/>
      <c r="M831" s="135"/>
      <c r="N831" s="134"/>
      <c r="O831" s="134"/>
      <c r="P831" s="134"/>
      <c r="Q831" s="134"/>
      <c r="R831" s="134"/>
      <c r="S831" s="134"/>
      <c r="T831" s="134"/>
      <c r="U831" s="134"/>
      <c r="V831" s="134"/>
      <c r="W831" s="134"/>
      <c r="X831" s="134"/>
      <c r="Y831" s="135"/>
      <c r="Z831" s="135"/>
      <c r="AA831" s="136"/>
      <c r="AB831" s="136"/>
      <c r="AC831" s="137"/>
      <c r="AD831" s="137"/>
      <c r="AE831" s="137"/>
      <c r="AF831" s="137"/>
    </row>
    <row r="832" spans="2:32" s="1" customFormat="1" hidden="1">
      <c r="B832" s="2"/>
      <c r="C832" s="133"/>
      <c r="D832" s="134"/>
      <c r="E832" s="134"/>
      <c r="F832" s="134"/>
      <c r="G832" s="134"/>
      <c r="H832" s="134"/>
      <c r="I832" s="134"/>
      <c r="J832" s="134"/>
      <c r="K832" s="134"/>
      <c r="L832" s="134"/>
      <c r="M832" s="135"/>
      <c r="N832" s="134"/>
      <c r="O832" s="134"/>
      <c r="P832" s="134"/>
      <c r="Q832" s="134"/>
      <c r="R832" s="134"/>
      <c r="S832" s="134"/>
      <c r="T832" s="134"/>
      <c r="U832" s="134"/>
      <c r="V832" s="134"/>
      <c r="W832" s="134"/>
      <c r="X832" s="134"/>
      <c r="Y832" s="135"/>
      <c r="Z832" s="135"/>
      <c r="AA832" s="136"/>
      <c r="AB832" s="136"/>
      <c r="AC832" s="137"/>
      <c r="AD832" s="137"/>
      <c r="AE832" s="137"/>
      <c r="AF832" s="137"/>
    </row>
    <row r="833" spans="2:32" s="1" customFormat="1" hidden="1">
      <c r="B833" s="2"/>
      <c r="C833" s="133"/>
      <c r="D833" s="134"/>
      <c r="E833" s="134"/>
      <c r="F833" s="134"/>
      <c r="G833" s="134"/>
      <c r="H833" s="134"/>
      <c r="I833" s="134"/>
      <c r="J833" s="134"/>
      <c r="K833" s="134"/>
      <c r="L833" s="134"/>
      <c r="M833" s="135"/>
      <c r="N833" s="134"/>
      <c r="O833" s="134"/>
      <c r="P833" s="134"/>
      <c r="Q833" s="134"/>
      <c r="R833" s="134"/>
      <c r="S833" s="134"/>
      <c r="T833" s="134"/>
      <c r="U833" s="134"/>
      <c r="V833" s="134"/>
      <c r="W833" s="134"/>
      <c r="X833" s="134"/>
      <c r="Y833" s="135"/>
      <c r="Z833" s="135"/>
      <c r="AA833" s="136"/>
      <c r="AB833" s="136"/>
      <c r="AC833" s="137"/>
      <c r="AD833" s="137"/>
      <c r="AE833" s="137"/>
      <c r="AF833" s="137"/>
    </row>
    <row r="834" spans="2:32" s="1" customFormat="1" hidden="1">
      <c r="B834" s="2"/>
      <c r="C834" s="133"/>
      <c r="D834" s="134"/>
      <c r="E834" s="134"/>
      <c r="F834" s="134"/>
      <c r="G834" s="134"/>
      <c r="H834" s="134"/>
      <c r="I834" s="134"/>
      <c r="J834" s="134"/>
      <c r="K834" s="134"/>
      <c r="L834" s="134"/>
      <c r="M834" s="135"/>
      <c r="N834" s="134"/>
      <c r="O834" s="134"/>
      <c r="P834" s="134"/>
      <c r="Q834" s="134"/>
      <c r="R834" s="134"/>
      <c r="S834" s="134"/>
      <c r="T834" s="134"/>
      <c r="U834" s="134"/>
      <c r="V834" s="134"/>
      <c r="W834" s="134"/>
      <c r="X834" s="134"/>
      <c r="Y834" s="135"/>
      <c r="Z834" s="135"/>
      <c r="AA834" s="136"/>
      <c r="AB834" s="136"/>
      <c r="AC834" s="137"/>
      <c r="AD834" s="137"/>
      <c r="AE834" s="137"/>
      <c r="AF834" s="137"/>
    </row>
    <row r="835" spans="2:32" s="1" customFormat="1" hidden="1">
      <c r="B835" s="2"/>
      <c r="C835" s="133"/>
      <c r="D835" s="134"/>
      <c r="E835" s="134"/>
      <c r="F835" s="134"/>
      <c r="G835" s="134"/>
      <c r="H835" s="134"/>
      <c r="I835" s="134"/>
      <c r="J835" s="134"/>
      <c r="K835" s="134"/>
      <c r="L835" s="134"/>
      <c r="M835" s="135"/>
      <c r="N835" s="134"/>
      <c r="O835" s="134"/>
      <c r="P835" s="134"/>
      <c r="Q835" s="134"/>
      <c r="R835" s="134"/>
      <c r="S835" s="134"/>
      <c r="T835" s="134"/>
      <c r="U835" s="134"/>
      <c r="V835" s="134"/>
      <c r="W835" s="134"/>
      <c r="X835" s="134"/>
      <c r="Y835" s="135"/>
      <c r="Z835" s="135"/>
      <c r="AA835" s="136"/>
      <c r="AB835" s="136"/>
      <c r="AC835" s="137"/>
      <c r="AD835" s="137"/>
      <c r="AE835" s="137"/>
      <c r="AF835" s="137"/>
    </row>
    <row r="836" spans="2:32" s="1" customFormat="1" hidden="1">
      <c r="B836" s="2"/>
      <c r="C836" s="133"/>
      <c r="D836" s="134"/>
      <c r="E836" s="134"/>
      <c r="F836" s="134"/>
      <c r="G836" s="134"/>
      <c r="H836" s="134"/>
      <c r="I836" s="134"/>
      <c r="J836" s="134"/>
      <c r="K836" s="134"/>
      <c r="L836" s="134"/>
      <c r="M836" s="135"/>
      <c r="N836" s="134"/>
      <c r="O836" s="134"/>
      <c r="P836" s="134"/>
      <c r="Q836" s="134"/>
      <c r="R836" s="134"/>
      <c r="S836" s="134"/>
      <c r="T836" s="134"/>
      <c r="U836" s="134"/>
      <c r="V836" s="134"/>
      <c r="W836" s="134"/>
      <c r="X836" s="134"/>
      <c r="Y836" s="135"/>
      <c r="Z836" s="135"/>
      <c r="AA836" s="136"/>
      <c r="AB836" s="136"/>
      <c r="AC836" s="137"/>
      <c r="AD836" s="137"/>
      <c r="AE836" s="137"/>
      <c r="AF836" s="137"/>
    </row>
    <row r="837" spans="2:32" s="1" customFormat="1" hidden="1">
      <c r="B837" s="2"/>
      <c r="C837" s="133"/>
      <c r="D837" s="134"/>
      <c r="E837" s="134"/>
      <c r="F837" s="134"/>
      <c r="G837" s="134"/>
      <c r="H837" s="134"/>
      <c r="I837" s="134"/>
      <c r="J837" s="134"/>
      <c r="K837" s="134"/>
      <c r="L837" s="134"/>
      <c r="M837" s="135"/>
      <c r="N837" s="134"/>
      <c r="O837" s="134"/>
      <c r="P837" s="134"/>
      <c r="Q837" s="134"/>
      <c r="R837" s="134"/>
      <c r="S837" s="134"/>
      <c r="T837" s="134"/>
      <c r="U837" s="134"/>
      <c r="V837" s="134"/>
      <c r="W837" s="134"/>
      <c r="X837" s="134"/>
      <c r="Y837" s="135"/>
      <c r="Z837" s="135"/>
      <c r="AA837" s="136"/>
      <c r="AB837" s="136"/>
      <c r="AC837" s="137"/>
      <c r="AD837" s="137"/>
      <c r="AE837" s="137"/>
      <c r="AF837" s="137"/>
    </row>
    <row r="838" spans="2:32" s="1" customFormat="1" hidden="1">
      <c r="B838" s="2"/>
      <c r="C838" s="133"/>
      <c r="D838" s="134"/>
      <c r="E838" s="134"/>
      <c r="F838" s="134"/>
      <c r="G838" s="134"/>
      <c r="H838" s="134"/>
      <c r="I838" s="134"/>
      <c r="J838" s="134"/>
      <c r="K838" s="134"/>
      <c r="L838" s="134"/>
      <c r="M838" s="135"/>
      <c r="N838" s="134"/>
      <c r="O838" s="134"/>
      <c r="P838" s="134"/>
      <c r="Q838" s="134"/>
      <c r="R838" s="134"/>
      <c r="S838" s="134"/>
      <c r="T838" s="134"/>
      <c r="U838" s="134"/>
      <c r="V838" s="134"/>
      <c r="W838" s="134"/>
      <c r="X838" s="134"/>
      <c r="Y838" s="135"/>
      <c r="Z838" s="135"/>
      <c r="AA838" s="136"/>
      <c r="AB838" s="136"/>
      <c r="AC838" s="137"/>
      <c r="AD838" s="137"/>
      <c r="AE838" s="137"/>
      <c r="AF838" s="137"/>
    </row>
    <row r="839" spans="2:32" s="1" customFormat="1" hidden="1">
      <c r="B839" s="2"/>
      <c r="C839" s="133"/>
      <c r="D839" s="134"/>
      <c r="E839" s="134"/>
      <c r="F839" s="134"/>
      <c r="G839" s="134"/>
      <c r="H839" s="134"/>
      <c r="I839" s="134"/>
      <c r="J839" s="134"/>
      <c r="K839" s="134"/>
      <c r="L839" s="134"/>
      <c r="M839" s="135"/>
      <c r="N839" s="134"/>
      <c r="O839" s="134"/>
      <c r="P839" s="134"/>
      <c r="Q839" s="134"/>
      <c r="R839" s="134"/>
      <c r="S839" s="134"/>
      <c r="T839" s="134"/>
      <c r="U839" s="134"/>
      <c r="V839" s="134"/>
      <c r="W839" s="134"/>
      <c r="X839" s="134"/>
      <c r="Y839" s="135"/>
      <c r="Z839" s="135"/>
      <c r="AA839" s="136"/>
      <c r="AB839" s="136"/>
      <c r="AC839" s="137"/>
      <c r="AD839" s="137"/>
      <c r="AE839" s="137"/>
      <c r="AF839" s="137"/>
    </row>
    <row r="840" spans="2:32" s="1" customFormat="1" hidden="1">
      <c r="B840" s="2"/>
      <c r="C840" s="133"/>
      <c r="D840" s="134"/>
      <c r="E840" s="134"/>
      <c r="F840" s="134"/>
      <c r="G840" s="134"/>
      <c r="H840" s="134"/>
      <c r="I840" s="134"/>
      <c r="J840" s="134"/>
      <c r="K840" s="134"/>
      <c r="L840" s="134"/>
      <c r="M840" s="135"/>
      <c r="N840" s="134"/>
      <c r="O840" s="134"/>
      <c r="P840" s="134"/>
      <c r="Q840" s="134"/>
      <c r="R840" s="134"/>
      <c r="S840" s="134"/>
      <c r="T840" s="134"/>
      <c r="U840" s="134"/>
      <c r="V840" s="134"/>
      <c r="W840" s="134"/>
      <c r="X840" s="134"/>
      <c r="Y840" s="135"/>
      <c r="Z840" s="135"/>
      <c r="AA840" s="136"/>
      <c r="AB840" s="136"/>
      <c r="AC840" s="137"/>
      <c r="AD840" s="137"/>
      <c r="AE840" s="137"/>
      <c r="AF840" s="137"/>
    </row>
    <row r="841" spans="2:32" s="1" customFormat="1" hidden="1">
      <c r="B841" s="2"/>
      <c r="C841" s="133"/>
      <c r="D841" s="134"/>
      <c r="E841" s="134"/>
      <c r="F841" s="134"/>
      <c r="G841" s="134"/>
      <c r="H841" s="134"/>
      <c r="I841" s="134"/>
      <c r="J841" s="134"/>
      <c r="K841" s="134"/>
      <c r="L841" s="134"/>
      <c r="M841" s="135"/>
      <c r="N841" s="134"/>
      <c r="O841" s="134"/>
      <c r="P841" s="134"/>
      <c r="Q841" s="134"/>
      <c r="R841" s="134"/>
      <c r="S841" s="134"/>
      <c r="T841" s="134"/>
      <c r="U841" s="134"/>
      <c r="V841" s="134"/>
      <c r="W841" s="134"/>
      <c r="X841" s="134"/>
      <c r="Y841" s="135"/>
      <c r="Z841" s="135"/>
      <c r="AA841" s="136"/>
      <c r="AB841" s="136"/>
      <c r="AC841" s="137"/>
      <c r="AD841" s="137"/>
      <c r="AE841" s="137"/>
      <c r="AF841" s="137"/>
    </row>
    <row r="842" spans="2:32" s="1" customFormat="1" hidden="1">
      <c r="B842" s="2"/>
      <c r="C842" s="133"/>
      <c r="D842" s="134"/>
      <c r="E842" s="134"/>
      <c r="F842" s="134"/>
      <c r="G842" s="134"/>
      <c r="H842" s="134"/>
      <c r="I842" s="134"/>
      <c r="J842" s="134"/>
      <c r="K842" s="134"/>
      <c r="L842" s="134"/>
      <c r="M842" s="135"/>
      <c r="N842" s="134"/>
      <c r="O842" s="134"/>
      <c r="P842" s="134"/>
      <c r="Q842" s="134"/>
      <c r="R842" s="134"/>
      <c r="S842" s="134"/>
      <c r="T842" s="134"/>
      <c r="U842" s="134"/>
      <c r="V842" s="134"/>
      <c r="W842" s="134"/>
      <c r="X842" s="134"/>
      <c r="Y842" s="135"/>
      <c r="Z842" s="135"/>
      <c r="AA842" s="136"/>
      <c r="AB842" s="136"/>
      <c r="AC842" s="137"/>
      <c r="AD842" s="137"/>
      <c r="AE842" s="137"/>
      <c r="AF842" s="137"/>
    </row>
    <row r="843" spans="2:32" s="1" customFormat="1" hidden="1">
      <c r="B843" s="2"/>
      <c r="C843" s="133"/>
      <c r="D843" s="134"/>
      <c r="E843" s="134"/>
      <c r="F843" s="134"/>
      <c r="G843" s="134"/>
      <c r="H843" s="134"/>
      <c r="I843" s="134"/>
      <c r="J843" s="134"/>
      <c r="K843" s="134"/>
      <c r="L843" s="134"/>
      <c r="M843" s="135"/>
      <c r="N843" s="134"/>
      <c r="O843" s="134"/>
      <c r="P843" s="134"/>
      <c r="Q843" s="134"/>
      <c r="R843" s="134"/>
      <c r="S843" s="134"/>
      <c r="T843" s="134"/>
      <c r="U843" s="134"/>
      <c r="V843" s="134"/>
      <c r="W843" s="134"/>
      <c r="X843" s="134"/>
      <c r="Y843" s="135"/>
      <c r="Z843" s="135"/>
      <c r="AA843" s="136"/>
      <c r="AB843" s="136"/>
      <c r="AC843" s="137"/>
      <c r="AD843" s="137"/>
      <c r="AE843" s="137"/>
      <c r="AF843" s="137"/>
    </row>
    <row r="844" spans="2:32" s="1" customFormat="1" hidden="1">
      <c r="B844" s="2"/>
      <c r="C844" s="133"/>
      <c r="D844" s="134"/>
      <c r="E844" s="134"/>
      <c r="F844" s="134"/>
      <c r="G844" s="134"/>
      <c r="H844" s="134"/>
      <c r="I844" s="134"/>
      <c r="J844" s="134"/>
      <c r="K844" s="134"/>
      <c r="L844" s="134"/>
      <c r="M844" s="135"/>
      <c r="N844" s="134"/>
      <c r="O844" s="134"/>
      <c r="P844" s="134"/>
      <c r="Q844" s="134"/>
      <c r="R844" s="134"/>
      <c r="S844" s="134"/>
      <c r="T844" s="134"/>
      <c r="U844" s="134"/>
      <c r="V844" s="134"/>
      <c r="W844" s="134"/>
      <c r="X844" s="134"/>
      <c r="Y844" s="135"/>
      <c r="Z844" s="135"/>
      <c r="AA844" s="136"/>
      <c r="AB844" s="136"/>
      <c r="AC844" s="137"/>
      <c r="AD844" s="137"/>
      <c r="AE844" s="137"/>
      <c r="AF844" s="137"/>
    </row>
    <row r="845" spans="2:32" s="1" customFormat="1" hidden="1">
      <c r="B845" s="2"/>
      <c r="C845" s="133"/>
      <c r="D845" s="134"/>
      <c r="E845" s="134"/>
      <c r="F845" s="134"/>
      <c r="G845" s="134"/>
      <c r="H845" s="134"/>
      <c r="I845" s="134"/>
      <c r="J845" s="134"/>
      <c r="K845" s="134"/>
      <c r="L845" s="134"/>
      <c r="M845" s="135"/>
      <c r="N845" s="134"/>
      <c r="O845" s="134"/>
      <c r="P845" s="134"/>
      <c r="Q845" s="134"/>
      <c r="R845" s="134"/>
      <c r="S845" s="134"/>
      <c r="T845" s="134"/>
      <c r="U845" s="134"/>
      <c r="V845" s="134"/>
      <c r="W845" s="134"/>
      <c r="X845" s="134"/>
      <c r="Y845" s="135"/>
      <c r="Z845" s="135"/>
      <c r="AA845" s="136"/>
      <c r="AB845" s="136"/>
      <c r="AC845" s="137"/>
      <c r="AD845" s="137"/>
      <c r="AE845" s="137"/>
      <c r="AF845" s="137"/>
    </row>
    <row r="846" spans="2:32" s="1" customFormat="1" hidden="1">
      <c r="B846" s="2"/>
      <c r="C846" s="133"/>
      <c r="D846" s="134"/>
      <c r="E846" s="134"/>
      <c r="F846" s="134"/>
      <c r="G846" s="134"/>
      <c r="H846" s="134"/>
      <c r="I846" s="134"/>
      <c r="J846" s="134"/>
      <c r="K846" s="134"/>
      <c r="L846" s="134"/>
      <c r="M846" s="135"/>
      <c r="N846" s="134"/>
      <c r="O846" s="134"/>
      <c r="P846" s="134"/>
      <c r="Q846" s="134"/>
      <c r="R846" s="134"/>
      <c r="S846" s="134"/>
      <c r="T846" s="134"/>
      <c r="U846" s="134"/>
      <c r="V846" s="134"/>
      <c r="W846" s="134"/>
      <c r="X846" s="134"/>
      <c r="Y846" s="135"/>
      <c r="Z846" s="135"/>
      <c r="AA846" s="136"/>
      <c r="AB846" s="136"/>
      <c r="AC846" s="137"/>
      <c r="AD846" s="137"/>
      <c r="AE846" s="137"/>
      <c r="AF846" s="137"/>
    </row>
    <row r="847" spans="2:32" s="1" customFormat="1" hidden="1">
      <c r="B847" s="2"/>
      <c r="C847" s="133"/>
      <c r="D847" s="134"/>
      <c r="E847" s="134"/>
      <c r="F847" s="134"/>
      <c r="G847" s="134"/>
      <c r="H847" s="134"/>
      <c r="I847" s="134"/>
      <c r="J847" s="134"/>
      <c r="K847" s="134"/>
      <c r="L847" s="134"/>
      <c r="M847" s="135"/>
      <c r="N847" s="134"/>
      <c r="O847" s="134"/>
      <c r="P847" s="134"/>
      <c r="Q847" s="134"/>
      <c r="R847" s="134"/>
      <c r="S847" s="134"/>
      <c r="T847" s="134"/>
      <c r="U847" s="134"/>
      <c r="V847" s="134"/>
      <c r="W847" s="134"/>
      <c r="X847" s="134"/>
      <c r="Y847" s="135"/>
      <c r="Z847" s="135"/>
      <c r="AA847" s="136"/>
      <c r="AB847" s="136"/>
      <c r="AC847" s="137"/>
      <c r="AD847" s="137"/>
      <c r="AE847" s="137"/>
      <c r="AF847" s="137"/>
    </row>
    <row r="848" spans="2:32" s="1" customFormat="1" hidden="1">
      <c r="B848" s="2"/>
      <c r="C848" s="133"/>
      <c r="D848" s="134"/>
      <c r="E848" s="134"/>
      <c r="F848" s="134"/>
      <c r="G848" s="134"/>
      <c r="H848" s="134"/>
      <c r="I848" s="134"/>
      <c r="J848" s="134"/>
      <c r="K848" s="134"/>
      <c r="L848" s="134"/>
      <c r="M848" s="135"/>
      <c r="N848" s="134"/>
      <c r="O848" s="134"/>
      <c r="P848" s="134"/>
      <c r="Q848" s="134"/>
      <c r="R848" s="134"/>
      <c r="S848" s="134"/>
      <c r="T848" s="134"/>
      <c r="U848" s="134"/>
      <c r="V848" s="134"/>
      <c r="W848" s="134"/>
      <c r="X848" s="134"/>
      <c r="Y848" s="135"/>
      <c r="Z848" s="135"/>
      <c r="AA848" s="136"/>
      <c r="AB848" s="136"/>
      <c r="AC848" s="137"/>
      <c r="AD848" s="137"/>
      <c r="AE848" s="137"/>
      <c r="AF848" s="137"/>
    </row>
    <row r="849" spans="2:32" s="1" customFormat="1" hidden="1">
      <c r="B849" s="2"/>
      <c r="C849" s="133"/>
      <c r="D849" s="134"/>
      <c r="E849" s="134"/>
      <c r="F849" s="134"/>
      <c r="G849" s="134"/>
      <c r="H849" s="134"/>
      <c r="I849" s="134"/>
      <c r="J849" s="134"/>
      <c r="K849" s="134"/>
      <c r="L849" s="134"/>
      <c r="M849" s="135"/>
      <c r="N849" s="134"/>
      <c r="O849" s="134"/>
      <c r="P849" s="134"/>
      <c r="Q849" s="134"/>
      <c r="R849" s="134"/>
      <c r="S849" s="134"/>
      <c r="T849" s="134"/>
      <c r="U849" s="134"/>
      <c r="V849" s="134"/>
      <c r="W849" s="134"/>
      <c r="X849" s="134"/>
      <c r="Y849" s="135"/>
      <c r="Z849" s="135"/>
      <c r="AA849" s="136"/>
      <c r="AB849" s="136"/>
      <c r="AC849" s="137"/>
      <c r="AD849" s="137"/>
      <c r="AE849" s="137"/>
      <c r="AF849" s="137"/>
    </row>
    <row r="850" spans="2:32" s="1" customFormat="1" hidden="1">
      <c r="B850" s="2"/>
      <c r="C850" s="133"/>
      <c r="D850" s="134"/>
      <c r="E850" s="134"/>
      <c r="F850" s="134"/>
      <c r="G850" s="134"/>
      <c r="H850" s="134"/>
      <c r="I850" s="134"/>
      <c r="J850" s="134"/>
      <c r="K850" s="134"/>
      <c r="L850" s="134"/>
      <c r="M850" s="135"/>
      <c r="N850" s="134"/>
      <c r="O850" s="134"/>
      <c r="P850" s="134"/>
      <c r="Q850" s="134"/>
      <c r="R850" s="134"/>
      <c r="S850" s="134"/>
      <c r="T850" s="134"/>
      <c r="U850" s="134"/>
      <c r="V850" s="134"/>
      <c r="W850" s="134"/>
      <c r="X850" s="134"/>
      <c r="Y850" s="135"/>
      <c r="Z850" s="135"/>
      <c r="AA850" s="136"/>
      <c r="AB850" s="136"/>
      <c r="AC850" s="137"/>
      <c r="AD850" s="137"/>
      <c r="AE850" s="137"/>
      <c r="AF850" s="137"/>
    </row>
    <row r="851" spans="2:32" s="1" customFormat="1" hidden="1">
      <c r="B851" s="2"/>
      <c r="C851" s="133"/>
      <c r="D851" s="134"/>
      <c r="E851" s="134"/>
      <c r="F851" s="134"/>
      <c r="G851" s="134"/>
      <c r="H851" s="134"/>
      <c r="I851" s="134"/>
      <c r="J851" s="134"/>
      <c r="K851" s="134"/>
      <c r="L851" s="134"/>
      <c r="M851" s="135"/>
      <c r="N851" s="134"/>
      <c r="O851" s="134"/>
      <c r="P851" s="134"/>
      <c r="Q851" s="134"/>
      <c r="R851" s="134"/>
      <c r="S851" s="134"/>
      <c r="T851" s="134"/>
      <c r="U851" s="134"/>
      <c r="V851" s="134"/>
      <c r="W851" s="134"/>
      <c r="X851" s="134"/>
      <c r="Y851" s="135"/>
      <c r="Z851" s="135"/>
      <c r="AA851" s="136"/>
      <c r="AB851" s="136"/>
      <c r="AC851" s="137"/>
      <c r="AD851" s="137"/>
      <c r="AE851" s="137"/>
      <c r="AF851" s="137"/>
    </row>
    <row r="852" spans="2:32" s="1" customFormat="1" hidden="1">
      <c r="B852" s="2"/>
      <c r="C852" s="133"/>
      <c r="D852" s="134"/>
      <c r="E852" s="134"/>
      <c r="F852" s="134"/>
      <c r="G852" s="134"/>
      <c r="H852" s="134"/>
      <c r="I852" s="134"/>
      <c r="J852" s="134"/>
      <c r="K852" s="134"/>
      <c r="L852" s="134"/>
      <c r="M852" s="135"/>
      <c r="N852" s="134"/>
      <c r="O852" s="134"/>
      <c r="P852" s="134"/>
      <c r="Q852" s="134"/>
      <c r="R852" s="134"/>
      <c r="S852" s="134"/>
      <c r="T852" s="134"/>
      <c r="U852" s="134"/>
      <c r="V852" s="134"/>
      <c r="W852" s="134"/>
      <c r="X852" s="134"/>
      <c r="Y852" s="135"/>
      <c r="Z852" s="135"/>
      <c r="AA852" s="136"/>
      <c r="AB852" s="136"/>
      <c r="AC852" s="137"/>
      <c r="AD852" s="137"/>
      <c r="AE852" s="137"/>
      <c r="AF852" s="137"/>
    </row>
    <row r="853" spans="2:32" s="1" customFormat="1" hidden="1">
      <c r="B853" s="2"/>
      <c r="C853" s="133"/>
      <c r="D853" s="134"/>
      <c r="E853" s="134"/>
      <c r="F853" s="134"/>
      <c r="G853" s="134"/>
      <c r="H853" s="134"/>
      <c r="I853" s="134"/>
      <c r="J853" s="134"/>
      <c r="K853" s="134"/>
      <c r="L853" s="134"/>
      <c r="M853" s="135"/>
      <c r="N853" s="134"/>
      <c r="O853" s="134"/>
      <c r="P853" s="134"/>
      <c r="Q853" s="134"/>
      <c r="R853" s="134"/>
      <c r="S853" s="134"/>
      <c r="T853" s="134"/>
      <c r="U853" s="134"/>
      <c r="V853" s="134"/>
      <c r="W853" s="134"/>
      <c r="X853" s="134"/>
      <c r="Y853" s="135"/>
      <c r="Z853" s="135"/>
      <c r="AA853" s="136"/>
      <c r="AB853" s="136"/>
      <c r="AC853" s="137"/>
      <c r="AD853" s="137"/>
      <c r="AE853" s="137"/>
      <c r="AF853" s="137"/>
    </row>
    <row r="854" spans="2:32" s="1" customFormat="1" hidden="1">
      <c r="B854" s="2"/>
      <c r="C854" s="133"/>
      <c r="D854" s="134"/>
      <c r="E854" s="134"/>
      <c r="F854" s="134"/>
      <c r="G854" s="134"/>
      <c r="H854" s="134"/>
      <c r="I854" s="134"/>
      <c r="J854" s="134"/>
      <c r="K854" s="134"/>
      <c r="L854" s="134"/>
      <c r="M854" s="135"/>
      <c r="N854" s="134"/>
      <c r="O854" s="134"/>
      <c r="P854" s="134"/>
      <c r="Q854" s="134"/>
      <c r="R854" s="134"/>
      <c r="S854" s="134"/>
      <c r="T854" s="134"/>
      <c r="U854" s="134"/>
      <c r="V854" s="134"/>
      <c r="W854" s="134"/>
      <c r="X854" s="134"/>
      <c r="Y854" s="135"/>
      <c r="Z854" s="135"/>
      <c r="AA854" s="136"/>
      <c r="AB854" s="136"/>
      <c r="AC854" s="137"/>
      <c r="AD854" s="137"/>
      <c r="AE854" s="137"/>
      <c r="AF854" s="137"/>
    </row>
    <row r="855" spans="2:32" s="1" customFormat="1" hidden="1">
      <c r="B855" s="2"/>
      <c r="C855" s="133"/>
      <c r="D855" s="134"/>
      <c r="E855" s="134"/>
      <c r="F855" s="134"/>
      <c r="G855" s="134"/>
      <c r="H855" s="134"/>
      <c r="I855" s="134"/>
      <c r="J855" s="134"/>
      <c r="K855" s="134"/>
      <c r="L855" s="134"/>
      <c r="M855" s="135"/>
      <c r="N855" s="134"/>
      <c r="O855" s="134"/>
      <c r="P855" s="134"/>
      <c r="Q855" s="134"/>
      <c r="R855" s="134"/>
      <c r="S855" s="134"/>
      <c r="T855" s="134"/>
      <c r="U855" s="134"/>
      <c r="V855" s="134"/>
      <c r="W855" s="134"/>
      <c r="X855" s="134"/>
      <c r="Y855" s="135"/>
      <c r="Z855" s="135"/>
      <c r="AA855" s="136"/>
      <c r="AB855" s="136"/>
      <c r="AC855" s="137"/>
      <c r="AD855" s="137"/>
      <c r="AE855" s="137"/>
      <c r="AF855" s="137"/>
    </row>
    <row r="856" spans="2:32" s="1" customFormat="1" hidden="1">
      <c r="B856" s="2"/>
      <c r="C856" s="133"/>
      <c r="D856" s="134"/>
      <c r="E856" s="134"/>
      <c r="F856" s="134"/>
      <c r="G856" s="134"/>
      <c r="H856" s="134"/>
      <c r="I856" s="134"/>
      <c r="J856" s="134"/>
      <c r="K856" s="134"/>
      <c r="L856" s="134"/>
      <c r="M856" s="135"/>
      <c r="N856" s="134"/>
      <c r="O856" s="134"/>
      <c r="P856" s="134"/>
      <c r="Q856" s="134"/>
      <c r="R856" s="134"/>
      <c r="S856" s="134"/>
      <c r="T856" s="134"/>
      <c r="U856" s="134"/>
      <c r="V856" s="134"/>
      <c r="W856" s="134"/>
      <c r="X856" s="134"/>
      <c r="Y856" s="135"/>
      <c r="Z856" s="135"/>
      <c r="AA856" s="136"/>
      <c r="AB856" s="136"/>
      <c r="AC856" s="137"/>
      <c r="AD856" s="137"/>
      <c r="AE856" s="137"/>
      <c r="AF856" s="137"/>
    </row>
    <row r="857" spans="2:32" s="1" customFormat="1" hidden="1">
      <c r="B857" s="2"/>
      <c r="C857" s="133"/>
      <c r="D857" s="134"/>
      <c r="E857" s="134"/>
      <c r="F857" s="134"/>
      <c r="G857" s="134"/>
      <c r="H857" s="134"/>
      <c r="I857" s="134"/>
      <c r="J857" s="134"/>
      <c r="K857" s="134"/>
      <c r="L857" s="134"/>
      <c r="M857" s="135"/>
      <c r="N857" s="134"/>
      <c r="O857" s="134"/>
      <c r="P857" s="134"/>
      <c r="Q857" s="134"/>
      <c r="R857" s="134"/>
      <c r="S857" s="134"/>
      <c r="T857" s="134"/>
      <c r="U857" s="134"/>
      <c r="V857" s="134"/>
      <c r="W857" s="134"/>
      <c r="X857" s="134"/>
      <c r="Y857" s="135"/>
      <c r="Z857" s="135"/>
      <c r="AA857" s="136"/>
      <c r="AB857" s="136"/>
      <c r="AC857" s="137"/>
      <c r="AD857" s="137"/>
      <c r="AE857" s="137"/>
      <c r="AF857" s="137"/>
    </row>
    <row r="858" spans="2:32" s="1" customFormat="1" hidden="1">
      <c r="B858" s="2"/>
      <c r="C858" s="133"/>
      <c r="D858" s="134"/>
      <c r="E858" s="134"/>
      <c r="F858" s="134"/>
      <c r="G858" s="134"/>
      <c r="H858" s="134"/>
      <c r="I858" s="134"/>
      <c r="J858" s="134"/>
      <c r="K858" s="134"/>
      <c r="L858" s="134"/>
      <c r="M858" s="135"/>
      <c r="N858" s="134"/>
      <c r="O858" s="134"/>
      <c r="P858" s="134"/>
      <c r="Q858" s="134"/>
      <c r="R858" s="134"/>
      <c r="S858" s="134"/>
      <c r="T858" s="134"/>
      <c r="U858" s="134"/>
      <c r="V858" s="134"/>
      <c r="W858" s="134"/>
      <c r="X858" s="134"/>
      <c r="Y858" s="135"/>
      <c r="Z858" s="135"/>
      <c r="AA858" s="136"/>
      <c r="AB858" s="136"/>
      <c r="AC858" s="137"/>
      <c r="AD858" s="137"/>
      <c r="AE858" s="137"/>
      <c r="AF858" s="137"/>
    </row>
    <row r="859" spans="2:32" s="1" customFormat="1" hidden="1">
      <c r="B859" s="2"/>
      <c r="C859" s="133"/>
      <c r="D859" s="134"/>
      <c r="E859" s="134"/>
      <c r="F859" s="134"/>
      <c r="G859" s="134"/>
      <c r="H859" s="134"/>
      <c r="I859" s="134"/>
      <c r="J859" s="134"/>
      <c r="K859" s="134"/>
      <c r="L859" s="134"/>
      <c r="M859" s="135"/>
      <c r="N859" s="134"/>
      <c r="O859" s="134"/>
      <c r="P859" s="134"/>
      <c r="Q859" s="134"/>
      <c r="R859" s="134"/>
      <c r="S859" s="134"/>
      <c r="T859" s="134"/>
      <c r="U859" s="134"/>
      <c r="V859" s="134"/>
      <c r="W859" s="134"/>
      <c r="X859" s="134"/>
      <c r="Y859" s="135"/>
      <c r="Z859" s="135"/>
      <c r="AA859" s="136"/>
      <c r="AB859" s="136"/>
      <c r="AC859" s="137"/>
      <c r="AD859" s="137"/>
      <c r="AE859" s="137"/>
      <c r="AF859" s="137"/>
    </row>
    <row r="860" spans="2:32" s="1" customFormat="1" hidden="1">
      <c r="B860" s="2"/>
      <c r="C860" s="133"/>
      <c r="D860" s="134"/>
      <c r="E860" s="134"/>
      <c r="F860" s="134"/>
      <c r="G860" s="134"/>
      <c r="H860" s="134"/>
      <c r="I860" s="134"/>
      <c r="J860" s="134"/>
      <c r="K860" s="134"/>
      <c r="L860" s="134"/>
      <c r="M860" s="135"/>
      <c r="N860" s="134"/>
      <c r="O860" s="134"/>
      <c r="P860" s="134"/>
      <c r="Q860" s="134"/>
      <c r="R860" s="134"/>
      <c r="S860" s="134"/>
      <c r="T860" s="134"/>
      <c r="U860" s="134"/>
      <c r="V860" s="134"/>
      <c r="W860" s="134"/>
      <c r="X860" s="134"/>
      <c r="Y860" s="135"/>
      <c r="Z860" s="135"/>
      <c r="AA860" s="136"/>
      <c r="AB860" s="136"/>
      <c r="AC860" s="137"/>
      <c r="AD860" s="137"/>
      <c r="AE860" s="137"/>
      <c r="AF860" s="137"/>
    </row>
    <row r="861" spans="2:32" s="1" customFormat="1" hidden="1">
      <c r="B861" s="2"/>
      <c r="C861" s="133"/>
      <c r="D861" s="134"/>
      <c r="E861" s="134"/>
      <c r="F861" s="134"/>
      <c r="G861" s="134"/>
      <c r="H861" s="134"/>
      <c r="I861" s="134"/>
      <c r="J861" s="134"/>
      <c r="K861" s="134"/>
      <c r="L861" s="134"/>
      <c r="M861" s="135"/>
      <c r="N861" s="134"/>
      <c r="O861" s="134"/>
      <c r="P861" s="134"/>
      <c r="Q861" s="134"/>
      <c r="R861" s="134"/>
      <c r="S861" s="134"/>
      <c r="T861" s="134"/>
      <c r="U861" s="134"/>
      <c r="V861" s="134"/>
      <c r="W861" s="134"/>
      <c r="X861" s="134"/>
      <c r="Y861" s="135"/>
      <c r="Z861" s="135"/>
      <c r="AA861" s="136"/>
      <c r="AB861" s="136"/>
      <c r="AC861" s="137"/>
      <c r="AD861" s="137"/>
      <c r="AE861" s="137"/>
      <c r="AF861" s="137"/>
    </row>
    <row r="862" spans="2:32" s="1" customFormat="1" hidden="1">
      <c r="B862" s="2"/>
      <c r="C862" s="133"/>
      <c r="D862" s="134"/>
      <c r="E862" s="134"/>
      <c r="F862" s="134"/>
      <c r="G862" s="134"/>
      <c r="H862" s="134"/>
      <c r="I862" s="134"/>
      <c r="J862" s="134"/>
      <c r="K862" s="134"/>
      <c r="L862" s="134"/>
      <c r="M862" s="135"/>
      <c r="N862" s="134"/>
      <c r="O862" s="134"/>
      <c r="P862" s="134"/>
      <c r="Q862" s="134"/>
      <c r="R862" s="134"/>
      <c r="S862" s="134"/>
      <c r="T862" s="134"/>
      <c r="U862" s="134"/>
      <c r="V862" s="134"/>
      <c r="W862" s="134"/>
      <c r="X862" s="134"/>
      <c r="Y862" s="135"/>
      <c r="Z862" s="135"/>
      <c r="AA862" s="136"/>
      <c r="AB862" s="136"/>
      <c r="AC862" s="137"/>
      <c r="AD862" s="137"/>
      <c r="AE862" s="137"/>
      <c r="AF862" s="137"/>
    </row>
    <row r="863" spans="2:32" s="1" customFormat="1" hidden="1">
      <c r="B863" s="2"/>
      <c r="C863" s="133"/>
      <c r="D863" s="134"/>
      <c r="E863" s="134"/>
      <c r="F863" s="134"/>
      <c r="G863" s="134"/>
      <c r="H863" s="134"/>
      <c r="I863" s="134"/>
      <c r="J863" s="134"/>
      <c r="K863" s="134"/>
      <c r="L863" s="134"/>
      <c r="M863" s="135"/>
      <c r="N863" s="134"/>
      <c r="O863" s="134"/>
      <c r="P863" s="134"/>
      <c r="Q863" s="134"/>
      <c r="R863" s="134"/>
      <c r="S863" s="134"/>
      <c r="T863" s="134"/>
      <c r="U863" s="134"/>
      <c r="V863" s="134"/>
      <c r="W863" s="134"/>
      <c r="X863" s="134"/>
      <c r="Y863" s="135"/>
      <c r="Z863" s="135"/>
      <c r="AA863" s="136"/>
      <c r="AB863" s="136"/>
      <c r="AC863" s="137"/>
      <c r="AD863" s="137"/>
      <c r="AE863" s="137"/>
      <c r="AF863" s="137"/>
    </row>
    <row r="864" spans="2:32" s="1" customFormat="1" hidden="1">
      <c r="B864" s="2"/>
      <c r="C864" s="133"/>
      <c r="D864" s="134"/>
      <c r="E864" s="134"/>
      <c r="F864" s="134"/>
      <c r="G864" s="134"/>
      <c r="H864" s="134"/>
      <c r="I864" s="134"/>
      <c r="J864" s="134"/>
      <c r="K864" s="134"/>
      <c r="L864" s="134"/>
      <c r="M864" s="135"/>
      <c r="N864" s="134"/>
      <c r="O864" s="134"/>
      <c r="P864" s="134"/>
      <c r="Q864" s="134"/>
      <c r="R864" s="134"/>
      <c r="S864" s="134"/>
      <c r="T864" s="134"/>
      <c r="U864" s="134"/>
      <c r="V864" s="134"/>
      <c r="W864" s="134"/>
      <c r="X864" s="134"/>
      <c r="Y864" s="135"/>
      <c r="Z864" s="135"/>
      <c r="AA864" s="136"/>
      <c r="AB864" s="136"/>
      <c r="AC864" s="137"/>
      <c r="AD864" s="137"/>
      <c r="AE864" s="137"/>
      <c r="AF864" s="137"/>
    </row>
    <row r="865" spans="2:32" s="1" customFormat="1" hidden="1">
      <c r="B865" s="2"/>
      <c r="C865" s="133"/>
      <c r="D865" s="134"/>
      <c r="E865" s="134"/>
      <c r="F865" s="134"/>
      <c r="G865" s="134"/>
      <c r="H865" s="134"/>
      <c r="I865" s="134"/>
      <c r="J865" s="134"/>
      <c r="K865" s="134"/>
      <c r="L865" s="134"/>
      <c r="M865" s="135"/>
      <c r="N865" s="134"/>
      <c r="O865" s="134"/>
      <c r="P865" s="134"/>
      <c r="Q865" s="134"/>
      <c r="R865" s="134"/>
      <c r="S865" s="134"/>
      <c r="T865" s="134"/>
      <c r="U865" s="134"/>
      <c r="V865" s="134"/>
      <c r="W865" s="134"/>
      <c r="X865" s="134"/>
      <c r="Y865" s="135"/>
      <c r="Z865" s="135"/>
      <c r="AA865" s="136"/>
      <c r="AB865" s="136"/>
      <c r="AC865" s="137"/>
      <c r="AD865" s="137"/>
      <c r="AE865" s="137"/>
      <c r="AF865" s="137"/>
    </row>
    <row r="866" spans="2:32" s="1" customFormat="1" hidden="1">
      <c r="B866" s="2"/>
      <c r="C866" s="133"/>
      <c r="D866" s="134"/>
      <c r="E866" s="134"/>
      <c r="F866" s="134"/>
      <c r="G866" s="134"/>
      <c r="H866" s="134"/>
      <c r="I866" s="134"/>
      <c r="J866" s="134"/>
      <c r="K866" s="134"/>
      <c r="L866" s="134"/>
      <c r="M866" s="135"/>
      <c r="N866" s="134"/>
      <c r="O866" s="134"/>
      <c r="P866" s="134"/>
      <c r="Q866" s="134"/>
      <c r="R866" s="134"/>
      <c r="S866" s="134"/>
      <c r="T866" s="134"/>
      <c r="U866" s="134"/>
      <c r="V866" s="134"/>
      <c r="W866" s="134"/>
      <c r="X866" s="134"/>
      <c r="Y866" s="135"/>
      <c r="Z866" s="135"/>
      <c r="AA866" s="136"/>
      <c r="AB866" s="136"/>
      <c r="AC866" s="137"/>
      <c r="AD866" s="137"/>
      <c r="AE866" s="137"/>
      <c r="AF866" s="137"/>
    </row>
    <row r="867" spans="2:32" s="1" customFormat="1" hidden="1">
      <c r="B867" s="2"/>
      <c r="C867" s="133"/>
      <c r="D867" s="134"/>
      <c r="E867" s="134"/>
      <c r="F867" s="134"/>
      <c r="G867" s="134"/>
      <c r="H867" s="134"/>
      <c r="I867" s="134"/>
      <c r="J867" s="134"/>
      <c r="K867" s="134"/>
      <c r="L867" s="134"/>
      <c r="M867" s="135"/>
      <c r="N867" s="134"/>
      <c r="O867" s="134"/>
      <c r="P867" s="134"/>
      <c r="Q867" s="134"/>
      <c r="R867" s="134"/>
      <c r="S867" s="134"/>
      <c r="T867" s="134"/>
      <c r="U867" s="134"/>
      <c r="V867" s="134"/>
      <c r="W867" s="134"/>
      <c r="X867" s="134"/>
      <c r="Y867" s="135"/>
      <c r="Z867" s="135"/>
      <c r="AA867" s="136"/>
      <c r="AB867" s="136"/>
      <c r="AC867" s="137"/>
      <c r="AD867" s="137"/>
      <c r="AE867" s="137"/>
      <c r="AF867" s="137"/>
    </row>
    <row r="868" spans="2:32" s="1" customFormat="1" hidden="1">
      <c r="B868" s="2"/>
      <c r="C868" s="133"/>
      <c r="D868" s="134"/>
      <c r="E868" s="134"/>
      <c r="F868" s="134"/>
      <c r="G868" s="134"/>
      <c r="H868" s="134"/>
      <c r="I868" s="134"/>
      <c r="J868" s="134"/>
      <c r="K868" s="134"/>
      <c r="L868" s="134"/>
      <c r="M868" s="135"/>
      <c r="N868" s="134"/>
      <c r="O868" s="134"/>
      <c r="P868" s="134"/>
      <c r="Q868" s="134"/>
      <c r="R868" s="134"/>
      <c r="S868" s="134"/>
      <c r="T868" s="134"/>
      <c r="U868" s="134"/>
      <c r="V868" s="134"/>
      <c r="W868" s="134"/>
      <c r="X868" s="134"/>
      <c r="Y868" s="135"/>
      <c r="Z868" s="135"/>
      <c r="AA868" s="136"/>
      <c r="AB868" s="136"/>
      <c r="AC868" s="137"/>
      <c r="AD868" s="137"/>
      <c r="AE868" s="137"/>
      <c r="AF868" s="137"/>
    </row>
    <row r="869" spans="2:32" s="1" customFormat="1" hidden="1">
      <c r="B869" s="2"/>
      <c r="C869" s="133"/>
      <c r="D869" s="134"/>
      <c r="E869" s="134"/>
      <c r="F869" s="134"/>
      <c r="G869" s="134"/>
      <c r="H869" s="134"/>
      <c r="I869" s="134"/>
      <c r="J869" s="134"/>
      <c r="K869" s="134"/>
      <c r="L869" s="134"/>
      <c r="M869" s="135"/>
      <c r="N869" s="134"/>
      <c r="O869" s="134"/>
      <c r="P869" s="134"/>
      <c r="Q869" s="134"/>
      <c r="R869" s="134"/>
      <c r="S869" s="134"/>
      <c r="T869" s="134"/>
      <c r="U869" s="134"/>
      <c r="V869" s="134"/>
      <c r="W869" s="134"/>
      <c r="X869" s="134"/>
      <c r="Y869" s="135"/>
      <c r="Z869" s="135"/>
      <c r="AA869" s="136"/>
      <c r="AB869" s="136"/>
      <c r="AC869" s="137"/>
      <c r="AD869" s="137"/>
      <c r="AE869" s="137"/>
      <c r="AF869" s="137"/>
    </row>
    <row r="870" spans="2:32" s="1" customFormat="1" hidden="1">
      <c r="B870" s="2"/>
      <c r="C870" s="133"/>
      <c r="D870" s="134"/>
      <c r="E870" s="134"/>
      <c r="F870" s="134"/>
      <c r="G870" s="134"/>
      <c r="H870" s="134"/>
      <c r="I870" s="134"/>
      <c r="J870" s="134"/>
      <c r="K870" s="134"/>
      <c r="L870" s="134"/>
      <c r="M870" s="135"/>
      <c r="N870" s="134"/>
      <c r="O870" s="134"/>
      <c r="P870" s="134"/>
      <c r="Q870" s="134"/>
      <c r="R870" s="134"/>
      <c r="S870" s="134"/>
      <c r="T870" s="134"/>
      <c r="U870" s="134"/>
      <c r="V870" s="134"/>
      <c r="W870" s="134"/>
      <c r="X870" s="134"/>
      <c r="Y870" s="135"/>
      <c r="Z870" s="135"/>
      <c r="AA870" s="136"/>
      <c r="AB870" s="136"/>
      <c r="AC870" s="137"/>
      <c r="AD870" s="137"/>
      <c r="AE870" s="137"/>
      <c r="AF870" s="137"/>
    </row>
    <row r="871" spans="2:32" s="1" customFormat="1" hidden="1">
      <c r="B871" s="2"/>
      <c r="C871" s="133"/>
      <c r="D871" s="134"/>
      <c r="E871" s="134"/>
      <c r="F871" s="134"/>
      <c r="G871" s="134"/>
      <c r="H871" s="134"/>
      <c r="I871" s="134"/>
      <c r="J871" s="134"/>
      <c r="K871" s="134"/>
      <c r="L871" s="134"/>
      <c r="M871" s="135"/>
      <c r="N871" s="134"/>
      <c r="O871" s="134"/>
      <c r="P871" s="134"/>
      <c r="Q871" s="134"/>
      <c r="R871" s="134"/>
      <c r="S871" s="134"/>
      <c r="T871" s="134"/>
      <c r="U871" s="134"/>
      <c r="V871" s="134"/>
      <c r="W871" s="134"/>
      <c r="X871" s="134"/>
      <c r="Y871" s="135"/>
      <c r="Z871" s="135"/>
      <c r="AA871" s="136"/>
      <c r="AB871" s="136"/>
      <c r="AC871" s="137"/>
      <c r="AD871" s="137"/>
      <c r="AE871" s="137"/>
      <c r="AF871" s="137"/>
    </row>
    <row r="872" spans="2:32" s="1" customFormat="1" hidden="1">
      <c r="B872" s="2"/>
      <c r="C872" s="133"/>
      <c r="D872" s="134"/>
      <c r="E872" s="134"/>
      <c r="F872" s="134"/>
      <c r="G872" s="134"/>
      <c r="H872" s="134"/>
      <c r="I872" s="134"/>
      <c r="J872" s="134"/>
      <c r="K872" s="134"/>
      <c r="L872" s="134"/>
      <c r="M872" s="135"/>
      <c r="N872" s="134"/>
      <c r="O872" s="134"/>
      <c r="P872" s="134"/>
      <c r="Q872" s="134"/>
      <c r="R872" s="134"/>
      <c r="S872" s="134"/>
      <c r="T872" s="134"/>
      <c r="U872" s="134"/>
      <c r="V872" s="134"/>
      <c r="W872" s="134"/>
      <c r="X872" s="134"/>
      <c r="Y872" s="135"/>
      <c r="Z872" s="135"/>
      <c r="AA872" s="136"/>
      <c r="AB872" s="136"/>
      <c r="AC872" s="137"/>
      <c r="AD872" s="137"/>
      <c r="AE872" s="137"/>
      <c r="AF872" s="137"/>
    </row>
    <row r="873" spans="2:32" s="1" customFormat="1" hidden="1">
      <c r="B873" s="2"/>
      <c r="C873" s="133"/>
      <c r="D873" s="134"/>
      <c r="E873" s="134"/>
      <c r="F873" s="134"/>
      <c r="G873" s="134"/>
      <c r="H873" s="134"/>
      <c r="I873" s="134"/>
      <c r="J873" s="134"/>
      <c r="K873" s="134"/>
      <c r="L873" s="134"/>
      <c r="M873" s="135"/>
      <c r="N873" s="134"/>
      <c r="O873" s="134"/>
      <c r="P873" s="134"/>
      <c r="Q873" s="134"/>
      <c r="R873" s="134"/>
      <c r="S873" s="134"/>
      <c r="T873" s="134"/>
      <c r="U873" s="134"/>
      <c r="V873" s="134"/>
      <c r="W873" s="134"/>
      <c r="X873" s="134"/>
      <c r="Y873" s="135"/>
      <c r="Z873" s="135"/>
      <c r="AA873" s="136"/>
      <c r="AB873" s="136"/>
      <c r="AC873" s="137"/>
      <c r="AD873" s="137"/>
      <c r="AE873" s="137"/>
      <c r="AF873" s="137"/>
    </row>
    <row r="874" spans="2:32" s="1" customFormat="1" hidden="1">
      <c r="B874" s="2"/>
      <c r="C874" s="133"/>
      <c r="D874" s="134"/>
      <c r="E874" s="134"/>
      <c r="F874" s="134"/>
      <c r="G874" s="134"/>
      <c r="H874" s="134"/>
      <c r="I874" s="134"/>
      <c r="J874" s="134"/>
      <c r="K874" s="134"/>
      <c r="L874" s="134"/>
      <c r="M874" s="135"/>
      <c r="N874" s="134"/>
      <c r="O874" s="134"/>
      <c r="P874" s="134"/>
      <c r="Q874" s="134"/>
      <c r="R874" s="134"/>
      <c r="S874" s="134"/>
      <c r="T874" s="134"/>
      <c r="U874" s="134"/>
      <c r="V874" s="134"/>
      <c r="W874" s="134"/>
      <c r="X874" s="134"/>
      <c r="Y874" s="135"/>
      <c r="Z874" s="135"/>
      <c r="AA874" s="136"/>
      <c r="AB874" s="136"/>
      <c r="AC874" s="137"/>
      <c r="AD874" s="137"/>
      <c r="AE874" s="137"/>
      <c r="AF874" s="137"/>
    </row>
    <row r="875" spans="2:32" s="1" customFormat="1" hidden="1">
      <c r="B875" s="2"/>
      <c r="C875" s="133"/>
      <c r="D875" s="134"/>
      <c r="E875" s="134"/>
      <c r="F875" s="134"/>
      <c r="G875" s="134"/>
      <c r="H875" s="134"/>
      <c r="I875" s="134"/>
      <c r="J875" s="134"/>
      <c r="K875" s="134"/>
      <c r="L875" s="134"/>
      <c r="M875" s="135"/>
      <c r="N875" s="134"/>
      <c r="O875" s="134"/>
      <c r="P875" s="134"/>
      <c r="Q875" s="134"/>
      <c r="R875" s="134"/>
      <c r="S875" s="134"/>
      <c r="T875" s="134"/>
      <c r="U875" s="134"/>
      <c r="V875" s="134"/>
      <c r="W875" s="134"/>
      <c r="X875" s="134"/>
      <c r="Y875" s="135"/>
      <c r="Z875" s="135"/>
      <c r="AA875" s="136"/>
      <c r="AB875" s="136"/>
      <c r="AC875" s="137"/>
      <c r="AD875" s="137"/>
      <c r="AE875" s="137"/>
      <c r="AF875" s="137"/>
    </row>
    <row r="876" spans="2:32" s="1" customFormat="1" hidden="1">
      <c r="B876" s="2"/>
      <c r="C876" s="133"/>
      <c r="D876" s="134"/>
      <c r="E876" s="134"/>
      <c r="F876" s="134"/>
      <c r="G876" s="134"/>
      <c r="H876" s="134"/>
      <c r="I876" s="134"/>
      <c r="J876" s="134"/>
      <c r="K876" s="134"/>
      <c r="L876" s="134"/>
      <c r="M876" s="135"/>
      <c r="N876" s="134"/>
      <c r="O876" s="134"/>
      <c r="P876" s="134"/>
      <c r="Q876" s="134"/>
      <c r="R876" s="134"/>
      <c r="S876" s="134"/>
      <c r="T876" s="134"/>
      <c r="U876" s="134"/>
      <c r="V876" s="134"/>
      <c r="W876" s="134"/>
      <c r="X876" s="134"/>
      <c r="Y876" s="135"/>
      <c r="Z876" s="135"/>
      <c r="AA876" s="136"/>
      <c r="AB876" s="136"/>
      <c r="AC876" s="137"/>
      <c r="AD876" s="137"/>
      <c r="AE876" s="137"/>
      <c r="AF876" s="137"/>
    </row>
    <row r="877" spans="2:32" s="1" customFormat="1" hidden="1">
      <c r="B877" s="2"/>
      <c r="C877" s="133"/>
      <c r="D877" s="134"/>
      <c r="E877" s="134"/>
      <c r="F877" s="134"/>
      <c r="G877" s="134"/>
      <c r="H877" s="134"/>
      <c r="I877" s="134"/>
      <c r="J877" s="134"/>
      <c r="K877" s="138"/>
      <c r="L877" s="134"/>
      <c r="M877" s="135"/>
      <c r="N877" s="134"/>
      <c r="O877" s="134"/>
      <c r="P877" s="134"/>
      <c r="Q877" s="134"/>
      <c r="R877" s="134"/>
      <c r="S877" s="134"/>
      <c r="T877" s="134"/>
      <c r="U877" s="134"/>
      <c r="V877" s="134"/>
      <c r="W877" s="134"/>
      <c r="X877" s="134"/>
      <c r="Y877" s="135"/>
      <c r="Z877" s="135"/>
      <c r="AA877" s="136"/>
      <c r="AB877" s="136"/>
      <c r="AC877" s="137"/>
      <c r="AD877" s="137"/>
      <c r="AE877" s="137"/>
      <c r="AF877" s="137"/>
    </row>
    <row r="878" spans="2:32" s="1" customFormat="1" hidden="1">
      <c r="B878" s="2"/>
      <c r="C878" s="133"/>
      <c r="D878" s="134"/>
      <c r="E878" s="134"/>
      <c r="F878" s="134"/>
      <c r="G878" s="134"/>
      <c r="H878" s="134"/>
      <c r="I878" s="134"/>
      <c r="J878" s="134"/>
      <c r="K878" s="134"/>
      <c r="L878" s="134"/>
      <c r="M878" s="135"/>
      <c r="N878" s="134"/>
      <c r="O878" s="134"/>
      <c r="P878" s="134"/>
      <c r="Q878" s="134"/>
      <c r="R878" s="134"/>
      <c r="S878" s="134"/>
      <c r="T878" s="134"/>
      <c r="U878" s="134"/>
      <c r="V878" s="134"/>
      <c r="W878" s="134"/>
      <c r="X878" s="134"/>
      <c r="Y878" s="135"/>
      <c r="Z878" s="135"/>
      <c r="AA878" s="136"/>
      <c r="AB878" s="136"/>
      <c r="AC878" s="137"/>
      <c r="AD878" s="137"/>
      <c r="AE878" s="137"/>
      <c r="AF878" s="137"/>
    </row>
    <row r="879" spans="2:32" s="1" customFormat="1" hidden="1">
      <c r="B879" s="2"/>
      <c r="C879" s="133"/>
      <c r="D879" s="134"/>
      <c r="E879" s="134"/>
      <c r="F879" s="134"/>
      <c r="G879" s="134"/>
      <c r="H879" s="134"/>
      <c r="I879" s="134"/>
      <c r="J879" s="134"/>
      <c r="K879" s="134"/>
      <c r="L879" s="134"/>
      <c r="M879" s="135"/>
      <c r="N879" s="134"/>
      <c r="O879" s="134"/>
      <c r="P879" s="134"/>
      <c r="Q879" s="134"/>
      <c r="R879" s="134"/>
      <c r="S879" s="134"/>
      <c r="T879" s="134"/>
      <c r="U879" s="134"/>
      <c r="V879" s="134"/>
      <c r="W879" s="134"/>
      <c r="X879" s="134"/>
      <c r="Y879" s="135"/>
      <c r="Z879" s="135"/>
      <c r="AA879" s="136"/>
      <c r="AB879" s="136"/>
      <c r="AC879" s="137"/>
      <c r="AD879" s="137"/>
      <c r="AE879" s="137"/>
      <c r="AF879" s="137"/>
    </row>
    <row r="880" spans="2:32" s="1" customFormat="1" hidden="1">
      <c r="B880" s="2"/>
      <c r="C880" s="133"/>
      <c r="D880" s="134"/>
      <c r="E880" s="134"/>
      <c r="F880" s="134"/>
      <c r="G880" s="134"/>
      <c r="H880" s="134"/>
      <c r="I880" s="134"/>
      <c r="J880" s="134"/>
      <c r="K880" s="134"/>
      <c r="L880" s="134"/>
      <c r="M880" s="135"/>
      <c r="N880" s="134"/>
      <c r="O880" s="134"/>
      <c r="P880" s="134"/>
      <c r="Q880" s="134"/>
      <c r="R880" s="134"/>
      <c r="S880" s="134"/>
      <c r="T880" s="134"/>
      <c r="U880" s="134"/>
      <c r="V880" s="134"/>
      <c r="W880" s="134"/>
      <c r="X880" s="134"/>
      <c r="Y880" s="135"/>
      <c r="Z880" s="135"/>
      <c r="AA880" s="136"/>
      <c r="AB880" s="136"/>
      <c r="AC880" s="137"/>
      <c r="AD880" s="137"/>
      <c r="AE880" s="137"/>
      <c r="AF880" s="137"/>
    </row>
    <row r="881" spans="2:32" s="1" customFormat="1" hidden="1">
      <c r="B881" s="2"/>
      <c r="C881" s="133"/>
      <c r="D881" s="134"/>
      <c r="E881" s="134"/>
      <c r="F881" s="134"/>
      <c r="G881" s="134"/>
      <c r="H881" s="134"/>
      <c r="I881" s="134"/>
      <c r="J881" s="134"/>
      <c r="K881" s="134"/>
      <c r="L881" s="134"/>
      <c r="M881" s="135"/>
      <c r="N881" s="134"/>
      <c r="O881" s="134"/>
      <c r="P881" s="134"/>
      <c r="Q881" s="134"/>
      <c r="R881" s="134"/>
      <c r="S881" s="134"/>
      <c r="T881" s="134"/>
      <c r="U881" s="134"/>
      <c r="V881" s="134"/>
      <c r="W881" s="134"/>
      <c r="X881" s="134"/>
      <c r="Y881" s="135"/>
      <c r="Z881" s="135"/>
      <c r="AA881" s="136"/>
      <c r="AB881" s="136"/>
      <c r="AC881" s="137"/>
      <c r="AD881" s="137"/>
      <c r="AE881" s="137"/>
      <c r="AF881" s="137"/>
    </row>
    <row r="882" spans="2:32" s="1" customFormat="1" hidden="1">
      <c r="B882" s="2"/>
      <c r="C882" s="133">
        <v>43617</v>
      </c>
      <c r="D882" s="134" t="str">
        <f>"&gt;="&amp;C882</f>
        <v>&gt;=43617</v>
      </c>
      <c r="E882" s="134"/>
      <c r="F882" s="134"/>
      <c r="G882" s="134"/>
      <c r="H882" s="134"/>
      <c r="I882" s="134"/>
      <c r="J882" s="134"/>
      <c r="K882" s="134"/>
      <c r="L882" s="134"/>
      <c r="M882" s="135"/>
      <c r="N882" s="134"/>
      <c r="O882" s="134"/>
      <c r="P882" s="134"/>
      <c r="Q882" s="134"/>
      <c r="R882" s="134"/>
      <c r="S882" s="134"/>
      <c r="T882" s="134"/>
      <c r="U882" s="134"/>
      <c r="V882" s="134"/>
      <c r="W882" s="134"/>
      <c r="X882" s="134"/>
      <c r="Y882" s="135"/>
      <c r="Z882" s="135"/>
      <c r="AA882" s="136"/>
      <c r="AB882" s="136"/>
      <c r="AC882" s="137"/>
      <c r="AD882" s="137"/>
      <c r="AE882" s="137"/>
      <c r="AF882" s="137"/>
    </row>
    <row r="883" spans="2:32" s="1" customFormat="1" hidden="1">
      <c r="B883" s="2"/>
      <c r="C883" s="133">
        <v>43800</v>
      </c>
      <c r="D883" s="134" t="str">
        <f>"&lt;="&amp;C883</f>
        <v>&lt;=43800</v>
      </c>
      <c r="E883" s="134"/>
      <c r="F883" s="134"/>
      <c r="G883" s="134"/>
      <c r="H883" s="134"/>
      <c r="I883" s="134"/>
      <c r="J883" s="134"/>
      <c r="K883" s="134"/>
      <c r="L883" s="134"/>
      <c r="M883" s="135"/>
      <c r="N883" s="134"/>
      <c r="O883" s="134"/>
      <c r="P883" s="134"/>
      <c r="Q883" s="134"/>
      <c r="R883" s="134"/>
      <c r="S883" s="134"/>
      <c r="T883" s="134"/>
      <c r="U883" s="134"/>
      <c r="V883" s="134"/>
      <c r="W883" s="134"/>
      <c r="X883" s="134"/>
      <c r="Y883" s="135"/>
      <c r="Z883" s="135"/>
      <c r="AA883" s="136"/>
      <c r="AB883" s="136"/>
      <c r="AC883" s="137"/>
      <c r="AD883" s="137"/>
      <c r="AE883" s="137"/>
      <c r="AF883" s="137"/>
    </row>
    <row r="884" spans="2:32" s="1" customFormat="1" hidden="1">
      <c r="B884" s="2"/>
      <c r="C884" s="133"/>
      <c r="D884" s="134"/>
      <c r="E884" s="134"/>
      <c r="F884" s="134"/>
      <c r="G884" s="134"/>
      <c r="H884" s="134"/>
      <c r="I884" s="134"/>
      <c r="J884" s="134"/>
      <c r="K884" s="134"/>
      <c r="L884" s="134"/>
      <c r="M884" s="135"/>
      <c r="N884" s="134"/>
      <c r="O884" s="134"/>
      <c r="P884" s="134"/>
      <c r="Q884" s="134"/>
      <c r="R884" s="134"/>
      <c r="S884" s="134"/>
      <c r="T884" s="134"/>
      <c r="U884" s="134"/>
      <c r="V884" s="134"/>
      <c r="W884" s="134"/>
      <c r="X884" s="134"/>
      <c r="Y884" s="135"/>
      <c r="Z884" s="135"/>
      <c r="AA884" s="136"/>
      <c r="AB884" s="136"/>
      <c r="AC884" s="137"/>
      <c r="AD884" s="137"/>
      <c r="AE884" s="137"/>
      <c r="AF884" s="137"/>
    </row>
    <row r="885" spans="2:32" s="1" customFormat="1" hidden="1">
      <c r="B885" s="2"/>
      <c r="C885" s="133"/>
      <c r="D885" s="134"/>
      <c r="E885" s="134"/>
      <c r="F885" s="134"/>
      <c r="G885" s="134"/>
      <c r="H885" s="134"/>
      <c r="I885" s="134"/>
      <c r="J885" s="134"/>
      <c r="K885" s="134"/>
      <c r="L885" s="134"/>
      <c r="M885" s="135"/>
      <c r="N885" s="134"/>
      <c r="O885" s="134"/>
      <c r="P885" s="134"/>
      <c r="Q885" s="134"/>
      <c r="R885" s="134"/>
      <c r="S885" s="134"/>
      <c r="T885" s="134"/>
      <c r="U885" s="134"/>
      <c r="V885" s="134"/>
      <c r="W885" s="134"/>
      <c r="X885" s="134"/>
      <c r="Y885" s="135"/>
      <c r="Z885" s="135"/>
      <c r="AA885" s="136"/>
      <c r="AB885" s="136"/>
      <c r="AC885" s="137"/>
      <c r="AD885" s="137"/>
      <c r="AE885" s="137"/>
      <c r="AF885" s="137"/>
    </row>
    <row r="886" spans="2:32" s="1" customFormat="1" hidden="1">
      <c r="B886" s="2"/>
      <c r="C886" s="133"/>
      <c r="D886" s="134"/>
      <c r="E886" s="134"/>
      <c r="F886" s="134"/>
      <c r="G886" s="134"/>
      <c r="H886" s="134"/>
      <c r="I886" s="134"/>
      <c r="J886" s="134"/>
      <c r="K886" s="134"/>
      <c r="L886" s="134"/>
      <c r="M886" s="135"/>
      <c r="N886" s="134"/>
      <c r="O886" s="134"/>
      <c r="P886" s="134"/>
      <c r="Q886" s="134"/>
      <c r="R886" s="134"/>
      <c r="S886" s="134"/>
      <c r="T886" s="134"/>
      <c r="U886" s="134"/>
      <c r="V886" s="134"/>
      <c r="W886" s="134"/>
      <c r="X886" s="134"/>
      <c r="Y886" s="135"/>
      <c r="Z886" s="135"/>
      <c r="AA886" s="136"/>
      <c r="AB886" s="136"/>
      <c r="AC886" s="137"/>
      <c r="AD886" s="137"/>
      <c r="AE886" s="137"/>
      <c r="AF886" s="137"/>
    </row>
    <row r="887" spans="2:32" s="1" customFormat="1" hidden="1">
      <c r="B887" s="2"/>
      <c r="C887" s="133">
        <v>43525</v>
      </c>
      <c r="D887" s="139">
        <v>41000</v>
      </c>
      <c r="E887" s="134"/>
      <c r="F887" s="134"/>
      <c r="G887" s="139" t="str">
        <f>IF(AND(C887&lt;$C$882),"",IF(AND(C887&gt;$C$883),"",D887))</f>
        <v/>
      </c>
      <c r="H887" s="134"/>
      <c r="I887" s="134"/>
      <c r="J887" s="134"/>
      <c r="K887" s="134"/>
      <c r="L887" s="134"/>
      <c r="M887" s="135"/>
      <c r="N887" s="134"/>
      <c r="O887" s="134"/>
      <c r="P887" s="134"/>
      <c r="Q887" s="134"/>
      <c r="R887" s="134"/>
      <c r="S887" s="134"/>
      <c r="T887" s="134"/>
      <c r="U887" s="134"/>
      <c r="V887" s="134"/>
      <c r="W887" s="134"/>
      <c r="X887" s="134"/>
      <c r="Y887" s="135"/>
      <c r="Z887" s="135"/>
      <c r="AA887" s="136"/>
      <c r="AB887" s="136"/>
      <c r="AC887" s="137"/>
      <c r="AD887" s="137"/>
      <c r="AE887" s="137"/>
      <c r="AF887" s="137"/>
    </row>
    <row r="888" spans="2:32" s="1" customFormat="1" hidden="1">
      <c r="B888" s="2"/>
      <c r="C888" s="133">
        <v>43556</v>
      </c>
      <c r="D888" s="139">
        <v>41000</v>
      </c>
      <c r="E888" s="134"/>
      <c r="F888" s="134"/>
      <c r="G888" s="139" t="str">
        <f t="shared" ref="G888:G898" si="13">IF(AND(C888&lt;$C$882),"",IF(AND(C888&gt;$C$883),"",D888))</f>
        <v/>
      </c>
      <c r="H888" s="134"/>
      <c r="I888" s="134"/>
      <c r="J888" s="134"/>
      <c r="K888" s="134"/>
      <c r="L888" s="134"/>
      <c r="M888" s="135"/>
      <c r="N888" s="134"/>
      <c r="O888" s="134"/>
      <c r="P888" s="134"/>
      <c r="Q888" s="134"/>
      <c r="R888" s="134"/>
      <c r="S888" s="134"/>
      <c r="T888" s="134"/>
      <c r="U888" s="134"/>
      <c r="V888" s="134"/>
      <c r="W888" s="134"/>
      <c r="X888" s="134"/>
      <c r="Y888" s="135"/>
      <c r="Z888" s="135"/>
      <c r="AA888" s="136"/>
      <c r="AB888" s="136"/>
      <c r="AC888" s="137"/>
      <c r="AD888" s="137"/>
      <c r="AE888" s="137"/>
      <c r="AF888" s="137"/>
    </row>
    <row r="889" spans="2:32" s="1" customFormat="1" hidden="1">
      <c r="B889" s="2"/>
      <c r="C889" s="133">
        <v>43586</v>
      </c>
      <c r="D889" s="139">
        <v>41000</v>
      </c>
      <c r="E889" s="134"/>
      <c r="F889" s="134"/>
      <c r="G889" s="139" t="str">
        <f t="shared" si="13"/>
        <v/>
      </c>
      <c r="H889" s="134"/>
      <c r="I889" s="134"/>
      <c r="J889" s="134"/>
      <c r="K889" s="134"/>
      <c r="L889" s="134"/>
      <c r="M889" s="135"/>
      <c r="N889" s="134"/>
      <c r="O889" s="134"/>
      <c r="P889" s="134"/>
      <c r="Q889" s="134"/>
      <c r="R889" s="134"/>
      <c r="S889" s="134"/>
      <c r="T889" s="134"/>
      <c r="U889" s="134"/>
      <c r="V889" s="134"/>
      <c r="W889" s="134"/>
      <c r="X889" s="134"/>
      <c r="Y889" s="135"/>
      <c r="Z889" s="135"/>
      <c r="AA889" s="136"/>
      <c r="AB889" s="136"/>
      <c r="AC889" s="137"/>
      <c r="AD889" s="137"/>
      <c r="AE889" s="137"/>
      <c r="AF889" s="137"/>
    </row>
    <row r="890" spans="2:32" s="1" customFormat="1" hidden="1">
      <c r="B890" s="2"/>
      <c r="C890" s="133">
        <v>43617</v>
      </c>
      <c r="D890" s="139">
        <v>41000</v>
      </c>
      <c r="E890" s="134"/>
      <c r="F890" s="134"/>
      <c r="G890" s="139">
        <f t="shared" si="13"/>
        <v>41000</v>
      </c>
      <c r="H890" s="140"/>
      <c r="I890" s="134"/>
      <c r="J890" s="134"/>
      <c r="K890" s="134"/>
      <c r="L890" s="134"/>
      <c r="M890" s="135"/>
      <c r="N890" s="134"/>
      <c r="O890" s="134"/>
      <c r="P890" s="134"/>
      <c r="Q890" s="134"/>
      <c r="R890" s="134"/>
      <c r="S890" s="134"/>
      <c r="T890" s="134"/>
      <c r="U890" s="134"/>
      <c r="V890" s="134"/>
      <c r="W890" s="134"/>
      <c r="X890" s="134"/>
      <c r="Y890" s="135"/>
      <c r="Z890" s="135"/>
      <c r="AA890" s="136"/>
      <c r="AB890" s="136"/>
      <c r="AC890" s="137"/>
      <c r="AD890" s="137"/>
      <c r="AE890" s="137"/>
      <c r="AF890" s="137"/>
    </row>
    <row r="891" spans="2:32" s="1" customFormat="1" hidden="1">
      <c r="B891" s="2"/>
      <c r="C891" s="133">
        <v>43647</v>
      </c>
      <c r="D891" s="139">
        <v>41000</v>
      </c>
      <c r="E891" s="134"/>
      <c r="F891" s="134"/>
      <c r="G891" s="139">
        <f t="shared" si="13"/>
        <v>41000</v>
      </c>
      <c r="H891" s="134"/>
      <c r="I891" s="134"/>
      <c r="J891" s="134"/>
      <c r="K891" s="134"/>
      <c r="L891" s="134"/>
      <c r="M891" s="135"/>
      <c r="N891" s="134"/>
      <c r="O891" s="134"/>
      <c r="P891" s="134"/>
      <c r="Q891" s="134"/>
      <c r="R891" s="134"/>
      <c r="S891" s="134"/>
      <c r="T891" s="134"/>
      <c r="U891" s="134"/>
      <c r="V891" s="134"/>
      <c r="W891" s="134"/>
      <c r="X891" s="134"/>
      <c r="Y891" s="135"/>
      <c r="Z891" s="135"/>
      <c r="AA891" s="136"/>
      <c r="AB891" s="136"/>
      <c r="AC891" s="137"/>
      <c r="AD891" s="137"/>
      <c r="AE891" s="137"/>
      <c r="AF891" s="137"/>
    </row>
    <row r="892" spans="2:32" s="1" customFormat="1" hidden="1">
      <c r="B892" s="2"/>
      <c r="C892" s="133">
        <v>43678</v>
      </c>
      <c r="D892" s="139">
        <v>41000</v>
      </c>
      <c r="E892" s="134"/>
      <c r="F892" s="134"/>
      <c r="G892" s="139">
        <f t="shared" si="13"/>
        <v>41000</v>
      </c>
      <c r="H892" s="134"/>
      <c r="I892" s="134"/>
      <c r="J892" s="134"/>
      <c r="K892" s="134"/>
      <c r="L892" s="134"/>
      <c r="M892" s="135"/>
      <c r="N892" s="134"/>
      <c r="O892" s="134"/>
      <c r="P892" s="134"/>
      <c r="Q892" s="134"/>
      <c r="R892" s="134"/>
      <c r="S892" s="134"/>
      <c r="T892" s="134"/>
      <c r="U892" s="134"/>
      <c r="V892" s="134"/>
      <c r="W892" s="134"/>
      <c r="X892" s="134"/>
      <c r="Y892" s="135"/>
      <c r="Z892" s="135"/>
      <c r="AA892" s="136"/>
      <c r="AB892" s="136"/>
      <c r="AC892" s="137"/>
      <c r="AD892" s="137"/>
      <c r="AE892" s="137"/>
      <c r="AF892" s="137"/>
    </row>
    <row r="893" spans="2:32" s="1" customFormat="1" hidden="1">
      <c r="B893" s="2"/>
      <c r="C893" s="133">
        <v>43709</v>
      </c>
      <c r="D893" s="139">
        <v>41000</v>
      </c>
      <c r="E893" s="134"/>
      <c r="F893" s="134"/>
      <c r="G893" s="139">
        <f t="shared" si="13"/>
        <v>41000</v>
      </c>
      <c r="H893" s="134"/>
      <c r="I893" s="134"/>
      <c r="J893" s="134"/>
      <c r="K893" s="134"/>
      <c r="L893" s="134"/>
      <c r="M893" s="135"/>
      <c r="N893" s="134"/>
      <c r="O893" s="134"/>
      <c r="P893" s="134"/>
      <c r="Q893" s="134"/>
      <c r="R893" s="134"/>
      <c r="S893" s="134"/>
      <c r="T893" s="134"/>
      <c r="U893" s="134"/>
      <c r="V893" s="134"/>
      <c r="W893" s="134"/>
      <c r="X893" s="134"/>
      <c r="Y893" s="135"/>
      <c r="Z893" s="135"/>
      <c r="AA893" s="136"/>
      <c r="AB893" s="136"/>
      <c r="AC893" s="137"/>
      <c r="AD893" s="137"/>
      <c r="AE893" s="137"/>
      <c r="AF893" s="137"/>
    </row>
    <row r="894" spans="2:32" s="1" customFormat="1" hidden="1">
      <c r="B894" s="2"/>
      <c r="C894" s="133">
        <v>43739</v>
      </c>
      <c r="D894" s="139">
        <v>41000</v>
      </c>
      <c r="E894" s="134"/>
      <c r="F894" s="134"/>
      <c r="G894" s="139">
        <f t="shared" si="13"/>
        <v>41000</v>
      </c>
      <c r="H894" s="134"/>
      <c r="I894" s="134"/>
      <c r="J894" s="134"/>
      <c r="K894" s="134"/>
      <c r="L894" s="134"/>
      <c r="M894" s="135"/>
      <c r="N894" s="134"/>
      <c r="O894" s="134"/>
      <c r="P894" s="134"/>
      <c r="Q894" s="134"/>
      <c r="R894" s="134"/>
      <c r="S894" s="134"/>
      <c r="T894" s="134"/>
      <c r="U894" s="134"/>
      <c r="V894" s="134"/>
      <c r="W894" s="134"/>
      <c r="X894" s="134"/>
      <c r="Y894" s="135"/>
      <c r="Z894" s="135"/>
      <c r="AA894" s="136"/>
      <c r="AB894" s="136"/>
      <c r="AC894" s="137"/>
      <c r="AD894" s="137"/>
      <c r="AE894" s="137"/>
      <c r="AF894" s="137"/>
    </row>
    <row r="895" spans="2:32" s="1" customFormat="1" hidden="1">
      <c r="B895" s="2"/>
      <c r="C895" s="133">
        <v>43770</v>
      </c>
      <c r="D895" s="139">
        <v>41000</v>
      </c>
      <c r="E895" s="134"/>
      <c r="F895" s="134"/>
      <c r="G895" s="139">
        <f t="shared" si="13"/>
        <v>41000</v>
      </c>
      <c r="H895" s="134"/>
      <c r="I895" s="134"/>
      <c r="J895" s="134"/>
      <c r="K895" s="134"/>
      <c r="L895" s="134"/>
      <c r="M895" s="135"/>
      <c r="N895" s="134"/>
      <c r="O895" s="134"/>
      <c r="P895" s="134"/>
      <c r="Q895" s="134"/>
      <c r="R895" s="134"/>
      <c r="S895" s="134"/>
      <c r="T895" s="134"/>
      <c r="U895" s="134"/>
      <c r="V895" s="134"/>
      <c r="W895" s="134"/>
      <c r="X895" s="134"/>
      <c r="Y895" s="135"/>
      <c r="Z895" s="135"/>
      <c r="AA895" s="136"/>
      <c r="AB895" s="136"/>
      <c r="AC895" s="137"/>
      <c r="AD895" s="137"/>
      <c r="AE895" s="137"/>
      <c r="AF895" s="137"/>
    </row>
    <row r="896" spans="2:32" s="1" customFormat="1" hidden="1">
      <c r="B896" s="2"/>
      <c r="C896" s="133">
        <v>43800</v>
      </c>
      <c r="D896" s="139">
        <v>41000</v>
      </c>
      <c r="E896" s="134"/>
      <c r="F896" s="134"/>
      <c r="G896" s="139">
        <f t="shared" si="13"/>
        <v>41000</v>
      </c>
      <c r="H896" s="140"/>
      <c r="I896" s="134"/>
      <c r="J896" s="134"/>
      <c r="K896" s="134"/>
      <c r="L896" s="134"/>
      <c r="M896" s="135"/>
      <c r="N896" s="134"/>
      <c r="O896" s="134"/>
      <c r="P896" s="134"/>
      <c r="Q896" s="134"/>
      <c r="R896" s="134"/>
      <c r="S896" s="134"/>
      <c r="T896" s="134"/>
      <c r="U896" s="134"/>
      <c r="V896" s="134"/>
      <c r="W896" s="134"/>
      <c r="X896" s="134"/>
      <c r="Y896" s="135"/>
      <c r="Z896" s="135"/>
      <c r="AA896" s="136"/>
      <c r="AB896" s="136"/>
      <c r="AC896" s="137"/>
      <c r="AD896" s="137"/>
      <c r="AE896" s="137"/>
      <c r="AF896" s="137"/>
    </row>
    <row r="897" spans="2:32" s="1" customFormat="1" hidden="1">
      <c r="B897" s="2"/>
      <c r="C897" s="133">
        <v>43831</v>
      </c>
      <c r="D897" s="139">
        <v>41000</v>
      </c>
      <c r="E897" s="134"/>
      <c r="F897" s="134"/>
      <c r="G897" s="139" t="str">
        <f t="shared" si="13"/>
        <v/>
      </c>
      <c r="H897" s="134"/>
      <c r="I897" s="134"/>
      <c r="J897" s="134"/>
      <c r="K897" s="134"/>
      <c r="L897" s="134"/>
      <c r="M897" s="135"/>
      <c r="N897" s="134"/>
      <c r="O897" s="134"/>
      <c r="P897" s="134"/>
      <c r="Q897" s="134"/>
      <c r="R897" s="134"/>
      <c r="S897" s="134"/>
      <c r="T897" s="134"/>
      <c r="U897" s="134"/>
      <c r="V897" s="134"/>
      <c r="W897" s="134"/>
      <c r="X897" s="134"/>
      <c r="Y897" s="135"/>
      <c r="Z897" s="135"/>
      <c r="AA897" s="136"/>
      <c r="AB897" s="136"/>
      <c r="AC897" s="137"/>
      <c r="AD897" s="137"/>
      <c r="AE897" s="137"/>
      <c r="AF897" s="137"/>
    </row>
    <row r="898" spans="2:32" s="1" customFormat="1" hidden="1">
      <c r="B898" s="2"/>
      <c r="C898" s="133">
        <v>43862</v>
      </c>
      <c r="D898" s="139">
        <v>41000</v>
      </c>
      <c r="E898" s="134"/>
      <c r="F898" s="134"/>
      <c r="G898" s="139" t="str">
        <f t="shared" si="13"/>
        <v/>
      </c>
      <c r="H898" s="134"/>
      <c r="I898" s="134"/>
      <c r="J898" s="134"/>
      <c r="K898" s="134"/>
      <c r="L898" s="134"/>
      <c r="M898" s="135"/>
      <c r="N898" s="134"/>
      <c r="O898" s="134"/>
      <c r="P898" s="134"/>
      <c r="Q898" s="134"/>
      <c r="R898" s="134"/>
      <c r="S898" s="134"/>
      <c r="T898" s="134"/>
      <c r="U898" s="134"/>
      <c r="V898" s="134"/>
      <c r="W898" s="134"/>
      <c r="X898" s="134"/>
      <c r="Y898" s="135"/>
      <c r="Z898" s="135"/>
      <c r="AA898" s="136"/>
      <c r="AB898" s="136"/>
      <c r="AC898" s="137"/>
      <c r="AD898" s="137"/>
      <c r="AE898" s="137"/>
      <c r="AF898" s="137"/>
    </row>
    <row r="899" spans="2:32" s="1" customFormat="1" hidden="1">
      <c r="B899" s="2"/>
      <c r="C899" s="133"/>
      <c r="D899" s="134"/>
      <c r="E899" s="134"/>
      <c r="F899" s="134"/>
      <c r="G899" s="139" t="str">
        <f t="shared" ref="G899" si="14">IF(AND(C899&lt;=$C$882),"",IF(AND(C899&gt;=$C$883),"",D899))</f>
        <v/>
      </c>
      <c r="H899" s="134"/>
      <c r="I899" s="134"/>
      <c r="J899" s="134"/>
      <c r="K899" s="134"/>
      <c r="L899" s="134"/>
      <c r="M899" s="135"/>
      <c r="N899" s="134"/>
      <c r="O899" s="134"/>
      <c r="P899" s="134"/>
      <c r="Q899" s="134"/>
      <c r="R899" s="134"/>
      <c r="S899" s="134"/>
      <c r="T899" s="134"/>
      <c r="U899" s="134"/>
      <c r="V899" s="134"/>
      <c r="W899" s="134"/>
      <c r="X899" s="134"/>
      <c r="Y899" s="135"/>
      <c r="Z899" s="135"/>
      <c r="AA899" s="136"/>
      <c r="AB899" s="136"/>
      <c r="AC899" s="137"/>
      <c r="AD899" s="137"/>
      <c r="AE899" s="137"/>
      <c r="AF899" s="137"/>
    </row>
    <row r="900" spans="2:32" s="1" customFormat="1" hidden="1">
      <c r="B900" s="2"/>
      <c r="C900" s="133"/>
      <c r="D900" s="134"/>
      <c r="E900" s="134"/>
      <c r="F900" s="134"/>
      <c r="G900" s="134"/>
      <c r="H900" s="134"/>
      <c r="I900" s="134"/>
      <c r="J900" s="134"/>
      <c r="K900" s="134"/>
      <c r="L900" s="134"/>
      <c r="M900" s="135"/>
      <c r="N900" s="134"/>
      <c r="O900" s="134"/>
      <c r="P900" s="134"/>
      <c r="Q900" s="134"/>
      <c r="R900" s="134"/>
      <c r="S900" s="134"/>
      <c r="T900" s="134"/>
      <c r="U900" s="134"/>
      <c r="V900" s="134"/>
      <c r="W900" s="134"/>
      <c r="X900" s="134"/>
      <c r="Y900" s="135"/>
      <c r="Z900" s="135"/>
      <c r="AA900" s="136"/>
      <c r="AB900" s="136"/>
      <c r="AC900" s="137"/>
      <c r="AD900" s="137"/>
      <c r="AE900" s="137"/>
      <c r="AF900" s="137"/>
    </row>
    <row r="901" spans="2:32" s="1" customFormat="1" hidden="1">
      <c r="B901" s="2"/>
      <c r="C901" s="133"/>
      <c r="D901" s="134"/>
      <c r="E901" s="134"/>
      <c r="F901" s="134"/>
      <c r="G901" s="134"/>
      <c r="H901" s="134"/>
      <c r="I901" s="134"/>
      <c r="J901" s="134"/>
      <c r="K901" s="134"/>
      <c r="L901" s="134"/>
      <c r="M901" s="135"/>
      <c r="N901" s="134"/>
      <c r="O901" s="134"/>
      <c r="P901" s="134"/>
      <c r="Q901" s="134"/>
      <c r="R901" s="134"/>
      <c r="S901" s="134"/>
      <c r="T901" s="134"/>
      <c r="U901" s="134"/>
      <c r="V901" s="134"/>
      <c r="W901" s="134"/>
      <c r="X901" s="134"/>
      <c r="Y901" s="135"/>
      <c r="Z901" s="135"/>
      <c r="AA901" s="136"/>
      <c r="AB901" s="136"/>
      <c r="AC901" s="137"/>
      <c r="AD901" s="137"/>
      <c r="AE901" s="137"/>
      <c r="AF901" s="137"/>
    </row>
    <row r="902" spans="2:32" s="1" customFormat="1" hidden="1">
      <c r="B902" s="2"/>
      <c r="C902" s="133"/>
      <c r="D902" s="134"/>
      <c r="E902" s="134"/>
      <c r="F902" s="134"/>
      <c r="G902" s="134"/>
      <c r="H902" s="134"/>
      <c r="I902" s="134"/>
      <c r="J902" s="134"/>
      <c r="K902" s="134"/>
      <c r="L902" s="134"/>
      <c r="M902" s="135"/>
      <c r="N902" s="134"/>
      <c r="O902" s="134"/>
      <c r="P902" s="134"/>
      <c r="Q902" s="134"/>
      <c r="R902" s="134"/>
      <c r="S902" s="134"/>
      <c r="T902" s="134"/>
      <c r="U902" s="134"/>
      <c r="V902" s="134"/>
      <c r="W902" s="134"/>
      <c r="X902" s="134"/>
      <c r="Y902" s="135"/>
      <c r="Z902" s="135"/>
      <c r="AA902" s="136"/>
      <c r="AB902" s="136"/>
      <c r="AC902" s="137"/>
      <c r="AD902" s="137"/>
      <c r="AE902" s="137"/>
      <c r="AF902" s="137"/>
    </row>
    <row r="903" spans="2:32" s="1" customFormat="1" hidden="1">
      <c r="B903" s="2"/>
      <c r="C903" s="133"/>
      <c r="D903" s="134"/>
      <c r="E903" s="134"/>
      <c r="F903" s="134"/>
      <c r="G903" s="134"/>
      <c r="H903" s="134"/>
      <c r="I903" s="134"/>
      <c r="J903" s="134"/>
      <c r="K903" s="134"/>
      <c r="L903" s="134"/>
      <c r="M903" s="135"/>
      <c r="N903" s="134"/>
      <c r="O903" s="134"/>
      <c r="P903" s="134"/>
      <c r="Q903" s="134"/>
      <c r="R903" s="134"/>
      <c r="S903" s="134"/>
      <c r="T903" s="134"/>
      <c r="U903" s="134"/>
      <c r="V903" s="134"/>
      <c r="W903" s="134"/>
      <c r="X903" s="134"/>
      <c r="Y903" s="135"/>
      <c r="Z903" s="135"/>
      <c r="AA903" s="136"/>
      <c r="AB903" s="136"/>
      <c r="AC903" s="137"/>
      <c r="AD903" s="137"/>
      <c r="AE903" s="137"/>
      <c r="AF903" s="137"/>
    </row>
    <row r="904" spans="2:32" s="1" customFormat="1" hidden="1">
      <c r="B904" s="2"/>
      <c r="C904" s="133"/>
      <c r="D904" s="134"/>
      <c r="E904" s="134"/>
      <c r="F904" s="134"/>
      <c r="G904" s="134"/>
      <c r="H904" s="134"/>
      <c r="I904" s="134"/>
      <c r="J904" s="134"/>
      <c r="K904" s="134"/>
      <c r="L904" s="134"/>
      <c r="M904" s="135"/>
      <c r="N904" s="134"/>
      <c r="O904" s="134"/>
      <c r="P904" s="134"/>
      <c r="Q904" s="134"/>
      <c r="R904" s="134"/>
      <c r="S904" s="134"/>
      <c r="T904" s="134"/>
      <c r="U904" s="134"/>
      <c r="V904" s="134"/>
      <c r="W904" s="134"/>
      <c r="X904" s="134"/>
      <c r="Y904" s="135"/>
      <c r="Z904" s="135"/>
      <c r="AA904" s="136"/>
      <c r="AB904" s="136"/>
      <c r="AC904" s="137"/>
      <c r="AD904" s="137"/>
      <c r="AE904" s="137"/>
      <c r="AF904" s="137"/>
    </row>
    <row r="905" spans="2:32" s="1" customFormat="1" hidden="1">
      <c r="B905" s="2"/>
      <c r="C905" s="133"/>
      <c r="D905" s="134"/>
      <c r="E905" s="134"/>
      <c r="F905" s="134"/>
      <c r="G905" s="134"/>
      <c r="H905" s="134"/>
      <c r="I905" s="134"/>
      <c r="J905" s="134"/>
      <c r="K905" s="134"/>
      <c r="L905" s="134"/>
      <c r="M905" s="135"/>
      <c r="N905" s="134"/>
      <c r="O905" s="134"/>
      <c r="P905" s="134"/>
      <c r="Q905" s="134"/>
      <c r="R905" s="134"/>
      <c r="S905" s="134"/>
      <c r="T905" s="134"/>
      <c r="U905" s="134"/>
      <c r="V905" s="134"/>
      <c r="W905" s="134"/>
      <c r="X905" s="134"/>
      <c r="Y905" s="135"/>
      <c r="Z905" s="135"/>
      <c r="AA905" s="136"/>
      <c r="AB905" s="136"/>
      <c r="AC905" s="137"/>
      <c r="AD905" s="137"/>
      <c r="AE905" s="137"/>
      <c r="AF905" s="137"/>
    </row>
    <row r="906" spans="2:32" s="1" customFormat="1" hidden="1">
      <c r="B906" s="2"/>
      <c r="C906" s="133"/>
      <c r="D906" s="134"/>
      <c r="E906" s="134"/>
      <c r="F906" s="134"/>
      <c r="G906" s="134"/>
      <c r="H906" s="134"/>
      <c r="I906" s="134"/>
      <c r="J906" s="134"/>
      <c r="K906" s="134"/>
      <c r="L906" s="134"/>
      <c r="M906" s="135"/>
      <c r="N906" s="134"/>
      <c r="O906" s="134"/>
      <c r="P906" s="134"/>
      <c r="Q906" s="134"/>
      <c r="R906" s="134"/>
      <c r="S906" s="134"/>
      <c r="T906" s="134"/>
      <c r="U906" s="134"/>
      <c r="V906" s="134"/>
      <c r="W906" s="134"/>
      <c r="X906" s="134"/>
      <c r="Y906" s="135"/>
      <c r="Z906" s="135"/>
      <c r="AA906" s="136"/>
      <c r="AB906" s="136"/>
      <c r="AC906" s="137"/>
      <c r="AD906" s="137"/>
      <c r="AE906" s="137"/>
      <c r="AF906" s="137"/>
    </row>
    <row r="907" spans="2:32" s="1" customFormat="1" hidden="1">
      <c r="B907" s="2"/>
      <c r="C907" s="133"/>
      <c r="D907" s="134"/>
      <c r="E907" s="134"/>
      <c r="F907" s="134"/>
      <c r="G907" s="134"/>
      <c r="H907" s="134"/>
      <c r="I907" s="134"/>
      <c r="J907" s="134"/>
      <c r="K907" s="134"/>
      <c r="L907" s="134"/>
      <c r="M907" s="135"/>
      <c r="N907" s="134"/>
      <c r="O907" s="134"/>
      <c r="P907" s="134"/>
      <c r="Q907" s="134"/>
      <c r="R907" s="134"/>
      <c r="S907" s="134"/>
      <c r="T907" s="134"/>
      <c r="U907" s="134"/>
      <c r="V907" s="134"/>
      <c r="W907" s="134"/>
      <c r="X907" s="134"/>
      <c r="Y907" s="135"/>
      <c r="Z907" s="135"/>
      <c r="AA907" s="136"/>
      <c r="AB907" s="136"/>
      <c r="AC907" s="137"/>
      <c r="AD907" s="137"/>
      <c r="AE907" s="137"/>
      <c r="AF907" s="137"/>
    </row>
    <row r="908" spans="2:32" s="1" customFormat="1" hidden="1">
      <c r="B908" s="2"/>
      <c r="C908" s="133"/>
      <c r="D908" s="134"/>
      <c r="E908" s="134"/>
      <c r="F908" s="134"/>
      <c r="G908" s="134"/>
      <c r="H908" s="134"/>
      <c r="I908" s="134"/>
      <c r="J908" s="134"/>
      <c r="K908" s="134"/>
      <c r="L908" s="134"/>
      <c r="M908" s="135"/>
      <c r="N908" s="134"/>
      <c r="O908" s="134"/>
      <c r="P908" s="134"/>
      <c r="Q908" s="134"/>
      <c r="R908" s="134"/>
      <c r="S908" s="134"/>
      <c r="T908" s="134"/>
      <c r="U908" s="134"/>
      <c r="V908" s="134"/>
      <c r="W908" s="134"/>
      <c r="X908" s="134"/>
      <c r="Y908" s="135"/>
      <c r="Z908" s="135"/>
      <c r="AA908" s="136"/>
      <c r="AB908" s="136"/>
      <c r="AC908" s="137"/>
      <c r="AD908" s="137"/>
      <c r="AE908" s="137"/>
      <c r="AF908" s="137"/>
    </row>
    <row r="909" spans="2:32" s="1" customFormat="1" hidden="1">
      <c r="B909" s="2"/>
      <c r="C909" s="133"/>
      <c r="D909" s="134"/>
      <c r="E909" s="134"/>
      <c r="F909" s="134"/>
      <c r="G909" s="134"/>
      <c r="H909" s="134"/>
      <c r="I909" s="134"/>
      <c r="J909" s="134"/>
      <c r="K909" s="134"/>
      <c r="L909" s="134"/>
      <c r="M909" s="135"/>
      <c r="N909" s="134"/>
      <c r="O909" s="134"/>
      <c r="P909" s="134"/>
      <c r="Q909" s="134"/>
      <c r="R909" s="134"/>
      <c r="S909" s="134"/>
      <c r="T909" s="134"/>
      <c r="U909" s="134"/>
      <c r="V909" s="134"/>
      <c r="W909" s="134"/>
      <c r="X909" s="134"/>
      <c r="Y909" s="135"/>
      <c r="Z909" s="135"/>
      <c r="AA909" s="136"/>
      <c r="AB909" s="136"/>
      <c r="AC909" s="137"/>
      <c r="AD909" s="137"/>
      <c r="AE909" s="137"/>
      <c r="AF909" s="137"/>
    </row>
    <row r="910" spans="2:32" s="1" customFormat="1" hidden="1">
      <c r="B910" s="2"/>
      <c r="C910" s="133"/>
      <c r="D910" s="134"/>
      <c r="E910" s="134"/>
      <c r="F910" s="134"/>
      <c r="G910" s="134"/>
      <c r="H910" s="134"/>
      <c r="I910" s="134"/>
      <c r="J910" s="134"/>
      <c r="K910" s="134"/>
      <c r="L910" s="134"/>
      <c r="M910" s="135"/>
      <c r="N910" s="134"/>
      <c r="O910" s="134"/>
      <c r="P910" s="134"/>
      <c r="Q910" s="134"/>
      <c r="R910" s="134"/>
      <c r="S910" s="134"/>
      <c r="T910" s="134"/>
      <c r="U910" s="134"/>
      <c r="V910" s="134"/>
      <c r="W910" s="134"/>
      <c r="X910" s="134"/>
      <c r="Y910" s="135"/>
      <c r="Z910" s="135"/>
      <c r="AA910" s="136"/>
      <c r="AB910" s="136"/>
      <c r="AC910" s="137"/>
      <c r="AD910" s="137"/>
      <c r="AE910" s="137"/>
      <c r="AF910" s="137"/>
    </row>
    <row r="911" spans="2:32" s="1" customFormat="1" hidden="1">
      <c r="B911" s="2"/>
      <c r="C911" s="133"/>
      <c r="D911" s="134"/>
      <c r="E911" s="134"/>
      <c r="F911" s="134"/>
      <c r="G911" s="134"/>
      <c r="H911" s="134"/>
      <c r="I911" s="134"/>
      <c r="J911" s="134"/>
      <c r="K911" s="134"/>
      <c r="L911" s="134"/>
      <c r="M911" s="135"/>
      <c r="N911" s="134"/>
      <c r="O911" s="134"/>
      <c r="P911" s="134"/>
      <c r="Q911" s="134"/>
      <c r="R911" s="134"/>
      <c r="S911" s="134"/>
      <c r="T911" s="134"/>
      <c r="U911" s="134"/>
      <c r="V911" s="134"/>
      <c r="W911" s="134"/>
      <c r="X911" s="134"/>
      <c r="Y911" s="135"/>
      <c r="Z911" s="135"/>
      <c r="AA911" s="136"/>
      <c r="AB911" s="136"/>
      <c r="AC911" s="137"/>
      <c r="AD911" s="137"/>
      <c r="AE911" s="137"/>
      <c r="AF911" s="137"/>
    </row>
    <row r="912" spans="2:32" s="1" customFormat="1" hidden="1">
      <c r="B912" s="2"/>
      <c r="C912" s="133"/>
      <c r="D912" s="134"/>
      <c r="E912" s="134"/>
      <c r="F912" s="134"/>
      <c r="G912" s="134"/>
      <c r="H912" s="134"/>
      <c r="I912" s="134"/>
      <c r="J912" s="134"/>
      <c r="K912" s="134"/>
      <c r="L912" s="134"/>
      <c r="M912" s="135"/>
      <c r="N912" s="134"/>
      <c r="O912" s="134"/>
      <c r="P912" s="134"/>
      <c r="Q912" s="134"/>
      <c r="R912" s="134"/>
      <c r="S912" s="134"/>
      <c r="T912" s="134"/>
      <c r="U912" s="134"/>
      <c r="V912" s="134"/>
      <c r="W912" s="134"/>
      <c r="X912" s="134"/>
      <c r="Y912" s="135"/>
      <c r="Z912" s="135"/>
      <c r="AA912" s="136"/>
      <c r="AB912" s="136"/>
      <c r="AC912" s="137"/>
      <c r="AD912" s="137"/>
      <c r="AE912" s="137"/>
      <c r="AF912" s="137"/>
    </row>
    <row r="913" spans="2:32" s="1" customFormat="1" hidden="1">
      <c r="B913" s="2"/>
      <c r="C913" s="133"/>
      <c r="D913" s="134"/>
      <c r="E913" s="134"/>
      <c r="F913" s="134"/>
      <c r="G913" s="134"/>
      <c r="H913" s="134"/>
      <c r="I913" s="134"/>
      <c r="J913" s="134"/>
      <c r="K913" s="134"/>
      <c r="L913" s="134"/>
      <c r="M913" s="135"/>
      <c r="N913" s="134"/>
      <c r="O913" s="134"/>
      <c r="P913" s="134"/>
      <c r="Q913" s="134"/>
      <c r="R913" s="134"/>
      <c r="S913" s="134"/>
      <c r="T913" s="134"/>
      <c r="U913" s="134"/>
      <c r="V913" s="134"/>
      <c r="W913" s="134"/>
      <c r="X913" s="134"/>
      <c r="Y913" s="135"/>
      <c r="Z913" s="135"/>
      <c r="AA913" s="136"/>
      <c r="AB913" s="136"/>
      <c r="AC913" s="137"/>
      <c r="AD913" s="137"/>
      <c r="AE913" s="137"/>
      <c r="AF913" s="137"/>
    </row>
    <row r="914" spans="2:32" s="1" customFormat="1" hidden="1">
      <c r="B914" s="2"/>
      <c r="C914" s="133"/>
      <c r="D914" s="134"/>
      <c r="E914" s="134"/>
      <c r="F914" s="134"/>
      <c r="G914" s="134"/>
      <c r="H914" s="134"/>
      <c r="I914" s="134"/>
      <c r="J914" s="134"/>
      <c r="K914" s="134"/>
      <c r="L914" s="134"/>
      <c r="M914" s="135"/>
      <c r="N914" s="134"/>
      <c r="O914" s="134"/>
      <c r="P914" s="134"/>
      <c r="Q914" s="134"/>
      <c r="R914" s="134"/>
      <c r="S914" s="134"/>
      <c r="T914" s="134"/>
      <c r="U914" s="134"/>
      <c r="V914" s="134"/>
      <c r="W914" s="134"/>
      <c r="X914" s="134"/>
      <c r="Y914" s="135"/>
      <c r="Z914" s="135"/>
      <c r="AA914" s="136"/>
      <c r="AB914" s="136"/>
      <c r="AC914" s="137"/>
      <c r="AD914" s="137"/>
      <c r="AE914" s="137"/>
      <c r="AF914" s="137"/>
    </row>
    <row r="915" spans="2:32" s="1" customFormat="1" hidden="1">
      <c r="B915" s="2"/>
      <c r="C915" s="133"/>
      <c r="D915" s="134"/>
      <c r="E915" s="134"/>
      <c r="F915" s="134"/>
      <c r="G915" s="134"/>
      <c r="H915" s="134"/>
      <c r="I915" s="134"/>
      <c r="J915" s="134"/>
      <c r="K915" s="134"/>
      <c r="L915" s="134"/>
      <c r="M915" s="135"/>
      <c r="N915" s="134"/>
      <c r="O915" s="134"/>
      <c r="P915" s="134"/>
      <c r="Q915" s="134"/>
      <c r="R915" s="134"/>
      <c r="S915" s="134"/>
      <c r="T915" s="134"/>
      <c r="U915" s="134"/>
      <c r="V915" s="134"/>
      <c r="W915" s="134"/>
      <c r="X915" s="134"/>
      <c r="Y915" s="135"/>
      <c r="Z915" s="135"/>
      <c r="AA915" s="136"/>
      <c r="AB915" s="136"/>
      <c r="AC915" s="137"/>
      <c r="AD915" s="137"/>
      <c r="AE915" s="137"/>
      <c r="AF915" s="137"/>
    </row>
    <row r="916" spans="2:32" s="1" customFormat="1" hidden="1">
      <c r="B916" s="2"/>
      <c r="C916" s="133"/>
      <c r="D916" s="134"/>
      <c r="E916" s="134"/>
      <c r="F916" s="134"/>
      <c r="G916" s="134"/>
      <c r="H916" s="134"/>
      <c r="I916" s="134"/>
      <c r="J916" s="134"/>
      <c r="K916" s="134"/>
      <c r="L916" s="134"/>
      <c r="M916" s="135"/>
      <c r="N916" s="134"/>
      <c r="O916" s="134"/>
      <c r="P916" s="134"/>
      <c r="Q916" s="134"/>
      <c r="R916" s="134"/>
      <c r="S916" s="134"/>
      <c r="T916" s="134"/>
      <c r="U916" s="134"/>
      <c r="V916" s="134"/>
      <c r="W916" s="134"/>
      <c r="X916" s="134"/>
      <c r="Y916" s="135"/>
      <c r="Z916" s="135"/>
      <c r="AA916" s="136"/>
      <c r="AB916" s="136"/>
      <c r="AC916" s="137"/>
      <c r="AD916" s="137"/>
      <c r="AE916" s="137"/>
      <c r="AF916" s="137"/>
    </row>
    <row r="917" spans="2:32" s="1" customFormat="1" hidden="1">
      <c r="B917" s="2"/>
      <c r="C917" s="133"/>
      <c r="D917" s="134"/>
      <c r="E917" s="134"/>
      <c r="F917" s="134"/>
      <c r="G917" s="134"/>
      <c r="H917" s="134"/>
      <c r="I917" s="134"/>
      <c r="J917" s="134"/>
      <c r="K917" s="134"/>
      <c r="L917" s="134"/>
      <c r="M917" s="135"/>
      <c r="N917" s="134"/>
      <c r="O917" s="134"/>
      <c r="P917" s="134"/>
      <c r="Q917" s="134"/>
      <c r="R917" s="134"/>
      <c r="S917" s="134"/>
      <c r="T917" s="134"/>
      <c r="U917" s="134"/>
      <c r="V917" s="134"/>
      <c r="W917" s="134"/>
      <c r="X917" s="134"/>
      <c r="Y917" s="135"/>
      <c r="Z917" s="135"/>
      <c r="AA917" s="136"/>
      <c r="AB917" s="136"/>
      <c r="AC917" s="137"/>
      <c r="AD917" s="137"/>
      <c r="AE917" s="137"/>
      <c r="AF917" s="137"/>
    </row>
    <row r="918" spans="2:32" s="1" customFormat="1" hidden="1">
      <c r="B918" s="2"/>
      <c r="C918" s="133"/>
      <c r="D918" s="134"/>
      <c r="E918" s="134"/>
      <c r="F918" s="134"/>
      <c r="G918" s="134"/>
      <c r="H918" s="134"/>
      <c r="I918" s="134"/>
      <c r="J918" s="134"/>
      <c r="K918" s="134"/>
      <c r="L918" s="134"/>
      <c r="M918" s="135"/>
      <c r="N918" s="134"/>
      <c r="O918" s="134"/>
      <c r="P918" s="134"/>
      <c r="Q918" s="134"/>
      <c r="R918" s="134"/>
      <c r="S918" s="134"/>
      <c r="T918" s="134"/>
      <c r="U918" s="134"/>
      <c r="V918" s="134"/>
      <c r="W918" s="134"/>
      <c r="X918" s="134"/>
      <c r="Y918" s="135"/>
      <c r="Z918" s="135"/>
      <c r="AA918" s="136"/>
      <c r="AB918" s="136"/>
      <c r="AC918" s="137"/>
      <c r="AD918" s="137"/>
      <c r="AE918" s="137"/>
      <c r="AF918" s="137"/>
    </row>
    <row r="919" spans="2:32" s="1" customFormat="1" hidden="1">
      <c r="B919" s="2"/>
      <c r="C919" s="133"/>
      <c r="D919" s="134"/>
      <c r="E919" s="134"/>
      <c r="F919" s="134"/>
      <c r="G919" s="134"/>
      <c r="H919" s="134"/>
      <c r="I919" s="134"/>
      <c r="J919" s="134"/>
      <c r="K919" s="134"/>
      <c r="L919" s="134"/>
      <c r="M919" s="135"/>
      <c r="N919" s="134"/>
      <c r="O919" s="134"/>
      <c r="P919" s="134"/>
      <c r="Q919" s="134"/>
      <c r="R919" s="134"/>
      <c r="S919" s="134"/>
      <c r="T919" s="134"/>
      <c r="U919" s="134"/>
      <c r="V919" s="134"/>
      <c r="W919" s="134"/>
      <c r="X919" s="134"/>
      <c r="Y919" s="135"/>
      <c r="Z919" s="135"/>
      <c r="AA919" s="136"/>
      <c r="AB919" s="136"/>
      <c r="AC919" s="137"/>
      <c r="AD919" s="137"/>
      <c r="AE919" s="137"/>
      <c r="AF919" s="137"/>
    </row>
    <row r="920" spans="2:32" s="1" customFormat="1" hidden="1">
      <c r="B920" s="2"/>
      <c r="C920" s="133"/>
      <c r="D920" s="134"/>
      <c r="E920" s="134"/>
      <c r="F920" s="134"/>
      <c r="G920" s="134"/>
      <c r="H920" s="134"/>
      <c r="I920" s="134"/>
      <c r="J920" s="134"/>
      <c r="K920" s="134"/>
      <c r="L920" s="134"/>
      <c r="M920" s="135"/>
      <c r="N920" s="134"/>
      <c r="O920" s="134"/>
      <c r="P920" s="134"/>
      <c r="Q920" s="134"/>
      <c r="R920" s="134"/>
      <c r="S920" s="134"/>
      <c r="T920" s="134"/>
      <c r="U920" s="134"/>
      <c r="V920" s="134"/>
      <c r="W920" s="134"/>
      <c r="X920" s="134"/>
      <c r="Y920" s="135"/>
      <c r="Z920" s="135"/>
      <c r="AA920" s="136"/>
      <c r="AB920" s="136"/>
      <c r="AC920" s="137"/>
      <c r="AD920" s="137"/>
      <c r="AE920" s="137"/>
      <c r="AF920" s="137"/>
    </row>
    <row r="921" spans="2:32" s="1" customFormat="1" hidden="1">
      <c r="B921" s="2"/>
      <c r="C921" s="133"/>
      <c r="D921" s="134"/>
      <c r="E921" s="134"/>
      <c r="F921" s="134"/>
      <c r="G921" s="134"/>
      <c r="H921" s="134"/>
      <c r="I921" s="134"/>
      <c r="J921" s="134"/>
      <c r="K921" s="134"/>
      <c r="L921" s="134"/>
      <c r="M921" s="135"/>
      <c r="N921" s="134"/>
      <c r="O921" s="134"/>
      <c r="P921" s="134"/>
      <c r="Q921" s="134"/>
      <c r="R921" s="134"/>
      <c r="S921" s="134"/>
      <c r="T921" s="134"/>
      <c r="U921" s="134"/>
      <c r="V921" s="134"/>
      <c r="W921" s="134"/>
      <c r="X921" s="134"/>
      <c r="Y921" s="135"/>
      <c r="Z921" s="135"/>
      <c r="AA921" s="136"/>
      <c r="AB921" s="136"/>
      <c r="AC921" s="137"/>
      <c r="AD921" s="137"/>
      <c r="AE921" s="137"/>
      <c r="AF921" s="137"/>
    </row>
    <row r="922" spans="2:32" s="1" customFormat="1" hidden="1">
      <c r="B922" s="2"/>
      <c r="C922" s="133"/>
      <c r="D922" s="134"/>
      <c r="E922" s="134"/>
      <c r="F922" s="134"/>
      <c r="G922" s="134"/>
      <c r="H922" s="134"/>
      <c r="I922" s="134"/>
      <c r="J922" s="134"/>
      <c r="K922" s="134"/>
      <c r="L922" s="134"/>
      <c r="M922" s="135"/>
      <c r="N922" s="134"/>
      <c r="O922" s="134"/>
      <c r="P922" s="134"/>
      <c r="Q922" s="134"/>
      <c r="R922" s="134"/>
      <c r="S922" s="134"/>
      <c r="T922" s="134"/>
      <c r="U922" s="134"/>
      <c r="V922" s="134"/>
      <c r="W922" s="134"/>
      <c r="X922" s="134"/>
      <c r="Y922" s="135"/>
      <c r="Z922" s="135"/>
      <c r="AA922" s="136"/>
      <c r="AB922" s="136"/>
      <c r="AC922" s="137"/>
      <c r="AD922" s="137"/>
      <c r="AE922" s="137"/>
      <c r="AF922" s="137"/>
    </row>
    <row r="923" spans="2:32" s="1" customFormat="1" hidden="1">
      <c r="B923" s="2"/>
      <c r="C923" s="133"/>
      <c r="D923" s="134"/>
      <c r="E923" s="134"/>
      <c r="F923" s="134"/>
      <c r="G923" s="134"/>
      <c r="H923" s="134"/>
      <c r="I923" s="134"/>
      <c r="J923" s="134"/>
      <c r="K923" s="134"/>
      <c r="L923" s="134"/>
      <c r="M923" s="135"/>
      <c r="N923" s="134"/>
      <c r="O923" s="134"/>
      <c r="P923" s="134"/>
      <c r="Q923" s="134"/>
      <c r="R923" s="134"/>
      <c r="S923" s="134"/>
      <c r="T923" s="134"/>
      <c r="U923" s="134"/>
      <c r="V923" s="134"/>
      <c r="W923" s="134"/>
      <c r="X923" s="134"/>
      <c r="Y923" s="135"/>
      <c r="Z923" s="135"/>
      <c r="AA923" s="136"/>
      <c r="AB923" s="136"/>
      <c r="AC923" s="137"/>
      <c r="AD923" s="137"/>
      <c r="AE923" s="137"/>
      <c r="AF923" s="137"/>
    </row>
    <row r="924" spans="2:32" s="1" customFormat="1" hidden="1">
      <c r="B924" s="2"/>
      <c r="C924" s="133"/>
      <c r="D924" s="134"/>
      <c r="E924" s="134"/>
      <c r="F924" s="134"/>
      <c r="G924" s="134"/>
      <c r="H924" s="134"/>
      <c r="I924" s="134"/>
      <c r="J924" s="134"/>
      <c r="K924" s="134"/>
      <c r="L924" s="134"/>
      <c r="M924" s="135"/>
      <c r="N924" s="134"/>
      <c r="O924" s="134"/>
      <c r="P924" s="134"/>
      <c r="Q924" s="134"/>
      <c r="R924" s="134"/>
      <c r="S924" s="134"/>
      <c r="T924" s="134"/>
      <c r="U924" s="134"/>
      <c r="V924" s="134"/>
      <c r="W924" s="134"/>
      <c r="X924" s="134"/>
      <c r="Y924" s="135"/>
      <c r="Z924" s="135"/>
      <c r="AA924" s="136"/>
      <c r="AB924" s="136"/>
      <c r="AC924" s="137"/>
      <c r="AD924" s="137"/>
      <c r="AE924" s="137"/>
      <c r="AF924" s="137"/>
    </row>
    <row r="925" spans="2:32" s="1" customFormat="1" hidden="1">
      <c r="B925" s="2"/>
      <c r="C925" s="133"/>
      <c r="D925" s="134"/>
      <c r="E925" s="134"/>
      <c r="F925" s="134"/>
      <c r="G925" s="134"/>
      <c r="H925" s="134"/>
      <c r="I925" s="134"/>
      <c r="J925" s="134"/>
      <c r="K925" s="134"/>
      <c r="L925" s="134"/>
      <c r="M925" s="135"/>
      <c r="N925" s="134"/>
      <c r="O925" s="134"/>
      <c r="P925" s="134"/>
      <c r="Q925" s="134"/>
      <c r="R925" s="134"/>
      <c r="S925" s="134"/>
      <c r="T925" s="134"/>
      <c r="U925" s="134"/>
      <c r="V925" s="134"/>
      <c r="W925" s="134"/>
      <c r="X925" s="134"/>
      <c r="Y925" s="135"/>
      <c r="Z925" s="135"/>
      <c r="AA925" s="136"/>
      <c r="AB925" s="136"/>
      <c r="AC925" s="137"/>
      <c r="AD925" s="137"/>
      <c r="AE925" s="137"/>
      <c r="AF925" s="137"/>
    </row>
    <row r="926" spans="2:32" s="1" customFormat="1" hidden="1">
      <c r="B926" s="2"/>
      <c r="C926" s="133"/>
      <c r="D926" s="134"/>
      <c r="E926" s="134"/>
      <c r="F926" s="134"/>
      <c r="G926" s="134"/>
      <c r="H926" s="134"/>
      <c r="I926" s="134"/>
      <c r="J926" s="134"/>
      <c r="K926" s="134"/>
      <c r="L926" s="134"/>
      <c r="M926" s="135"/>
      <c r="N926" s="134"/>
      <c r="O926" s="134"/>
      <c r="P926" s="134"/>
      <c r="Q926" s="134"/>
      <c r="R926" s="134"/>
      <c r="S926" s="134"/>
      <c r="T926" s="134"/>
      <c r="U926" s="134"/>
      <c r="V926" s="134"/>
      <c r="W926" s="134"/>
      <c r="X926" s="134"/>
      <c r="Y926" s="135"/>
      <c r="Z926" s="135"/>
      <c r="AA926" s="136"/>
      <c r="AB926" s="136"/>
      <c r="AC926" s="137"/>
      <c r="AD926" s="137"/>
      <c r="AE926" s="137"/>
      <c r="AF926" s="137"/>
    </row>
    <row r="927" spans="2:32" s="1" customFormat="1" hidden="1">
      <c r="B927" s="2"/>
      <c r="C927" s="133"/>
      <c r="D927" s="134"/>
      <c r="E927" s="134"/>
      <c r="F927" s="134"/>
      <c r="G927" s="134"/>
      <c r="H927" s="134"/>
      <c r="I927" s="134"/>
      <c r="J927" s="134"/>
      <c r="K927" s="134"/>
      <c r="L927" s="134"/>
      <c r="M927" s="135"/>
      <c r="N927" s="134"/>
      <c r="O927" s="134"/>
      <c r="P927" s="134"/>
      <c r="Q927" s="134"/>
      <c r="R927" s="134"/>
      <c r="S927" s="134"/>
      <c r="T927" s="134"/>
      <c r="U927" s="134"/>
      <c r="V927" s="134"/>
      <c r="W927" s="134"/>
      <c r="X927" s="134"/>
      <c r="Y927" s="135"/>
      <c r="Z927" s="135"/>
      <c r="AA927" s="136"/>
      <c r="AB927" s="136"/>
      <c r="AC927" s="137"/>
      <c r="AD927" s="137"/>
      <c r="AE927" s="137"/>
      <c r="AF927" s="137"/>
    </row>
    <row r="928" spans="2:32" s="1" customFormat="1" hidden="1">
      <c r="B928" s="2"/>
      <c r="C928" s="133"/>
      <c r="D928" s="134"/>
      <c r="E928" s="134"/>
      <c r="F928" s="134"/>
      <c r="G928" s="134"/>
      <c r="H928" s="134"/>
      <c r="I928" s="134"/>
      <c r="J928" s="134"/>
      <c r="K928" s="134"/>
      <c r="L928" s="134"/>
      <c r="M928" s="135"/>
      <c r="N928" s="134"/>
      <c r="O928" s="134"/>
      <c r="P928" s="134"/>
      <c r="Q928" s="134"/>
      <c r="R928" s="134"/>
      <c r="S928" s="134"/>
      <c r="T928" s="134"/>
      <c r="U928" s="134"/>
      <c r="V928" s="134"/>
      <c r="W928" s="134"/>
      <c r="X928" s="134"/>
      <c r="Y928" s="135"/>
      <c r="Z928" s="135"/>
      <c r="AA928" s="136"/>
      <c r="AB928" s="136"/>
      <c r="AC928" s="137"/>
      <c r="AD928" s="137"/>
      <c r="AE928" s="137"/>
      <c r="AF928" s="137"/>
    </row>
    <row r="929" spans="2:32" s="1" customFormat="1" hidden="1">
      <c r="B929" s="2"/>
      <c r="C929" s="133"/>
      <c r="D929" s="134"/>
      <c r="E929" s="134"/>
      <c r="F929" s="134"/>
      <c r="G929" s="134"/>
      <c r="H929" s="134"/>
      <c r="I929" s="134"/>
      <c r="J929" s="134"/>
      <c r="K929" s="134"/>
      <c r="L929" s="134"/>
      <c r="M929" s="135"/>
      <c r="N929" s="134"/>
      <c r="O929" s="134"/>
      <c r="P929" s="134"/>
      <c r="Q929" s="134"/>
      <c r="R929" s="134"/>
      <c r="S929" s="134"/>
      <c r="T929" s="134"/>
      <c r="U929" s="134"/>
      <c r="V929" s="134"/>
      <c r="W929" s="134"/>
      <c r="X929" s="134"/>
      <c r="Y929" s="135"/>
      <c r="Z929" s="135"/>
      <c r="AA929" s="136"/>
      <c r="AB929" s="136"/>
      <c r="AC929" s="137"/>
      <c r="AD929" s="137"/>
      <c r="AE929" s="137"/>
      <c r="AF929" s="137"/>
    </row>
    <row r="930" spans="2:32" s="1" customFormat="1" hidden="1">
      <c r="B930" s="2"/>
      <c r="C930" s="133"/>
      <c r="D930" s="134"/>
      <c r="E930" s="134"/>
      <c r="F930" s="134"/>
      <c r="G930" s="134"/>
      <c r="H930" s="134"/>
      <c r="I930" s="134"/>
      <c r="J930" s="134"/>
      <c r="K930" s="134"/>
      <c r="L930" s="134"/>
      <c r="M930" s="135"/>
      <c r="N930" s="134"/>
      <c r="O930" s="134"/>
      <c r="P930" s="134"/>
      <c r="Q930" s="134"/>
      <c r="R930" s="134"/>
      <c r="S930" s="134"/>
      <c r="T930" s="134"/>
      <c r="U930" s="134"/>
      <c r="V930" s="134"/>
      <c r="W930" s="134"/>
      <c r="X930" s="134"/>
      <c r="Y930" s="135"/>
      <c r="Z930" s="135"/>
      <c r="AA930" s="136"/>
      <c r="AB930" s="136"/>
      <c r="AC930" s="137"/>
      <c r="AD930" s="137"/>
      <c r="AE930" s="137"/>
      <c r="AF930" s="137"/>
    </row>
    <row r="931" spans="2:32" s="1" customFormat="1" hidden="1">
      <c r="B931" s="2"/>
      <c r="C931" s="133"/>
      <c r="D931" s="134"/>
      <c r="E931" s="134"/>
      <c r="F931" s="134"/>
      <c r="G931" s="134"/>
      <c r="H931" s="134"/>
      <c r="I931" s="134"/>
      <c r="J931" s="134"/>
      <c r="K931" s="134"/>
      <c r="L931" s="134"/>
      <c r="M931" s="135"/>
      <c r="N931" s="134"/>
      <c r="O931" s="134"/>
      <c r="P931" s="134"/>
      <c r="Q931" s="134"/>
      <c r="R931" s="134"/>
      <c r="S931" s="134"/>
      <c r="T931" s="134"/>
      <c r="U931" s="134"/>
      <c r="V931" s="134"/>
      <c r="W931" s="134"/>
      <c r="X931" s="134"/>
      <c r="Y931" s="135"/>
      <c r="Z931" s="135"/>
      <c r="AA931" s="136"/>
      <c r="AB931" s="136"/>
      <c r="AC931" s="137"/>
      <c r="AD931" s="137"/>
      <c r="AE931" s="137"/>
      <c r="AF931" s="137"/>
    </row>
    <row r="932" spans="2:32" s="1" customFormat="1" hidden="1">
      <c r="B932" s="2"/>
      <c r="C932" s="133"/>
      <c r="D932" s="134"/>
      <c r="E932" s="134"/>
      <c r="F932" s="134"/>
      <c r="G932" s="134"/>
      <c r="H932" s="134"/>
      <c r="I932" s="134"/>
      <c r="J932" s="134"/>
      <c r="K932" s="134"/>
      <c r="L932" s="134"/>
      <c r="M932" s="135"/>
      <c r="N932" s="134"/>
      <c r="O932" s="134"/>
      <c r="P932" s="134"/>
      <c r="Q932" s="134"/>
      <c r="R932" s="134"/>
      <c r="S932" s="134"/>
      <c r="T932" s="134"/>
      <c r="U932" s="134"/>
      <c r="V932" s="134"/>
      <c r="W932" s="134"/>
      <c r="X932" s="134"/>
      <c r="Y932" s="135"/>
      <c r="Z932" s="135"/>
      <c r="AA932" s="136"/>
      <c r="AB932" s="136"/>
      <c r="AC932" s="137"/>
      <c r="AD932" s="137"/>
      <c r="AE932" s="137"/>
      <c r="AF932" s="137"/>
    </row>
    <row r="933" spans="2:32" s="1" customFormat="1" hidden="1">
      <c r="B933" s="2"/>
      <c r="C933" s="133"/>
      <c r="D933" s="134"/>
      <c r="E933" s="134"/>
      <c r="F933" s="134"/>
      <c r="G933" s="134"/>
      <c r="H933" s="134"/>
      <c r="I933" s="134"/>
      <c r="J933" s="134"/>
      <c r="K933" s="134"/>
      <c r="L933" s="134"/>
      <c r="M933" s="135"/>
      <c r="N933" s="134"/>
      <c r="O933" s="134"/>
      <c r="P933" s="134"/>
      <c r="Q933" s="134"/>
      <c r="R933" s="134"/>
      <c r="S933" s="134"/>
      <c r="T933" s="134"/>
      <c r="U933" s="134"/>
      <c r="V933" s="134"/>
      <c r="W933" s="134"/>
      <c r="X933" s="134"/>
      <c r="Y933" s="135"/>
      <c r="Z933" s="135"/>
      <c r="AA933" s="136"/>
      <c r="AB933" s="136"/>
      <c r="AC933" s="137"/>
      <c r="AD933" s="137"/>
      <c r="AE933" s="137"/>
      <c r="AF933" s="137"/>
    </row>
    <row r="934" spans="2:32" s="1" customFormat="1" hidden="1">
      <c r="B934" s="2"/>
      <c r="C934" s="133"/>
      <c r="D934" s="134"/>
      <c r="E934" s="134"/>
      <c r="F934" s="134"/>
      <c r="G934" s="134"/>
      <c r="H934" s="134"/>
      <c r="I934" s="134"/>
      <c r="J934" s="134"/>
      <c r="K934" s="134"/>
      <c r="L934" s="134"/>
      <c r="M934" s="135"/>
      <c r="N934" s="134"/>
      <c r="O934" s="134"/>
      <c r="P934" s="134"/>
      <c r="Q934" s="134"/>
      <c r="R934" s="134"/>
      <c r="S934" s="134"/>
      <c r="T934" s="134"/>
      <c r="U934" s="134"/>
      <c r="V934" s="134"/>
      <c r="W934" s="134"/>
      <c r="X934" s="134"/>
      <c r="Y934" s="135"/>
      <c r="Z934" s="135"/>
      <c r="AA934" s="136"/>
      <c r="AB934" s="136"/>
      <c r="AC934" s="137"/>
      <c r="AD934" s="137"/>
      <c r="AE934" s="137"/>
      <c r="AF934" s="137"/>
    </row>
    <row r="935" spans="2:32" s="1" customFormat="1" hidden="1">
      <c r="B935" s="2"/>
      <c r="C935" s="133"/>
      <c r="D935" s="134"/>
      <c r="E935" s="134"/>
      <c r="F935" s="134"/>
      <c r="G935" s="134"/>
      <c r="H935" s="134"/>
      <c r="I935" s="134"/>
      <c r="J935" s="134"/>
      <c r="K935" s="134"/>
      <c r="L935" s="134"/>
      <c r="M935" s="135"/>
      <c r="N935" s="134"/>
      <c r="O935" s="134"/>
      <c r="P935" s="134"/>
      <c r="Q935" s="134"/>
      <c r="R935" s="134"/>
      <c r="S935" s="134"/>
      <c r="T935" s="134"/>
      <c r="U935" s="134"/>
      <c r="V935" s="134"/>
      <c r="W935" s="134"/>
      <c r="X935" s="134"/>
      <c r="Y935" s="135"/>
      <c r="Z935" s="135"/>
      <c r="AA935" s="136"/>
      <c r="AB935" s="136"/>
      <c r="AC935" s="137"/>
      <c r="AD935" s="137"/>
      <c r="AE935" s="137"/>
      <c r="AF935" s="137"/>
    </row>
    <row r="936" spans="2:32" s="1" customFormat="1" hidden="1">
      <c r="B936" s="2"/>
      <c r="C936" s="133"/>
      <c r="D936" s="134"/>
      <c r="E936" s="134"/>
      <c r="F936" s="134"/>
      <c r="G936" s="134"/>
      <c r="H936" s="134"/>
      <c r="I936" s="134"/>
      <c r="J936" s="134"/>
      <c r="K936" s="134"/>
      <c r="L936" s="134"/>
      <c r="M936" s="135"/>
      <c r="N936" s="134"/>
      <c r="O936" s="134"/>
      <c r="P936" s="134"/>
      <c r="Q936" s="134"/>
      <c r="R936" s="134"/>
      <c r="S936" s="134"/>
      <c r="T936" s="134"/>
      <c r="U936" s="134"/>
      <c r="V936" s="134"/>
      <c r="W936" s="134"/>
      <c r="X936" s="134"/>
      <c r="Y936" s="135"/>
      <c r="Z936" s="135"/>
      <c r="AA936" s="136"/>
      <c r="AB936" s="136"/>
      <c r="AC936" s="137"/>
      <c r="AD936" s="137"/>
      <c r="AE936" s="137"/>
      <c r="AF936" s="137"/>
    </row>
    <row r="937" spans="2:32" s="1" customFormat="1" hidden="1">
      <c r="B937" s="2"/>
      <c r="C937" s="133"/>
      <c r="D937" s="134"/>
      <c r="E937" s="134"/>
      <c r="F937" s="134"/>
      <c r="G937" s="134"/>
      <c r="H937" s="134"/>
      <c r="I937" s="134"/>
      <c r="J937" s="134"/>
      <c r="K937" s="134"/>
      <c r="L937" s="134"/>
      <c r="M937" s="135"/>
      <c r="N937" s="134"/>
      <c r="O937" s="134"/>
      <c r="P937" s="134"/>
      <c r="Q937" s="134"/>
      <c r="R937" s="134"/>
      <c r="S937" s="134"/>
      <c r="T937" s="134"/>
      <c r="U937" s="134"/>
      <c r="V937" s="134"/>
      <c r="W937" s="134"/>
      <c r="X937" s="134"/>
      <c r="Y937" s="135"/>
      <c r="Z937" s="135"/>
      <c r="AA937" s="136"/>
      <c r="AB937" s="136"/>
      <c r="AC937" s="137"/>
      <c r="AD937" s="137"/>
      <c r="AE937" s="137"/>
      <c r="AF937" s="137"/>
    </row>
    <row r="938" spans="2:32" s="1" customFormat="1" hidden="1">
      <c r="B938" s="2"/>
      <c r="C938" s="133"/>
      <c r="D938" s="134"/>
      <c r="E938" s="134"/>
      <c r="F938" s="134"/>
      <c r="G938" s="134"/>
      <c r="H938" s="134"/>
      <c r="I938" s="134"/>
      <c r="J938" s="134"/>
      <c r="K938" s="134"/>
      <c r="L938" s="134"/>
      <c r="M938" s="135"/>
      <c r="N938" s="134"/>
      <c r="O938" s="134"/>
      <c r="P938" s="134"/>
      <c r="Q938" s="134"/>
      <c r="R938" s="134"/>
      <c r="S938" s="134"/>
      <c r="T938" s="134"/>
      <c r="U938" s="134"/>
      <c r="V938" s="134"/>
      <c r="W938" s="134"/>
      <c r="X938" s="134"/>
      <c r="Y938" s="135"/>
      <c r="Z938" s="135"/>
      <c r="AA938" s="136"/>
      <c r="AB938" s="136"/>
      <c r="AC938" s="137"/>
      <c r="AD938" s="137"/>
      <c r="AE938" s="137"/>
      <c r="AF938" s="137"/>
    </row>
    <row r="939" spans="2:32" s="1" customFormat="1" hidden="1">
      <c r="B939" s="2"/>
      <c r="C939" s="133"/>
      <c r="D939" s="134"/>
      <c r="E939" s="134"/>
      <c r="F939" s="134"/>
      <c r="G939" s="134"/>
      <c r="H939" s="134"/>
      <c r="I939" s="134"/>
      <c r="J939" s="134"/>
      <c r="K939" s="134"/>
      <c r="L939" s="134"/>
      <c r="M939" s="135"/>
      <c r="N939" s="134"/>
      <c r="O939" s="134"/>
      <c r="P939" s="134"/>
      <c r="Q939" s="134"/>
      <c r="R939" s="134"/>
      <c r="S939" s="134"/>
      <c r="T939" s="134"/>
      <c r="U939" s="134"/>
      <c r="V939" s="134"/>
      <c r="W939" s="134"/>
      <c r="X939" s="134"/>
      <c r="Y939" s="135"/>
      <c r="Z939" s="135"/>
      <c r="AA939" s="136"/>
      <c r="AB939" s="136"/>
      <c r="AC939" s="137"/>
      <c r="AD939" s="137"/>
      <c r="AE939" s="137"/>
      <c r="AF939" s="137"/>
    </row>
    <row r="940" spans="2:32" s="1" customFormat="1" hidden="1">
      <c r="B940" s="2"/>
      <c r="C940" s="133"/>
      <c r="D940" s="134"/>
      <c r="E940" s="134"/>
      <c r="F940" s="134"/>
      <c r="G940" s="134"/>
      <c r="H940" s="134"/>
      <c r="I940" s="134"/>
      <c r="J940" s="134"/>
      <c r="K940" s="134"/>
      <c r="L940" s="134"/>
      <c r="M940" s="135"/>
      <c r="N940" s="134"/>
      <c r="O940" s="134"/>
      <c r="P940" s="134"/>
      <c r="Q940" s="134"/>
      <c r="R940" s="134"/>
      <c r="S940" s="134"/>
      <c r="T940" s="134"/>
      <c r="U940" s="134"/>
      <c r="V940" s="134"/>
      <c r="W940" s="134"/>
      <c r="X940" s="134"/>
      <c r="Y940" s="135"/>
      <c r="Z940" s="135"/>
      <c r="AA940" s="136"/>
      <c r="AB940" s="136"/>
      <c r="AC940" s="137"/>
      <c r="AD940" s="137"/>
      <c r="AE940" s="137"/>
      <c r="AF940" s="137"/>
    </row>
    <row r="941" spans="2:32" s="1" customFormat="1" hidden="1">
      <c r="B941" s="2"/>
      <c r="C941" s="133"/>
      <c r="D941" s="134"/>
      <c r="E941" s="134"/>
      <c r="F941" s="134"/>
      <c r="G941" s="134"/>
      <c r="H941" s="134"/>
      <c r="I941" s="134"/>
      <c r="J941" s="134"/>
      <c r="K941" s="134"/>
      <c r="L941" s="134"/>
      <c r="M941" s="135"/>
      <c r="N941" s="134"/>
      <c r="O941" s="134"/>
      <c r="P941" s="134"/>
      <c r="Q941" s="134"/>
      <c r="R941" s="134"/>
      <c r="S941" s="134"/>
      <c r="T941" s="134"/>
      <c r="U941" s="134"/>
      <c r="V941" s="134"/>
      <c r="W941" s="134"/>
      <c r="X941" s="134"/>
      <c r="Y941" s="135"/>
      <c r="Z941" s="135"/>
      <c r="AA941" s="136"/>
      <c r="AB941" s="136"/>
      <c r="AC941" s="137"/>
      <c r="AD941" s="137"/>
      <c r="AE941" s="137"/>
      <c r="AF941" s="137"/>
    </row>
    <row r="942" spans="2:32" s="1" customFormat="1" hidden="1">
      <c r="B942" s="2"/>
      <c r="C942" s="133"/>
      <c r="D942" s="134"/>
      <c r="E942" s="134"/>
      <c r="F942" s="134"/>
      <c r="G942" s="134"/>
      <c r="H942" s="134"/>
      <c r="I942" s="134"/>
      <c r="J942" s="134"/>
      <c r="K942" s="134"/>
      <c r="L942" s="134"/>
      <c r="M942" s="135"/>
      <c r="N942" s="134"/>
      <c r="O942" s="134"/>
      <c r="P942" s="134"/>
      <c r="Q942" s="134"/>
      <c r="R942" s="134"/>
      <c r="S942" s="134"/>
      <c r="T942" s="134"/>
      <c r="U942" s="134"/>
      <c r="V942" s="134"/>
      <c r="W942" s="134"/>
      <c r="X942" s="134"/>
      <c r="Y942" s="135"/>
      <c r="Z942" s="135"/>
      <c r="AA942" s="136"/>
      <c r="AB942" s="136"/>
      <c r="AC942" s="137"/>
      <c r="AD942" s="137"/>
      <c r="AE942" s="137"/>
      <c r="AF942" s="137"/>
    </row>
    <row r="943" spans="2:32" s="1" customFormat="1" hidden="1">
      <c r="B943" s="2"/>
      <c r="C943" s="133"/>
      <c r="D943" s="134"/>
      <c r="E943" s="134"/>
      <c r="F943" s="134"/>
      <c r="G943" s="134"/>
      <c r="H943" s="134"/>
      <c r="I943" s="134"/>
      <c r="J943" s="134"/>
      <c r="K943" s="134"/>
      <c r="L943" s="134"/>
      <c r="M943" s="135"/>
      <c r="N943" s="134"/>
      <c r="O943" s="134"/>
      <c r="P943" s="134"/>
      <c r="Q943" s="134"/>
      <c r="R943" s="134"/>
      <c r="S943" s="134"/>
      <c r="T943" s="134"/>
      <c r="U943" s="134"/>
      <c r="V943" s="134"/>
      <c r="W943" s="134"/>
      <c r="X943" s="134"/>
      <c r="Y943" s="135"/>
      <c r="Z943" s="135"/>
      <c r="AA943" s="136"/>
      <c r="AB943" s="136"/>
      <c r="AC943" s="137"/>
      <c r="AD943" s="137"/>
      <c r="AE943" s="137"/>
      <c r="AF943" s="137"/>
    </row>
    <row r="944" spans="2:32" s="1" customFormat="1" hidden="1">
      <c r="B944" s="2"/>
      <c r="C944" s="133"/>
      <c r="D944" s="134"/>
      <c r="E944" s="134"/>
      <c r="F944" s="134"/>
      <c r="G944" s="134"/>
      <c r="H944" s="134"/>
      <c r="I944" s="134"/>
      <c r="J944" s="134"/>
      <c r="K944" s="134"/>
      <c r="L944" s="134"/>
      <c r="M944" s="135"/>
      <c r="N944" s="134"/>
      <c r="O944" s="134"/>
      <c r="P944" s="134"/>
      <c r="Q944" s="134"/>
      <c r="R944" s="134"/>
      <c r="S944" s="134"/>
      <c r="T944" s="134"/>
      <c r="U944" s="134"/>
      <c r="V944" s="134"/>
      <c r="W944" s="134"/>
      <c r="X944" s="134"/>
      <c r="Y944" s="135"/>
      <c r="Z944" s="135"/>
      <c r="AA944" s="136"/>
      <c r="AB944" s="136"/>
      <c r="AC944" s="137"/>
      <c r="AD944" s="137"/>
      <c r="AE944" s="137"/>
      <c r="AF944" s="137"/>
    </row>
    <row r="945" spans="2:32" s="1" customFormat="1" hidden="1">
      <c r="B945" s="2"/>
      <c r="C945" s="133"/>
      <c r="D945" s="134"/>
      <c r="E945" s="134"/>
      <c r="F945" s="134"/>
      <c r="G945" s="134"/>
      <c r="H945" s="134"/>
      <c r="I945" s="134"/>
      <c r="J945" s="134"/>
      <c r="K945" s="134"/>
      <c r="L945" s="134"/>
      <c r="M945" s="135"/>
      <c r="N945" s="134"/>
      <c r="O945" s="134"/>
      <c r="P945" s="134"/>
      <c r="Q945" s="134"/>
      <c r="R945" s="134"/>
      <c r="S945" s="134"/>
      <c r="T945" s="134"/>
      <c r="U945" s="134"/>
      <c r="V945" s="134"/>
      <c r="W945" s="134"/>
      <c r="X945" s="134"/>
      <c r="Y945" s="135"/>
      <c r="Z945" s="135"/>
      <c r="AA945" s="136"/>
      <c r="AB945" s="136"/>
      <c r="AC945" s="137"/>
      <c r="AD945" s="137"/>
      <c r="AE945" s="137"/>
      <c r="AF945" s="137"/>
    </row>
    <row r="946" spans="2:32" s="1" customFormat="1" hidden="1">
      <c r="B946" s="2"/>
      <c r="C946" s="133"/>
      <c r="D946" s="134"/>
      <c r="E946" s="134"/>
      <c r="F946" s="134"/>
      <c r="G946" s="134"/>
      <c r="H946" s="134"/>
      <c r="I946" s="134"/>
      <c r="J946" s="134"/>
      <c r="K946" s="134"/>
      <c r="L946" s="134"/>
      <c r="M946" s="135"/>
      <c r="N946" s="134"/>
      <c r="O946" s="134"/>
      <c r="P946" s="134"/>
      <c r="Q946" s="134"/>
      <c r="R946" s="134"/>
      <c r="S946" s="134"/>
      <c r="T946" s="134"/>
      <c r="U946" s="134"/>
      <c r="V946" s="134"/>
      <c r="W946" s="134"/>
      <c r="X946" s="134"/>
      <c r="Y946" s="135"/>
      <c r="Z946" s="135"/>
      <c r="AA946" s="136"/>
      <c r="AB946" s="136"/>
      <c r="AC946" s="137"/>
      <c r="AD946" s="137"/>
      <c r="AE946" s="137"/>
      <c r="AF946" s="137"/>
    </row>
    <row r="947" spans="2:32" s="1" customFormat="1" hidden="1">
      <c r="B947" s="2"/>
      <c r="C947" s="133"/>
      <c r="D947" s="134"/>
      <c r="E947" s="134"/>
      <c r="F947" s="134"/>
      <c r="G947" s="134"/>
      <c r="H947" s="134"/>
      <c r="I947" s="134"/>
      <c r="J947" s="134"/>
      <c r="K947" s="134"/>
      <c r="L947" s="134"/>
      <c r="M947" s="135"/>
      <c r="N947" s="134"/>
      <c r="O947" s="134"/>
      <c r="P947" s="134"/>
      <c r="Q947" s="134"/>
      <c r="R947" s="134"/>
      <c r="S947" s="134"/>
      <c r="T947" s="134"/>
      <c r="U947" s="134"/>
      <c r="V947" s="134"/>
      <c r="W947" s="134"/>
      <c r="X947" s="134"/>
      <c r="Y947" s="135"/>
      <c r="Z947" s="135"/>
      <c r="AA947" s="136"/>
      <c r="AB947" s="136"/>
      <c r="AC947" s="137"/>
      <c r="AD947" s="137"/>
      <c r="AE947" s="137"/>
      <c r="AF947" s="137"/>
    </row>
    <row r="948" spans="2:32" s="1" customFormat="1" hidden="1">
      <c r="B948" s="2"/>
      <c r="C948" s="133"/>
      <c r="D948" s="134"/>
      <c r="E948" s="134"/>
      <c r="F948" s="134"/>
      <c r="G948" s="134"/>
      <c r="H948" s="134"/>
      <c r="I948" s="134"/>
      <c r="J948" s="134"/>
      <c r="K948" s="134"/>
      <c r="L948" s="134"/>
      <c r="M948" s="135"/>
      <c r="N948" s="134"/>
      <c r="O948" s="134"/>
      <c r="P948" s="134"/>
      <c r="Q948" s="134"/>
      <c r="R948" s="134"/>
      <c r="S948" s="134"/>
      <c r="T948" s="134"/>
      <c r="U948" s="134"/>
      <c r="V948" s="134"/>
      <c r="W948" s="134"/>
      <c r="X948" s="134"/>
      <c r="Y948" s="135"/>
      <c r="Z948" s="135"/>
      <c r="AA948" s="136"/>
      <c r="AB948" s="136"/>
      <c r="AC948" s="137"/>
      <c r="AD948" s="137"/>
      <c r="AE948" s="137"/>
      <c r="AF948" s="137"/>
    </row>
    <row r="949" spans="2:32" s="1" customFormat="1" hidden="1">
      <c r="B949" s="2"/>
      <c r="C949" s="133"/>
      <c r="D949" s="134"/>
      <c r="E949" s="134"/>
      <c r="F949" s="134"/>
      <c r="G949" s="134"/>
      <c r="H949" s="134"/>
      <c r="I949" s="134"/>
      <c r="J949" s="134"/>
      <c r="K949" s="134"/>
      <c r="L949" s="134"/>
      <c r="M949" s="135"/>
      <c r="N949" s="134"/>
      <c r="O949" s="134"/>
      <c r="P949" s="134"/>
      <c r="Q949" s="134"/>
      <c r="R949" s="134"/>
      <c r="S949" s="134"/>
      <c r="T949" s="134"/>
      <c r="U949" s="134"/>
      <c r="V949" s="134"/>
      <c r="W949" s="134"/>
      <c r="X949" s="134"/>
      <c r="Y949" s="135"/>
      <c r="Z949" s="135"/>
      <c r="AA949" s="136"/>
      <c r="AB949" s="136"/>
      <c r="AC949" s="137"/>
      <c r="AD949" s="137"/>
      <c r="AE949" s="137"/>
      <c r="AF949" s="137"/>
    </row>
    <row r="950" spans="2:32" s="1" customFormat="1" hidden="1">
      <c r="B950" s="2"/>
      <c r="C950" s="133"/>
      <c r="D950" s="134"/>
      <c r="E950" s="134"/>
      <c r="F950" s="134"/>
      <c r="G950" s="134"/>
      <c r="H950" s="134"/>
      <c r="I950" s="134"/>
      <c r="J950" s="134"/>
      <c r="K950" s="134"/>
      <c r="L950" s="134"/>
      <c r="M950" s="135"/>
      <c r="N950" s="134"/>
      <c r="O950" s="134"/>
      <c r="P950" s="134"/>
      <c r="Q950" s="134"/>
      <c r="R950" s="134"/>
      <c r="S950" s="134"/>
      <c r="T950" s="134"/>
      <c r="U950" s="134"/>
      <c r="V950" s="134"/>
      <c r="W950" s="134"/>
      <c r="X950" s="134"/>
      <c r="Y950" s="135"/>
      <c r="Z950" s="135"/>
      <c r="AA950" s="136"/>
      <c r="AB950" s="136"/>
      <c r="AC950" s="137"/>
      <c r="AD950" s="137"/>
      <c r="AE950" s="137"/>
      <c r="AF950" s="137"/>
    </row>
    <row r="951" spans="2:32" s="1" customFormat="1" hidden="1">
      <c r="B951" s="2"/>
      <c r="C951" s="133"/>
      <c r="D951" s="134"/>
      <c r="E951" s="134"/>
      <c r="F951" s="134"/>
      <c r="G951" s="134"/>
      <c r="H951" s="134"/>
      <c r="I951" s="134"/>
      <c r="J951" s="134"/>
      <c r="K951" s="134"/>
      <c r="L951" s="134"/>
      <c r="M951" s="135"/>
      <c r="N951" s="134"/>
      <c r="O951" s="134"/>
      <c r="P951" s="134"/>
      <c r="Q951" s="134"/>
      <c r="R951" s="134"/>
      <c r="S951" s="134"/>
      <c r="T951" s="134"/>
      <c r="U951" s="134"/>
      <c r="V951" s="134"/>
      <c r="W951" s="134"/>
      <c r="X951" s="134"/>
      <c r="Y951" s="135"/>
      <c r="Z951" s="135"/>
      <c r="AA951" s="136"/>
      <c r="AB951" s="136"/>
      <c r="AC951" s="137"/>
      <c r="AD951" s="137"/>
      <c r="AE951" s="137"/>
      <c r="AF951" s="137"/>
    </row>
    <row r="952" spans="2:32" s="1" customFormat="1" hidden="1">
      <c r="B952" s="2"/>
      <c r="C952" s="133"/>
      <c r="D952" s="134"/>
      <c r="E952" s="134"/>
      <c r="F952" s="134"/>
      <c r="G952" s="134"/>
      <c r="H952" s="134"/>
      <c r="I952" s="134"/>
      <c r="J952" s="134"/>
      <c r="K952" s="134"/>
      <c r="L952" s="134"/>
      <c r="M952" s="135"/>
      <c r="N952" s="134"/>
      <c r="O952" s="134"/>
      <c r="P952" s="134"/>
      <c r="Q952" s="134"/>
      <c r="R952" s="134"/>
      <c r="S952" s="134"/>
      <c r="T952" s="134"/>
      <c r="U952" s="134"/>
      <c r="V952" s="134"/>
      <c r="W952" s="134"/>
      <c r="X952" s="134"/>
      <c r="Y952" s="135"/>
      <c r="Z952" s="135"/>
      <c r="AA952" s="136"/>
      <c r="AB952" s="136"/>
      <c r="AC952" s="137"/>
      <c r="AD952" s="137"/>
      <c r="AE952" s="137"/>
      <c r="AF952" s="137"/>
    </row>
    <row r="953" spans="2:32" s="1" customFormat="1" hidden="1">
      <c r="B953" s="2"/>
      <c r="C953" s="133"/>
      <c r="D953" s="134"/>
      <c r="E953" s="134"/>
      <c r="F953" s="134"/>
      <c r="G953" s="134"/>
      <c r="H953" s="134"/>
      <c r="I953" s="134"/>
      <c r="J953" s="134"/>
      <c r="K953" s="134"/>
      <c r="L953" s="134"/>
      <c r="M953" s="135"/>
      <c r="N953" s="134"/>
      <c r="O953" s="134"/>
      <c r="P953" s="134"/>
      <c r="Q953" s="134"/>
      <c r="R953" s="134"/>
      <c r="S953" s="134"/>
      <c r="T953" s="134"/>
      <c r="U953" s="134"/>
      <c r="V953" s="134"/>
      <c r="W953" s="134"/>
      <c r="X953" s="134"/>
      <c r="Y953" s="135"/>
      <c r="Z953" s="135"/>
      <c r="AA953" s="136"/>
      <c r="AB953" s="136"/>
      <c r="AC953" s="137"/>
      <c r="AD953" s="137"/>
      <c r="AE953" s="137"/>
      <c r="AF953" s="137"/>
    </row>
    <row r="954" spans="2:32" s="1" customFormat="1" hidden="1">
      <c r="B954" s="2"/>
      <c r="C954" s="133"/>
      <c r="D954" s="134"/>
      <c r="E954" s="134"/>
      <c r="F954" s="134"/>
      <c r="G954" s="134"/>
      <c r="H954" s="134"/>
      <c r="I954" s="134"/>
      <c r="J954" s="134"/>
      <c r="K954" s="134"/>
      <c r="L954" s="134"/>
      <c r="M954" s="135"/>
      <c r="N954" s="134"/>
      <c r="O954" s="134"/>
      <c r="P954" s="134"/>
      <c r="Q954" s="134"/>
      <c r="R954" s="134"/>
      <c r="S954" s="134"/>
      <c r="T954" s="134"/>
      <c r="U954" s="134"/>
      <c r="V954" s="134"/>
      <c r="W954" s="134"/>
      <c r="X954" s="134"/>
      <c r="Y954" s="135"/>
      <c r="Z954" s="135"/>
      <c r="AA954" s="136"/>
      <c r="AB954" s="136"/>
      <c r="AC954" s="137"/>
      <c r="AD954" s="137"/>
      <c r="AE954" s="137"/>
      <c r="AF954" s="137"/>
    </row>
    <row r="955" spans="2:32" s="1" customFormat="1" hidden="1">
      <c r="B955" s="2"/>
      <c r="C955" s="133"/>
      <c r="D955" s="134"/>
      <c r="E955" s="134"/>
      <c r="F955" s="134"/>
      <c r="G955" s="134"/>
      <c r="H955" s="134"/>
      <c r="I955" s="134"/>
      <c r="J955" s="134"/>
      <c r="K955" s="134"/>
      <c r="L955" s="134"/>
      <c r="M955" s="135"/>
      <c r="N955" s="134"/>
      <c r="O955" s="134"/>
      <c r="P955" s="134"/>
      <c r="Q955" s="134"/>
      <c r="R955" s="134"/>
      <c r="S955" s="134"/>
      <c r="T955" s="134"/>
      <c r="U955" s="134"/>
      <c r="V955" s="134"/>
      <c r="W955" s="134"/>
      <c r="X955" s="134"/>
      <c r="Y955" s="135"/>
      <c r="Z955" s="135"/>
      <c r="AA955" s="136"/>
      <c r="AB955" s="136"/>
      <c r="AC955" s="137"/>
      <c r="AD955" s="137"/>
      <c r="AE955" s="137"/>
      <c r="AF955" s="137"/>
    </row>
    <row r="956" spans="2:32" s="1" customFormat="1" hidden="1">
      <c r="B956" s="2"/>
      <c r="C956" s="133"/>
      <c r="D956" s="134"/>
      <c r="E956" s="134"/>
      <c r="F956" s="134"/>
      <c r="G956" s="134"/>
      <c r="H956" s="134"/>
      <c r="I956" s="134"/>
      <c r="J956" s="134"/>
      <c r="K956" s="134"/>
      <c r="L956" s="134"/>
      <c r="M956" s="135"/>
      <c r="N956" s="134"/>
      <c r="O956" s="134"/>
      <c r="P956" s="134"/>
      <c r="Q956" s="134"/>
      <c r="R956" s="134"/>
      <c r="S956" s="134"/>
      <c r="T956" s="134"/>
      <c r="U956" s="134"/>
      <c r="V956" s="134"/>
      <c r="W956" s="134"/>
      <c r="X956" s="134"/>
      <c r="Y956" s="135"/>
      <c r="Z956" s="135"/>
      <c r="AA956" s="136"/>
      <c r="AB956" s="136"/>
      <c r="AC956" s="137"/>
      <c r="AD956" s="137"/>
      <c r="AE956" s="137"/>
      <c r="AF956" s="137"/>
    </row>
    <row r="957" spans="2:32" s="1" customFormat="1" hidden="1">
      <c r="B957" s="2"/>
      <c r="C957" s="133"/>
      <c r="D957" s="134"/>
      <c r="E957" s="134"/>
      <c r="F957" s="134"/>
      <c r="G957" s="134"/>
      <c r="H957" s="134"/>
      <c r="I957" s="134"/>
      <c r="J957" s="134"/>
      <c r="K957" s="134"/>
      <c r="L957" s="134"/>
      <c r="M957" s="135"/>
      <c r="N957" s="134"/>
      <c r="O957" s="134"/>
      <c r="P957" s="134"/>
      <c r="Q957" s="134"/>
      <c r="R957" s="134"/>
      <c r="S957" s="134"/>
      <c r="T957" s="134"/>
      <c r="U957" s="134"/>
      <c r="V957" s="134"/>
      <c r="W957" s="134"/>
      <c r="X957" s="134"/>
      <c r="Y957" s="135"/>
      <c r="Z957" s="135"/>
      <c r="AA957" s="136"/>
      <c r="AB957" s="136"/>
      <c r="AC957" s="137"/>
      <c r="AD957" s="137"/>
      <c r="AE957" s="137"/>
      <c r="AF957" s="137"/>
    </row>
    <row r="958" spans="2:32" s="1" customFormat="1" hidden="1">
      <c r="B958" s="2"/>
      <c r="C958" s="133"/>
      <c r="D958" s="134"/>
      <c r="E958" s="134"/>
      <c r="F958" s="134"/>
      <c r="G958" s="134"/>
      <c r="H958" s="134"/>
      <c r="I958" s="134"/>
      <c r="J958" s="134"/>
      <c r="K958" s="134"/>
      <c r="L958" s="134"/>
      <c r="M958" s="135"/>
      <c r="N958" s="134"/>
      <c r="O958" s="134"/>
      <c r="P958" s="134"/>
      <c r="Q958" s="134"/>
      <c r="R958" s="134"/>
      <c r="S958" s="134"/>
      <c r="T958" s="134"/>
      <c r="U958" s="134"/>
      <c r="V958" s="134"/>
      <c r="W958" s="134"/>
      <c r="X958" s="134"/>
      <c r="Y958" s="135"/>
      <c r="Z958" s="135"/>
      <c r="AA958" s="136"/>
      <c r="AB958" s="136"/>
      <c r="AC958" s="137"/>
      <c r="AD958" s="137"/>
      <c r="AE958" s="137"/>
      <c r="AF958" s="137"/>
    </row>
    <row r="959" spans="2:32" s="1" customFormat="1" hidden="1">
      <c r="B959" s="2"/>
      <c r="C959" s="133"/>
      <c r="D959" s="134"/>
      <c r="E959" s="134"/>
      <c r="F959" s="134"/>
      <c r="G959" s="134"/>
      <c r="H959" s="134"/>
      <c r="I959" s="134"/>
      <c r="J959" s="134"/>
      <c r="K959" s="134"/>
      <c r="L959" s="134"/>
      <c r="M959" s="141"/>
      <c r="N959" s="134"/>
      <c r="O959" s="134"/>
      <c r="P959" s="134"/>
      <c r="Q959" s="134"/>
      <c r="R959" s="134"/>
      <c r="S959" s="134"/>
      <c r="T959" s="134"/>
      <c r="U959" s="134"/>
      <c r="V959" s="134"/>
      <c r="W959" s="134"/>
      <c r="X959" s="134"/>
      <c r="Y959" s="141"/>
      <c r="Z959" s="141"/>
      <c r="AA959" s="2"/>
      <c r="AB959" s="2"/>
    </row>
    <row r="960" spans="2:32" s="1" customFormat="1" hidden="1">
      <c r="B960" s="2"/>
      <c r="C960" s="133"/>
      <c r="D960" s="134"/>
      <c r="E960" s="134"/>
      <c r="F960" s="134"/>
      <c r="G960" s="134"/>
      <c r="H960" s="134"/>
      <c r="I960" s="134"/>
      <c r="J960" s="134"/>
      <c r="K960" s="134"/>
      <c r="L960" s="134"/>
      <c r="M960" s="141"/>
      <c r="N960" s="134"/>
      <c r="O960" s="134"/>
      <c r="P960" s="134"/>
      <c r="Q960" s="134"/>
      <c r="R960" s="134"/>
      <c r="S960" s="134"/>
      <c r="T960" s="134"/>
      <c r="U960" s="134"/>
      <c r="V960" s="134"/>
      <c r="W960" s="134"/>
      <c r="X960" s="134"/>
      <c r="Y960" s="141"/>
      <c r="Z960" s="141"/>
      <c r="AA960" s="2"/>
      <c r="AB960" s="2"/>
    </row>
    <row r="961" spans="2:28" s="1" customFormat="1" hidden="1">
      <c r="B961" s="2"/>
      <c r="C961" s="133"/>
      <c r="D961" s="134"/>
      <c r="E961" s="134"/>
      <c r="F961" s="134"/>
      <c r="G961" s="134"/>
      <c r="H961" s="134"/>
      <c r="I961" s="134"/>
      <c r="J961" s="134"/>
      <c r="K961" s="134"/>
      <c r="L961" s="134"/>
      <c r="M961" s="141"/>
      <c r="N961" s="134"/>
      <c r="O961" s="134"/>
      <c r="P961" s="134"/>
      <c r="Q961" s="134"/>
      <c r="R961" s="134"/>
      <c r="S961" s="134"/>
      <c r="T961" s="134"/>
      <c r="U961" s="134"/>
      <c r="V961" s="134"/>
      <c r="W961" s="134"/>
      <c r="X961" s="134"/>
      <c r="Y961" s="141"/>
      <c r="Z961" s="141"/>
      <c r="AA961" s="2"/>
      <c r="AB961" s="2"/>
    </row>
    <row r="962" spans="2:28" s="1" customFormat="1" hidden="1">
      <c r="B962" s="2"/>
      <c r="C962" s="133"/>
      <c r="D962" s="134"/>
      <c r="E962" s="134"/>
      <c r="F962" s="134"/>
      <c r="G962" s="134"/>
      <c r="H962" s="134"/>
      <c r="I962" s="134"/>
      <c r="J962" s="134"/>
      <c r="K962" s="134"/>
      <c r="L962" s="134"/>
      <c r="M962" s="141"/>
      <c r="N962" s="134"/>
      <c r="O962" s="134"/>
      <c r="P962" s="134"/>
      <c r="Q962" s="134"/>
      <c r="R962" s="134"/>
      <c r="S962" s="134"/>
      <c r="T962" s="134"/>
      <c r="U962" s="134"/>
      <c r="V962" s="134"/>
      <c r="W962" s="134"/>
      <c r="X962" s="134"/>
      <c r="Y962" s="141"/>
      <c r="Z962" s="141"/>
      <c r="AA962" s="2"/>
      <c r="AB962" s="2"/>
    </row>
    <row r="963" spans="2:28" s="1" customFormat="1" hidden="1">
      <c r="B963" s="2"/>
      <c r="C963" s="133"/>
      <c r="D963" s="134"/>
      <c r="E963" s="134"/>
      <c r="F963" s="134"/>
      <c r="G963" s="134"/>
      <c r="H963" s="134"/>
      <c r="I963" s="134"/>
      <c r="J963" s="134"/>
      <c r="K963" s="134"/>
      <c r="L963" s="134"/>
      <c r="M963" s="141"/>
      <c r="N963" s="134"/>
      <c r="O963" s="134"/>
      <c r="P963" s="134"/>
      <c r="Q963" s="134"/>
      <c r="R963" s="134"/>
      <c r="S963" s="134"/>
      <c r="T963" s="134"/>
      <c r="U963" s="134"/>
      <c r="V963" s="134"/>
      <c r="W963" s="134"/>
      <c r="X963" s="134"/>
      <c r="Y963" s="141"/>
      <c r="Z963" s="141"/>
      <c r="AA963" s="2"/>
      <c r="AB963" s="2"/>
    </row>
    <row r="964" spans="2:28" s="1" customFormat="1" hidden="1">
      <c r="B964" s="2"/>
      <c r="C964" s="133"/>
      <c r="D964" s="134"/>
      <c r="E964" s="134"/>
      <c r="F964" s="134"/>
      <c r="G964" s="134"/>
      <c r="H964" s="134"/>
      <c r="I964" s="134"/>
      <c r="J964" s="134"/>
      <c r="K964" s="134"/>
      <c r="L964" s="134"/>
      <c r="M964" s="141"/>
      <c r="N964" s="134"/>
      <c r="O964" s="134"/>
      <c r="P964" s="134"/>
      <c r="Q964" s="134"/>
      <c r="R964" s="134"/>
      <c r="S964" s="134"/>
      <c r="T964" s="134"/>
      <c r="U964" s="134"/>
      <c r="V964" s="134"/>
      <c r="W964" s="134"/>
      <c r="X964" s="134"/>
      <c r="Y964" s="141"/>
      <c r="Z964" s="141"/>
      <c r="AA964" s="2"/>
      <c r="AB964" s="2"/>
    </row>
    <row r="965" spans="2:28" s="1" customFormat="1" hidden="1">
      <c r="B965" s="2"/>
      <c r="C965" s="133"/>
      <c r="D965" s="134"/>
      <c r="E965" s="134"/>
      <c r="F965" s="134"/>
      <c r="G965" s="134"/>
      <c r="H965" s="134"/>
      <c r="I965" s="134"/>
      <c r="J965" s="134"/>
      <c r="K965" s="134"/>
      <c r="L965" s="134"/>
      <c r="M965" s="141"/>
      <c r="N965" s="134"/>
      <c r="O965" s="134"/>
      <c r="P965" s="134"/>
      <c r="Q965" s="134"/>
      <c r="R965" s="134"/>
      <c r="S965" s="134"/>
      <c r="T965" s="134"/>
      <c r="U965" s="134"/>
      <c r="V965" s="134"/>
      <c r="W965" s="134"/>
      <c r="X965" s="134"/>
      <c r="Y965" s="141"/>
      <c r="Z965" s="141"/>
      <c r="AA965" s="2"/>
      <c r="AB965" s="2"/>
    </row>
    <row r="966" spans="2:28" s="1" customFormat="1" hidden="1">
      <c r="B966" s="2"/>
      <c r="C966" s="133"/>
      <c r="D966" s="134"/>
      <c r="E966" s="134"/>
      <c r="F966" s="134"/>
      <c r="G966" s="134"/>
      <c r="H966" s="134"/>
      <c r="I966" s="134"/>
      <c r="J966" s="134"/>
      <c r="K966" s="134"/>
      <c r="L966" s="134"/>
      <c r="M966" s="141"/>
      <c r="N966" s="134"/>
      <c r="O966" s="134"/>
      <c r="P966" s="134"/>
      <c r="Q966" s="134"/>
      <c r="R966" s="134"/>
      <c r="S966" s="134"/>
      <c r="T966" s="134"/>
      <c r="U966" s="134"/>
      <c r="V966" s="134"/>
      <c r="W966" s="134"/>
      <c r="X966" s="134"/>
      <c r="Y966" s="141"/>
      <c r="Z966" s="141"/>
      <c r="AA966" s="2"/>
      <c r="AB966" s="2"/>
    </row>
    <row r="967" spans="2:28" s="1" customFormat="1" hidden="1">
      <c r="B967" s="2"/>
      <c r="C967" s="133"/>
      <c r="D967" s="134"/>
      <c r="E967" s="134"/>
      <c r="F967" s="134"/>
      <c r="G967" s="134"/>
      <c r="H967" s="134"/>
      <c r="I967" s="134"/>
      <c r="J967" s="134"/>
      <c r="K967" s="134"/>
      <c r="L967" s="134"/>
      <c r="M967" s="134"/>
      <c r="N967" s="134"/>
      <c r="O967" s="134"/>
      <c r="P967" s="134"/>
      <c r="Q967" s="134"/>
      <c r="R967" s="134"/>
      <c r="S967" s="134"/>
      <c r="T967" s="134"/>
      <c r="U967" s="134"/>
      <c r="V967" s="134"/>
      <c r="W967" s="134"/>
      <c r="X967" s="134"/>
      <c r="Y967" s="134"/>
      <c r="Z967" s="134"/>
      <c r="AA967" s="2"/>
      <c r="AB967" s="2"/>
    </row>
    <row r="968" spans="2:28" s="1" customFormat="1" hidden="1">
      <c r="B968" s="2"/>
      <c r="C968" s="133"/>
      <c r="D968" s="134"/>
      <c r="E968" s="134"/>
      <c r="F968" s="134"/>
      <c r="G968" s="134"/>
      <c r="H968" s="134"/>
      <c r="I968" s="134"/>
      <c r="J968" s="134"/>
      <c r="K968" s="134"/>
      <c r="L968" s="134"/>
      <c r="M968" s="134"/>
      <c r="N968" s="134"/>
      <c r="O968" s="134"/>
      <c r="P968" s="134"/>
      <c r="Q968" s="134"/>
      <c r="R968" s="134"/>
      <c r="S968" s="134"/>
      <c r="T968" s="134"/>
      <c r="U968" s="134"/>
      <c r="V968" s="134"/>
      <c r="W968" s="134"/>
      <c r="X968" s="134"/>
      <c r="Y968" s="134"/>
      <c r="Z968" s="134"/>
      <c r="AA968" s="2"/>
      <c r="AB968" s="2"/>
    </row>
    <row r="969" spans="2:28" s="1" customFormat="1" hidden="1">
      <c r="B969" s="2"/>
      <c r="C969" s="133"/>
      <c r="D969" s="134"/>
      <c r="E969" s="134"/>
      <c r="F969" s="134"/>
      <c r="G969" s="134"/>
      <c r="H969" s="134"/>
      <c r="I969" s="134"/>
      <c r="J969" s="134"/>
      <c r="K969" s="134"/>
      <c r="L969" s="134"/>
      <c r="M969" s="134"/>
      <c r="N969" s="134"/>
      <c r="O969" s="134"/>
      <c r="P969" s="134"/>
      <c r="Q969" s="134"/>
      <c r="R969" s="134"/>
      <c r="S969" s="134"/>
      <c r="T969" s="134"/>
      <c r="U969" s="134"/>
      <c r="V969" s="134"/>
      <c r="W969" s="134"/>
      <c r="X969" s="134"/>
      <c r="Y969" s="134"/>
      <c r="Z969" s="134"/>
      <c r="AA969" s="2"/>
      <c r="AB969" s="2"/>
    </row>
    <row r="970" spans="2:28" s="1" customFormat="1" hidden="1">
      <c r="B970" s="2"/>
      <c r="C970" s="133"/>
      <c r="D970" s="134"/>
      <c r="E970" s="134"/>
      <c r="F970" s="134"/>
      <c r="G970" s="134"/>
      <c r="H970" s="134"/>
      <c r="I970" s="134"/>
      <c r="J970" s="134"/>
      <c r="K970" s="134"/>
      <c r="L970" s="134"/>
      <c r="M970" s="134"/>
      <c r="N970" s="134"/>
      <c r="O970" s="134"/>
      <c r="P970" s="134"/>
      <c r="Q970" s="134"/>
      <c r="R970" s="134"/>
      <c r="S970" s="134"/>
      <c r="T970" s="134"/>
      <c r="U970" s="134"/>
      <c r="V970" s="134"/>
      <c r="W970" s="134"/>
      <c r="X970" s="134"/>
      <c r="Y970" s="134"/>
      <c r="Z970" s="134"/>
      <c r="AA970" s="2"/>
      <c r="AB970" s="2"/>
    </row>
    <row r="971" spans="2:28" s="1" customFormat="1" hidden="1">
      <c r="B971" s="2"/>
      <c r="C971" s="133"/>
      <c r="D971" s="134"/>
      <c r="E971" s="134"/>
      <c r="F971" s="134"/>
      <c r="G971" s="134"/>
      <c r="H971" s="134"/>
      <c r="I971" s="134"/>
      <c r="J971" s="134"/>
      <c r="K971" s="134"/>
      <c r="L971" s="134"/>
      <c r="M971" s="134"/>
      <c r="N971" s="134"/>
      <c r="O971" s="134"/>
      <c r="P971" s="134"/>
      <c r="Q971" s="134"/>
      <c r="R971" s="134"/>
      <c r="S971" s="134"/>
      <c r="T971" s="134"/>
      <c r="U971" s="134"/>
      <c r="V971" s="134"/>
      <c r="W971" s="134"/>
      <c r="X971" s="134"/>
      <c r="Y971" s="134"/>
      <c r="Z971" s="134"/>
      <c r="AA971" s="2"/>
      <c r="AB971" s="2"/>
    </row>
    <row r="972" spans="2:28" s="1" customFormat="1" hidden="1">
      <c r="B972" s="2"/>
      <c r="C972" s="133"/>
      <c r="D972" s="134"/>
      <c r="E972" s="134"/>
      <c r="F972" s="134"/>
      <c r="G972" s="134"/>
      <c r="H972" s="134"/>
      <c r="I972" s="134"/>
      <c r="J972" s="134"/>
      <c r="K972" s="134"/>
      <c r="L972" s="134"/>
      <c r="M972" s="134"/>
      <c r="N972" s="134"/>
      <c r="O972" s="134"/>
      <c r="P972" s="134"/>
      <c r="Q972" s="134"/>
      <c r="R972" s="134"/>
      <c r="S972" s="134"/>
      <c r="T972" s="134"/>
      <c r="U972" s="134"/>
      <c r="V972" s="134"/>
      <c r="W972" s="134"/>
      <c r="X972" s="134"/>
      <c r="Y972" s="134"/>
      <c r="Z972" s="134"/>
      <c r="AA972" s="2"/>
      <c r="AB972" s="2"/>
    </row>
    <row r="973" spans="2:28" s="1" customFormat="1" hidden="1">
      <c r="B973" s="2"/>
      <c r="C973" s="133"/>
      <c r="D973" s="134"/>
      <c r="E973" s="134"/>
      <c r="F973" s="134"/>
      <c r="G973" s="134"/>
      <c r="H973" s="134"/>
      <c r="I973" s="134"/>
      <c r="J973" s="134"/>
      <c r="K973" s="134"/>
      <c r="L973" s="134"/>
      <c r="M973" s="134"/>
      <c r="N973" s="134"/>
      <c r="O973" s="134"/>
      <c r="P973" s="134"/>
      <c r="Q973" s="134"/>
      <c r="R973" s="134"/>
      <c r="S973" s="134"/>
      <c r="T973" s="134"/>
      <c r="U973" s="134"/>
      <c r="V973" s="134"/>
      <c r="W973" s="134"/>
      <c r="X973" s="134"/>
      <c r="Y973" s="134"/>
      <c r="Z973" s="134"/>
      <c r="AA973" s="2"/>
      <c r="AB973" s="2"/>
    </row>
    <row r="974" spans="2:28" s="1" customFormat="1" hidden="1">
      <c r="B974" s="2"/>
      <c r="C974" s="133"/>
      <c r="D974" s="134"/>
      <c r="E974" s="134"/>
      <c r="F974" s="134"/>
      <c r="G974" s="134"/>
      <c r="H974" s="134"/>
      <c r="I974" s="134"/>
      <c r="J974" s="134"/>
      <c r="K974" s="134"/>
      <c r="L974" s="134"/>
      <c r="M974" s="134"/>
      <c r="N974" s="134"/>
      <c r="O974" s="134"/>
      <c r="P974" s="134"/>
      <c r="Q974" s="134"/>
      <c r="R974" s="134"/>
      <c r="S974" s="134"/>
      <c r="T974" s="134"/>
      <c r="U974" s="134"/>
      <c r="V974" s="134"/>
      <c r="W974" s="134"/>
      <c r="X974" s="134"/>
      <c r="Y974" s="134"/>
      <c r="Z974" s="134"/>
      <c r="AA974" s="2"/>
      <c r="AB974" s="2"/>
    </row>
    <row r="975" spans="2:28" s="1" customFormat="1" hidden="1">
      <c r="B975" s="2"/>
      <c r="C975" s="133"/>
      <c r="D975" s="134"/>
      <c r="E975" s="134"/>
      <c r="F975" s="134"/>
      <c r="G975" s="134"/>
      <c r="H975" s="134"/>
      <c r="I975" s="134"/>
      <c r="J975" s="134"/>
      <c r="K975" s="134"/>
      <c r="L975" s="134"/>
      <c r="M975" s="134"/>
      <c r="N975" s="134"/>
      <c r="O975" s="134"/>
      <c r="P975" s="134"/>
      <c r="Q975" s="134"/>
      <c r="R975" s="134"/>
      <c r="S975" s="134"/>
      <c r="T975" s="134"/>
      <c r="U975" s="134"/>
      <c r="V975" s="134"/>
      <c r="W975" s="134"/>
      <c r="X975" s="134"/>
      <c r="Y975" s="134"/>
      <c r="Z975" s="134"/>
      <c r="AA975" s="2"/>
      <c r="AB975" s="2"/>
    </row>
    <row r="976" spans="2:28" s="1" customFormat="1" hidden="1">
      <c r="B976" s="2"/>
      <c r="C976" s="133"/>
      <c r="D976" s="134"/>
      <c r="E976" s="134"/>
      <c r="F976" s="134"/>
      <c r="G976" s="134"/>
      <c r="H976" s="134"/>
      <c r="I976" s="134"/>
      <c r="J976" s="134"/>
      <c r="K976" s="134"/>
      <c r="L976" s="134"/>
      <c r="M976" s="134"/>
      <c r="N976" s="134"/>
      <c r="O976" s="134"/>
      <c r="P976" s="134"/>
      <c r="Q976" s="134"/>
      <c r="R976" s="134"/>
      <c r="S976" s="134"/>
      <c r="T976" s="134"/>
      <c r="U976" s="134"/>
      <c r="V976" s="134"/>
      <c r="W976" s="134"/>
      <c r="X976" s="134"/>
      <c r="Y976" s="134"/>
      <c r="Z976" s="134"/>
      <c r="AA976" s="2"/>
      <c r="AB976" s="2"/>
    </row>
    <row r="977" spans="2:28" s="1" customFormat="1" hidden="1">
      <c r="B977" s="2"/>
      <c r="C977" s="133"/>
      <c r="D977" s="134"/>
      <c r="E977" s="134"/>
      <c r="F977" s="134"/>
      <c r="G977" s="134"/>
      <c r="H977" s="134"/>
      <c r="I977" s="134"/>
      <c r="J977" s="134"/>
      <c r="K977" s="134"/>
      <c r="L977" s="134"/>
      <c r="M977" s="134"/>
      <c r="N977" s="134"/>
      <c r="O977" s="134"/>
      <c r="P977" s="134"/>
      <c r="Q977" s="134"/>
      <c r="R977" s="134"/>
      <c r="S977" s="134"/>
      <c r="T977" s="134"/>
      <c r="U977" s="134"/>
      <c r="V977" s="134"/>
      <c r="W977" s="134"/>
      <c r="X977" s="134"/>
      <c r="Y977" s="134"/>
      <c r="Z977" s="134"/>
      <c r="AA977" s="2"/>
      <c r="AB977" s="2"/>
    </row>
    <row r="978" spans="2:28" s="1" customFormat="1" hidden="1">
      <c r="B978" s="2"/>
      <c r="C978" s="133"/>
      <c r="D978" s="134"/>
      <c r="E978" s="134"/>
      <c r="F978" s="134"/>
      <c r="G978" s="134"/>
      <c r="H978" s="134"/>
      <c r="I978" s="134"/>
      <c r="J978" s="134"/>
      <c r="K978" s="134"/>
      <c r="L978" s="134"/>
      <c r="M978" s="134"/>
      <c r="N978" s="134"/>
      <c r="O978" s="134"/>
      <c r="P978" s="134"/>
      <c r="Q978" s="134"/>
      <c r="R978" s="134"/>
      <c r="S978" s="134"/>
      <c r="T978" s="134"/>
      <c r="U978" s="134"/>
      <c r="V978" s="134"/>
      <c r="W978" s="134"/>
      <c r="X978" s="134"/>
      <c r="Y978" s="134"/>
      <c r="Z978" s="134"/>
      <c r="AA978" s="2"/>
      <c r="AB978" s="2"/>
    </row>
    <row r="979" spans="2:28" s="1" customFormat="1" hidden="1">
      <c r="B979" s="2"/>
      <c r="C979" s="133"/>
      <c r="D979" s="134"/>
      <c r="E979" s="134"/>
      <c r="F979" s="134"/>
      <c r="G979" s="134"/>
      <c r="H979" s="134"/>
      <c r="I979" s="134"/>
      <c r="J979" s="134"/>
      <c r="K979" s="134"/>
      <c r="L979" s="134"/>
      <c r="M979" s="134"/>
      <c r="N979" s="134"/>
      <c r="O979" s="134"/>
      <c r="P979" s="134"/>
      <c r="Q979" s="134"/>
      <c r="R979" s="134"/>
      <c r="S979" s="134"/>
      <c r="T979" s="134"/>
      <c r="U979" s="134"/>
      <c r="V979" s="134"/>
      <c r="W979" s="134"/>
      <c r="X979" s="134"/>
      <c r="Y979" s="134"/>
      <c r="Z979" s="134"/>
      <c r="AA979" s="2"/>
      <c r="AB979" s="2"/>
    </row>
    <row r="980" spans="2:28" s="1" customFormat="1" hidden="1">
      <c r="B980" s="2"/>
      <c r="C980" s="133"/>
      <c r="D980" s="134"/>
      <c r="E980" s="134"/>
      <c r="F980" s="134"/>
      <c r="G980" s="134"/>
      <c r="H980" s="134"/>
      <c r="I980" s="134"/>
      <c r="J980" s="134"/>
      <c r="K980" s="134"/>
      <c r="L980" s="134"/>
      <c r="M980" s="134"/>
      <c r="N980" s="134"/>
      <c r="O980" s="134"/>
      <c r="P980" s="134"/>
      <c r="Q980" s="134"/>
      <c r="R980" s="134"/>
      <c r="S980" s="134"/>
      <c r="T980" s="134"/>
      <c r="U980" s="134"/>
      <c r="V980" s="134"/>
      <c r="W980" s="134"/>
      <c r="X980" s="134"/>
      <c r="Y980" s="134"/>
      <c r="Z980" s="134"/>
      <c r="AA980" s="2"/>
      <c r="AB980" s="2"/>
    </row>
    <row r="981" spans="2:28" s="1" customFormat="1" hidden="1">
      <c r="B981" s="2"/>
      <c r="C981" s="133"/>
      <c r="D981" s="134"/>
      <c r="E981" s="134"/>
      <c r="F981" s="134"/>
      <c r="G981" s="134"/>
      <c r="H981" s="134"/>
      <c r="I981" s="134"/>
      <c r="J981" s="134"/>
      <c r="K981" s="134"/>
      <c r="L981" s="134"/>
      <c r="M981" s="134"/>
      <c r="N981" s="134"/>
      <c r="O981" s="134"/>
      <c r="P981" s="134"/>
      <c r="Q981" s="134"/>
      <c r="R981" s="134"/>
      <c r="S981" s="134"/>
      <c r="T981" s="134"/>
      <c r="U981" s="134"/>
      <c r="V981" s="134"/>
      <c r="W981" s="134"/>
      <c r="X981" s="134"/>
      <c r="Y981" s="134"/>
      <c r="Z981" s="134"/>
      <c r="AA981" s="2"/>
      <c r="AB981" s="2"/>
    </row>
    <row r="982" spans="2:28" s="1" customFormat="1" hidden="1">
      <c r="B982" s="2"/>
      <c r="C982" s="133"/>
      <c r="D982" s="134"/>
      <c r="E982" s="134"/>
      <c r="F982" s="134"/>
      <c r="G982" s="134"/>
      <c r="H982" s="134"/>
      <c r="I982" s="134"/>
      <c r="J982" s="134"/>
      <c r="K982" s="134"/>
      <c r="L982" s="134"/>
      <c r="M982" s="134"/>
      <c r="N982" s="134"/>
      <c r="O982" s="134"/>
      <c r="P982" s="134"/>
      <c r="Q982" s="134"/>
      <c r="R982" s="134"/>
      <c r="S982" s="134"/>
      <c r="T982" s="134"/>
      <c r="U982" s="134"/>
      <c r="V982" s="134"/>
      <c r="W982" s="134"/>
      <c r="X982" s="134"/>
      <c r="Y982" s="134"/>
      <c r="Z982" s="134"/>
      <c r="AA982" s="2"/>
      <c r="AB982" s="2"/>
    </row>
    <row r="983" spans="2:28" s="1" customFormat="1" hidden="1">
      <c r="B983" s="2"/>
      <c r="C983" s="133"/>
      <c r="D983" s="134"/>
      <c r="E983" s="134"/>
      <c r="F983" s="134"/>
      <c r="G983" s="134"/>
      <c r="H983" s="134"/>
      <c r="I983" s="134"/>
      <c r="J983" s="134"/>
      <c r="K983" s="134"/>
      <c r="L983" s="134"/>
      <c r="M983" s="134"/>
      <c r="N983" s="134"/>
      <c r="O983" s="134"/>
      <c r="P983" s="134"/>
      <c r="Q983" s="134"/>
      <c r="R983" s="134"/>
      <c r="S983" s="134"/>
      <c r="T983" s="134"/>
      <c r="U983" s="134"/>
      <c r="V983" s="134"/>
      <c r="W983" s="134"/>
      <c r="X983" s="134"/>
      <c r="Y983" s="134"/>
      <c r="Z983" s="134"/>
      <c r="AA983" s="2"/>
      <c r="AB983" s="2"/>
    </row>
    <row r="984" spans="2:28" s="1" customFormat="1" hidden="1">
      <c r="B984" s="2"/>
      <c r="C984" s="133"/>
      <c r="D984" s="134"/>
      <c r="E984" s="134"/>
      <c r="F984" s="134"/>
      <c r="G984" s="134"/>
      <c r="H984" s="134"/>
      <c r="I984" s="134"/>
      <c r="J984" s="134"/>
      <c r="K984" s="134"/>
      <c r="L984" s="134"/>
      <c r="M984" s="134"/>
      <c r="N984" s="134"/>
      <c r="O984" s="134"/>
      <c r="P984" s="134"/>
      <c r="Q984" s="134"/>
      <c r="R984" s="134"/>
      <c r="S984" s="134"/>
      <c r="T984" s="134"/>
      <c r="U984" s="134"/>
      <c r="V984" s="134"/>
      <c r="W984" s="134"/>
      <c r="X984" s="134"/>
      <c r="Y984" s="134"/>
      <c r="Z984" s="134"/>
      <c r="AA984" s="2"/>
      <c r="AB984" s="2"/>
    </row>
    <row r="985" spans="2:28" s="1" customFormat="1" hidden="1">
      <c r="B985" s="2"/>
      <c r="C985" s="133"/>
      <c r="D985" s="134"/>
      <c r="E985" s="134"/>
      <c r="F985" s="134"/>
      <c r="G985" s="134"/>
      <c r="H985" s="134"/>
      <c r="I985" s="134"/>
      <c r="J985" s="134"/>
      <c r="K985" s="134"/>
      <c r="L985" s="134"/>
      <c r="M985" s="134"/>
      <c r="N985" s="134"/>
      <c r="O985" s="134"/>
      <c r="P985" s="134"/>
      <c r="Q985" s="134"/>
      <c r="R985" s="134"/>
      <c r="S985" s="134"/>
      <c r="T985" s="134"/>
      <c r="U985" s="134"/>
      <c r="V985" s="134"/>
      <c r="W985" s="134"/>
      <c r="X985" s="134"/>
      <c r="Y985" s="134"/>
      <c r="Z985" s="134"/>
      <c r="AA985" s="2"/>
      <c r="AB985" s="2"/>
    </row>
    <row r="986" spans="2:28" s="1" customFormat="1" hidden="1">
      <c r="B986" s="2"/>
      <c r="C986" s="133"/>
      <c r="D986" s="134"/>
      <c r="E986" s="134"/>
      <c r="F986" s="134"/>
      <c r="G986" s="134"/>
      <c r="H986" s="134"/>
      <c r="I986" s="134"/>
      <c r="J986" s="134"/>
      <c r="K986" s="134"/>
      <c r="L986" s="134"/>
      <c r="M986" s="134"/>
      <c r="N986" s="134"/>
      <c r="O986" s="134"/>
      <c r="P986" s="134"/>
      <c r="Q986" s="134"/>
      <c r="R986" s="134"/>
      <c r="S986" s="134"/>
      <c r="T986" s="134"/>
      <c r="U986" s="134"/>
      <c r="V986" s="134"/>
      <c r="W986" s="134"/>
      <c r="X986" s="134"/>
      <c r="Y986" s="134"/>
      <c r="Z986" s="134"/>
      <c r="AA986" s="2"/>
      <c r="AB986" s="2"/>
    </row>
    <row r="987" spans="2:28" s="1" customFormat="1" hidden="1">
      <c r="B987" s="2"/>
      <c r="C987" s="133"/>
      <c r="D987" s="134"/>
      <c r="E987" s="134"/>
      <c r="F987" s="134"/>
      <c r="G987" s="134"/>
      <c r="H987" s="134"/>
      <c r="I987" s="134"/>
      <c r="J987" s="134"/>
      <c r="K987" s="134"/>
      <c r="L987" s="134"/>
      <c r="M987" s="134"/>
      <c r="N987" s="134"/>
      <c r="O987" s="134"/>
      <c r="P987" s="134"/>
      <c r="Q987" s="134"/>
      <c r="R987" s="134"/>
      <c r="S987" s="134"/>
      <c r="T987" s="134"/>
      <c r="U987" s="134"/>
      <c r="V987" s="134"/>
      <c r="W987" s="134"/>
      <c r="X987" s="134"/>
      <c r="Y987" s="134"/>
      <c r="Z987" s="134"/>
      <c r="AA987" s="2"/>
      <c r="AB987" s="2"/>
    </row>
    <row r="988" spans="2:28" s="1" customFormat="1" hidden="1">
      <c r="B988" s="2"/>
      <c r="C988" s="133"/>
      <c r="D988" s="134"/>
      <c r="E988" s="134"/>
      <c r="F988" s="134"/>
      <c r="G988" s="134"/>
      <c r="H988" s="134"/>
      <c r="I988" s="134"/>
      <c r="J988" s="134"/>
      <c r="K988" s="134"/>
      <c r="L988" s="134"/>
      <c r="M988" s="134"/>
      <c r="N988" s="134"/>
      <c r="O988" s="134"/>
      <c r="P988" s="134"/>
      <c r="Q988" s="134"/>
      <c r="R988" s="134"/>
      <c r="S988" s="134"/>
      <c r="T988" s="134"/>
      <c r="U988" s="134"/>
      <c r="V988" s="134"/>
      <c r="W988" s="134"/>
      <c r="X988" s="134"/>
      <c r="Y988" s="134"/>
      <c r="Z988" s="134"/>
      <c r="AA988" s="2"/>
      <c r="AB988" s="2"/>
    </row>
    <row r="989" spans="2:28" s="1" customFormat="1" hidden="1">
      <c r="B989" s="2"/>
      <c r="C989" s="133"/>
      <c r="D989" s="134"/>
      <c r="E989" s="134"/>
      <c r="F989" s="134"/>
      <c r="G989" s="134"/>
      <c r="H989" s="134"/>
      <c r="I989" s="134"/>
      <c r="J989" s="134"/>
      <c r="K989" s="134"/>
      <c r="L989" s="134"/>
      <c r="M989" s="134"/>
      <c r="N989" s="134"/>
      <c r="O989" s="134"/>
      <c r="P989" s="134"/>
      <c r="Q989" s="134"/>
      <c r="R989" s="134"/>
      <c r="S989" s="134"/>
      <c r="T989" s="134"/>
      <c r="U989" s="134"/>
      <c r="V989" s="134"/>
      <c r="W989" s="134"/>
      <c r="X989" s="134"/>
      <c r="Y989" s="134"/>
      <c r="Z989" s="134"/>
      <c r="AA989" s="2"/>
      <c r="AB989" s="2"/>
    </row>
    <row r="990" spans="2:28" s="1" customFormat="1" hidden="1">
      <c r="B990" s="2"/>
      <c r="C990" s="133"/>
      <c r="D990" s="134"/>
      <c r="E990" s="134"/>
      <c r="F990" s="134"/>
      <c r="G990" s="134"/>
      <c r="H990" s="134"/>
      <c r="I990" s="134"/>
      <c r="J990" s="134"/>
      <c r="K990" s="134"/>
      <c r="L990" s="134"/>
      <c r="M990" s="134"/>
      <c r="N990" s="134"/>
      <c r="O990" s="134"/>
      <c r="P990" s="134"/>
      <c r="Q990" s="134"/>
      <c r="R990" s="134"/>
      <c r="S990" s="134"/>
      <c r="T990" s="134"/>
      <c r="U990" s="134"/>
      <c r="V990" s="134"/>
      <c r="W990" s="134"/>
      <c r="X990" s="134"/>
      <c r="Y990" s="134"/>
      <c r="Z990" s="134"/>
      <c r="AA990" s="2"/>
      <c r="AB990" s="2"/>
    </row>
    <row r="991" spans="2:28" s="1" customFormat="1" hidden="1">
      <c r="B991" s="2"/>
      <c r="C991" s="133"/>
      <c r="D991" s="134"/>
      <c r="E991" s="134"/>
      <c r="F991" s="134"/>
      <c r="G991" s="134"/>
      <c r="H991" s="134"/>
      <c r="I991" s="134"/>
      <c r="J991" s="134"/>
      <c r="K991" s="134"/>
      <c r="L991" s="134"/>
      <c r="M991" s="134"/>
      <c r="N991" s="134"/>
      <c r="O991" s="134"/>
      <c r="P991" s="134"/>
      <c r="Q991" s="134"/>
      <c r="R991" s="134"/>
      <c r="S991" s="134"/>
      <c r="T991" s="134"/>
      <c r="U991" s="134"/>
      <c r="V991" s="134"/>
      <c r="W991" s="134"/>
      <c r="X991" s="134"/>
      <c r="Y991" s="134"/>
      <c r="Z991" s="134"/>
      <c r="AA991" s="2"/>
      <c r="AB991" s="2"/>
    </row>
    <row r="992" spans="2:28" s="1" customFormat="1" hidden="1">
      <c r="B992" s="2"/>
      <c r="C992" s="133"/>
      <c r="D992" s="134"/>
      <c r="E992" s="134"/>
      <c r="F992" s="134"/>
      <c r="G992" s="134"/>
      <c r="H992" s="134"/>
      <c r="I992" s="134"/>
      <c r="J992" s="134"/>
      <c r="K992" s="134"/>
      <c r="L992" s="134"/>
      <c r="M992" s="134"/>
      <c r="N992" s="134"/>
      <c r="O992" s="134"/>
      <c r="P992" s="134"/>
      <c r="Q992" s="134"/>
      <c r="R992" s="134"/>
      <c r="S992" s="134"/>
      <c r="T992" s="134"/>
      <c r="U992" s="134"/>
      <c r="V992" s="134"/>
      <c r="W992" s="134"/>
      <c r="X992" s="134"/>
      <c r="Y992" s="134"/>
      <c r="Z992" s="134"/>
      <c r="AA992" s="2"/>
      <c r="AB992" s="2"/>
    </row>
    <row r="993" spans="2:28" s="1" customFormat="1" hidden="1">
      <c r="B993" s="2"/>
      <c r="C993" s="133"/>
      <c r="D993" s="134"/>
      <c r="E993" s="134"/>
      <c r="F993" s="134"/>
      <c r="G993" s="134"/>
      <c r="H993" s="134"/>
      <c r="I993" s="134"/>
      <c r="J993" s="134"/>
      <c r="K993" s="134"/>
      <c r="L993" s="134"/>
      <c r="M993" s="134"/>
      <c r="N993" s="134"/>
      <c r="O993" s="134"/>
      <c r="P993" s="134"/>
      <c r="Q993" s="134"/>
      <c r="R993" s="134"/>
      <c r="S993" s="134"/>
      <c r="T993" s="134"/>
      <c r="U993" s="134"/>
      <c r="V993" s="134"/>
      <c r="W993" s="134"/>
      <c r="X993" s="134"/>
      <c r="Y993" s="134"/>
      <c r="Z993" s="134"/>
      <c r="AA993" s="2"/>
      <c r="AB993" s="2"/>
    </row>
    <row r="994" spans="2:28" s="1" customFormat="1" hidden="1">
      <c r="B994" s="2"/>
      <c r="C994" s="133"/>
      <c r="D994" s="134"/>
      <c r="E994" s="134"/>
      <c r="F994" s="134"/>
      <c r="G994" s="134"/>
      <c r="H994" s="134"/>
      <c r="I994" s="134"/>
      <c r="J994" s="134"/>
      <c r="K994" s="134"/>
      <c r="L994" s="134"/>
      <c r="M994" s="134"/>
      <c r="N994" s="134"/>
      <c r="O994" s="134"/>
      <c r="P994" s="134"/>
      <c r="Q994" s="134"/>
      <c r="R994" s="134"/>
      <c r="S994" s="134"/>
      <c r="T994" s="134"/>
      <c r="U994" s="134"/>
      <c r="V994" s="134"/>
      <c r="W994" s="134"/>
      <c r="X994" s="134"/>
      <c r="Y994" s="134"/>
      <c r="Z994" s="134"/>
      <c r="AA994" s="2"/>
      <c r="AB994" s="2"/>
    </row>
    <row r="995" spans="2:28" s="1" customFormat="1" hidden="1">
      <c r="B995" s="2"/>
      <c r="C995" s="133"/>
      <c r="D995" s="134"/>
      <c r="E995" s="134"/>
      <c r="F995" s="134"/>
      <c r="G995" s="134"/>
      <c r="H995" s="134"/>
      <c r="I995" s="134"/>
      <c r="J995" s="134"/>
      <c r="K995" s="134"/>
      <c r="L995" s="134"/>
      <c r="M995" s="134"/>
      <c r="N995" s="134"/>
      <c r="O995" s="134"/>
      <c r="P995" s="134"/>
      <c r="Q995" s="134"/>
      <c r="R995" s="134"/>
      <c r="S995" s="134"/>
      <c r="T995" s="134"/>
      <c r="U995" s="134"/>
      <c r="V995" s="134"/>
      <c r="W995" s="134"/>
      <c r="X995" s="134"/>
      <c r="Y995" s="134"/>
      <c r="Z995" s="134"/>
      <c r="AA995" s="2"/>
      <c r="AB995" s="2"/>
    </row>
    <row r="996" spans="2:28" s="1" customFormat="1" hidden="1">
      <c r="B996" s="2"/>
      <c r="C996" s="133"/>
      <c r="D996" s="134"/>
      <c r="E996" s="134"/>
      <c r="F996" s="134"/>
      <c r="G996" s="134"/>
      <c r="H996" s="134"/>
      <c r="I996" s="134"/>
      <c r="J996" s="134"/>
      <c r="K996" s="134"/>
      <c r="L996" s="134"/>
      <c r="M996" s="134"/>
      <c r="N996" s="134"/>
      <c r="O996" s="134"/>
      <c r="P996" s="134"/>
      <c r="Q996" s="134"/>
      <c r="R996" s="134"/>
      <c r="S996" s="134"/>
      <c r="T996" s="134"/>
      <c r="U996" s="134"/>
      <c r="V996" s="134"/>
      <c r="W996" s="134"/>
      <c r="X996" s="134"/>
      <c r="Y996" s="134"/>
      <c r="Z996" s="134"/>
      <c r="AA996" s="2"/>
      <c r="AB996" s="2"/>
    </row>
    <row r="997" spans="2:28" s="1" customFormat="1" hidden="1">
      <c r="B997" s="2"/>
      <c r="C997" s="133"/>
      <c r="D997" s="134"/>
      <c r="E997" s="134"/>
      <c r="F997" s="134"/>
      <c r="G997" s="134"/>
      <c r="H997" s="134"/>
      <c r="I997" s="134"/>
      <c r="J997" s="134"/>
      <c r="K997" s="134"/>
      <c r="L997" s="134"/>
      <c r="M997" s="134"/>
      <c r="N997" s="134"/>
      <c r="O997" s="134"/>
      <c r="P997" s="134"/>
      <c r="Q997" s="134"/>
      <c r="R997" s="134"/>
      <c r="S997" s="134"/>
      <c r="T997" s="134"/>
      <c r="U997" s="134"/>
      <c r="V997" s="134"/>
      <c r="W997" s="134"/>
      <c r="X997" s="134"/>
      <c r="Y997" s="134"/>
      <c r="Z997" s="134"/>
      <c r="AA997" s="2"/>
      <c r="AB997" s="2"/>
    </row>
    <row r="998" spans="2:28" s="1" customFormat="1" hidden="1">
      <c r="B998" s="2"/>
      <c r="C998" s="133"/>
      <c r="D998" s="134"/>
      <c r="E998" s="134"/>
      <c r="F998" s="134"/>
      <c r="G998" s="134"/>
      <c r="H998" s="134"/>
      <c r="I998" s="134"/>
      <c r="J998" s="134"/>
      <c r="K998" s="134"/>
      <c r="L998" s="134"/>
      <c r="M998" s="134"/>
      <c r="N998" s="134"/>
      <c r="O998" s="134"/>
      <c r="P998" s="134"/>
      <c r="Q998" s="134"/>
      <c r="R998" s="134"/>
      <c r="S998" s="134"/>
      <c r="T998" s="134"/>
      <c r="U998" s="134"/>
      <c r="V998" s="134"/>
      <c r="W998" s="134"/>
      <c r="X998" s="134"/>
      <c r="Y998" s="134"/>
      <c r="Z998" s="134"/>
      <c r="AA998" s="2"/>
      <c r="AB998" s="2"/>
    </row>
    <row r="999" spans="2:28" s="1" customFormat="1" hidden="1">
      <c r="B999" s="2"/>
      <c r="C999" s="133"/>
      <c r="D999" s="134"/>
      <c r="E999" s="134"/>
      <c r="F999" s="134"/>
      <c r="G999" s="134"/>
      <c r="H999" s="134"/>
      <c r="I999" s="134"/>
      <c r="J999" s="134"/>
      <c r="K999" s="134"/>
      <c r="L999" s="134"/>
      <c r="M999" s="134"/>
      <c r="N999" s="134"/>
      <c r="O999" s="134"/>
      <c r="P999" s="134"/>
      <c r="Q999" s="134"/>
      <c r="R999" s="134"/>
      <c r="S999" s="134"/>
      <c r="T999" s="134"/>
      <c r="U999" s="134"/>
      <c r="V999" s="134"/>
      <c r="W999" s="134"/>
      <c r="X999" s="134"/>
      <c r="Y999" s="134"/>
      <c r="Z999" s="134"/>
      <c r="AA999" s="2"/>
      <c r="AB999" s="2"/>
    </row>
    <row r="1000" spans="2:28" s="1" customFormat="1" hidden="1">
      <c r="B1000" s="2"/>
      <c r="C1000" s="133"/>
      <c r="D1000" s="134"/>
      <c r="E1000" s="134"/>
      <c r="F1000" s="134"/>
      <c r="G1000" s="134"/>
      <c r="H1000" s="134"/>
      <c r="I1000" s="134"/>
      <c r="J1000" s="134"/>
      <c r="K1000" s="134"/>
      <c r="L1000" s="134"/>
      <c r="M1000" s="134"/>
      <c r="N1000" s="134"/>
      <c r="O1000" s="134"/>
      <c r="P1000" s="134"/>
      <c r="Q1000" s="134"/>
      <c r="R1000" s="134"/>
      <c r="S1000" s="134"/>
      <c r="T1000" s="134"/>
      <c r="U1000" s="134"/>
      <c r="V1000" s="134"/>
      <c r="W1000" s="134"/>
      <c r="X1000" s="134"/>
      <c r="Y1000" s="134"/>
      <c r="Z1000" s="134"/>
      <c r="AA1000" s="2"/>
      <c r="AB1000" s="2"/>
    </row>
    <row r="1001" spans="2:28" s="1" customFormat="1" hidden="1">
      <c r="B1001" s="2"/>
      <c r="C1001" s="133"/>
      <c r="D1001" s="134"/>
      <c r="E1001" s="134"/>
      <c r="F1001" s="134"/>
      <c r="G1001" s="134"/>
      <c r="H1001" s="134"/>
      <c r="I1001" s="134"/>
      <c r="J1001" s="134"/>
      <c r="K1001" s="134"/>
      <c r="L1001" s="134"/>
      <c r="M1001" s="134"/>
      <c r="N1001" s="134"/>
      <c r="O1001" s="134"/>
      <c r="P1001" s="134"/>
      <c r="Q1001" s="134"/>
      <c r="R1001" s="134"/>
      <c r="S1001" s="134"/>
      <c r="T1001" s="134"/>
      <c r="U1001" s="134"/>
      <c r="V1001" s="134"/>
      <c r="W1001" s="134"/>
      <c r="X1001" s="134"/>
      <c r="Y1001" s="134"/>
      <c r="Z1001" s="134"/>
      <c r="AA1001" s="2"/>
      <c r="AB1001" s="2"/>
    </row>
    <row r="1002" spans="2:28" s="1" customFormat="1" hidden="1">
      <c r="B1002" s="2"/>
      <c r="C1002" s="133"/>
      <c r="D1002" s="134"/>
      <c r="E1002" s="134"/>
      <c r="F1002" s="134"/>
      <c r="G1002" s="134"/>
      <c r="H1002" s="134"/>
      <c r="I1002" s="134"/>
      <c r="J1002" s="134"/>
      <c r="K1002" s="134"/>
      <c r="L1002" s="134"/>
      <c r="M1002" s="134"/>
      <c r="N1002" s="134"/>
      <c r="O1002" s="134"/>
      <c r="P1002" s="134"/>
      <c r="Q1002" s="134"/>
      <c r="R1002" s="134"/>
      <c r="S1002" s="134"/>
      <c r="T1002" s="134"/>
      <c r="U1002" s="134"/>
      <c r="V1002" s="134"/>
      <c r="W1002" s="134"/>
      <c r="X1002" s="134"/>
      <c r="Y1002" s="134"/>
      <c r="Z1002" s="134"/>
      <c r="AA1002" s="2"/>
      <c r="AB1002" s="2"/>
    </row>
    <row r="1003" spans="2:28" s="1" customFormat="1" hidden="1">
      <c r="B1003" s="2"/>
      <c r="C1003" s="133"/>
      <c r="D1003" s="134"/>
      <c r="E1003" s="134"/>
      <c r="F1003" s="134"/>
      <c r="G1003" s="134"/>
      <c r="H1003" s="134"/>
      <c r="I1003" s="134"/>
      <c r="J1003" s="134"/>
      <c r="K1003" s="134"/>
      <c r="L1003" s="134"/>
      <c r="M1003" s="134"/>
      <c r="N1003" s="134"/>
      <c r="O1003" s="134"/>
      <c r="P1003" s="134"/>
      <c r="Q1003" s="134"/>
      <c r="R1003" s="134"/>
      <c r="S1003" s="134"/>
      <c r="T1003" s="134"/>
      <c r="U1003" s="134"/>
      <c r="V1003" s="134"/>
      <c r="W1003" s="134"/>
      <c r="X1003" s="134"/>
      <c r="Y1003" s="134"/>
      <c r="Z1003" s="134"/>
      <c r="AA1003" s="2"/>
      <c r="AB1003" s="2"/>
    </row>
    <row r="1004" spans="2:28" s="1" customFormat="1" hidden="1">
      <c r="B1004" s="2"/>
      <c r="C1004" s="133"/>
      <c r="D1004" s="134"/>
      <c r="E1004" s="134"/>
      <c r="F1004" s="134"/>
      <c r="G1004" s="134"/>
      <c r="H1004" s="134"/>
      <c r="I1004" s="134"/>
      <c r="J1004" s="134"/>
      <c r="K1004" s="134"/>
      <c r="L1004" s="134"/>
      <c r="M1004" s="134"/>
      <c r="N1004" s="134"/>
      <c r="O1004" s="134"/>
      <c r="P1004" s="134"/>
      <c r="Q1004" s="134"/>
      <c r="R1004" s="134"/>
      <c r="S1004" s="134"/>
      <c r="T1004" s="134"/>
      <c r="U1004" s="134"/>
      <c r="V1004" s="134"/>
      <c r="W1004" s="134"/>
      <c r="X1004" s="134"/>
      <c r="Y1004" s="134"/>
      <c r="Z1004" s="134"/>
      <c r="AA1004" s="2"/>
      <c r="AB1004" s="2"/>
    </row>
    <row r="1005" spans="2:28" s="1" customFormat="1" hidden="1">
      <c r="B1005" s="2"/>
      <c r="C1005" s="133"/>
      <c r="D1005" s="134"/>
      <c r="E1005" s="134"/>
      <c r="F1005" s="134"/>
      <c r="G1005" s="134"/>
      <c r="H1005" s="134"/>
      <c r="I1005" s="134"/>
      <c r="J1005" s="134"/>
      <c r="K1005" s="134"/>
      <c r="L1005" s="134"/>
      <c r="M1005" s="134"/>
      <c r="N1005" s="134"/>
      <c r="O1005" s="134"/>
      <c r="P1005" s="134"/>
      <c r="Q1005" s="134"/>
      <c r="R1005" s="134"/>
      <c r="S1005" s="134"/>
      <c r="T1005" s="134"/>
      <c r="U1005" s="134"/>
      <c r="V1005" s="134"/>
      <c r="W1005" s="134"/>
      <c r="X1005" s="134"/>
      <c r="Y1005" s="134"/>
      <c r="Z1005" s="134"/>
      <c r="AA1005" s="2"/>
      <c r="AB1005" s="2"/>
    </row>
    <row r="1006" spans="2:28" s="1" customFormat="1" hidden="1">
      <c r="B1006" s="2"/>
      <c r="C1006" s="133"/>
      <c r="D1006" s="134"/>
      <c r="E1006" s="134"/>
      <c r="F1006" s="134"/>
      <c r="G1006" s="134"/>
      <c r="H1006" s="134"/>
      <c r="I1006" s="134"/>
      <c r="J1006" s="134"/>
      <c r="K1006" s="134"/>
      <c r="L1006" s="134"/>
      <c r="M1006" s="134"/>
      <c r="N1006" s="134"/>
      <c r="O1006" s="134"/>
      <c r="P1006" s="134"/>
      <c r="Q1006" s="134"/>
      <c r="R1006" s="134"/>
      <c r="S1006" s="134"/>
      <c r="T1006" s="134"/>
      <c r="U1006" s="134"/>
      <c r="V1006" s="134"/>
      <c r="W1006" s="134"/>
      <c r="X1006" s="134"/>
      <c r="Y1006" s="134"/>
      <c r="Z1006" s="134"/>
      <c r="AA1006" s="2"/>
      <c r="AB1006" s="2"/>
    </row>
    <row r="1007" spans="2:28" s="1" customFormat="1" hidden="1">
      <c r="B1007" s="2"/>
      <c r="C1007" s="133"/>
      <c r="D1007" s="134"/>
      <c r="E1007" s="134"/>
      <c r="F1007" s="134"/>
      <c r="G1007" s="134"/>
      <c r="H1007" s="134"/>
      <c r="I1007" s="134"/>
      <c r="J1007" s="134"/>
      <c r="K1007" s="134"/>
      <c r="L1007" s="134"/>
      <c r="M1007" s="134"/>
      <c r="N1007" s="134"/>
      <c r="O1007" s="134"/>
      <c r="P1007" s="134"/>
      <c r="Q1007" s="134"/>
      <c r="R1007" s="134"/>
      <c r="S1007" s="134"/>
      <c r="T1007" s="134"/>
      <c r="U1007" s="134"/>
      <c r="V1007" s="134"/>
      <c r="W1007" s="134"/>
      <c r="X1007" s="134"/>
      <c r="Y1007" s="134"/>
      <c r="Z1007" s="134"/>
      <c r="AA1007" s="2"/>
      <c r="AB1007" s="2"/>
    </row>
    <row r="1008" spans="2:28" s="1" customFormat="1" hidden="1">
      <c r="B1008" s="2"/>
      <c r="C1008" s="133"/>
      <c r="D1008" s="134"/>
      <c r="E1008" s="134"/>
      <c r="F1008" s="134"/>
      <c r="G1008" s="134"/>
      <c r="H1008" s="134"/>
      <c r="I1008" s="134"/>
      <c r="J1008" s="134"/>
      <c r="K1008" s="134"/>
      <c r="L1008" s="134"/>
      <c r="M1008" s="134"/>
      <c r="N1008" s="134"/>
      <c r="O1008" s="134"/>
      <c r="P1008" s="134"/>
      <c r="Q1008" s="134"/>
      <c r="R1008" s="134"/>
      <c r="S1008" s="134"/>
      <c r="T1008" s="134"/>
      <c r="U1008" s="134"/>
      <c r="V1008" s="134"/>
      <c r="W1008" s="134"/>
      <c r="X1008" s="134"/>
      <c r="Y1008" s="134"/>
      <c r="Z1008" s="134"/>
      <c r="AA1008" s="2"/>
      <c r="AB1008" s="2"/>
    </row>
    <row r="1009" spans="2:28" s="1" customFormat="1" hidden="1">
      <c r="B1009" s="2"/>
      <c r="C1009" s="133"/>
      <c r="D1009" s="134"/>
      <c r="E1009" s="134"/>
      <c r="F1009" s="134"/>
      <c r="G1009" s="134"/>
      <c r="H1009" s="134"/>
      <c r="I1009" s="134"/>
      <c r="J1009" s="134"/>
      <c r="K1009" s="134"/>
      <c r="L1009" s="134"/>
      <c r="M1009" s="134"/>
      <c r="N1009" s="134"/>
      <c r="O1009" s="134"/>
      <c r="P1009" s="134"/>
      <c r="Q1009" s="134"/>
      <c r="R1009" s="134"/>
      <c r="S1009" s="134"/>
      <c r="T1009" s="134"/>
      <c r="U1009" s="134"/>
      <c r="V1009" s="134"/>
      <c r="W1009" s="134"/>
      <c r="X1009" s="134"/>
      <c r="Y1009" s="134"/>
      <c r="Z1009" s="134"/>
      <c r="AA1009" s="2"/>
      <c r="AB1009" s="2"/>
    </row>
    <row r="1010" spans="2:28" s="1" customFormat="1" hidden="1">
      <c r="B1010" s="2"/>
      <c r="C1010" s="133"/>
      <c r="D1010" s="134"/>
      <c r="E1010" s="134"/>
      <c r="F1010" s="134"/>
      <c r="G1010" s="134"/>
      <c r="H1010" s="134"/>
      <c r="I1010" s="134"/>
      <c r="J1010" s="134"/>
      <c r="K1010" s="134"/>
      <c r="L1010" s="134"/>
      <c r="M1010" s="134"/>
      <c r="N1010" s="134"/>
      <c r="O1010" s="134"/>
      <c r="P1010" s="134"/>
      <c r="Q1010" s="134"/>
      <c r="R1010" s="134"/>
      <c r="S1010" s="134"/>
      <c r="T1010" s="134"/>
      <c r="U1010" s="134"/>
      <c r="V1010" s="134"/>
      <c r="W1010" s="134"/>
      <c r="X1010" s="134"/>
      <c r="Y1010" s="134"/>
      <c r="Z1010" s="134"/>
      <c r="AA1010" s="2"/>
      <c r="AB1010" s="2"/>
    </row>
    <row r="1011" spans="2:28" s="1" customFormat="1" hidden="1">
      <c r="B1011" s="2"/>
      <c r="C1011" s="133"/>
      <c r="D1011" s="134"/>
      <c r="E1011" s="134"/>
      <c r="F1011" s="134"/>
      <c r="G1011" s="134"/>
      <c r="H1011" s="134"/>
      <c r="I1011" s="134"/>
      <c r="J1011" s="134"/>
      <c r="K1011" s="134"/>
      <c r="L1011" s="134"/>
      <c r="M1011" s="134"/>
      <c r="N1011" s="134"/>
      <c r="O1011" s="134"/>
      <c r="P1011" s="134"/>
      <c r="Q1011" s="134"/>
      <c r="R1011" s="134"/>
      <c r="S1011" s="134"/>
      <c r="T1011" s="134"/>
      <c r="U1011" s="134"/>
      <c r="V1011" s="134"/>
      <c r="W1011" s="134"/>
      <c r="X1011" s="134"/>
      <c r="Y1011" s="134"/>
      <c r="Z1011" s="134"/>
      <c r="AA1011" s="2"/>
      <c r="AB1011" s="2"/>
    </row>
    <row r="1012" spans="2:28" s="1" customFormat="1" hidden="1">
      <c r="B1012" s="2"/>
      <c r="C1012" s="133"/>
      <c r="D1012" s="134"/>
      <c r="E1012" s="134"/>
      <c r="F1012" s="134"/>
      <c r="G1012" s="134"/>
      <c r="H1012" s="134"/>
      <c r="I1012" s="134"/>
      <c r="J1012" s="134"/>
      <c r="K1012" s="134"/>
      <c r="L1012" s="134"/>
      <c r="M1012" s="134"/>
      <c r="N1012" s="134"/>
      <c r="O1012" s="134"/>
      <c r="P1012" s="134"/>
      <c r="Q1012" s="134"/>
      <c r="R1012" s="134"/>
      <c r="S1012" s="134"/>
      <c r="T1012" s="134"/>
      <c r="U1012" s="134"/>
      <c r="V1012" s="134"/>
      <c r="W1012" s="134"/>
      <c r="X1012" s="134"/>
      <c r="Y1012" s="134"/>
      <c r="Z1012" s="134"/>
      <c r="AA1012" s="2"/>
      <c r="AB1012" s="2"/>
    </row>
    <row r="1013" spans="2:28" s="1" customFormat="1" hidden="1">
      <c r="B1013" s="2"/>
      <c r="C1013" s="133"/>
      <c r="D1013" s="134"/>
      <c r="E1013" s="134"/>
      <c r="F1013" s="134"/>
      <c r="G1013" s="134"/>
      <c r="H1013" s="134"/>
      <c r="I1013" s="134"/>
      <c r="J1013" s="134"/>
      <c r="K1013" s="134"/>
      <c r="L1013" s="134"/>
      <c r="M1013" s="134"/>
      <c r="N1013" s="134"/>
      <c r="O1013" s="134"/>
      <c r="P1013" s="134"/>
      <c r="Q1013" s="134"/>
      <c r="R1013" s="134"/>
      <c r="S1013" s="134"/>
      <c r="T1013" s="134"/>
      <c r="U1013" s="134"/>
      <c r="V1013" s="134"/>
      <c r="W1013" s="134"/>
      <c r="X1013" s="134"/>
      <c r="Y1013" s="134"/>
      <c r="Z1013" s="134"/>
      <c r="AA1013" s="2"/>
      <c r="AB1013" s="2"/>
    </row>
    <row r="1014" spans="2:28" s="1" customFormat="1" hidden="1">
      <c r="B1014" s="2"/>
      <c r="C1014" s="133"/>
      <c r="D1014" s="134"/>
      <c r="E1014" s="134"/>
      <c r="F1014" s="134"/>
      <c r="G1014" s="134"/>
      <c r="H1014" s="134"/>
      <c r="I1014" s="134"/>
      <c r="J1014" s="134"/>
      <c r="K1014" s="134"/>
      <c r="L1014" s="134"/>
      <c r="M1014" s="134"/>
      <c r="N1014" s="134"/>
      <c r="O1014" s="134"/>
      <c r="P1014" s="134"/>
      <c r="Q1014" s="134"/>
      <c r="R1014" s="134"/>
      <c r="S1014" s="134"/>
      <c r="T1014" s="134"/>
      <c r="U1014" s="134"/>
      <c r="V1014" s="134"/>
      <c r="W1014" s="134"/>
      <c r="X1014" s="134"/>
      <c r="Y1014" s="134"/>
      <c r="Z1014" s="134"/>
      <c r="AA1014" s="2"/>
      <c r="AB1014" s="2"/>
    </row>
    <row r="1015" spans="2:28" s="1" customFormat="1" hidden="1">
      <c r="B1015" s="2"/>
      <c r="C1015" s="133"/>
      <c r="D1015" s="134"/>
      <c r="E1015" s="134"/>
      <c r="F1015" s="134"/>
      <c r="G1015" s="134"/>
      <c r="H1015" s="134"/>
      <c r="I1015" s="134"/>
      <c r="J1015" s="134"/>
      <c r="K1015" s="134"/>
      <c r="L1015" s="134"/>
      <c r="M1015" s="134"/>
      <c r="N1015" s="134"/>
      <c r="O1015" s="134"/>
      <c r="P1015" s="134"/>
      <c r="Q1015" s="134"/>
      <c r="R1015" s="134"/>
      <c r="S1015" s="134"/>
      <c r="T1015" s="134"/>
      <c r="U1015" s="134"/>
      <c r="V1015" s="134"/>
      <c r="W1015" s="134"/>
      <c r="X1015" s="134"/>
      <c r="Y1015" s="134"/>
      <c r="Z1015" s="134"/>
      <c r="AA1015" s="2"/>
      <c r="AB1015" s="2"/>
    </row>
    <row r="1016" spans="2:28" s="1" customFormat="1" hidden="1">
      <c r="B1016" s="2"/>
      <c r="C1016" s="133"/>
      <c r="D1016" s="134"/>
      <c r="E1016" s="134"/>
      <c r="F1016" s="134"/>
      <c r="G1016" s="134"/>
      <c r="H1016" s="134"/>
      <c r="I1016" s="134"/>
      <c r="J1016" s="134"/>
      <c r="K1016" s="134"/>
      <c r="L1016" s="134"/>
      <c r="M1016" s="134"/>
      <c r="N1016" s="134"/>
      <c r="O1016" s="134"/>
      <c r="P1016" s="134"/>
      <c r="Q1016" s="134"/>
      <c r="R1016" s="134"/>
      <c r="S1016" s="134"/>
      <c r="T1016" s="134"/>
      <c r="U1016" s="134"/>
      <c r="V1016" s="134"/>
      <c r="W1016" s="134"/>
      <c r="X1016" s="134"/>
      <c r="Y1016" s="134"/>
      <c r="Z1016" s="134"/>
      <c r="AA1016" s="2"/>
      <c r="AB1016" s="2"/>
    </row>
    <row r="1017" spans="2:28" s="1" customFormat="1" hidden="1">
      <c r="B1017" s="2"/>
      <c r="C1017" s="133"/>
      <c r="D1017" s="134"/>
      <c r="E1017" s="134"/>
      <c r="F1017" s="134"/>
      <c r="G1017" s="134"/>
      <c r="H1017" s="134"/>
      <c r="I1017" s="134"/>
      <c r="J1017" s="134"/>
      <c r="K1017" s="134"/>
      <c r="L1017" s="134"/>
      <c r="M1017" s="134"/>
      <c r="N1017" s="134"/>
      <c r="O1017" s="134"/>
      <c r="P1017" s="134"/>
      <c r="Q1017" s="134"/>
      <c r="R1017" s="134"/>
      <c r="S1017" s="134"/>
      <c r="T1017" s="134"/>
      <c r="U1017" s="134"/>
      <c r="V1017" s="134"/>
      <c r="W1017" s="134"/>
      <c r="X1017" s="134"/>
      <c r="Y1017" s="134"/>
      <c r="Z1017" s="134"/>
      <c r="AA1017" s="2"/>
      <c r="AB1017" s="2"/>
    </row>
    <row r="1018" spans="2:28" s="1" customFormat="1" hidden="1">
      <c r="B1018" s="2"/>
      <c r="C1018" s="133"/>
      <c r="D1018" s="134"/>
      <c r="E1018" s="134"/>
      <c r="F1018" s="134"/>
      <c r="G1018" s="134"/>
      <c r="H1018" s="134"/>
      <c r="I1018" s="134"/>
      <c r="J1018" s="134"/>
      <c r="K1018" s="134"/>
      <c r="L1018" s="134"/>
      <c r="M1018" s="134"/>
      <c r="N1018" s="134"/>
      <c r="O1018" s="134"/>
      <c r="P1018" s="134"/>
      <c r="Q1018" s="134"/>
      <c r="R1018" s="134"/>
      <c r="S1018" s="134"/>
      <c r="T1018" s="134"/>
      <c r="U1018" s="134"/>
      <c r="V1018" s="134"/>
      <c r="W1018" s="134"/>
      <c r="X1018" s="134"/>
      <c r="Y1018" s="134"/>
      <c r="Z1018" s="134"/>
      <c r="AA1018" s="2"/>
      <c r="AB1018" s="2"/>
    </row>
    <row r="1019" spans="2:28" s="1" customFormat="1" hidden="1">
      <c r="B1019" s="2"/>
      <c r="C1019" s="133"/>
      <c r="D1019" s="134"/>
      <c r="E1019" s="134"/>
      <c r="F1019" s="134"/>
      <c r="G1019" s="134"/>
      <c r="H1019" s="134"/>
      <c r="I1019" s="134"/>
      <c r="J1019" s="134"/>
      <c r="K1019" s="134"/>
      <c r="L1019" s="134"/>
      <c r="M1019" s="134"/>
      <c r="N1019" s="134"/>
      <c r="O1019" s="134"/>
      <c r="P1019" s="134"/>
      <c r="Q1019" s="134"/>
      <c r="R1019" s="134"/>
      <c r="S1019" s="134"/>
      <c r="T1019" s="134"/>
      <c r="U1019" s="134"/>
      <c r="V1019" s="134"/>
      <c r="W1019" s="134"/>
      <c r="X1019" s="134"/>
      <c r="Y1019" s="134"/>
      <c r="Z1019" s="134"/>
      <c r="AA1019" s="2"/>
      <c r="AB1019" s="2"/>
    </row>
    <row r="1020" spans="2:28" s="1" customFormat="1" hidden="1">
      <c r="B1020" s="2"/>
      <c r="C1020" s="133"/>
      <c r="D1020" s="134"/>
      <c r="E1020" s="134"/>
      <c r="F1020" s="134"/>
      <c r="G1020" s="134"/>
      <c r="H1020" s="134"/>
      <c r="I1020" s="134"/>
      <c r="J1020" s="134"/>
      <c r="K1020" s="134"/>
      <c r="L1020" s="134"/>
      <c r="M1020" s="134"/>
      <c r="N1020" s="134"/>
      <c r="O1020" s="134"/>
      <c r="P1020" s="134"/>
      <c r="Q1020" s="134"/>
      <c r="R1020" s="134"/>
      <c r="S1020" s="134"/>
      <c r="T1020" s="134"/>
      <c r="U1020" s="134"/>
      <c r="V1020" s="134"/>
      <c r="W1020" s="134"/>
      <c r="X1020" s="134"/>
      <c r="Y1020" s="134"/>
      <c r="Z1020" s="134"/>
      <c r="AA1020" s="2"/>
      <c r="AB1020" s="2"/>
    </row>
    <row r="1021" spans="2:28" s="1" customFormat="1" hidden="1">
      <c r="B1021" s="2"/>
      <c r="C1021" s="133"/>
      <c r="D1021" s="134"/>
      <c r="E1021" s="134"/>
      <c r="F1021" s="134"/>
      <c r="G1021" s="134"/>
      <c r="H1021" s="134"/>
      <c r="I1021" s="134"/>
      <c r="J1021" s="134"/>
      <c r="K1021" s="134"/>
      <c r="L1021" s="134"/>
      <c r="M1021" s="134"/>
      <c r="N1021" s="134"/>
      <c r="O1021" s="134"/>
      <c r="P1021" s="134"/>
      <c r="Q1021" s="134"/>
      <c r="R1021" s="134"/>
      <c r="S1021" s="134"/>
      <c r="T1021" s="134"/>
      <c r="U1021" s="134"/>
      <c r="V1021" s="134"/>
      <c r="W1021" s="134"/>
      <c r="X1021" s="134"/>
      <c r="Y1021" s="134"/>
      <c r="Z1021" s="134"/>
      <c r="AA1021" s="2"/>
      <c r="AB1021" s="2"/>
    </row>
    <row r="1022" spans="2:28" s="1" customFormat="1" hidden="1">
      <c r="B1022" s="2"/>
      <c r="C1022" s="133"/>
      <c r="D1022" s="134"/>
      <c r="E1022" s="134"/>
      <c r="F1022" s="134"/>
      <c r="G1022" s="134"/>
      <c r="H1022" s="134"/>
      <c r="I1022" s="134"/>
      <c r="J1022" s="134"/>
      <c r="K1022" s="134"/>
      <c r="L1022" s="134"/>
      <c r="M1022" s="134"/>
      <c r="N1022" s="134"/>
      <c r="O1022" s="134"/>
      <c r="P1022" s="134"/>
      <c r="Q1022" s="134"/>
      <c r="R1022" s="134"/>
      <c r="S1022" s="134"/>
      <c r="T1022" s="134"/>
      <c r="U1022" s="134"/>
      <c r="V1022" s="134"/>
      <c r="W1022" s="134"/>
      <c r="X1022" s="134"/>
      <c r="Y1022" s="134"/>
      <c r="Z1022" s="134"/>
      <c r="AA1022" s="2"/>
      <c r="AB1022" s="2"/>
    </row>
    <row r="1023" spans="2:28" s="1" customFormat="1" hidden="1">
      <c r="B1023" s="2"/>
      <c r="C1023" s="133"/>
      <c r="D1023" s="134"/>
      <c r="E1023" s="134"/>
      <c r="F1023" s="134"/>
      <c r="G1023" s="134"/>
      <c r="H1023" s="134"/>
      <c r="I1023" s="134"/>
      <c r="J1023" s="134"/>
      <c r="K1023" s="134"/>
      <c r="L1023" s="134"/>
      <c r="M1023" s="134"/>
      <c r="N1023" s="134"/>
      <c r="O1023" s="134"/>
      <c r="P1023" s="134"/>
      <c r="Q1023" s="134"/>
      <c r="R1023" s="134"/>
      <c r="S1023" s="134"/>
      <c r="T1023" s="134"/>
      <c r="U1023" s="134"/>
      <c r="V1023" s="134"/>
      <c r="W1023" s="134"/>
      <c r="X1023" s="134"/>
      <c r="Y1023" s="134"/>
      <c r="Z1023" s="134"/>
      <c r="AA1023" s="2"/>
      <c r="AB1023" s="2"/>
    </row>
    <row r="1024" spans="2:28" s="1" customFormat="1" hidden="1">
      <c r="B1024" s="2"/>
      <c r="C1024" s="133"/>
      <c r="D1024" s="134"/>
      <c r="E1024" s="134"/>
      <c r="F1024" s="134"/>
      <c r="G1024" s="134"/>
      <c r="H1024" s="134"/>
      <c r="I1024" s="134"/>
      <c r="J1024" s="134"/>
      <c r="K1024" s="134"/>
      <c r="L1024" s="134"/>
      <c r="M1024" s="134"/>
      <c r="N1024" s="134"/>
      <c r="O1024" s="134"/>
      <c r="P1024" s="134"/>
      <c r="Q1024" s="134"/>
      <c r="R1024" s="134"/>
      <c r="S1024" s="134"/>
      <c r="T1024" s="134"/>
      <c r="U1024" s="134"/>
      <c r="V1024" s="134"/>
      <c r="W1024" s="134"/>
      <c r="X1024" s="134"/>
      <c r="Y1024" s="134"/>
      <c r="Z1024" s="134"/>
      <c r="AA1024" s="2"/>
      <c r="AB1024" s="2"/>
    </row>
    <row r="1025" spans="2:28" s="1" customFormat="1" hidden="1">
      <c r="B1025" s="2"/>
      <c r="C1025" s="133"/>
      <c r="D1025" s="134"/>
      <c r="E1025" s="134"/>
      <c r="F1025" s="134"/>
      <c r="G1025" s="134"/>
      <c r="H1025" s="134"/>
      <c r="I1025" s="134"/>
      <c r="J1025" s="134"/>
      <c r="K1025" s="134"/>
      <c r="L1025" s="134"/>
      <c r="M1025" s="134"/>
      <c r="N1025" s="134"/>
      <c r="O1025" s="134"/>
      <c r="P1025" s="134"/>
      <c r="Q1025" s="134"/>
      <c r="R1025" s="134"/>
      <c r="S1025" s="134"/>
      <c r="T1025" s="134"/>
      <c r="U1025" s="134"/>
      <c r="V1025" s="134"/>
      <c r="W1025" s="134"/>
      <c r="X1025" s="134"/>
      <c r="Y1025" s="134"/>
      <c r="Z1025" s="134"/>
      <c r="AA1025" s="2"/>
      <c r="AB1025" s="2"/>
    </row>
    <row r="1026" spans="2:28" s="1" customFormat="1" hidden="1">
      <c r="B1026" s="2"/>
      <c r="C1026" s="133"/>
      <c r="D1026" s="134"/>
      <c r="E1026" s="134"/>
      <c r="F1026" s="134"/>
      <c r="G1026" s="134"/>
      <c r="H1026" s="134"/>
      <c r="I1026" s="134"/>
      <c r="J1026" s="134"/>
      <c r="K1026" s="134"/>
      <c r="L1026" s="134"/>
      <c r="M1026" s="134"/>
      <c r="N1026" s="134"/>
      <c r="O1026" s="134"/>
      <c r="P1026" s="134"/>
      <c r="Q1026" s="134"/>
      <c r="R1026" s="134"/>
      <c r="S1026" s="134"/>
      <c r="T1026" s="134"/>
      <c r="U1026" s="134"/>
      <c r="V1026" s="134"/>
      <c r="W1026" s="134"/>
      <c r="X1026" s="134"/>
      <c r="Y1026" s="134"/>
      <c r="Z1026" s="134"/>
      <c r="AA1026" s="2"/>
      <c r="AB1026" s="2"/>
    </row>
    <row r="1027" spans="2:28" s="1" customFormat="1" hidden="1">
      <c r="B1027" s="2"/>
      <c r="C1027" s="133"/>
      <c r="D1027" s="134"/>
      <c r="E1027" s="134"/>
      <c r="F1027" s="134"/>
      <c r="G1027" s="134"/>
      <c r="H1027" s="134"/>
      <c r="I1027" s="134"/>
      <c r="J1027" s="134"/>
      <c r="K1027" s="134"/>
      <c r="L1027" s="134"/>
      <c r="M1027" s="134"/>
      <c r="N1027" s="134"/>
      <c r="O1027" s="134"/>
      <c r="P1027" s="134"/>
      <c r="Q1027" s="134"/>
      <c r="R1027" s="134"/>
      <c r="S1027" s="134"/>
      <c r="T1027" s="134"/>
      <c r="U1027" s="134"/>
      <c r="V1027" s="134"/>
      <c r="W1027" s="134"/>
      <c r="X1027" s="134"/>
      <c r="Y1027" s="134"/>
      <c r="Z1027" s="134"/>
      <c r="AA1027" s="2"/>
      <c r="AB1027" s="2"/>
    </row>
    <row r="1028" spans="2:28" s="1" customFormat="1" hidden="1">
      <c r="B1028" s="2"/>
      <c r="C1028" s="133"/>
      <c r="D1028" s="134"/>
      <c r="E1028" s="134"/>
      <c r="F1028" s="134"/>
      <c r="G1028" s="134"/>
      <c r="H1028" s="134"/>
      <c r="I1028" s="134"/>
      <c r="J1028" s="134"/>
      <c r="K1028" s="134"/>
      <c r="L1028" s="134"/>
      <c r="M1028" s="134"/>
      <c r="N1028" s="134"/>
      <c r="O1028" s="134"/>
      <c r="P1028" s="134"/>
      <c r="Q1028" s="134"/>
      <c r="R1028" s="134"/>
      <c r="S1028" s="134"/>
      <c r="T1028" s="134"/>
      <c r="U1028" s="134"/>
      <c r="V1028" s="134"/>
      <c r="W1028" s="134"/>
      <c r="X1028" s="134"/>
      <c r="Y1028" s="134"/>
      <c r="Z1028" s="134"/>
      <c r="AA1028" s="2"/>
      <c r="AB1028" s="2"/>
    </row>
    <row r="1029" spans="2:28" s="1" customFormat="1" hidden="1">
      <c r="B1029" s="2"/>
      <c r="C1029" s="133"/>
      <c r="D1029" s="134"/>
      <c r="E1029" s="134"/>
      <c r="F1029" s="134"/>
      <c r="G1029" s="134"/>
      <c r="H1029" s="134"/>
      <c r="I1029" s="134"/>
      <c r="J1029" s="134"/>
      <c r="K1029" s="134"/>
      <c r="L1029" s="134"/>
      <c r="M1029" s="134"/>
      <c r="N1029" s="134"/>
      <c r="O1029" s="134"/>
      <c r="P1029" s="134"/>
      <c r="Q1029" s="134"/>
      <c r="R1029" s="134"/>
      <c r="S1029" s="134"/>
      <c r="T1029" s="134"/>
      <c r="U1029" s="134"/>
      <c r="V1029" s="134"/>
      <c r="W1029" s="134"/>
      <c r="X1029" s="134"/>
      <c r="Y1029" s="134"/>
      <c r="Z1029" s="134"/>
      <c r="AA1029" s="2"/>
      <c r="AB1029" s="2"/>
    </row>
    <row r="1030" spans="2:28" s="1" customFormat="1" hidden="1">
      <c r="B1030" s="2"/>
      <c r="C1030" s="133"/>
      <c r="D1030" s="134"/>
      <c r="E1030" s="134"/>
      <c r="F1030" s="134"/>
      <c r="G1030" s="134"/>
      <c r="H1030" s="134"/>
      <c r="I1030" s="134"/>
      <c r="J1030" s="134"/>
      <c r="K1030" s="134"/>
      <c r="L1030" s="134"/>
      <c r="M1030" s="134"/>
      <c r="N1030" s="134"/>
      <c r="O1030" s="134"/>
      <c r="P1030" s="134"/>
      <c r="Q1030" s="134"/>
      <c r="R1030" s="134"/>
      <c r="S1030" s="134"/>
      <c r="T1030" s="134"/>
      <c r="U1030" s="134"/>
      <c r="V1030" s="134"/>
      <c r="W1030" s="134"/>
      <c r="X1030" s="134"/>
      <c r="Y1030" s="134"/>
      <c r="Z1030" s="134"/>
      <c r="AA1030" s="2"/>
      <c r="AB1030" s="2"/>
    </row>
    <row r="1031" spans="2:28" s="1" customFormat="1" hidden="1">
      <c r="B1031" s="2"/>
      <c r="C1031" s="133"/>
      <c r="D1031" s="134"/>
      <c r="E1031" s="134"/>
      <c r="F1031" s="134"/>
      <c r="G1031" s="134"/>
      <c r="H1031" s="134"/>
      <c r="I1031" s="134"/>
      <c r="J1031" s="134"/>
      <c r="K1031" s="134"/>
      <c r="L1031" s="134"/>
      <c r="M1031" s="134"/>
      <c r="N1031" s="134"/>
      <c r="O1031" s="134"/>
      <c r="P1031" s="134"/>
      <c r="Q1031" s="134"/>
      <c r="R1031" s="134"/>
      <c r="S1031" s="134"/>
      <c r="T1031" s="134"/>
      <c r="U1031" s="134"/>
      <c r="V1031" s="134"/>
      <c r="W1031" s="134"/>
      <c r="X1031" s="134"/>
      <c r="Y1031" s="134"/>
      <c r="Z1031" s="134"/>
      <c r="AA1031" s="2"/>
      <c r="AB1031" s="2"/>
    </row>
    <row r="1032" spans="2:28" s="1" customFormat="1" hidden="1">
      <c r="B1032" s="2"/>
      <c r="C1032" s="133"/>
      <c r="D1032" s="134"/>
      <c r="E1032" s="134"/>
      <c r="F1032" s="134"/>
      <c r="G1032" s="134"/>
      <c r="H1032" s="134"/>
      <c r="I1032" s="134"/>
      <c r="J1032" s="134"/>
      <c r="K1032" s="134"/>
      <c r="L1032" s="134"/>
      <c r="M1032" s="134"/>
      <c r="N1032" s="134"/>
      <c r="O1032" s="134"/>
      <c r="P1032" s="134"/>
      <c r="Q1032" s="134"/>
      <c r="R1032" s="134"/>
      <c r="S1032" s="134"/>
      <c r="T1032" s="134"/>
      <c r="U1032" s="134"/>
      <c r="V1032" s="134"/>
      <c r="W1032" s="134"/>
      <c r="X1032" s="134"/>
      <c r="Y1032" s="134"/>
      <c r="Z1032" s="134"/>
      <c r="AA1032" s="2"/>
      <c r="AB1032" s="2"/>
    </row>
    <row r="1033" spans="2:28" s="1" customFormat="1" hidden="1">
      <c r="B1033" s="2"/>
      <c r="C1033" s="133"/>
      <c r="D1033" s="134"/>
      <c r="E1033" s="134"/>
      <c r="F1033" s="134"/>
      <c r="G1033" s="134"/>
      <c r="H1033" s="134"/>
      <c r="I1033" s="134"/>
      <c r="J1033" s="134"/>
      <c r="K1033" s="134"/>
      <c r="L1033" s="134"/>
      <c r="M1033" s="134"/>
      <c r="N1033" s="134"/>
      <c r="O1033" s="134"/>
      <c r="P1033" s="134"/>
      <c r="Q1033" s="134"/>
      <c r="R1033" s="134"/>
      <c r="S1033" s="134"/>
      <c r="T1033" s="134"/>
      <c r="U1033" s="134"/>
      <c r="V1033" s="134"/>
      <c r="W1033" s="134"/>
      <c r="X1033" s="134"/>
      <c r="Y1033" s="134"/>
      <c r="Z1033" s="134"/>
      <c r="AA1033" s="2"/>
      <c r="AB1033" s="2"/>
    </row>
    <row r="1034" spans="2:28" s="1" customFormat="1" hidden="1">
      <c r="B1034" s="2"/>
      <c r="C1034" s="133"/>
      <c r="D1034" s="134"/>
      <c r="E1034" s="134"/>
      <c r="F1034" s="134"/>
      <c r="G1034" s="134"/>
      <c r="H1034" s="134"/>
      <c r="I1034" s="134"/>
      <c r="J1034" s="134"/>
      <c r="K1034" s="134"/>
      <c r="L1034" s="134"/>
      <c r="M1034" s="134"/>
      <c r="N1034" s="134"/>
      <c r="O1034" s="134"/>
      <c r="P1034" s="134"/>
      <c r="Q1034" s="134"/>
      <c r="R1034" s="134"/>
      <c r="S1034" s="134"/>
      <c r="T1034" s="134"/>
      <c r="U1034" s="134"/>
      <c r="V1034" s="134"/>
      <c r="W1034" s="134"/>
      <c r="X1034" s="134"/>
      <c r="Y1034" s="134"/>
      <c r="Z1034" s="134"/>
      <c r="AA1034" s="2"/>
      <c r="AB1034" s="2"/>
    </row>
    <row r="1035" spans="2:28" s="1" customFormat="1" hidden="1">
      <c r="B1035" s="2"/>
      <c r="C1035" s="133"/>
      <c r="D1035" s="134"/>
      <c r="E1035" s="134"/>
      <c r="F1035" s="134"/>
      <c r="G1035" s="134"/>
      <c r="H1035" s="134"/>
      <c r="I1035" s="134"/>
      <c r="J1035" s="134"/>
      <c r="K1035" s="134"/>
      <c r="L1035" s="134"/>
      <c r="M1035" s="134"/>
      <c r="N1035" s="134"/>
      <c r="O1035" s="134"/>
      <c r="P1035" s="134"/>
      <c r="Q1035" s="134"/>
      <c r="R1035" s="134"/>
      <c r="S1035" s="134"/>
      <c r="T1035" s="134"/>
      <c r="U1035" s="134"/>
      <c r="V1035" s="134"/>
      <c r="W1035" s="134"/>
      <c r="X1035" s="134"/>
      <c r="Y1035" s="134"/>
      <c r="Z1035" s="134"/>
      <c r="AA1035" s="2"/>
      <c r="AB1035" s="2"/>
    </row>
    <row r="1036" spans="2:28" s="1" customFormat="1" hidden="1">
      <c r="B1036" s="2"/>
      <c r="C1036" s="133"/>
      <c r="D1036" s="134"/>
      <c r="E1036" s="134"/>
      <c r="F1036" s="134"/>
      <c r="G1036" s="134"/>
      <c r="H1036" s="134"/>
      <c r="I1036" s="134"/>
      <c r="J1036" s="134"/>
      <c r="K1036" s="134"/>
      <c r="L1036" s="134"/>
      <c r="M1036" s="134"/>
      <c r="N1036" s="134"/>
      <c r="O1036" s="134"/>
      <c r="P1036" s="134"/>
      <c r="Q1036" s="134"/>
      <c r="R1036" s="134"/>
      <c r="S1036" s="134"/>
      <c r="T1036" s="134"/>
      <c r="U1036" s="134"/>
      <c r="V1036" s="134"/>
      <c r="W1036" s="134"/>
      <c r="X1036" s="134"/>
      <c r="Y1036" s="134"/>
      <c r="Z1036" s="134"/>
      <c r="AA1036" s="2"/>
      <c r="AB1036" s="2"/>
    </row>
    <row r="1037" spans="2:28" s="1" customFormat="1" hidden="1">
      <c r="B1037" s="2"/>
      <c r="C1037" s="133"/>
      <c r="D1037" s="134"/>
      <c r="E1037" s="134"/>
      <c r="F1037" s="134"/>
      <c r="G1037" s="134"/>
      <c r="H1037" s="134"/>
      <c r="I1037" s="134"/>
      <c r="J1037" s="134"/>
      <c r="K1037" s="134"/>
      <c r="L1037" s="134"/>
      <c r="M1037" s="134"/>
      <c r="N1037" s="134"/>
      <c r="O1037" s="134"/>
      <c r="P1037" s="134"/>
      <c r="Q1037" s="134"/>
      <c r="R1037" s="134"/>
      <c r="S1037" s="134"/>
      <c r="T1037" s="134"/>
      <c r="U1037" s="134"/>
      <c r="V1037" s="134"/>
      <c r="W1037" s="134"/>
      <c r="X1037" s="134"/>
      <c r="Y1037" s="134"/>
      <c r="Z1037" s="134"/>
      <c r="AA1037" s="2"/>
      <c r="AB1037" s="2"/>
    </row>
    <row r="1038" spans="2:28" s="1" customFormat="1" hidden="1">
      <c r="B1038" s="2"/>
      <c r="C1038" s="133"/>
      <c r="D1038" s="134"/>
      <c r="E1038" s="134"/>
      <c r="F1038" s="134"/>
      <c r="G1038" s="134"/>
      <c r="H1038" s="134"/>
      <c r="I1038" s="134"/>
      <c r="J1038" s="134"/>
      <c r="K1038" s="134"/>
      <c r="L1038" s="134"/>
      <c r="M1038" s="134"/>
      <c r="N1038" s="134"/>
      <c r="O1038" s="134"/>
      <c r="P1038" s="134"/>
      <c r="Q1038" s="134"/>
      <c r="R1038" s="134"/>
      <c r="S1038" s="134"/>
      <c r="T1038" s="134"/>
      <c r="U1038" s="134"/>
      <c r="V1038" s="134"/>
      <c r="W1038" s="134"/>
      <c r="X1038" s="134"/>
      <c r="Y1038" s="134"/>
      <c r="Z1038" s="134"/>
      <c r="AA1038" s="2"/>
      <c r="AB1038" s="2"/>
    </row>
    <row r="1039" spans="2:28" s="1" customFormat="1" hidden="1">
      <c r="B1039" s="2"/>
      <c r="C1039" s="133"/>
      <c r="D1039" s="134"/>
      <c r="E1039" s="134"/>
      <c r="F1039" s="134"/>
      <c r="G1039" s="134"/>
      <c r="H1039" s="134"/>
      <c r="I1039" s="134"/>
      <c r="J1039" s="134"/>
      <c r="K1039" s="134"/>
      <c r="L1039" s="134"/>
      <c r="M1039" s="134"/>
      <c r="N1039" s="134"/>
      <c r="O1039" s="134"/>
      <c r="P1039" s="134"/>
      <c r="Q1039" s="134"/>
      <c r="R1039" s="134"/>
      <c r="S1039" s="134"/>
      <c r="T1039" s="134"/>
      <c r="U1039" s="134"/>
      <c r="V1039" s="134"/>
      <c r="W1039" s="134"/>
      <c r="X1039" s="134"/>
      <c r="Y1039" s="134"/>
      <c r="Z1039" s="134"/>
      <c r="AA1039" s="2"/>
      <c r="AB1039" s="2"/>
    </row>
    <row r="1040" spans="2:28" s="1" customFormat="1" hidden="1">
      <c r="B1040" s="2"/>
      <c r="C1040" s="133"/>
      <c r="D1040" s="134"/>
      <c r="E1040" s="134"/>
      <c r="F1040" s="134"/>
      <c r="G1040" s="134"/>
      <c r="H1040" s="134"/>
      <c r="I1040" s="134"/>
      <c r="J1040" s="134"/>
      <c r="K1040" s="134"/>
      <c r="L1040" s="134"/>
      <c r="M1040" s="134"/>
      <c r="N1040" s="134"/>
      <c r="O1040" s="134"/>
      <c r="P1040" s="134"/>
      <c r="Q1040" s="134"/>
      <c r="R1040" s="134"/>
      <c r="S1040" s="134"/>
      <c r="T1040" s="134"/>
      <c r="U1040" s="134"/>
      <c r="V1040" s="134"/>
      <c r="W1040" s="134"/>
      <c r="X1040" s="134"/>
      <c r="Y1040" s="134"/>
      <c r="Z1040" s="134"/>
      <c r="AA1040" s="2"/>
      <c r="AB1040" s="2"/>
    </row>
    <row r="1041" spans="2:28" s="1" customFormat="1" hidden="1">
      <c r="B1041" s="2"/>
      <c r="C1041" s="133"/>
      <c r="D1041" s="134"/>
      <c r="E1041" s="134"/>
      <c r="F1041" s="134"/>
      <c r="G1041" s="134"/>
      <c r="H1041" s="134"/>
      <c r="I1041" s="134"/>
      <c r="J1041" s="134"/>
      <c r="K1041" s="134"/>
      <c r="L1041" s="134"/>
      <c r="M1041" s="134"/>
      <c r="N1041" s="134"/>
      <c r="O1041" s="134"/>
      <c r="P1041" s="134"/>
      <c r="Q1041" s="134"/>
      <c r="R1041" s="134"/>
      <c r="S1041" s="134"/>
      <c r="T1041" s="134"/>
      <c r="U1041" s="134"/>
      <c r="V1041" s="134"/>
      <c r="W1041" s="134"/>
      <c r="X1041" s="134"/>
      <c r="Y1041" s="134"/>
      <c r="Z1041" s="134"/>
      <c r="AA1041" s="2"/>
      <c r="AB1041" s="2"/>
    </row>
    <row r="1042" spans="2:28" s="1" customFormat="1" hidden="1">
      <c r="B1042" s="2"/>
      <c r="C1042" s="133"/>
      <c r="D1042" s="134"/>
      <c r="E1042" s="134"/>
      <c r="F1042" s="134"/>
      <c r="G1042" s="134"/>
      <c r="H1042" s="134"/>
      <c r="I1042" s="134"/>
      <c r="J1042" s="134"/>
      <c r="K1042" s="134"/>
      <c r="L1042" s="134"/>
      <c r="M1042" s="134"/>
      <c r="N1042" s="134"/>
      <c r="O1042" s="134"/>
      <c r="P1042" s="134"/>
      <c r="Q1042" s="134"/>
      <c r="R1042" s="134"/>
      <c r="S1042" s="134"/>
      <c r="T1042" s="134"/>
      <c r="U1042" s="134"/>
      <c r="V1042" s="134"/>
      <c r="W1042" s="134"/>
      <c r="X1042" s="134"/>
      <c r="Y1042" s="134"/>
      <c r="Z1042" s="134"/>
      <c r="AA1042" s="2"/>
      <c r="AB1042" s="2"/>
    </row>
    <row r="1043" spans="2:28" s="1" customFormat="1" hidden="1">
      <c r="B1043" s="2"/>
      <c r="C1043" s="133"/>
      <c r="D1043" s="134"/>
      <c r="E1043" s="134"/>
      <c r="F1043" s="134"/>
      <c r="G1043" s="134"/>
      <c r="H1043" s="134"/>
      <c r="I1043" s="134"/>
      <c r="J1043" s="134"/>
      <c r="K1043" s="134"/>
      <c r="L1043" s="134"/>
      <c r="M1043" s="134"/>
      <c r="N1043" s="134"/>
      <c r="O1043" s="134"/>
      <c r="P1043" s="134"/>
      <c r="Q1043" s="134"/>
      <c r="R1043" s="134"/>
      <c r="S1043" s="134"/>
      <c r="T1043" s="134"/>
      <c r="U1043" s="134"/>
      <c r="V1043" s="134"/>
      <c r="W1043" s="134"/>
      <c r="X1043" s="134"/>
      <c r="Y1043" s="134"/>
      <c r="Z1043" s="134"/>
      <c r="AA1043" s="2"/>
      <c r="AB1043" s="2"/>
    </row>
    <row r="1044" spans="2:28" s="1" customFormat="1" hidden="1">
      <c r="B1044" s="2"/>
      <c r="C1044" s="133"/>
      <c r="D1044" s="134"/>
      <c r="E1044" s="134"/>
      <c r="F1044" s="134"/>
      <c r="G1044" s="134"/>
      <c r="H1044" s="134"/>
      <c r="I1044" s="134"/>
      <c r="J1044" s="134"/>
      <c r="K1044" s="134"/>
      <c r="L1044" s="134"/>
      <c r="M1044" s="134"/>
      <c r="N1044" s="134"/>
      <c r="O1044" s="134"/>
      <c r="P1044" s="134"/>
      <c r="Q1044" s="134"/>
      <c r="R1044" s="134"/>
      <c r="S1044" s="134"/>
      <c r="T1044" s="134"/>
      <c r="U1044" s="134"/>
      <c r="V1044" s="134"/>
      <c r="W1044" s="134"/>
      <c r="X1044" s="134"/>
      <c r="Y1044" s="134"/>
      <c r="Z1044" s="134"/>
      <c r="AA1044" s="2"/>
      <c r="AB1044" s="2"/>
    </row>
    <row r="1045" spans="2:28" s="1" customFormat="1" hidden="1">
      <c r="B1045" s="2"/>
      <c r="C1045" s="133"/>
      <c r="D1045" s="134"/>
      <c r="E1045" s="134"/>
      <c r="F1045" s="134"/>
      <c r="G1045" s="134"/>
      <c r="H1045" s="134"/>
      <c r="I1045" s="134"/>
      <c r="J1045" s="134"/>
      <c r="K1045" s="134"/>
      <c r="L1045" s="134"/>
      <c r="M1045" s="134"/>
      <c r="N1045" s="134"/>
      <c r="O1045" s="134"/>
      <c r="P1045" s="134"/>
      <c r="Q1045" s="134"/>
      <c r="R1045" s="134"/>
      <c r="S1045" s="134"/>
      <c r="T1045" s="134"/>
      <c r="U1045" s="134"/>
      <c r="V1045" s="134"/>
      <c r="W1045" s="134"/>
      <c r="X1045" s="134"/>
      <c r="Y1045" s="134"/>
      <c r="Z1045" s="134"/>
      <c r="AA1045" s="2"/>
      <c r="AB1045" s="2"/>
    </row>
    <row r="1046" spans="2:28" s="1" customFormat="1" hidden="1">
      <c r="B1046" s="2"/>
      <c r="C1046" s="133"/>
      <c r="D1046" s="134"/>
      <c r="E1046" s="134"/>
      <c r="F1046" s="134"/>
      <c r="G1046" s="134"/>
      <c r="H1046" s="134"/>
      <c r="I1046" s="134"/>
      <c r="J1046" s="134"/>
      <c r="K1046" s="134"/>
      <c r="L1046" s="134"/>
      <c r="M1046" s="134"/>
      <c r="N1046" s="134"/>
      <c r="O1046" s="134"/>
      <c r="P1046" s="134"/>
      <c r="Q1046" s="134"/>
      <c r="R1046" s="134"/>
      <c r="S1046" s="134"/>
      <c r="T1046" s="134"/>
      <c r="U1046" s="134"/>
      <c r="V1046" s="134"/>
      <c r="W1046" s="134"/>
      <c r="X1046" s="134"/>
      <c r="Y1046" s="134"/>
      <c r="Z1046" s="134"/>
      <c r="AA1046" s="2"/>
      <c r="AB1046" s="2"/>
    </row>
    <row r="1047" spans="2:28" s="1" customFormat="1" hidden="1">
      <c r="B1047" s="2"/>
      <c r="C1047" s="133"/>
      <c r="D1047" s="134"/>
      <c r="E1047" s="134"/>
      <c r="F1047" s="134"/>
      <c r="G1047" s="134"/>
      <c r="H1047" s="134"/>
      <c r="I1047" s="134"/>
      <c r="J1047" s="134"/>
      <c r="K1047" s="134"/>
      <c r="L1047" s="134"/>
      <c r="M1047" s="134"/>
      <c r="N1047" s="134"/>
      <c r="O1047" s="134"/>
      <c r="P1047" s="134"/>
      <c r="Q1047" s="134"/>
      <c r="R1047" s="134"/>
      <c r="S1047" s="134"/>
      <c r="T1047" s="134"/>
      <c r="U1047" s="134"/>
      <c r="V1047" s="134"/>
      <c r="W1047" s="134"/>
      <c r="X1047" s="134"/>
      <c r="Y1047" s="134"/>
      <c r="Z1047" s="134"/>
      <c r="AA1047" s="2"/>
      <c r="AB1047" s="2"/>
    </row>
    <row r="1048" spans="2:28" s="1" customFormat="1" hidden="1">
      <c r="B1048" s="2"/>
      <c r="C1048" s="133"/>
      <c r="D1048" s="134"/>
      <c r="E1048" s="134"/>
      <c r="F1048" s="134"/>
      <c r="G1048" s="134"/>
      <c r="H1048" s="134"/>
      <c r="I1048" s="134"/>
      <c r="J1048" s="134"/>
      <c r="K1048" s="134"/>
      <c r="L1048" s="134"/>
      <c r="M1048" s="134"/>
      <c r="N1048" s="134"/>
      <c r="O1048" s="134"/>
      <c r="P1048" s="134"/>
      <c r="Q1048" s="134"/>
      <c r="R1048" s="134"/>
      <c r="S1048" s="134"/>
      <c r="T1048" s="134"/>
      <c r="U1048" s="134"/>
      <c r="V1048" s="134"/>
      <c r="W1048" s="134"/>
      <c r="X1048" s="134"/>
      <c r="Y1048" s="134"/>
      <c r="Z1048" s="134"/>
      <c r="AA1048" s="2"/>
      <c r="AB1048" s="2"/>
    </row>
    <row r="1049" spans="2:28" s="1" customFormat="1" hidden="1">
      <c r="B1049" s="2"/>
      <c r="C1049" s="133"/>
      <c r="D1049" s="134"/>
      <c r="E1049" s="134"/>
      <c r="F1049" s="134"/>
      <c r="G1049" s="134"/>
      <c r="H1049" s="134"/>
      <c r="I1049" s="134"/>
      <c r="J1049" s="134"/>
      <c r="K1049" s="134"/>
      <c r="L1049" s="134"/>
      <c r="M1049" s="134"/>
      <c r="N1049" s="134"/>
      <c r="O1049" s="134"/>
      <c r="P1049" s="134"/>
      <c r="Q1049" s="134"/>
      <c r="R1049" s="134"/>
      <c r="S1049" s="134"/>
      <c r="T1049" s="134"/>
      <c r="U1049" s="134"/>
      <c r="V1049" s="134"/>
      <c r="W1049" s="134"/>
      <c r="X1049" s="134"/>
      <c r="Y1049" s="134"/>
      <c r="Z1049" s="134"/>
      <c r="AA1049" s="2"/>
      <c r="AB1049" s="2"/>
    </row>
    <row r="1050" spans="2:28" s="1" customFormat="1" hidden="1">
      <c r="B1050" s="2"/>
      <c r="C1050" s="133"/>
      <c r="D1050" s="134"/>
      <c r="E1050" s="134"/>
      <c r="F1050" s="134"/>
      <c r="G1050" s="134"/>
      <c r="H1050" s="134"/>
      <c r="I1050" s="134"/>
      <c r="J1050" s="134"/>
      <c r="K1050" s="134"/>
      <c r="L1050" s="134"/>
      <c r="M1050" s="134"/>
      <c r="N1050" s="134"/>
      <c r="O1050" s="134"/>
      <c r="P1050" s="134"/>
      <c r="Q1050" s="134"/>
      <c r="R1050" s="134"/>
      <c r="S1050" s="134"/>
      <c r="T1050" s="134"/>
      <c r="U1050" s="134"/>
      <c r="V1050" s="134"/>
      <c r="W1050" s="134"/>
      <c r="X1050" s="134"/>
      <c r="Y1050" s="134"/>
      <c r="Z1050" s="134"/>
      <c r="AA1050" s="2"/>
      <c r="AB1050" s="2"/>
    </row>
    <row r="1051" spans="2:28" s="1" customFormat="1" hidden="1">
      <c r="B1051" s="2"/>
      <c r="C1051" s="133"/>
      <c r="D1051" s="134"/>
      <c r="E1051" s="134"/>
      <c r="F1051" s="134"/>
      <c r="G1051" s="134"/>
      <c r="H1051" s="134"/>
      <c r="I1051" s="134"/>
      <c r="J1051" s="134"/>
      <c r="K1051" s="134"/>
      <c r="L1051" s="134"/>
      <c r="M1051" s="134"/>
      <c r="N1051" s="134"/>
      <c r="O1051" s="134"/>
      <c r="P1051" s="134"/>
      <c r="Q1051" s="134"/>
      <c r="R1051" s="134"/>
      <c r="S1051" s="134"/>
      <c r="T1051" s="134"/>
      <c r="U1051" s="134"/>
      <c r="V1051" s="134"/>
      <c r="W1051" s="134"/>
      <c r="X1051" s="134"/>
      <c r="Y1051" s="134"/>
      <c r="Z1051" s="134"/>
      <c r="AA1051" s="2"/>
      <c r="AB1051" s="2"/>
    </row>
    <row r="1052" spans="2:28" s="1" customFormat="1" hidden="1">
      <c r="B1052" s="2"/>
      <c r="C1052" s="133"/>
      <c r="D1052" s="134"/>
      <c r="E1052" s="134"/>
      <c r="F1052" s="134"/>
      <c r="G1052" s="134"/>
      <c r="H1052" s="134"/>
      <c r="I1052" s="134"/>
      <c r="J1052" s="134"/>
      <c r="K1052" s="134"/>
      <c r="L1052" s="134"/>
      <c r="M1052" s="134"/>
      <c r="N1052" s="134"/>
      <c r="O1052" s="134"/>
      <c r="P1052" s="134"/>
      <c r="Q1052" s="134"/>
      <c r="R1052" s="134"/>
      <c r="S1052" s="134"/>
      <c r="T1052" s="134"/>
      <c r="U1052" s="134"/>
      <c r="V1052" s="134"/>
      <c r="W1052" s="134"/>
      <c r="X1052" s="134"/>
      <c r="Y1052" s="134"/>
      <c r="Z1052" s="134"/>
      <c r="AA1052" s="2"/>
      <c r="AB1052" s="2"/>
    </row>
    <row r="1053" spans="2:28" s="1" customFormat="1" hidden="1">
      <c r="B1053" s="2"/>
      <c r="C1053" s="133"/>
      <c r="D1053" s="134"/>
      <c r="E1053" s="134"/>
      <c r="F1053" s="134"/>
      <c r="G1053" s="134"/>
      <c r="H1053" s="134"/>
      <c r="I1053" s="134"/>
      <c r="J1053" s="134"/>
      <c r="K1053" s="134"/>
      <c r="L1053" s="134"/>
      <c r="M1053" s="134"/>
      <c r="N1053" s="134"/>
      <c r="O1053" s="134"/>
      <c r="P1053" s="134"/>
      <c r="Q1053" s="134"/>
      <c r="R1053" s="134"/>
      <c r="S1053" s="134"/>
      <c r="T1053" s="134"/>
      <c r="U1053" s="134"/>
      <c r="V1053" s="134"/>
      <c r="W1053" s="134"/>
      <c r="X1053" s="134"/>
      <c r="Y1053" s="134"/>
      <c r="Z1053" s="134"/>
      <c r="AA1053" s="2"/>
      <c r="AB1053" s="2"/>
    </row>
    <row r="1054" spans="2:28" s="1" customFormat="1" hidden="1">
      <c r="B1054" s="2"/>
      <c r="C1054" s="133"/>
      <c r="D1054" s="134"/>
      <c r="E1054" s="134"/>
      <c r="F1054" s="134"/>
      <c r="G1054" s="134"/>
      <c r="H1054" s="134"/>
      <c r="I1054" s="134"/>
      <c r="J1054" s="134"/>
      <c r="K1054" s="134"/>
      <c r="L1054" s="134"/>
      <c r="M1054" s="134"/>
      <c r="N1054" s="134"/>
      <c r="O1054" s="134"/>
      <c r="P1054" s="134"/>
      <c r="Q1054" s="134"/>
      <c r="R1054" s="134"/>
      <c r="S1054" s="134"/>
      <c r="T1054" s="134"/>
      <c r="U1054" s="134"/>
      <c r="V1054" s="134"/>
      <c r="W1054" s="134"/>
      <c r="X1054" s="134"/>
      <c r="Y1054" s="134"/>
      <c r="Z1054" s="134"/>
      <c r="AA1054" s="2"/>
      <c r="AB1054" s="2"/>
    </row>
    <row r="1055" spans="2:28" s="1" customFormat="1" hidden="1">
      <c r="B1055" s="2"/>
      <c r="C1055" s="133"/>
      <c r="D1055" s="134"/>
      <c r="E1055" s="134"/>
      <c r="F1055" s="134"/>
      <c r="G1055" s="134"/>
      <c r="H1055" s="134"/>
      <c r="I1055" s="134"/>
      <c r="J1055" s="134"/>
      <c r="K1055" s="134"/>
      <c r="L1055" s="134"/>
      <c r="M1055" s="134"/>
      <c r="N1055" s="134"/>
      <c r="O1055" s="134"/>
      <c r="P1055" s="134"/>
      <c r="Q1055" s="134"/>
      <c r="R1055" s="134"/>
      <c r="S1055" s="134"/>
      <c r="T1055" s="134"/>
      <c r="U1055" s="134"/>
      <c r="V1055" s="134"/>
      <c r="W1055" s="134"/>
      <c r="X1055" s="134"/>
      <c r="Y1055" s="134"/>
      <c r="Z1055" s="134"/>
      <c r="AA1055" s="2"/>
      <c r="AB1055" s="2"/>
    </row>
    <row r="1056" spans="2:28" s="1" customFormat="1" hidden="1">
      <c r="B1056" s="2"/>
      <c r="C1056" s="133"/>
      <c r="D1056" s="134"/>
      <c r="E1056" s="134"/>
      <c r="F1056" s="134"/>
      <c r="G1056" s="134"/>
      <c r="H1056" s="134"/>
      <c r="I1056" s="134"/>
      <c r="J1056" s="134"/>
      <c r="K1056" s="134"/>
      <c r="L1056" s="134"/>
      <c r="M1056" s="134"/>
      <c r="N1056" s="134"/>
      <c r="O1056" s="134"/>
      <c r="P1056" s="134"/>
      <c r="Q1056" s="134"/>
      <c r="R1056" s="134"/>
      <c r="S1056" s="134"/>
      <c r="T1056" s="134"/>
      <c r="U1056" s="134"/>
      <c r="V1056" s="134"/>
      <c r="W1056" s="134"/>
      <c r="X1056" s="134"/>
      <c r="Y1056" s="134"/>
      <c r="Z1056" s="134"/>
      <c r="AA1056" s="2"/>
      <c r="AB1056" s="2"/>
    </row>
    <row r="1057" spans="2:28" s="1" customFormat="1" hidden="1">
      <c r="B1057" s="2"/>
      <c r="C1057" s="133"/>
      <c r="D1057" s="134"/>
      <c r="E1057" s="134"/>
      <c r="F1057" s="134"/>
      <c r="G1057" s="134"/>
      <c r="H1057" s="134"/>
      <c r="I1057" s="134"/>
      <c r="J1057" s="134"/>
      <c r="K1057" s="134"/>
      <c r="L1057" s="134"/>
      <c r="M1057" s="134"/>
      <c r="N1057" s="134"/>
      <c r="O1057" s="134"/>
      <c r="P1057" s="134"/>
      <c r="Q1057" s="134"/>
      <c r="R1057" s="134"/>
      <c r="S1057" s="134"/>
      <c r="T1057" s="134"/>
      <c r="U1057" s="134"/>
      <c r="V1057" s="134"/>
      <c r="W1057" s="134"/>
      <c r="X1057" s="134"/>
      <c r="Y1057" s="134"/>
      <c r="Z1057" s="134"/>
      <c r="AA1057" s="2"/>
      <c r="AB1057" s="2"/>
    </row>
    <row r="1058" spans="2:28" s="1" customFormat="1" hidden="1">
      <c r="B1058" s="2"/>
      <c r="C1058" s="133"/>
      <c r="D1058" s="134"/>
      <c r="E1058" s="134"/>
      <c r="F1058" s="134"/>
      <c r="G1058" s="134"/>
      <c r="H1058" s="134"/>
      <c r="I1058" s="134"/>
      <c r="J1058" s="134"/>
      <c r="K1058" s="134"/>
      <c r="L1058" s="134"/>
      <c r="M1058" s="134"/>
      <c r="N1058" s="134"/>
      <c r="O1058" s="134"/>
      <c r="P1058" s="134"/>
      <c r="Q1058" s="134"/>
      <c r="R1058" s="134"/>
      <c r="S1058" s="134"/>
      <c r="T1058" s="134"/>
      <c r="U1058" s="134"/>
      <c r="V1058" s="134"/>
      <c r="W1058" s="134"/>
      <c r="X1058" s="134"/>
      <c r="Y1058" s="134"/>
      <c r="Z1058" s="134"/>
      <c r="AA1058" s="2"/>
      <c r="AB1058" s="2"/>
    </row>
    <row r="1059" spans="2:28" hidden="1">
      <c r="C1059" s="142"/>
      <c r="D1059" s="143"/>
      <c r="E1059" s="143"/>
      <c r="F1059" s="143"/>
      <c r="G1059" s="143"/>
      <c r="H1059" s="143"/>
      <c r="I1059" s="143"/>
      <c r="J1059" s="143"/>
      <c r="K1059" s="143"/>
      <c r="L1059" s="143"/>
      <c r="M1059" s="143"/>
      <c r="N1059" s="143"/>
      <c r="O1059" s="143"/>
      <c r="P1059" s="143"/>
      <c r="Q1059" s="143"/>
      <c r="R1059" s="143"/>
      <c r="S1059" s="143"/>
      <c r="T1059" s="143"/>
      <c r="U1059" s="143"/>
      <c r="V1059" s="143"/>
      <c r="W1059" s="143"/>
      <c r="X1059" s="143"/>
      <c r="Y1059" s="143"/>
      <c r="Z1059" s="143"/>
    </row>
    <row r="1060" spans="2:28" hidden="1">
      <c r="C1060" s="142"/>
      <c r="D1060" s="143"/>
      <c r="E1060" s="143"/>
      <c r="F1060" s="143"/>
      <c r="G1060" s="143"/>
      <c r="H1060" s="143"/>
      <c r="I1060" s="143"/>
      <c r="J1060" s="143"/>
      <c r="K1060" s="143"/>
      <c r="L1060" s="143"/>
      <c r="M1060" s="143"/>
      <c r="N1060" s="143"/>
      <c r="O1060" s="143"/>
      <c r="P1060" s="143"/>
      <c r="Q1060" s="143"/>
      <c r="R1060" s="143"/>
      <c r="S1060" s="143"/>
      <c r="T1060" s="143"/>
      <c r="U1060" s="143"/>
      <c r="V1060" s="143"/>
      <c r="W1060" s="143"/>
      <c r="X1060" s="143"/>
      <c r="Y1060" s="143"/>
      <c r="Z1060" s="143"/>
    </row>
    <row r="1061" spans="2:28" hidden="1">
      <c r="C1061" s="142"/>
      <c r="D1061" s="143"/>
      <c r="E1061" s="143"/>
      <c r="F1061" s="143"/>
      <c r="G1061" s="143"/>
      <c r="H1061" s="143"/>
      <c r="I1061" s="143"/>
      <c r="J1061" s="143"/>
      <c r="K1061" s="143"/>
      <c r="L1061" s="143"/>
      <c r="M1061" s="143"/>
      <c r="N1061" s="143"/>
      <c r="O1061" s="143"/>
      <c r="P1061" s="143"/>
      <c r="Q1061" s="143"/>
      <c r="R1061" s="143"/>
      <c r="S1061" s="143"/>
      <c r="T1061" s="143"/>
      <c r="U1061" s="143"/>
      <c r="V1061" s="143"/>
      <c r="W1061" s="143"/>
      <c r="X1061" s="143"/>
      <c r="Y1061" s="143"/>
      <c r="Z1061" s="143"/>
    </row>
    <row r="1062" spans="2:28" hidden="1">
      <c r="C1062" s="142"/>
      <c r="D1062" s="143"/>
      <c r="E1062" s="143"/>
      <c r="F1062" s="143"/>
      <c r="G1062" s="143"/>
      <c r="H1062" s="143"/>
      <c r="I1062" s="143"/>
      <c r="J1062" s="143"/>
      <c r="K1062" s="143"/>
      <c r="L1062" s="143"/>
      <c r="M1062" s="143"/>
      <c r="N1062" s="143"/>
      <c r="O1062" s="143"/>
      <c r="P1062" s="143"/>
      <c r="Q1062" s="143"/>
      <c r="R1062" s="143"/>
      <c r="S1062" s="143"/>
      <c r="T1062" s="143"/>
      <c r="U1062" s="143"/>
      <c r="V1062" s="143"/>
      <c r="W1062" s="143"/>
      <c r="X1062" s="143"/>
      <c r="Y1062" s="143"/>
      <c r="Z1062" s="143"/>
    </row>
    <row r="1063" spans="2:28" hidden="1">
      <c r="C1063" s="142"/>
      <c r="D1063" s="143"/>
      <c r="E1063" s="143"/>
      <c r="F1063" s="143"/>
      <c r="G1063" s="143"/>
      <c r="H1063" s="143"/>
      <c r="I1063" s="143"/>
      <c r="J1063" s="143"/>
      <c r="K1063" s="143"/>
      <c r="L1063" s="143"/>
      <c r="M1063" s="143"/>
      <c r="N1063" s="143"/>
      <c r="O1063" s="143"/>
      <c r="P1063" s="143"/>
      <c r="Q1063" s="143"/>
      <c r="R1063" s="143"/>
      <c r="S1063" s="143"/>
      <c r="T1063" s="143"/>
      <c r="U1063" s="143"/>
      <c r="V1063" s="143"/>
      <c r="W1063" s="143"/>
      <c r="X1063" s="143"/>
      <c r="Y1063" s="143"/>
      <c r="Z1063" s="143"/>
    </row>
    <row r="1064" spans="2:28" hidden="1">
      <c r="C1064" s="142"/>
      <c r="D1064" s="143"/>
      <c r="E1064" s="143"/>
      <c r="F1064" s="143"/>
      <c r="G1064" s="143"/>
      <c r="H1064" s="143"/>
      <c r="I1064" s="143"/>
      <c r="J1064" s="143"/>
      <c r="K1064" s="143"/>
      <c r="L1064" s="143"/>
      <c r="M1064" s="143"/>
      <c r="N1064" s="143"/>
      <c r="O1064" s="143"/>
      <c r="P1064" s="143"/>
      <c r="Q1064" s="143"/>
      <c r="R1064" s="143"/>
      <c r="S1064" s="143"/>
      <c r="T1064" s="143"/>
      <c r="U1064" s="143"/>
      <c r="V1064" s="143"/>
      <c r="W1064" s="143"/>
      <c r="X1064" s="143"/>
      <c r="Y1064" s="143"/>
      <c r="Z1064" s="143"/>
    </row>
    <row r="1065" spans="2:28" hidden="1">
      <c r="C1065" s="142"/>
      <c r="D1065" s="143"/>
      <c r="E1065" s="143"/>
      <c r="F1065" s="143"/>
      <c r="G1065" s="143"/>
      <c r="H1065" s="143"/>
      <c r="I1065" s="143"/>
      <c r="J1065" s="143"/>
      <c r="K1065" s="143"/>
      <c r="L1065" s="143"/>
      <c r="M1065" s="143"/>
      <c r="N1065" s="143"/>
      <c r="O1065" s="143"/>
      <c r="P1065" s="143"/>
      <c r="Q1065" s="143"/>
      <c r="R1065" s="143"/>
      <c r="S1065" s="143"/>
      <c r="T1065" s="143"/>
      <c r="U1065" s="143"/>
      <c r="V1065" s="143"/>
      <c r="W1065" s="143"/>
      <c r="X1065" s="143"/>
      <c r="Y1065" s="143"/>
      <c r="Z1065" s="143"/>
    </row>
    <row r="1066" spans="2:28" hidden="1">
      <c r="C1066" s="142"/>
      <c r="D1066" s="143"/>
      <c r="E1066" s="143"/>
      <c r="F1066" s="143"/>
      <c r="G1066" s="143"/>
      <c r="H1066" s="143"/>
      <c r="I1066" s="143"/>
      <c r="J1066" s="143"/>
      <c r="K1066" s="143"/>
      <c r="L1066" s="143"/>
      <c r="M1066" s="143"/>
      <c r="N1066" s="143"/>
      <c r="O1066" s="143"/>
      <c r="P1066" s="143"/>
      <c r="Q1066" s="143"/>
      <c r="R1066" s="143"/>
      <c r="S1066" s="143"/>
      <c r="T1066" s="143"/>
      <c r="U1066" s="143"/>
      <c r="V1066" s="143"/>
      <c r="W1066" s="143"/>
      <c r="X1066" s="143"/>
      <c r="Y1066" s="143"/>
      <c r="Z1066" s="143"/>
    </row>
  </sheetData>
  <sheetProtection password="C1FB" sheet="1" objects="1" scenarios="1" formatCells="0" formatColumns="0" formatRows="0"/>
  <protectedRanges>
    <protectedRange sqref="AA6:AB11 AA26:AB27 AA15:AB22 AA12:AA14" name="Range4"/>
    <protectedRange sqref="C6:C26" name="Range1"/>
    <protectedRange sqref="D6:I6 L6 E23:F27 K23:K27 D7:L22" name="Range2"/>
    <protectedRange sqref="N20:P20 W19:X22 K6 N21:O21 V19:V27 N19:O19 R19:U22 N6:X7 N8:P18 N22:P22 Q8:Q27 R8:X18" name="Range3"/>
    <protectedRange sqref="C23:C27" name="Range5"/>
    <protectedRange sqref="G23:J27 L23:L27 D23:D27" name="Range6"/>
    <protectedRange sqref="W23:X27 N23:P27 R23:U27" name="Range7"/>
  </protectedRanges>
  <mergeCells count="24">
    <mergeCell ref="B2:D2"/>
    <mergeCell ref="I5:I6"/>
    <mergeCell ref="J3:K3"/>
    <mergeCell ref="E1:H1"/>
    <mergeCell ref="B1:D1"/>
    <mergeCell ref="E2:F2"/>
    <mergeCell ref="B3:D3"/>
    <mergeCell ref="G3:I3"/>
    <mergeCell ref="C5:C6"/>
    <mergeCell ref="E3:F3"/>
    <mergeCell ref="K5:K6"/>
    <mergeCell ref="B5:B6"/>
    <mergeCell ref="E5:E6"/>
    <mergeCell ref="F5:F6"/>
    <mergeCell ref="D5:D6"/>
    <mergeCell ref="L3:T3"/>
    <mergeCell ref="AD4:AI6"/>
    <mergeCell ref="AB5:AB6"/>
    <mergeCell ref="AA5:AA6"/>
    <mergeCell ref="Z5:Z6"/>
    <mergeCell ref="Y5:Y6"/>
    <mergeCell ref="Q5:Q6"/>
    <mergeCell ref="P5:P6"/>
    <mergeCell ref="M5:M6"/>
  </mergeCells>
  <conditionalFormatting sqref="D7:D18">
    <cfRule type="cellIs" dxfId="0" priority="20" operator="greaterThan">
      <formula>$D$14</formula>
    </cfRule>
  </conditionalFormatting>
  <dataValidations count="3">
    <dataValidation type="list" allowBlank="1" showInputMessage="1" showErrorMessage="1" prompt="Sellect Month" sqref="E3">
      <formula1>$AK$12:$AK$24</formula1>
    </dataValidation>
    <dataValidation type="list" allowBlank="1" showInputMessage="1" showErrorMessage="1" prompt="Sellect Month" sqref="J3">
      <formula1>$AK$12:$AK$24</formula1>
    </dataValidation>
    <dataValidation type="list" allowBlank="1" showInputMessage="1" showErrorMessage="1" sqref="C882:C883">
      <formula1>$C$887:$C$898</formula1>
    </dataValidation>
  </dataValidations>
  <pageMargins left="0.7" right="0.7" top="0.75" bottom="0.75" header="0.3" footer="0.3"/>
  <pageSetup paperSize="5" fitToWidth="0" fitToHeight="0" orientation="landscape"/>
  <drawing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0000"/>
  </sheetPr>
  <dimension ref="A1:IV1077"/>
  <sheetViews>
    <sheetView zoomScale="90" workbookViewId="0">
      <selection activeCell="G9" sqref="G9"/>
    </sheetView>
  </sheetViews>
  <sheetFormatPr defaultColWidth="0" defaultRowHeight="15" zeroHeight="1"/>
  <cols>
    <col min="1" max="1" width="16.7109375" customWidth="1"/>
    <col min="2" max="2" width="9.140625" customWidth="1"/>
    <col min="3" max="4" width="9.140625" hidden="1" customWidth="1"/>
    <col min="5" max="5" width="51" style="144" customWidth="1"/>
    <col min="6" max="6" width="12.42578125" style="144" customWidth="1"/>
    <col min="7" max="7" width="21.85546875" customWidth="1"/>
    <col min="8" max="8" width="87.28515625" customWidth="1"/>
    <col min="9" max="9" width="14.42578125" style="145" customWidth="1"/>
    <col min="10" max="10" width="22.42578125" customWidth="1"/>
    <col min="11" max="11" width="9.140625" customWidth="1"/>
    <col min="12" max="256" width="9.140625" hidden="1"/>
    <col min="257" max="16384" width="9" hidden="1"/>
  </cols>
  <sheetData>
    <row r="1" spans="1:41" ht="7.5" customHeight="1">
      <c r="A1" s="146"/>
      <c r="B1" s="146"/>
      <c r="C1" s="146"/>
      <c r="D1" s="146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6"/>
      <c r="AB1" s="146"/>
      <c r="AC1" s="146"/>
      <c r="AD1" s="146"/>
      <c r="AE1" s="146"/>
      <c r="AF1" s="146"/>
      <c r="AG1" s="146"/>
      <c r="AH1" s="144"/>
      <c r="AI1" s="144"/>
    </row>
    <row r="2" spans="1:41" ht="24.95" customHeight="1">
      <c r="A2" s="146"/>
      <c r="B2" s="146"/>
      <c r="C2" s="146"/>
      <c r="D2" s="146"/>
      <c r="E2" s="361" t="s">
        <v>21</v>
      </c>
      <c r="F2" s="361"/>
      <c r="G2" s="361"/>
      <c r="H2" s="361"/>
      <c r="I2" s="361"/>
      <c r="J2" s="361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6"/>
      <c r="AE2" s="146"/>
      <c r="AF2" s="146"/>
      <c r="AG2" s="146"/>
      <c r="AH2" s="144"/>
      <c r="AI2" s="144"/>
    </row>
    <row r="3" spans="1:41" ht="21" customHeight="1">
      <c r="A3" s="146"/>
      <c r="B3" s="146"/>
      <c r="C3" s="146"/>
      <c r="D3" s="146"/>
      <c r="E3" s="346" t="s">
        <v>174</v>
      </c>
      <c r="F3" s="346"/>
      <c r="G3" s="346"/>
      <c r="H3" s="346"/>
      <c r="I3" s="346"/>
      <c r="J3" s="346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6"/>
      <c r="AE3" s="146"/>
      <c r="AF3" s="146"/>
      <c r="AG3" s="146"/>
      <c r="AH3" s="148"/>
      <c r="AI3" s="144"/>
      <c r="AO3" s="145" t="s">
        <v>109</v>
      </c>
    </row>
    <row r="4" spans="1:41" ht="22.5" customHeight="1">
      <c r="A4" s="146"/>
      <c r="B4" s="146"/>
      <c r="C4" s="146"/>
      <c r="D4" s="146"/>
      <c r="E4" s="346"/>
      <c r="F4" s="346"/>
      <c r="G4" s="346"/>
      <c r="H4" s="346"/>
      <c r="I4" s="346"/>
      <c r="J4" s="346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47"/>
      <c r="AC4" s="147"/>
      <c r="AD4" s="146"/>
      <c r="AE4" s="146"/>
      <c r="AF4" s="146"/>
      <c r="AG4" s="146"/>
      <c r="AH4" s="148"/>
      <c r="AI4" s="144"/>
      <c r="AO4" s="145" t="s">
        <v>71</v>
      </c>
    </row>
    <row r="5" spans="1:41" ht="42" customHeight="1">
      <c r="A5" s="146"/>
      <c r="B5" s="146"/>
      <c r="C5" s="146"/>
      <c r="D5" s="146"/>
      <c r="E5" s="149" t="s">
        <v>175</v>
      </c>
      <c r="F5" s="469" t="s">
        <v>71</v>
      </c>
      <c r="G5" s="151" t="str">
        <f>IF(AND(F5=""),"0",IF(AND(F5=AO4),"0",G32))</f>
        <v>0</v>
      </c>
      <c r="H5" s="347" t="s">
        <v>192</v>
      </c>
      <c r="I5" s="348"/>
      <c r="J5" s="152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47"/>
      <c r="AC5" s="147"/>
      <c r="AD5" s="146"/>
      <c r="AE5" s="146"/>
      <c r="AF5" s="146"/>
      <c r="AG5" s="146"/>
      <c r="AH5" s="144"/>
      <c r="AI5" s="144"/>
    </row>
    <row r="6" spans="1:41" ht="21" customHeight="1">
      <c r="A6" s="146"/>
      <c r="B6" s="146"/>
      <c r="C6" s="146"/>
      <c r="D6" s="146"/>
      <c r="E6" s="358" t="s">
        <v>176</v>
      </c>
      <c r="F6" s="359"/>
      <c r="G6" s="152"/>
      <c r="H6" s="349" t="s">
        <v>193</v>
      </c>
      <c r="I6" s="350"/>
      <c r="J6" s="152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7"/>
      <c r="AC6" s="147"/>
      <c r="AD6" s="146"/>
      <c r="AE6" s="146"/>
      <c r="AF6" s="146"/>
      <c r="AG6" s="146"/>
      <c r="AH6" s="144"/>
      <c r="AI6" s="144"/>
    </row>
    <row r="7" spans="1:41" ht="21" customHeight="1">
      <c r="A7" s="146"/>
      <c r="B7" s="146"/>
      <c r="C7" s="146"/>
      <c r="D7" s="146"/>
      <c r="E7" s="355" t="s">
        <v>177</v>
      </c>
      <c r="F7" s="356"/>
      <c r="G7" s="152"/>
      <c r="H7" s="347" t="s">
        <v>194</v>
      </c>
      <c r="I7" s="348"/>
      <c r="J7" s="152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6"/>
      <c r="AE7" s="146"/>
      <c r="AF7" s="146"/>
      <c r="AG7" s="146"/>
      <c r="AH7" s="144"/>
      <c r="AI7" s="144"/>
    </row>
    <row r="8" spans="1:41" ht="21" customHeight="1">
      <c r="A8" s="146"/>
      <c r="B8" s="146"/>
      <c r="C8" s="146"/>
      <c r="D8" s="146"/>
      <c r="E8" s="368" t="s">
        <v>178</v>
      </c>
      <c r="F8" s="369"/>
      <c r="G8" s="152"/>
      <c r="H8" s="372" t="s">
        <v>195</v>
      </c>
      <c r="I8" s="373"/>
      <c r="J8" s="152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6"/>
      <c r="AE8" s="146"/>
      <c r="AF8" s="146"/>
      <c r="AG8" s="146"/>
      <c r="AH8" s="144"/>
      <c r="AI8" s="144"/>
    </row>
    <row r="9" spans="1:41" ht="22.5" customHeight="1">
      <c r="A9" s="146"/>
      <c r="B9" s="146"/>
      <c r="C9" s="146"/>
      <c r="D9" s="146"/>
      <c r="E9" s="355" t="s">
        <v>179</v>
      </c>
      <c r="F9" s="356"/>
      <c r="G9" s="152"/>
      <c r="H9" s="347" t="s">
        <v>196</v>
      </c>
      <c r="I9" s="348"/>
      <c r="J9" s="152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6"/>
      <c r="AE9" s="146"/>
      <c r="AF9" s="146"/>
      <c r="AG9" s="146"/>
      <c r="AH9" s="144"/>
      <c r="AI9" s="144"/>
    </row>
    <row r="10" spans="1:41" ht="21" customHeight="1">
      <c r="A10" s="146"/>
      <c r="B10" s="146"/>
      <c r="C10" s="146"/>
      <c r="D10" s="146"/>
      <c r="E10" s="365" t="s">
        <v>180</v>
      </c>
      <c r="F10" s="366"/>
      <c r="G10" s="152"/>
      <c r="H10" s="349" t="s">
        <v>197</v>
      </c>
      <c r="I10" s="350"/>
      <c r="J10" s="152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6"/>
      <c r="AE10" s="146"/>
      <c r="AF10" s="146"/>
      <c r="AG10" s="146"/>
      <c r="AH10" s="144"/>
      <c r="AI10" s="144"/>
    </row>
    <row r="11" spans="1:41" ht="21" customHeight="1">
      <c r="A11" s="146"/>
      <c r="B11" s="146"/>
      <c r="C11" s="146"/>
      <c r="D11" s="146"/>
      <c r="E11" s="378" t="s">
        <v>181</v>
      </c>
      <c r="F11" s="379"/>
      <c r="G11" s="152"/>
      <c r="H11" s="347" t="s">
        <v>198</v>
      </c>
      <c r="I11" s="348"/>
      <c r="J11" s="152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6"/>
      <c r="AE11" s="146"/>
      <c r="AF11" s="146"/>
      <c r="AG11" s="146"/>
      <c r="AH11" s="144"/>
      <c r="AI11" s="144"/>
    </row>
    <row r="12" spans="1:41" ht="21" customHeight="1">
      <c r="A12" s="146"/>
      <c r="B12" s="146"/>
      <c r="C12" s="146"/>
      <c r="D12" s="146"/>
      <c r="E12" s="376" t="s">
        <v>182</v>
      </c>
      <c r="F12" s="377"/>
      <c r="G12" s="152"/>
      <c r="H12" s="349" t="s">
        <v>199</v>
      </c>
      <c r="I12" s="350"/>
      <c r="J12" s="152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6"/>
      <c r="AE12" s="146"/>
      <c r="AF12" s="146"/>
      <c r="AG12" s="146"/>
      <c r="AH12" s="144"/>
      <c r="AI12" s="144"/>
    </row>
    <row r="13" spans="1:41" ht="21" customHeight="1">
      <c r="A13" s="146"/>
      <c r="B13" s="146"/>
      <c r="C13" s="146"/>
      <c r="D13" s="146"/>
      <c r="E13" s="153" t="s">
        <v>183</v>
      </c>
      <c r="F13" s="153"/>
      <c r="G13" s="152"/>
      <c r="H13" s="347" t="s">
        <v>200</v>
      </c>
      <c r="I13" s="348"/>
      <c r="J13" s="152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6"/>
      <c r="AE13" s="146"/>
      <c r="AF13" s="146"/>
      <c r="AG13" s="146"/>
      <c r="AH13" s="144"/>
      <c r="AI13" s="144"/>
    </row>
    <row r="14" spans="1:41" ht="21" customHeight="1">
      <c r="A14" s="146"/>
      <c r="B14" s="146"/>
      <c r="C14" s="146"/>
      <c r="D14" s="146"/>
      <c r="E14" s="154" t="s">
        <v>184</v>
      </c>
      <c r="F14" s="154"/>
      <c r="G14" s="152"/>
      <c r="H14" s="349" t="s">
        <v>201</v>
      </c>
      <c r="I14" s="350"/>
      <c r="J14" s="152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6"/>
      <c r="AE14" s="146"/>
      <c r="AF14" s="146"/>
      <c r="AG14" s="146"/>
      <c r="AH14" s="144"/>
      <c r="AI14" s="144"/>
    </row>
    <row r="15" spans="1:41" ht="21" customHeight="1">
      <c r="A15" s="146"/>
      <c r="B15" s="146"/>
      <c r="C15" s="146"/>
      <c r="D15" s="146"/>
      <c r="E15" s="153" t="s">
        <v>185</v>
      </c>
      <c r="F15" s="153"/>
      <c r="G15" s="152"/>
      <c r="H15" s="347" t="s">
        <v>202</v>
      </c>
      <c r="I15" s="348"/>
      <c r="J15" s="152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6"/>
      <c r="AE15" s="146"/>
      <c r="AF15" s="146"/>
      <c r="AG15" s="146"/>
      <c r="AH15" s="144"/>
      <c r="AI15" s="144"/>
    </row>
    <row r="16" spans="1:41" ht="21" customHeight="1">
      <c r="A16" s="146"/>
      <c r="B16" s="146"/>
      <c r="C16" s="146"/>
      <c r="D16" s="146"/>
      <c r="E16" s="154" t="s">
        <v>186</v>
      </c>
      <c r="F16" s="154"/>
      <c r="G16" s="152"/>
      <c r="H16" s="466" t="s">
        <v>203</v>
      </c>
      <c r="I16" s="467"/>
      <c r="J16" s="152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6"/>
      <c r="AE16" s="146"/>
      <c r="AF16" s="146"/>
      <c r="AG16" s="146"/>
      <c r="AH16" s="144"/>
      <c r="AI16" s="144"/>
    </row>
    <row r="17" spans="1:35" ht="21" customHeight="1">
      <c r="A17" s="146"/>
      <c r="B17" s="146"/>
      <c r="C17" s="146"/>
      <c r="D17" s="146"/>
      <c r="E17" s="153" t="s">
        <v>187</v>
      </c>
      <c r="F17" s="153"/>
      <c r="G17" s="152"/>
      <c r="H17" s="468" t="s">
        <v>204</v>
      </c>
      <c r="I17" s="150" t="s">
        <v>71</v>
      </c>
      <c r="J17" s="152" t="str">
        <f>IF(AND(I17=""),"0",IF(AND(I17=AO4),"0",#REF!))</f>
        <v>0</v>
      </c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6"/>
      <c r="AE17" s="146"/>
      <c r="AF17" s="146"/>
      <c r="AG17" s="146"/>
      <c r="AH17" s="144"/>
      <c r="AI17" s="144"/>
    </row>
    <row r="18" spans="1:35" ht="21" customHeight="1">
      <c r="A18" s="146"/>
      <c r="B18" s="146"/>
      <c r="C18" s="146"/>
      <c r="D18" s="146"/>
      <c r="E18" s="154" t="s">
        <v>188</v>
      </c>
      <c r="F18" s="154"/>
      <c r="G18" s="152"/>
      <c r="H18" s="349" t="s">
        <v>205</v>
      </c>
      <c r="I18" s="350"/>
      <c r="J18" s="152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6"/>
      <c r="AE18" s="146"/>
      <c r="AF18" s="146"/>
      <c r="AG18" s="146"/>
      <c r="AH18" s="144"/>
      <c r="AI18" s="144"/>
    </row>
    <row r="19" spans="1:35" ht="18.75">
      <c r="A19" s="146"/>
      <c r="B19" s="146"/>
      <c r="C19" s="146"/>
      <c r="D19" s="146"/>
      <c r="E19" s="153" t="s">
        <v>189</v>
      </c>
      <c r="F19" s="153"/>
      <c r="G19" s="152"/>
      <c r="H19" s="347" t="s">
        <v>206</v>
      </c>
      <c r="I19" s="348"/>
      <c r="J19" s="152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  <c r="AD19" s="146"/>
      <c r="AE19" s="146"/>
      <c r="AF19" s="146"/>
      <c r="AG19" s="146"/>
      <c r="AH19" s="144"/>
      <c r="AI19" s="144"/>
    </row>
    <row r="20" spans="1:35" ht="18.75">
      <c r="A20" s="146"/>
      <c r="B20" s="146"/>
      <c r="C20" s="146"/>
      <c r="D20" s="146"/>
      <c r="E20" s="154" t="s">
        <v>190</v>
      </c>
      <c r="F20" s="154"/>
      <c r="G20" s="152"/>
      <c r="H20" s="349" t="s">
        <v>207</v>
      </c>
      <c r="I20" s="350"/>
      <c r="J20" s="155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7"/>
      <c r="AD20" s="146"/>
      <c r="AE20" s="146"/>
      <c r="AF20" s="146"/>
      <c r="AG20" s="146"/>
      <c r="AH20" s="144"/>
      <c r="AI20" s="144"/>
    </row>
    <row r="21" spans="1:35" ht="36" customHeight="1">
      <c r="A21" s="147"/>
      <c r="B21" s="147"/>
      <c r="C21" s="147"/>
      <c r="D21" s="147"/>
      <c r="E21" s="156" t="s">
        <v>191</v>
      </c>
      <c r="F21" s="156"/>
      <c r="G21" s="152"/>
      <c r="H21" s="374" t="s">
        <v>358</v>
      </c>
      <c r="I21" s="375"/>
      <c r="J21" s="15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  <c r="AF21" s="147"/>
      <c r="AG21" s="147"/>
      <c r="AH21" s="158"/>
      <c r="AI21" s="158"/>
    </row>
    <row r="22" spans="1:35" s="145" customFormat="1">
      <c r="A22" s="147"/>
      <c r="B22" s="147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58"/>
      <c r="AI22" s="158"/>
    </row>
    <row r="23" spans="1:35" ht="24" customHeight="1">
      <c r="A23" s="147"/>
      <c r="B23" s="147"/>
      <c r="C23" s="147"/>
      <c r="D23" s="147"/>
      <c r="E23" s="147"/>
      <c r="F23" s="147"/>
      <c r="G23" s="159" t="s">
        <v>100</v>
      </c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147"/>
      <c r="AG23" s="147"/>
      <c r="AH23" s="158"/>
      <c r="AI23" s="158"/>
    </row>
    <row r="24" spans="1:35" ht="19.5" customHeight="1">
      <c r="A24" s="160"/>
      <c r="B24" s="160"/>
      <c r="C24" s="160"/>
      <c r="D24" s="160"/>
      <c r="E24" s="160"/>
      <c r="F24" s="160"/>
      <c r="G24" s="160"/>
      <c r="H24" s="160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7"/>
      <c r="AG24" s="147"/>
      <c r="AH24" s="158"/>
      <c r="AI24" s="158"/>
    </row>
    <row r="25" spans="1:35" ht="34.5" customHeight="1">
      <c r="A25" s="351" t="s">
        <v>208</v>
      </c>
      <c r="B25" s="352"/>
      <c r="C25" s="352"/>
      <c r="D25" s="352"/>
      <c r="E25" s="352"/>
      <c r="F25" s="352"/>
      <c r="G25" s="352"/>
      <c r="H25" s="353"/>
      <c r="I25" s="161"/>
      <c r="J25" s="162"/>
      <c r="K25" s="162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147"/>
      <c r="AE25" s="147"/>
      <c r="AF25" s="147"/>
      <c r="AG25" s="147"/>
      <c r="AH25" s="158"/>
      <c r="AI25" s="158"/>
    </row>
    <row r="26" spans="1:35" ht="21" customHeight="1">
      <c r="A26" s="163" t="s">
        <v>87</v>
      </c>
      <c r="B26" s="164" t="s">
        <v>88</v>
      </c>
      <c r="C26" s="165" t="s">
        <v>89</v>
      </c>
      <c r="D26" s="165" t="s">
        <v>2</v>
      </c>
      <c r="E26" s="166" t="s">
        <v>99</v>
      </c>
      <c r="F26" s="166"/>
      <c r="G26" s="167"/>
      <c r="H26" s="168"/>
      <c r="I26" s="167"/>
      <c r="J26" s="167"/>
      <c r="K26" s="165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7"/>
      <c r="AE26" s="147"/>
      <c r="AF26" s="147"/>
      <c r="AG26" s="147"/>
      <c r="AH26" s="158"/>
      <c r="AI26" s="158"/>
    </row>
    <row r="27" spans="1:35" ht="21" customHeight="1">
      <c r="A27" s="169" t="s">
        <v>130</v>
      </c>
      <c r="B27" s="170" t="s">
        <v>90</v>
      </c>
      <c r="C27" s="165">
        <f>IF(B27="Y",'GA55 Summry'!C6+IF(AND(Bills!D7=Bills!H$3),ROUND(142%*Bills!D7,0),ROUND(7%*Bills!D7,0)))</f>
        <v>51253</v>
      </c>
      <c r="D27" s="165">
        <f>IF(B27="Y",'GA55 Summry'!E6,"0")</f>
        <v>3832</v>
      </c>
      <c r="E27" s="167"/>
      <c r="F27" s="167"/>
      <c r="G27" s="167"/>
      <c r="H27" s="168"/>
      <c r="I27" s="167"/>
      <c r="J27" s="167"/>
      <c r="K27" s="165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58"/>
      <c r="AI27" s="158"/>
    </row>
    <row r="28" spans="1:35" ht="21" customHeight="1">
      <c r="A28" s="169" t="s">
        <v>131</v>
      </c>
      <c r="B28" s="170" t="s">
        <v>90</v>
      </c>
      <c r="C28" s="165">
        <f>IF(B28="Y",'GA55 Summry'!C7+IF(AND(Bills!D8=Bills!H$3),ROUND(142%*Bills!D8,0),ROUND(7%*Bills!D8,0)))</f>
        <v>51253</v>
      </c>
      <c r="D28" s="165">
        <f>IF(B28="Y",'GA55 Summry'!E7,"0")</f>
        <v>3832</v>
      </c>
      <c r="E28" s="371" t="s">
        <v>91</v>
      </c>
      <c r="F28" s="371"/>
      <c r="G28" s="371"/>
      <c r="H28" s="171"/>
      <c r="I28" s="172"/>
      <c r="J28" s="172"/>
      <c r="K28" s="165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58"/>
      <c r="AI28" s="158"/>
    </row>
    <row r="29" spans="1:35" ht="21" customHeight="1">
      <c r="A29" s="169" t="s">
        <v>132</v>
      </c>
      <c r="B29" s="170" t="s">
        <v>90</v>
      </c>
      <c r="C29" s="165">
        <f>IF(B29="Y",'GA55 Summry'!C8+IF(AND(Bills!D9=Bills!H$3),ROUND(142%*Bills!D9,0),ROUND(7%*Bills!D9,0)))</f>
        <v>51253</v>
      </c>
      <c r="D29" s="165">
        <f>IF(B29="Y",'GA55 Summry'!E8,"0")</f>
        <v>3832</v>
      </c>
      <c r="E29" s="172"/>
      <c r="F29" s="172"/>
      <c r="G29" s="172"/>
      <c r="H29" s="173" t="s">
        <v>101</v>
      </c>
      <c r="I29" s="174"/>
      <c r="J29" s="172"/>
      <c r="K29" s="165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58"/>
      <c r="AI29" s="158"/>
    </row>
    <row r="30" spans="1:35" ht="21" customHeight="1">
      <c r="A30" s="169" t="s">
        <v>133</v>
      </c>
      <c r="B30" s="170" t="s">
        <v>90</v>
      </c>
      <c r="C30" s="165">
        <f>IF(B30="Y",'GA55 Summry'!C9+IF(AND(Bills!D10=Bills!H$3),ROUND(142%*Bills!D10,0),ROUND(7%*Bills!D10,0)))</f>
        <v>51253</v>
      </c>
      <c r="D30" s="165">
        <f>IF(B30="Y",'GA55 Summry'!E9,"0")</f>
        <v>3832</v>
      </c>
      <c r="E30" s="165"/>
      <c r="F30" s="165"/>
      <c r="G30" s="165"/>
      <c r="H30" s="367" t="s">
        <v>111</v>
      </c>
      <c r="I30" s="175"/>
      <c r="J30" s="175"/>
      <c r="K30" s="175"/>
      <c r="L30" s="175"/>
      <c r="M30" s="175"/>
      <c r="N30" s="175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58"/>
      <c r="AI30" s="158"/>
    </row>
    <row r="31" spans="1:35" ht="21" customHeight="1">
      <c r="A31" s="169" t="s">
        <v>134</v>
      </c>
      <c r="B31" s="170" t="s">
        <v>90</v>
      </c>
      <c r="C31" s="165">
        <f>IF(B31="Y",'GA55 Summry'!C10+IF(AND(Bills!D11=Bills!I$1),ROUND(142%*Bills!D11,0),ROUND(7%*Bills!D11,0)))</f>
        <v>52751</v>
      </c>
      <c r="D31" s="165">
        <f>IF(B31="Y",'GA55 Summry'!E10,"0")</f>
        <v>3944</v>
      </c>
      <c r="E31" s="370" t="s">
        <v>93</v>
      </c>
      <c r="F31" s="370"/>
      <c r="G31" s="176">
        <f>G37</f>
        <v>9386</v>
      </c>
      <c r="H31" s="367"/>
      <c r="I31" s="175"/>
      <c r="J31" s="175"/>
      <c r="K31" s="175"/>
      <c r="L31" s="175"/>
      <c r="M31" s="175"/>
      <c r="N31" s="175"/>
      <c r="O31" s="147"/>
      <c r="P31" s="147"/>
      <c r="Q31" s="147"/>
      <c r="R31" s="147"/>
      <c r="S31" s="147"/>
      <c r="T31" s="147"/>
      <c r="U31" s="147"/>
      <c r="V31" s="147"/>
      <c r="W31" s="147"/>
      <c r="X31" s="147"/>
      <c r="Y31" s="147"/>
      <c r="Z31" s="147"/>
      <c r="AA31" s="147"/>
      <c r="AB31" s="147"/>
      <c r="AC31" s="147"/>
      <c r="AD31" s="147"/>
      <c r="AE31" s="147"/>
      <c r="AF31" s="147"/>
      <c r="AG31" s="147"/>
      <c r="AH31" s="158"/>
      <c r="AI31" s="158"/>
    </row>
    <row r="32" spans="1:35" ht="21" customHeight="1">
      <c r="A32" s="169" t="s">
        <v>135</v>
      </c>
      <c r="B32" s="170" t="s">
        <v>90</v>
      </c>
      <c r="C32" s="165">
        <f>IF(B32="Y",'GA55 Summry'!C11+IF(AND(Bills!D12=Bills!I$1),ROUND(142%*Bills!D12,0),ROUND(7%*Bills!D12,0)))</f>
        <v>52751</v>
      </c>
      <c r="D32" s="165">
        <f>IF(B32="Y",'GA55 Summry'!E11,"0")</f>
        <v>3944</v>
      </c>
      <c r="E32" s="364" t="s">
        <v>121</v>
      </c>
      <c r="F32" s="364"/>
      <c r="G32" s="177">
        <f>IF((G31*12)&gt;C39*10%,MIN(ROUND(G31*12-(C39)*10%,0),G35),0)</f>
        <v>46880</v>
      </c>
      <c r="H32" s="363" t="s">
        <v>122</v>
      </c>
      <c r="I32" s="178"/>
      <c r="J32" s="179"/>
      <c r="K32" s="165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  <c r="X32" s="147"/>
      <c r="Y32" s="147"/>
      <c r="Z32" s="147"/>
      <c r="AA32" s="147"/>
      <c r="AB32" s="147"/>
      <c r="AC32" s="147"/>
      <c r="AD32" s="147"/>
      <c r="AE32" s="147"/>
      <c r="AF32" s="147"/>
      <c r="AG32" s="147"/>
      <c r="AH32" s="158"/>
      <c r="AI32" s="158"/>
    </row>
    <row r="33" spans="1:35" ht="21" customHeight="1">
      <c r="A33" s="169" t="s">
        <v>136</v>
      </c>
      <c r="B33" s="170" t="s">
        <v>90</v>
      </c>
      <c r="C33" s="165">
        <f>IF(B33="Y",'GA55 Summry'!C12+IF(AND(Bills!D13=Bills!I$1),ROUND(142%*Bills!D13,0),ROUND(7%*Bills!D13,0)))</f>
        <v>52751</v>
      </c>
      <c r="D33" s="165">
        <f>IF(B33="Y",'GA55 Summry'!E12,"0")</f>
        <v>3944</v>
      </c>
      <c r="E33" s="180"/>
      <c r="F33" s="180"/>
      <c r="G33" s="165"/>
      <c r="H33" s="363"/>
      <c r="I33" s="178"/>
      <c r="J33" s="165"/>
      <c r="K33" s="165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  <c r="AF33" s="147"/>
      <c r="AG33" s="147"/>
      <c r="AH33" s="158"/>
      <c r="AI33" s="158"/>
    </row>
    <row r="34" spans="1:35" ht="21" customHeight="1">
      <c r="A34" s="169" t="s">
        <v>137</v>
      </c>
      <c r="B34" s="170" t="s">
        <v>90</v>
      </c>
      <c r="C34" s="165">
        <f>IF(B34="Y",'GA55 Summry'!C13+IF(AND(Bills!D14=Bills!I$1),ROUND(142%*Bills!D14,0),ROUND(7%*Bills!D14,0)))</f>
        <v>52751</v>
      </c>
      <c r="D34" s="165">
        <f>IF(B34="Y",'GA55 Summry'!E13,"0")</f>
        <v>3944</v>
      </c>
      <c r="E34" s="180"/>
      <c r="F34" s="180"/>
      <c r="G34" s="165"/>
      <c r="H34" s="181"/>
      <c r="I34" s="165"/>
      <c r="J34" s="165"/>
      <c r="K34" s="165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58"/>
      <c r="AI34" s="158"/>
    </row>
    <row r="35" spans="1:35" ht="39" customHeight="1">
      <c r="A35" s="169" t="s">
        <v>138</v>
      </c>
      <c r="B35" s="170" t="s">
        <v>90</v>
      </c>
      <c r="C35" s="165">
        <f>IF(B35="Y",'GA55 Summry'!C14+IF(AND(Bills!D15=Bills!I$1),ROUND(142%*Bills!D15,0),ROUND(7%*Bills!D15,0)))</f>
        <v>52751</v>
      </c>
      <c r="D35" s="165">
        <f>IF(B35="Y",'GA55 Summry'!E14,"0")</f>
        <v>3944</v>
      </c>
      <c r="E35" s="354" t="s">
        <v>94</v>
      </c>
      <c r="F35" s="354"/>
      <c r="G35" s="182">
        <f>D39</f>
        <v>46880</v>
      </c>
      <c r="H35" s="183" t="s">
        <v>110</v>
      </c>
      <c r="I35" s="184"/>
      <c r="J35" s="185"/>
      <c r="K35" s="165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47"/>
      <c r="X35" s="147"/>
      <c r="Y35" s="147"/>
      <c r="Z35" s="147"/>
      <c r="AA35" s="147"/>
      <c r="AB35" s="147"/>
      <c r="AC35" s="147"/>
      <c r="AD35" s="147"/>
      <c r="AE35" s="147"/>
      <c r="AF35" s="147"/>
      <c r="AG35" s="147"/>
      <c r="AH35" s="158"/>
      <c r="AI35" s="158"/>
    </row>
    <row r="36" spans="1:35" ht="21" customHeight="1">
      <c r="A36" s="169" t="s">
        <v>139</v>
      </c>
      <c r="B36" s="170" t="s">
        <v>90</v>
      </c>
      <c r="C36" s="165">
        <f>IF(B36="Y",'GA55 Summry'!C15+IF(AND(Bills!D16=Bills!I$1),ROUND(142%*Bills!D16,0),ROUND(7%*Bills!D16,0)))</f>
        <v>52751</v>
      </c>
      <c r="D36" s="165">
        <f>IF(B36="Y",'GA55 Summry'!E15,"0")</f>
        <v>3944</v>
      </c>
      <c r="E36" s="362" t="s">
        <v>95</v>
      </c>
      <c r="F36" s="362"/>
      <c r="G36" s="186">
        <f>ROUND(((10%*C39)+D39),0)</f>
        <v>112630</v>
      </c>
      <c r="H36" s="187" t="s">
        <v>108</v>
      </c>
      <c r="I36" s="188"/>
      <c r="J36" s="189"/>
      <c r="K36" s="165"/>
      <c r="L36" s="147"/>
      <c r="M36" s="147"/>
      <c r="N36" s="147"/>
      <c r="O36" s="147"/>
      <c r="P36" s="147"/>
      <c r="Q36" s="147"/>
      <c r="R36" s="147"/>
      <c r="S36" s="147"/>
      <c r="T36" s="147"/>
      <c r="U36" s="147"/>
      <c r="V36" s="147"/>
      <c r="W36" s="147"/>
      <c r="X36" s="147"/>
      <c r="Y36" s="147"/>
      <c r="Z36" s="147"/>
      <c r="AA36" s="147"/>
      <c r="AB36" s="147"/>
      <c r="AC36" s="147"/>
      <c r="AD36" s="147"/>
      <c r="AE36" s="147"/>
      <c r="AF36" s="147"/>
      <c r="AG36" s="147"/>
      <c r="AH36" s="158"/>
      <c r="AI36" s="158"/>
    </row>
    <row r="37" spans="1:35" ht="21" customHeight="1">
      <c r="A37" s="169" t="s">
        <v>140</v>
      </c>
      <c r="B37" s="170" t="s">
        <v>90</v>
      </c>
      <c r="C37" s="165">
        <f>IF(B37="Y",'GA55 Summry'!C16+IF(AND(Bills!D17=Bills!I$1),ROUND(142%*Bills!D17,0),ROUND(7%*Bills!D17,0)))</f>
        <v>52751</v>
      </c>
      <c r="D37" s="165">
        <f>IF(B37="Y",'GA55 Summry'!E16,"0")</f>
        <v>3944</v>
      </c>
      <c r="E37" s="357" t="s">
        <v>96</v>
      </c>
      <c r="F37" s="357"/>
      <c r="G37" s="190">
        <f>ROUND(G36/B39,0)</f>
        <v>9386</v>
      </c>
      <c r="H37" s="360" t="s">
        <v>102</v>
      </c>
      <c r="I37" s="191"/>
      <c r="J37" s="165"/>
      <c r="K37" s="165"/>
      <c r="L37" s="147"/>
      <c r="M37" s="147"/>
      <c r="N37" s="147"/>
      <c r="O37" s="147"/>
      <c r="P37" s="147"/>
      <c r="Q37" s="147"/>
      <c r="R37" s="147"/>
      <c r="S37" s="147"/>
      <c r="T37" s="147"/>
      <c r="U37" s="147"/>
      <c r="V37" s="147"/>
      <c r="W37" s="147"/>
      <c r="X37" s="147"/>
      <c r="Y37" s="147"/>
      <c r="Z37" s="147"/>
      <c r="AA37" s="147"/>
      <c r="AB37" s="147"/>
      <c r="AC37" s="147"/>
      <c r="AD37" s="147"/>
      <c r="AE37" s="147"/>
      <c r="AF37" s="147"/>
      <c r="AG37" s="147"/>
      <c r="AH37" s="158"/>
      <c r="AI37" s="158"/>
    </row>
    <row r="38" spans="1:35" ht="21" customHeight="1">
      <c r="A38" s="169" t="s">
        <v>92</v>
      </c>
      <c r="B38" s="170" t="s">
        <v>90</v>
      </c>
      <c r="C38" s="165">
        <f>IF(B38="Y",'GA55 Summry'!C17+IF(AND(Bills!D18=Bills!I$1),ROUND(142%*Bills!D18,0),ROUND(7%*Bills!D18,0)))</f>
        <v>52751</v>
      </c>
      <c r="D38" s="165">
        <f>IF(B38="Y",'GA55 Summry'!E17,"0")</f>
        <v>3944</v>
      </c>
      <c r="E38" s="192"/>
      <c r="F38" s="192"/>
      <c r="G38" s="192"/>
      <c r="H38" s="360"/>
      <c r="I38" s="191"/>
      <c r="J38" s="192"/>
      <c r="K38" s="192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58"/>
      <c r="AI38" s="158"/>
    </row>
    <row r="39" spans="1:35" ht="22.5" customHeight="1">
      <c r="A39" s="193" t="s">
        <v>97</v>
      </c>
      <c r="B39" s="194">
        <f>COUNTIF(B27:B38,"Y")</f>
        <v>12</v>
      </c>
      <c r="C39" s="195">
        <f>ROUND((SUM(C27:C38)),0)+C40</f>
        <v>657502</v>
      </c>
      <c r="D39" s="195">
        <f>ROUND((SUM(D27:D38)),0)+D40</f>
        <v>46880</v>
      </c>
      <c r="E39" s="196" t="s">
        <v>209</v>
      </c>
      <c r="F39" s="196"/>
      <c r="G39" s="197"/>
      <c r="H39" s="198"/>
      <c r="I39" s="165"/>
      <c r="J39" s="165"/>
      <c r="K39" s="165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7"/>
      <c r="W39" s="147"/>
      <c r="X39" s="147"/>
      <c r="Y39" s="147"/>
      <c r="Z39" s="147"/>
      <c r="AA39" s="147"/>
      <c r="AB39" s="147"/>
      <c r="AC39" s="147"/>
      <c r="AD39" s="147"/>
      <c r="AE39" s="147"/>
      <c r="AF39" s="147"/>
      <c r="AG39" s="147"/>
      <c r="AH39" s="158"/>
      <c r="AI39" s="158"/>
    </row>
    <row r="40" spans="1:35">
      <c r="A40" s="199"/>
      <c r="B40" s="199"/>
      <c r="C40" s="200">
        <f>SUM(Bills!D20:D27)+SUM(Bills!E20:E27)</f>
        <v>30482</v>
      </c>
      <c r="D40" s="200">
        <f>SUM(Bills!F23:F27)</f>
        <v>0</v>
      </c>
      <c r="E40" s="199"/>
      <c r="F40" s="199"/>
      <c r="G40" s="199"/>
      <c r="H40" s="199"/>
      <c r="I40" s="201"/>
      <c r="J40" s="201"/>
      <c r="K40" s="201"/>
      <c r="L40" s="147"/>
      <c r="M40" s="147"/>
      <c r="N40" s="147"/>
      <c r="O40" s="147"/>
      <c r="P40" s="147"/>
      <c r="Q40" s="147"/>
      <c r="R40" s="147"/>
      <c r="S40" s="147"/>
      <c r="T40" s="147"/>
      <c r="U40" s="147"/>
      <c r="V40" s="147"/>
      <c r="W40" s="147"/>
      <c r="X40" s="147"/>
      <c r="Y40" s="147"/>
      <c r="Z40" s="147"/>
      <c r="AA40" s="147"/>
      <c r="AB40" s="147"/>
      <c r="AC40" s="147"/>
      <c r="AD40" s="147"/>
      <c r="AE40" s="147"/>
      <c r="AF40" s="147"/>
      <c r="AG40" s="147"/>
      <c r="AH40" s="158"/>
      <c r="AI40" s="158"/>
    </row>
    <row r="41" spans="1:35" ht="18.75">
      <c r="A41" s="201"/>
      <c r="B41" s="201"/>
      <c r="C41" s="201"/>
      <c r="D41" s="201"/>
      <c r="E41" s="202" t="s">
        <v>98</v>
      </c>
      <c r="F41" s="202"/>
      <c r="G41" s="203">
        <f>IF((G31*12)&gt;('GA55 Summry'!C26+'GA55 Summry'!D26)*10%,MIN(ROUND(G31*12-('GA55 Summry'!C26+'GA55 Summry'!D26)*10%,0),G35),0)</f>
        <v>43952</v>
      </c>
      <c r="H41" s="201"/>
      <c r="I41" s="201"/>
      <c r="J41" s="201"/>
      <c r="K41" s="201"/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7"/>
      <c r="W41" s="147"/>
      <c r="X41" s="147"/>
      <c r="Y41" s="147"/>
      <c r="Z41" s="147"/>
      <c r="AA41" s="147"/>
      <c r="AB41" s="147"/>
      <c r="AC41" s="147"/>
      <c r="AD41" s="147"/>
      <c r="AE41" s="147"/>
      <c r="AF41" s="147"/>
      <c r="AG41" s="147"/>
      <c r="AH41" s="158"/>
      <c r="AI41" s="158"/>
    </row>
    <row r="42" spans="1:35">
      <c r="A42" s="147"/>
      <c r="B42" s="147"/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  <c r="AA42" s="147"/>
      <c r="AB42" s="147"/>
      <c r="AC42" s="147"/>
      <c r="AD42" s="147"/>
      <c r="AE42" s="147"/>
      <c r="AF42" s="147"/>
      <c r="AG42" s="147"/>
      <c r="AH42" s="158"/>
      <c r="AI42" s="158"/>
    </row>
    <row r="43" spans="1:35">
      <c r="A43" s="147"/>
      <c r="B43" s="147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7"/>
      <c r="AB43" s="147"/>
      <c r="AC43" s="147"/>
      <c r="AD43" s="147"/>
      <c r="AE43" s="147"/>
      <c r="AF43" s="147"/>
      <c r="AG43" s="147"/>
      <c r="AH43" s="158"/>
      <c r="AI43" s="158"/>
    </row>
    <row r="44" spans="1:35">
      <c r="A44" s="147"/>
      <c r="B44" s="147"/>
      <c r="C44" s="147"/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7"/>
      <c r="R44" s="147"/>
      <c r="S44" s="147"/>
      <c r="T44" s="147"/>
      <c r="U44" s="147"/>
      <c r="V44" s="147"/>
      <c r="W44" s="147"/>
      <c r="X44" s="147"/>
      <c r="Y44" s="147"/>
      <c r="Z44" s="147"/>
      <c r="AA44" s="147"/>
      <c r="AB44" s="147"/>
      <c r="AC44" s="147"/>
      <c r="AD44" s="147"/>
      <c r="AE44" s="147"/>
      <c r="AF44" s="147"/>
      <c r="AG44" s="147"/>
      <c r="AH44" s="158"/>
      <c r="AI44" s="158"/>
    </row>
    <row r="45" spans="1:35">
      <c r="A45" s="147"/>
      <c r="B45" s="147"/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147"/>
      <c r="S45" s="147"/>
      <c r="T45" s="147"/>
      <c r="U45" s="147"/>
      <c r="V45" s="147"/>
      <c r="W45" s="147"/>
      <c r="X45" s="147"/>
      <c r="Y45" s="147"/>
      <c r="Z45" s="147"/>
      <c r="AA45" s="147"/>
      <c r="AB45" s="147"/>
      <c r="AC45" s="147"/>
      <c r="AD45" s="147"/>
      <c r="AE45" s="147"/>
      <c r="AF45" s="147"/>
      <c r="AG45" s="147"/>
      <c r="AH45" s="158"/>
      <c r="AI45" s="158"/>
    </row>
    <row r="46" spans="1:35" hidden="1">
      <c r="A46" s="147"/>
      <c r="B46" s="147"/>
      <c r="C46" s="147"/>
      <c r="D46" s="147"/>
      <c r="E46" s="147"/>
      <c r="F46" s="147"/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147"/>
      <c r="R46" s="147"/>
      <c r="S46" s="147"/>
      <c r="T46" s="147"/>
      <c r="U46" s="147"/>
      <c r="V46" s="147"/>
      <c r="W46" s="147"/>
      <c r="X46" s="147"/>
      <c r="Y46" s="147"/>
      <c r="Z46" s="147"/>
      <c r="AA46" s="147"/>
      <c r="AB46" s="147"/>
      <c r="AC46" s="147"/>
      <c r="AD46" s="147"/>
      <c r="AE46" s="147"/>
      <c r="AF46" s="147"/>
      <c r="AG46" s="147"/>
      <c r="AH46" s="158"/>
      <c r="AI46" s="158"/>
    </row>
    <row r="47" spans="1:35" hidden="1">
      <c r="A47" s="147"/>
      <c r="B47" s="147"/>
      <c r="C47" s="147"/>
      <c r="D47" s="147"/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  <c r="T47" s="147"/>
      <c r="U47" s="147"/>
      <c r="V47" s="147"/>
      <c r="W47" s="147"/>
      <c r="X47" s="147"/>
      <c r="Y47" s="147"/>
      <c r="Z47" s="147"/>
      <c r="AA47" s="147"/>
      <c r="AB47" s="147"/>
      <c r="AC47" s="147"/>
      <c r="AD47" s="147"/>
      <c r="AE47" s="147"/>
      <c r="AF47" s="147"/>
      <c r="AG47" s="147"/>
      <c r="AH47" s="158"/>
      <c r="AI47" s="158"/>
    </row>
    <row r="48" spans="1:35" hidden="1">
      <c r="A48" s="147"/>
      <c r="B48" s="147"/>
      <c r="C48" s="147"/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7"/>
      <c r="Q48" s="147"/>
      <c r="R48" s="147"/>
      <c r="S48" s="147"/>
      <c r="T48" s="147"/>
      <c r="U48" s="147"/>
      <c r="V48" s="147"/>
      <c r="W48" s="147"/>
      <c r="X48" s="147"/>
      <c r="Y48" s="147"/>
      <c r="Z48" s="147"/>
      <c r="AA48" s="147"/>
      <c r="AB48" s="147"/>
      <c r="AC48" s="147"/>
      <c r="AD48" s="147"/>
      <c r="AE48" s="147"/>
      <c r="AF48" s="147"/>
      <c r="AG48" s="147"/>
      <c r="AH48" s="158"/>
      <c r="AI48" s="158"/>
    </row>
    <row r="49" spans="1:35" hidden="1">
      <c r="A49" s="147"/>
      <c r="B49" s="147"/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147"/>
      <c r="Y49" s="147"/>
      <c r="Z49" s="147"/>
      <c r="AA49" s="147"/>
      <c r="AB49" s="147"/>
      <c r="AC49" s="147"/>
      <c r="AD49" s="147"/>
      <c r="AE49" s="147"/>
      <c r="AF49" s="147"/>
      <c r="AG49" s="147"/>
      <c r="AH49" s="158"/>
      <c r="AI49" s="158"/>
    </row>
    <row r="50" spans="1:35" hidden="1">
      <c r="A50" s="147"/>
      <c r="B50" s="147"/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147"/>
      <c r="V50" s="147"/>
      <c r="W50" s="147"/>
      <c r="X50" s="147"/>
      <c r="Y50" s="147"/>
      <c r="Z50" s="147"/>
      <c r="AA50" s="147"/>
      <c r="AB50" s="147"/>
      <c r="AC50" s="147"/>
      <c r="AD50" s="147"/>
      <c r="AE50" s="147"/>
      <c r="AF50" s="147"/>
      <c r="AG50" s="147"/>
      <c r="AH50" s="158"/>
      <c r="AI50" s="158"/>
    </row>
    <row r="51" spans="1:35" hidden="1">
      <c r="A51" s="147"/>
      <c r="B51" s="147"/>
      <c r="C51" s="147"/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147"/>
      <c r="P51" s="147"/>
      <c r="Q51" s="147"/>
      <c r="R51" s="147"/>
      <c r="S51" s="147"/>
      <c r="T51" s="147"/>
      <c r="U51" s="147"/>
      <c r="V51" s="147"/>
      <c r="W51" s="147"/>
      <c r="X51" s="147"/>
      <c r="Y51" s="147"/>
      <c r="Z51" s="147"/>
      <c r="AA51" s="147"/>
      <c r="AB51" s="147"/>
      <c r="AC51" s="147"/>
      <c r="AD51" s="147"/>
      <c r="AE51" s="147"/>
      <c r="AF51" s="147"/>
      <c r="AG51" s="147"/>
      <c r="AH51" s="158"/>
      <c r="AI51" s="158"/>
    </row>
    <row r="52" spans="1:35" hidden="1">
      <c r="A52" s="147"/>
      <c r="B52" s="147"/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  <c r="V52" s="147"/>
      <c r="W52" s="147"/>
      <c r="X52" s="147"/>
      <c r="Y52" s="147"/>
      <c r="Z52" s="147"/>
      <c r="AA52" s="147"/>
      <c r="AB52" s="147"/>
      <c r="AC52" s="147"/>
      <c r="AD52" s="147"/>
      <c r="AE52" s="147"/>
      <c r="AF52" s="147"/>
      <c r="AG52" s="147"/>
      <c r="AH52" s="158"/>
      <c r="AI52" s="158"/>
    </row>
    <row r="53" spans="1:35" hidden="1">
      <c r="A53" s="147"/>
      <c r="B53" s="147"/>
      <c r="C53" s="147"/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47"/>
      <c r="R53" s="147"/>
      <c r="S53" s="147"/>
      <c r="T53" s="147"/>
      <c r="U53" s="147"/>
      <c r="V53" s="147"/>
      <c r="W53" s="147"/>
      <c r="X53" s="147"/>
      <c r="Y53" s="147"/>
      <c r="Z53" s="147"/>
      <c r="AA53" s="147"/>
      <c r="AB53" s="147"/>
      <c r="AC53" s="147"/>
      <c r="AD53" s="147"/>
      <c r="AE53" s="147"/>
      <c r="AF53" s="147"/>
      <c r="AG53" s="147"/>
      <c r="AH53" s="158"/>
      <c r="AI53" s="158"/>
    </row>
    <row r="54" spans="1:35" hidden="1">
      <c r="A54" s="147"/>
      <c r="B54" s="147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  <c r="AA54" s="147"/>
      <c r="AB54" s="147"/>
      <c r="AC54" s="147"/>
      <c r="AD54" s="147"/>
      <c r="AE54" s="147"/>
      <c r="AF54" s="147"/>
      <c r="AG54" s="147"/>
      <c r="AH54" s="158"/>
      <c r="AI54" s="158"/>
    </row>
    <row r="55" spans="1:35" hidden="1">
      <c r="A55" s="147"/>
      <c r="B55" s="147"/>
      <c r="C55" s="147"/>
      <c r="D55" s="147"/>
      <c r="E55" s="147"/>
      <c r="F55" s="147"/>
      <c r="G55" s="147"/>
      <c r="H55" s="147"/>
      <c r="I55" s="147"/>
      <c r="J55" s="147"/>
      <c r="K55" s="147"/>
      <c r="L55" s="147"/>
      <c r="M55" s="147"/>
      <c r="N55" s="147"/>
      <c r="O55" s="147"/>
      <c r="P55" s="147"/>
      <c r="Q55" s="147"/>
      <c r="R55" s="147"/>
      <c r="S55" s="147"/>
      <c r="T55" s="147"/>
      <c r="U55" s="147"/>
      <c r="V55" s="147"/>
      <c r="W55" s="147"/>
      <c r="X55" s="147"/>
      <c r="Y55" s="147"/>
      <c r="Z55" s="147"/>
      <c r="AA55" s="147"/>
      <c r="AB55" s="147"/>
      <c r="AC55" s="147"/>
      <c r="AD55" s="147"/>
      <c r="AE55" s="147"/>
      <c r="AF55" s="147"/>
      <c r="AG55" s="147"/>
      <c r="AH55" s="158"/>
      <c r="AI55" s="158"/>
    </row>
    <row r="56" spans="1:35" hidden="1">
      <c r="A56" s="147"/>
      <c r="B56" s="147"/>
      <c r="C56" s="147"/>
      <c r="D56" s="147"/>
      <c r="E56" s="147"/>
      <c r="F56" s="147"/>
      <c r="G56" s="147"/>
      <c r="H56" s="147"/>
      <c r="I56" s="147"/>
      <c r="J56" s="147"/>
      <c r="K56" s="147"/>
      <c r="L56" s="147"/>
      <c r="M56" s="147"/>
      <c r="N56" s="147"/>
      <c r="O56" s="147"/>
      <c r="P56" s="147"/>
      <c r="Q56" s="147"/>
      <c r="R56" s="147"/>
      <c r="S56" s="147"/>
      <c r="T56" s="147"/>
      <c r="U56" s="147"/>
      <c r="V56" s="147"/>
      <c r="W56" s="147"/>
      <c r="X56" s="147"/>
      <c r="Y56" s="147"/>
      <c r="Z56" s="147"/>
      <c r="AA56" s="147"/>
      <c r="AB56" s="147"/>
      <c r="AC56" s="147"/>
      <c r="AD56" s="147"/>
      <c r="AE56" s="147"/>
      <c r="AF56" s="147"/>
      <c r="AG56" s="147"/>
      <c r="AH56" s="158"/>
      <c r="AI56" s="158"/>
    </row>
    <row r="57" spans="1:35" hidden="1">
      <c r="A57" s="147"/>
      <c r="B57" s="147"/>
      <c r="C57" s="147"/>
      <c r="D57" s="147"/>
      <c r="E57" s="147"/>
      <c r="F57" s="147"/>
      <c r="G57" s="147"/>
      <c r="H57" s="147"/>
      <c r="I57" s="147"/>
      <c r="J57" s="147"/>
      <c r="K57" s="147"/>
      <c r="L57" s="147"/>
      <c r="M57" s="147"/>
      <c r="N57" s="147"/>
      <c r="O57" s="147"/>
      <c r="P57" s="147"/>
      <c r="Q57" s="147"/>
      <c r="R57" s="147"/>
      <c r="S57" s="147"/>
      <c r="T57" s="147"/>
      <c r="U57" s="147"/>
      <c r="V57" s="147"/>
      <c r="W57" s="147"/>
      <c r="X57" s="147"/>
      <c r="Y57" s="147"/>
      <c r="Z57" s="147"/>
      <c r="AA57" s="147"/>
      <c r="AB57" s="147"/>
      <c r="AC57" s="147"/>
      <c r="AD57" s="147"/>
      <c r="AE57" s="147"/>
      <c r="AF57" s="147"/>
      <c r="AG57" s="147"/>
      <c r="AH57" s="158"/>
      <c r="AI57" s="158"/>
    </row>
    <row r="58" spans="1:35" hidden="1">
      <c r="A58" s="147"/>
      <c r="B58" s="147"/>
      <c r="C58" s="147"/>
      <c r="D58" s="147"/>
      <c r="E58" s="147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  <c r="S58" s="147"/>
      <c r="T58" s="147"/>
      <c r="U58" s="147"/>
      <c r="V58" s="147"/>
      <c r="W58" s="147"/>
      <c r="X58" s="147"/>
      <c r="Y58" s="147"/>
      <c r="Z58" s="147"/>
      <c r="AA58" s="147"/>
      <c r="AB58" s="147"/>
      <c r="AC58" s="147"/>
      <c r="AD58" s="147"/>
      <c r="AE58" s="147"/>
      <c r="AF58" s="147"/>
      <c r="AG58" s="147"/>
      <c r="AH58" s="158"/>
      <c r="AI58" s="158"/>
    </row>
    <row r="59" spans="1:35" hidden="1">
      <c r="A59" s="147"/>
      <c r="B59" s="147"/>
      <c r="C59" s="147"/>
      <c r="D59" s="147"/>
      <c r="E59" s="147"/>
      <c r="F59" s="147"/>
      <c r="G59" s="147"/>
      <c r="H59" s="147"/>
      <c r="I59" s="147"/>
      <c r="J59" s="147"/>
      <c r="K59" s="147"/>
      <c r="L59" s="147"/>
      <c r="M59" s="147"/>
      <c r="N59" s="147"/>
      <c r="O59" s="147"/>
      <c r="P59" s="147"/>
      <c r="Q59" s="147"/>
      <c r="R59" s="147"/>
      <c r="S59" s="147"/>
      <c r="T59" s="147"/>
      <c r="U59" s="147"/>
      <c r="V59" s="147"/>
      <c r="W59" s="147"/>
      <c r="X59" s="147"/>
      <c r="Y59" s="147"/>
      <c r="Z59" s="147"/>
      <c r="AA59" s="147"/>
      <c r="AB59" s="147"/>
      <c r="AC59" s="147"/>
      <c r="AD59" s="147"/>
      <c r="AE59" s="147"/>
      <c r="AF59" s="147"/>
      <c r="AG59" s="147"/>
      <c r="AH59" s="158"/>
      <c r="AI59" s="158"/>
    </row>
    <row r="60" spans="1:35" hidden="1">
      <c r="A60" s="147"/>
      <c r="B60" s="147"/>
      <c r="C60" s="147"/>
      <c r="D60" s="147"/>
      <c r="E60" s="147"/>
      <c r="F60" s="147"/>
      <c r="G60" s="147"/>
      <c r="H60" s="147"/>
      <c r="I60" s="147"/>
      <c r="J60" s="147"/>
      <c r="K60" s="147"/>
      <c r="L60" s="147"/>
      <c r="M60" s="147"/>
      <c r="N60" s="147"/>
      <c r="O60" s="147"/>
      <c r="P60" s="147"/>
      <c r="Q60" s="147"/>
      <c r="R60" s="147"/>
      <c r="S60" s="147"/>
      <c r="T60" s="147"/>
      <c r="U60" s="147"/>
      <c r="V60" s="147"/>
      <c r="W60" s="147"/>
      <c r="X60" s="147"/>
      <c r="Y60" s="147"/>
      <c r="Z60" s="147"/>
      <c r="AA60" s="147"/>
      <c r="AB60" s="147"/>
      <c r="AC60" s="147"/>
      <c r="AD60" s="147"/>
      <c r="AE60" s="147"/>
      <c r="AF60" s="147"/>
      <c r="AG60" s="147"/>
      <c r="AH60" s="158"/>
      <c r="AI60" s="158"/>
    </row>
    <row r="61" spans="1:35" hidden="1">
      <c r="A61" s="147"/>
      <c r="B61" s="147"/>
      <c r="C61" s="147"/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7"/>
      <c r="R61" s="147"/>
      <c r="S61" s="147"/>
      <c r="T61" s="147"/>
      <c r="U61" s="147"/>
      <c r="V61" s="147"/>
      <c r="W61" s="147"/>
      <c r="X61" s="147"/>
      <c r="Y61" s="147"/>
      <c r="Z61" s="147"/>
      <c r="AA61" s="147"/>
      <c r="AB61" s="147"/>
      <c r="AC61" s="147"/>
      <c r="AD61" s="147"/>
      <c r="AE61" s="147"/>
      <c r="AF61" s="147"/>
      <c r="AG61" s="147"/>
      <c r="AH61" s="158"/>
      <c r="AI61" s="158"/>
    </row>
    <row r="62" spans="1:35" hidden="1">
      <c r="A62" s="147"/>
      <c r="B62" s="147"/>
      <c r="C62" s="147"/>
      <c r="D62" s="147"/>
      <c r="E62" s="147"/>
      <c r="F62" s="147"/>
      <c r="G62" s="147"/>
      <c r="H62" s="147"/>
      <c r="I62" s="147"/>
      <c r="J62" s="147"/>
      <c r="K62" s="147"/>
      <c r="L62" s="147"/>
      <c r="M62" s="147"/>
      <c r="N62" s="147"/>
      <c r="O62" s="147"/>
      <c r="P62" s="147"/>
      <c r="Q62" s="147"/>
      <c r="R62" s="147"/>
      <c r="S62" s="147"/>
      <c r="T62" s="147"/>
      <c r="U62" s="147"/>
      <c r="V62" s="147"/>
      <c r="W62" s="147"/>
      <c r="X62" s="147"/>
      <c r="Y62" s="147"/>
      <c r="Z62" s="147"/>
      <c r="AA62" s="147"/>
      <c r="AB62" s="147"/>
      <c r="AC62" s="147"/>
      <c r="AD62" s="147"/>
      <c r="AE62" s="147"/>
      <c r="AF62" s="147"/>
      <c r="AG62" s="147"/>
      <c r="AH62" s="158"/>
      <c r="AI62" s="158"/>
    </row>
    <row r="63" spans="1:35" hidden="1">
      <c r="A63" s="147"/>
      <c r="B63" s="147"/>
      <c r="C63" s="147"/>
      <c r="D63" s="147"/>
      <c r="E63" s="147"/>
      <c r="F63" s="147"/>
      <c r="G63" s="147"/>
      <c r="H63" s="147"/>
      <c r="I63" s="147"/>
      <c r="J63" s="147"/>
      <c r="K63" s="147"/>
      <c r="L63" s="147"/>
      <c r="M63" s="147"/>
      <c r="N63" s="147"/>
      <c r="O63" s="147"/>
      <c r="P63" s="147"/>
      <c r="Q63" s="147"/>
      <c r="R63" s="147"/>
      <c r="S63" s="147"/>
      <c r="T63" s="147"/>
      <c r="U63" s="147"/>
      <c r="V63" s="147"/>
      <c r="W63" s="147"/>
      <c r="X63" s="147"/>
      <c r="Y63" s="147"/>
      <c r="Z63" s="147"/>
      <c r="AA63" s="147"/>
      <c r="AB63" s="147"/>
      <c r="AC63" s="147"/>
      <c r="AD63" s="147"/>
      <c r="AE63" s="147"/>
      <c r="AF63" s="147"/>
      <c r="AG63" s="147"/>
      <c r="AH63" s="158"/>
      <c r="AI63" s="158"/>
    </row>
    <row r="64" spans="1:35" hidden="1">
      <c r="A64" s="147"/>
      <c r="B64" s="147"/>
      <c r="C64" s="147"/>
      <c r="D64" s="147"/>
      <c r="E64" s="147"/>
      <c r="F64" s="147"/>
      <c r="G64" s="147"/>
      <c r="H64" s="147"/>
      <c r="I64" s="147"/>
      <c r="J64" s="147"/>
      <c r="K64" s="147"/>
      <c r="L64" s="147"/>
      <c r="M64" s="147"/>
      <c r="N64" s="147"/>
      <c r="O64" s="147"/>
      <c r="P64" s="147"/>
      <c r="Q64" s="147"/>
      <c r="R64" s="147"/>
      <c r="S64" s="147"/>
      <c r="T64" s="147"/>
      <c r="U64" s="147"/>
      <c r="V64" s="147"/>
      <c r="W64" s="147"/>
      <c r="X64" s="147"/>
      <c r="Y64" s="147"/>
      <c r="Z64" s="147"/>
      <c r="AA64" s="147"/>
      <c r="AB64" s="147"/>
      <c r="AC64" s="147"/>
      <c r="AD64" s="147"/>
      <c r="AE64" s="147"/>
      <c r="AF64" s="147"/>
      <c r="AG64" s="147"/>
      <c r="AH64" s="158"/>
      <c r="AI64" s="158"/>
    </row>
    <row r="65" spans="1:35" hidden="1">
      <c r="A65" s="147"/>
      <c r="B65" s="147"/>
      <c r="C65" s="147"/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47"/>
      <c r="X65" s="147"/>
      <c r="Y65" s="147"/>
      <c r="Z65" s="147"/>
      <c r="AA65" s="147"/>
      <c r="AB65" s="147"/>
      <c r="AC65" s="147"/>
      <c r="AD65" s="147"/>
      <c r="AE65" s="147"/>
      <c r="AF65" s="147"/>
      <c r="AG65" s="147"/>
      <c r="AH65" s="158"/>
      <c r="AI65" s="158"/>
    </row>
    <row r="66" spans="1:35" hidden="1">
      <c r="A66" s="147"/>
      <c r="B66" s="147"/>
      <c r="C66" s="147"/>
      <c r="D66" s="147"/>
      <c r="E66" s="147"/>
      <c r="F66" s="147"/>
      <c r="G66" s="147"/>
      <c r="H66" s="147"/>
      <c r="I66" s="147"/>
      <c r="J66" s="147"/>
      <c r="K66" s="147"/>
      <c r="L66" s="147"/>
      <c r="M66" s="147"/>
      <c r="N66" s="147"/>
      <c r="O66" s="147"/>
      <c r="P66" s="147"/>
      <c r="Q66" s="147"/>
      <c r="R66" s="147"/>
      <c r="S66" s="147"/>
      <c r="T66" s="147"/>
      <c r="U66" s="147"/>
      <c r="V66" s="147"/>
      <c r="W66" s="147"/>
      <c r="X66" s="147"/>
      <c r="Y66" s="147"/>
      <c r="Z66" s="147"/>
      <c r="AA66" s="147"/>
      <c r="AB66" s="147"/>
      <c r="AC66" s="147"/>
      <c r="AD66" s="147"/>
      <c r="AE66" s="147"/>
      <c r="AF66" s="147"/>
      <c r="AG66" s="147"/>
      <c r="AH66" s="158"/>
      <c r="AI66" s="158"/>
    </row>
    <row r="67" spans="1:35" hidden="1">
      <c r="A67" s="147"/>
      <c r="B67" s="147"/>
      <c r="C67" s="147"/>
      <c r="D67" s="147"/>
      <c r="E67" s="147"/>
      <c r="F67" s="147"/>
      <c r="G67" s="147"/>
      <c r="H67" s="147"/>
      <c r="I67" s="147"/>
      <c r="J67" s="147"/>
      <c r="K67" s="147"/>
      <c r="L67" s="147"/>
      <c r="M67" s="147"/>
      <c r="N67" s="147"/>
      <c r="O67" s="147"/>
      <c r="P67" s="147"/>
      <c r="Q67" s="147"/>
      <c r="R67" s="147"/>
      <c r="S67" s="147"/>
      <c r="T67" s="147"/>
      <c r="U67" s="147"/>
      <c r="V67" s="147"/>
      <c r="W67" s="147"/>
      <c r="X67" s="147"/>
      <c r="Y67" s="147"/>
      <c r="Z67" s="147"/>
      <c r="AA67" s="147"/>
      <c r="AB67" s="147"/>
      <c r="AC67" s="147"/>
      <c r="AD67" s="147"/>
      <c r="AE67" s="147"/>
      <c r="AF67" s="147"/>
      <c r="AG67" s="147"/>
      <c r="AH67" s="158"/>
      <c r="AI67" s="158"/>
    </row>
    <row r="68" spans="1:35" hidden="1">
      <c r="A68" s="147"/>
      <c r="B68" s="147"/>
      <c r="C68" s="147"/>
      <c r="D68" s="147"/>
      <c r="E68" s="147"/>
      <c r="F68" s="147"/>
      <c r="G68" s="147"/>
      <c r="H68" s="147"/>
      <c r="I68" s="147"/>
      <c r="J68" s="147"/>
      <c r="K68" s="147"/>
      <c r="L68" s="147"/>
      <c r="M68" s="147"/>
      <c r="N68" s="147"/>
      <c r="O68" s="147"/>
      <c r="P68" s="147"/>
      <c r="Q68" s="147"/>
      <c r="R68" s="147"/>
      <c r="S68" s="147"/>
      <c r="T68" s="147"/>
      <c r="U68" s="147"/>
      <c r="V68" s="147"/>
      <c r="W68" s="147"/>
      <c r="X68" s="147"/>
      <c r="Y68" s="147"/>
      <c r="Z68" s="147"/>
      <c r="AA68" s="147"/>
      <c r="AB68" s="147"/>
      <c r="AC68" s="147"/>
      <c r="AD68" s="147"/>
      <c r="AE68" s="147"/>
      <c r="AF68" s="147"/>
      <c r="AG68" s="147"/>
      <c r="AH68" s="158"/>
      <c r="AI68" s="158"/>
    </row>
    <row r="69" spans="1:35" hidden="1">
      <c r="A69" s="147"/>
      <c r="B69" s="147"/>
      <c r="C69" s="147"/>
      <c r="D69" s="147"/>
      <c r="E69" s="147"/>
      <c r="F69" s="147"/>
      <c r="G69" s="147"/>
      <c r="H69" s="147"/>
      <c r="I69" s="147"/>
      <c r="J69" s="147"/>
      <c r="K69" s="147"/>
      <c r="L69" s="147"/>
      <c r="M69" s="147"/>
      <c r="N69" s="147"/>
      <c r="O69" s="147"/>
      <c r="P69" s="147"/>
      <c r="Q69" s="147"/>
      <c r="R69" s="147"/>
      <c r="S69" s="147"/>
      <c r="T69" s="147"/>
      <c r="U69" s="147"/>
      <c r="V69" s="147"/>
      <c r="W69" s="147"/>
      <c r="X69" s="147"/>
      <c r="Y69" s="147"/>
      <c r="Z69" s="147"/>
      <c r="AA69" s="147"/>
      <c r="AB69" s="147"/>
      <c r="AC69" s="147"/>
      <c r="AD69" s="147"/>
      <c r="AE69" s="147"/>
      <c r="AF69" s="147"/>
      <c r="AG69" s="147"/>
      <c r="AH69" s="158"/>
      <c r="AI69" s="158"/>
    </row>
    <row r="70" spans="1:35" hidden="1">
      <c r="A70" s="147"/>
      <c r="B70" s="147"/>
      <c r="C70" s="147"/>
      <c r="D70" s="147"/>
      <c r="E70" s="147"/>
      <c r="F70" s="147"/>
      <c r="G70" s="147"/>
      <c r="H70" s="147"/>
      <c r="I70" s="147"/>
      <c r="J70" s="147"/>
      <c r="K70" s="147"/>
      <c r="L70" s="147"/>
      <c r="M70" s="147"/>
      <c r="N70" s="147"/>
      <c r="O70" s="147"/>
      <c r="P70" s="147"/>
      <c r="Q70" s="147"/>
      <c r="R70" s="147"/>
      <c r="S70" s="147"/>
      <c r="T70" s="147"/>
      <c r="U70" s="147"/>
      <c r="V70" s="147"/>
      <c r="W70" s="147"/>
      <c r="X70" s="147"/>
      <c r="Y70" s="147"/>
      <c r="Z70" s="147"/>
      <c r="AA70" s="147"/>
      <c r="AB70" s="147"/>
      <c r="AC70" s="147"/>
      <c r="AD70" s="147"/>
      <c r="AE70" s="147"/>
      <c r="AF70" s="147"/>
      <c r="AG70" s="147"/>
      <c r="AH70" s="158"/>
      <c r="AI70" s="158"/>
    </row>
    <row r="71" spans="1:35" hidden="1">
      <c r="A71" s="147"/>
      <c r="B71" s="147"/>
      <c r="C71" s="147"/>
      <c r="D71" s="147"/>
      <c r="E71" s="147"/>
      <c r="F71" s="147"/>
      <c r="G71" s="147"/>
      <c r="H71" s="147"/>
      <c r="I71" s="147"/>
      <c r="J71" s="147"/>
      <c r="K71" s="147"/>
      <c r="L71" s="147"/>
      <c r="M71" s="147"/>
      <c r="N71" s="147"/>
      <c r="O71" s="147"/>
      <c r="P71" s="147"/>
      <c r="Q71" s="147"/>
      <c r="R71" s="147"/>
      <c r="S71" s="147"/>
      <c r="T71" s="147"/>
      <c r="U71" s="147"/>
      <c r="V71" s="147"/>
      <c r="W71" s="147"/>
      <c r="X71" s="147"/>
      <c r="Y71" s="147"/>
      <c r="Z71" s="147"/>
      <c r="AA71" s="147"/>
      <c r="AB71" s="147"/>
      <c r="AC71" s="147"/>
      <c r="AD71" s="147"/>
      <c r="AE71" s="147"/>
      <c r="AF71" s="147"/>
      <c r="AG71" s="147"/>
      <c r="AH71" s="158"/>
      <c r="AI71" s="158"/>
    </row>
    <row r="72" spans="1:35" hidden="1">
      <c r="A72" s="147"/>
      <c r="B72" s="147"/>
      <c r="C72" s="147"/>
      <c r="D72" s="147"/>
      <c r="E72" s="147"/>
      <c r="F72" s="147"/>
      <c r="G72" s="147"/>
      <c r="H72" s="147"/>
      <c r="I72" s="147"/>
      <c r="J72" s="147"/>
      <c r="K72" s="147"/>
      <c r="L72" s="147"/>
      <c r="M72" s="147"/>
      <c r="N72" s="147"/>
      <c r="O72" s="147"/>
      <c r="P72" s="147"/>
      <c r="Q72" s="147"/>
      <c r="R72" s="147"/>
      <c r="S72" s="147"/>
      <c r="T72" s="147"/>
      <c r="U72" s="147"/>
      <c r="V72" s="147"/>
      <c r="W72" s="147"/>
      <c r="X72" s="147"/>
      <c r="Y72" s="147"/>
      <c r="Z72" s="147"/>
      <c r="AA72" s="147"/>
      <c r="AB72" s="147"/>
      <c r="AC72" s="147"/>
      <c r="AD72" s="147"/>
      <c r="AE72" s="147"/>
      <c r="AF72" s="147"/>
      <c r="AG72" s="147"/>
      <c r="AH72" s="158"/>
      <c r="AI72" s="158"/>
    </row>
    <row r="73" spans="1:35" hidden="1">
      <c r="A73" s="147"/>
      <c r="B73" s="147"/>
      <c r="C73" s="147"/>
      <c r="D73" s="147"/>
      <c r="E73" s="147"/>
      <c r="F73" s="147"/>
      <c r="G73" s="147"/>
      <c r="H73" s="147"/>
      <c r="I73" s="147"/>
      <c r="J73" s="147"/>
      <c r="K73" s="147"/>
      <c r="L73" s="147"/>
      <c r="M73" s="147"/>
      <c r="N73" s="147"/>
      <c r="O73" s="147"/>
      <c r="P73" s="147"/>
      <c r="Q73" s="147"/>
      <c r="R73" s="147"/>
      <c r="S73" s="147"/>
      <c r="T73" s="147"/>
      <c r="U73" s="147"/>
      <c r="V73" s="147"/>
      <c r="W73" s="147"/>
      <c r="X73" s="147"/>
      <c r="Y73" s="147"/>
      <c r="Z73" s="147"/>
      <c r="AA73" s="147"/>
      <c r="AB73" s="147"/>
      <c r="AC73" s="147"/>
      <c r="AD73" s="147"/>
      <c r="AE73" s="147"/>
      <c r="AF73" s="147"/>
      <c r="AG73" s="147"/>
      <c r="AH73" s="158"/>
      <c r="AI73" s="158"/>
    </row>
    <row r="74" spans="1:35" hidden="1">
      <c r="A74" s="147"/>
      <c r="B74" s="147"/>
      <c r="C74" s="147"/>
      <c r="D74" s="147"/>
      <c r="E74" s="147"/>
      <c r="F74" s="147"/>
      <c r="G74" s="147"/>
      <c r="H74" s="147"/>
      <c r="I74" s="147"/>
      <c r="J74" s="147"/>
      <c r="K74" s="147"/>
      <c r="L74" s="147"/>
      <c r="M74" s="147"/>
      <c r="N74" s="147"/>
      <c r="O74" s="147"/>
      <c r="P74" s="147"/>
      <c r="Q74" s="147"/>
      <c r="R74" s="147"/>
      <c r="S74" s="147"/>
      <c r="T74" s="147"/>
      <c r="U74" s="147"/>
      <c r="V74" s="147"/>
      <c r="W74" s="147"/>
      <c r="X74" s="147"/>
      <c r="Y74" s="147"/>
      <c r="Z74" s="147"/>
      <c r="AA74" s="147"/>
      <c r="AB74" s="147"/>
      <c r="AC74" s="147"/>
      <c r="AD74" s="147"/>
      <c r="AE74" s="147"/>
      <c r="AF74" s="147"/>
      <c r="AG74" s="147"/>
      <c r="AH74" s="158"/>
      <c r="AI74" s="158"/>
    </row>
    <row r="75" spans="1:35" hidden="1">
      <c r="A75" s="147"/>
      <c r="B75" s="147"/>
      <c r="C75" s="147"/>
      <c r="D75" s="147"/>
      <c r="E75" s="147"/>
      <c r="F75" s="147"/>
      <c r="G75" s="147"/>
      <c r="H75" s="147"/>
      <c r="I75" s="147"/>
      <c r="J75" s="147"/>
      <c r="K75" s="147"/>
      <c r="L75" s="147"/>
      <c r="M75" s="147"/>
      <c r="N75" s="147"/>
      <c r="O75" s="147"/>
      <c r="P75" s="147"/>
      <c r="Q75" s="147"/>
      <c r="R75" s="147"/>
      <c r="S75" s="147"/>
      <c r="T75" s="147"/>
      <c r="U75" s="147"/>
      <c r="V75" s="147"/>
      <c r="W75" s="147"/>
      <c r="X75" s="147"/>
      <c r="Y75" s="147"/>
      <c r="Z75" s="147"/>
      <c r="AA75" s="147"/>
      <c r="AB75" s="147"/>
      <c r="AC75" s="147"/>
      <c r="AD75" s="147"/>
      <c r="AE75" s="147"/>
      <c r="AF75" s="147"/>
      <c r="AG75" s="147"/>
      <c r="AH75" s="158"/>
      <c r="AI75" s="158"/>
    </row>
    <row r="76" spans="1:35" hidden="1">
      <c r="A76" s="147"/>
      <c r="B76" s="147"/>
      <c r="C76" s="147"/>
      <c r="D76" s="147"/>
      <c r="E76" s="147"/>
      <c r="F76" s="147"/>
      <c r="G76" s="147"/>
      <c r="H76" s="147"/>
      <c r="I76" s="147"/>
      <c r="J76" s="147"/>
      <c r="K76" s="147"/>
      <c r="L76" s="147"/>
      <c r="M76" s="147"/>
      <c r="N76" s="147"/>
      <c r="O76" s="147"/>
      <c r="P76" s="147"/>
      <c r="Q76" s="147"/>
      <c r="R76" s="147"/>
      <c r="S76" s="147"/>
      <c r="T76" s="147"/>
      <c r="U76" s="147"/>
      <c r="V76" s="147"/>
      <c r="W76" s="147"/>
      <c r="X76" s="147"/>
      <c r="Y76" s="147"/>
      <c r="Z76" s="147"/>
      <c r="AA76" s="147"/>
      <c r="AB76" s="147"/>
      <c r="AC76" s="147"/>
      <c r="AD76" s="147"/>
      <c r="AE76" s="147"/>
      <c r="AF76" s="147"/>
      <c r="AG76" s="147"/>
      <c r="AH76" s="158"/>
      <c r="AI76" s="158"/>
    </row>
    <row r="77" spans="1:35" hidden="1">
      <c r="A77" s="147"/>
      <c r="B77" s="147"/>
      <c r="C77" s="147"/>
      <c r="D77" s="147"/>
      <c r="E77" s="147"/>
      <c r="F77" s="147"/>
      <c r="G77" s="147"/>
      <c r="H77" s="147"/>
      <c r="I77" s="147"/>
      <c r="J77" s="147"/>
      <c r="K77" s="147"/>
      <c r="L77" s="147"/>
      <c r="M77" s="147"/>
      <c r="N77" s="147"/>
      <c r="O77" s="147"/>
      <c r="P77" s="147"/>
      <c r="Q77" s="147"/>
      <c r="R77" s="147"/>
      <c r="S77" s="147"/>
      <c r="T77" s="147"/>
      <c r="U77" s="147"/>
      <c r="V77" s="147"/>
      <c r="W77" s="147"/>
      <c r="X77" s="147"/>
      <c r="Y77" s="147"/>
      <c r="Z77" s="147"/>
      <c r="AA77" s="147"/>
      <c r="AB77" s="147"/>
      <c r="AC77" s="147"/>
      <c r="AD77" s="147"/>
      <c r="AE77" s="147"/>
      <c r="AF77" s="147"/>
      <c r="AG77" s="147"/>
      <c r="AH77" s="158"/>
      <c r="AI77" s="158"/>
    </row>
    <row r="78" spans="1:35" hidden="1">
      <c r="A78" s="147"/>
      <c r="B78" s="147"/>
      <c r="C78" s="147"/>
      <c r="D78" s="147"/>
      <c r="E78" s="147"/>
      <c r="F78" s="147"/>
      <c r="G78" s="147"/>
      <c r="H78" s="147"/>
      <c r="I78" s="147"/>
      <c r="J78" s="147"/>
      <c r="K78" s="147"/>
      <c r="L78" s="147"/>
      <c r="M78" s="147"/>
      <c r="N78" s="147"/>
      <c r="O78" s="147"/>
      <c r="P78" s="147"/>
      <c r="Q78" s="147"/>
      <c r="R78" s="147"/>
      <c r="S78" s="147"/>
      <c r="T78" s="147"/>
      <c r="U78" s="147"/>
      <c r="V78" s="147"/>
      <c r="W78" s="147"/>
      <c r="X78" s="147"/>
      <c r="Y78" s="147"/>
      <c r="Z78" s="147"/>
      <c r="AA78" s="147"/>
      <c r="AB78" s="147"/>
      <c r="AC78" s="147"/>
      <c r="AD78" s="147"/>
      <c r="AE78" s="147"/>
      <c r="AF78" s="147"/>
      <c r="AG78" s="147"/>
      <c r="AH78" s="158"/>
      <c r="AI78" s="158"/>
    </row>
    <row r="79" spans="1:35" hidden="1">
      <c r="A79" s="147"/>
      <c r="B79" s="147"/>
      <c r="C79" s="147"/>
      <c r="D79" s="147"/>
      <c r="E79" s="147"/>
      <c r="F79" s="147"/>
      <c r="G79" s="147"/>
      <c r="H79" s="147"/>
      <c r="I79" s="147"/>
      <c r="J79" s="147"/>
      <c r="K79" s="147"/>
      <c r="L79" s="147"/>
      <c r="M79" s="147"/>
      <c r="N79" s="147"/>
      <c r="O79" s="147"/>
      <c r="P79" s="147"/>
      <c r="Q79" s="147"/>
      <c r="R79" s="147"/>
      <c r="S79" s="147"/>
      <c r="T79" s="147"/>
      <c r="U79" s="147"/>
      <c r="V79" s="147"/>
      <c r="W79" s="147"/>
      <c r="X79" s="147"/>
      <c r="Y79" s="147"/>
      <c r="Z79" s="147"/>
      <c r="AA79" s="147"/>
      <c r="AB79" s="147"/>
      <c r="AC79" s="147"/>
      <c r="AD79" s="147"/>
      <c r="AE79" s="147"/>
      <c r="AF79" s="147"/>
      <c r="AG79" s="147"/>
      <c r="AH79" s="158"/>
      <c r="AI79" s="158"/>
    </row>
    <row r="80" spans="1:35" hidden="1">
      <c r="A80" s="147"/>
      <c r="B80" s="147"/>
      <c r="C80" s="147"/>
      <c r="D80" s="147"/>
      <c r="E80" s="147"/>
      <c r="F80" s="147"/>
      <c r="G80" s="147"/>
      <c r="H80" s="147"/>
      <c r="I80" s="147"/>
      <c r="J80" s="147"/>
      <c r="K80" s="147"/>
      <c r="L80" s="147"/>
      <c r="M80" s="147"/>
      <c r="N80" s="147"/>
      <c r="O80" s="147"/>
      <c r="P80" s="147"/>
      <c r="Q80" s="147"/>
      <c r="R80" s="147"/>
      <c r="S80" s="147"/>
      <c r="T80" s="147"/>
      <c r="U80" s="147"/>
      <c r="V80" s="147"/>
      <c r="W80" s="147"/>
      <c r="X80" s="147"/>
      <c r="Y80" s="147"/>
      <c r="Z80" s="147"/>
      <c r="AA80" s="147"/>
      <c r="AB80" s="147"/>
      <c r="AC80" s="147"/>
      <c r="AD80" s="147"/>
      <c r="AE80" s="147"/>
      <c r="AF80" s="147"/>
      <c r="AG80" s="147"/>
      <c r="AH80" s="158"/>
      <c r="AI80" s="158"/>
    </row>
    <row r="81" spans="1:35" hidden="1">
      <c r="A81" s="147"/>
      <c r="B81" s="147"/>
      <c r="C81" s="147"/>
      <c r="D81" s="147"/>
      <c r="E81" s="147"/>
      <c r="F81" s="147"/>
      <c r="G81" s="147"/>
      <c r="H81" s="147"/>
      <c r="I81" s="147"/>
      <c r="J81" s="147"/>
      <c r="K81" s="147"/>
      <c r="L81" s="147"/>
      <c r="M81" s="147"/>
      <c r="N81" s="147"/>
      <c r="O81" s="147"/>
      <c r="P81" s="147"/>
      <c r="Q81" s="147"/>
      <c r="R81" s="147"/>
      <c r="S81" s="147"/>
      <c r="T81" s="147"/>
      <c r="U81" s="147"/>
      <c r="V81" s="147"/>
      <c r="W81" s="147"/>
      <c r="X81" s="147"/>
      <c r="Y81" s="147"/>
      <c r="Z81" s="147"/>
      <c r="AA81" s="147"/>
      <c r="AB81" s="147"/>
      <c r="AC81" s="147"/>
      <c r="AD81" s="147"/>
      <c r="AE81" s="147"/>
      <c r="AF81" s="147"/>
      <c r="AG81" s="147"/>
      <c r="AH81" s="158"/>
      <c r="AI81" s="158"/>
    </row>
    <row r="82" spans="1:35" hidden="1">
      <c r="A82" s="147"/>
      <c r="B82" s="147"/>
      <c r="C82" s="147"/>
      <c r="D82" s="147"/>
      <c r="E82" s="147"/>
      <c r="F82" s="147"/>
      <c r="G82" s="147"/>
      <c r="H82" s="147"/>
      <c r="I82" s="147"/>
      <c r="J82" s="147"/>
      <c r="K82" s="147"/>
      <c r="L82" s="147"/>
      <c r="M82" s="147"/>
      <c r="N82" s="147"/>
      <c r="O82" s="147"/>
      <c r="P82" s="147"/>
      <c r="Q82" s="147"/>
      <c r="R82" s="147"/>
      <c r="S82" s="147"/>
      <c r="T82" s="147"/>
      <c r="U82" s="147"/>
      <c r="V82" s="147"/>
      <c r="W82" s="147"/>
      <c r="X82" s="147"/>
      <c r="Y82" s="147"/>
      <c r="Z82" s="147"/>
      <c r="AA82" s="147"/>
      <c r="AB82" s="147"/>
      <c r="AC82" s="147"/>
      <c r="AD82" s="147"/>
      <c r="AE82" s="147"/>
      <c r="AF82" s="147"/>
      <c r="AG82" s="147"/>
      <c r="AH82" s="158"/>
      <c r="AI82" s="158"/>
    </row>
    <row r="83" spans="1:35" hidden="1">
      <c r="A83" s="147"/>
      <c r="B83" s="147"/>
      <c r="C83" s="147"/>
      <c r="D83" s="147"/>
      <c r="E83" s="147"/>
      <c r="F83" s="147"/>
      <c r="G83" s="147"/>
      <c r="H83" s="147"/>
      <c r="I83" s="147"/>
      <c r="J83" s="147"/>
      <c r="K83" s="147"/>
      <c r="L83" s="147"/>
      <c r="M83" s="147"/>
      <c r="N83" s="147"/>
      <c r="O83" s="147"/>
      <c r="P83" s="147"/>
      <c r="Q83" s="147"/>
      <c r="R83" s="147"/>
      <c r="S83" s="147"/>
      <c r="T83" s="147"/>
      <c r="U83" s="147"/>
      <c r="V83" s="147"/>
      <c r="W83" s="147"/>
      <c r="X83" s="147"/>
      <c r="Y83" s="147"/>
      <c r="Z83" s="147"/>
      <c r="AA83" s="147"/>
      <c r="AB83" s="147"/>
      <c r="AC83" s="147"/>
      <c r="AD83" s="147"/>
      <c r="AE83" s="147"/>
      <c r="AF83" s="147"/>
      <c r="AG83" s="147"/>
      <c r="AH83" s="158"/>
      <c r="AI83" s="158"/>
    </row>
    <row r="84" spans="1:35" hidden="1">
      <c r="A84" s="147"/>
      <c r="B84" s="147"/>
      <c r="C84" s="147"/>
      <c r="D84" s="147"/>
      <c r="E84" s="147"/>
      <c r="F84" s="147"/>
      <c r="G84" s="147"/>
      <c r="H84" s="147"/>
      <c r="I84" s="147"/>
      <c r="J84" s="147"/>
      <c r="K84" s="147"/>
      <c r="L84" s="147"/>
      <c r="M84" s="147"/>
      <c r="N84" s="147"/>
      <c r="O84" s="147"/>
      <c r="P84" s="147"/>
      <c r="Q84" s="147"/>
      <c r="R84" s="147"/>
      <c r="S84" s="147"/>
      <c r="T84" s="147"/>
      <c r="U84" s="147"/>
      <c r="V84" s="147"/>
      <c r="W84" s="147"/>
      <c r="X84" s="147"/>
      <c r="Y84" s="147"/>
      <c r="Z84" s="147"/>
      <c r="AA84" s="147"/>
      <c r="AB84" s="147"/>
      <c r="AC84" s="147"/>
      <c r="AD84" s="147"/>
      <c r="AE84" s="147"/>
      <c r="AF84" s="147"/>
      <c r="AG84" s="147"/>
      <c r="AH84" s="158"/>
      <c r="AI84" s="158"/>
    </row>
    <row r="85" spans="1:35" hidden="1">
      <c r="A85" s="147"/>
      <c r="B85" s="147"/>
      <c r="C85" s="147"/>
      <c r="D85" s="147"/>
      <c r="E85" s="147"/>
      <c r="F85" s="147"/>
      <c r="G85" s="147"/>
      <c r="H85" s="147"/>
      <c r="I85" s="147"/>
      <c r="J85" s="147"/>
      <c r="K85" s="147"/>
      <c r="L85" s="147"/>
      <c r="M85" s="147"/>
      <c r="N85" s="147"/>
      <c r="O85" s="147"/>
      <c r="P85" s="147"/>
      <c r="Q85" s="147"/>
      <c r="R85" s="147"/>
      <c r="S85" s="147"/>
      <c r="T85" s="147"/>
      <c r="U85" s="147"/>
      <c r="V85" s="147"/>
      <c r="W85" s="147"/>
      <c r="X85" s="147"/>
      <c r="Y85" s="147"/>
      <c r="Z85" s="147"/>
      <c r="AA85" s="147"/>
      <c r="AB85" s="147"/>
      <c r="AC85" s="147"/>
      <c r="AD85" s="147"/>
      <c r="AE85" s="147"/>
      <c r="AF85" s="147"/>
      <c r="AG85" s="147"/>
      <c r="AH85" s="158"/>
      <c r="AI85" s="158"/>
    </row>
    <row r="86" spans="1:35" hidden="1">
      <c r="A86" s="147"/>
      <c r="B86" s="147"/>
      <c r="C86" s="147"/>
      <c r="D86" s="147"/>
      <c r="E86" s="147"/>
      <c r="F86" s="147"/>
      <c r="G86" s="147"/>
      <c r="H86" s="147"/>
      <c r="I86" s="147"/>
      <c r="J86" s="147"/>
      <c r="K86" s="147"/>
      <c r="L86" s="147"/>
      <c r="M86" s="147"/>
      <c r="N86" s="147"/>
      <c r="O86" s="147"/>
      <c r="P86" s="147"/>
      <c r="Q86" s="147"/>
      <c r="R86" s="147"/>
      <c r="S86" s="147"/>
      <c r="T86" s="147"/>
      <c r="U86" s="147"/>
      <c r="V86" s="147"/>
      <c r="W86" s="147"/>
      <c r="X86" s="147"/>
      <c r="Y86" s="147"/>
      <c r="Z86" s="147"/>
      <c r="AA86" s="147"/>
      <c r="AB86" s="147"/>
      <c r="AC86" s="147"/>
      <c r="AD86" s="147"/>
      <c r="AE86" s="147"/>
      <c r="AF86" s="147"/>
      <c r="AG86" s="147"/>
      <c r="AH86" s="158"/>
      <c r="AI86" s="158"/>
    </row>
    <row r="87" spans="1:35" hidden="1">
      <c r="A87" s="147"/>
      <c r="B87" s="147"/>
      <c r="C87" s="147"/>
      <c r="D87" s="147"/>
      <c r="E87" s="147"/>
      <c r="F87" s="147"/>
      <c r="G87" s="147"/>
      <c r="H87" s="147"/>
      <c r="I87" s="147"/>
      <c r="J87" s="147"/>
      <c r="K87" s="147"/>
      <c r="L87" s="147"/>
      <c r="M87" s="147"/>
      <c r="N87" s="147"/>
      <c r="O87" s="147"/>
      <c r="P87" s="147"/>
      <c r="Q87" s="147"/>
      <c r="R87" s="147"/>
      <c r="S87" s="147"/>
      <c r="T87" s="147"/>
      <c r="U87" s="147"/>
      <c r="V87" s="147"/>
      <c r="W87" s="147"/>
      <c r="X87" s="147"/>
      <c r="Y87" s="147"/>
      <c r="Z87" s="147"/>
      <c r="AA87" s="147"/>
      <c r="AB87" s="147"/>
      <c r="AC87" s="147"/>
      <c r="AD87" s="147"/>
      <c r="AE87" s="147"/>
      <c r="AF87" s="147"/>
      <c r="AG87" s="147"/>
      <c r="AH87" s="158"/>
      <c r="AI87" s="158"/>
    </row>
    <row r="88" spans="1:35" hidden="1">
      <c r="A88" s="147"/>
      <c r="B88" s="147"/>
      <c r="C88" s="147"/>
      <c r="D88" s="147"/>
      <c r="E88" s="147"/>
      <c r="F88" s="147"/>
      <c r="G88" s="147"/>
      <c r="H88" s="147"/>
      <c r="I88" s="147"/>
      <c r="J88" s="147"/>
      <c r="K88" s="147"/>
      <c r="L88" s="147"/>
      <c r="M88" s="147"/>
      <c r="N88" s="147"/>
      <c r="O88" s="147"/>
      <c r="P88" s="147"/>
      <c r="Q88" s="147"/>
      <c r="R88" s="147"/>
      <c r="S88" s="147"/>
      <c r="T88" s="147"/>
      <c r="U88" s="147"/>
      <c r="V88" s="147"/>
      <c r="W88" s="147"/>
      <c r="X88" s="147"/>
      <c r="Y88" s="147"/>
      <c r="Z88" s="147"/>
      <c r="AA88" s="147"/>
      <c r="AB88" s="147"/>
      <c r="AC88" s="147"/>
      <c r="AD88" s="147"/>
      <c r="AE88" s="147"/>
      <c r="AF88" s="147"/>
      <c r="AG88" s="147"/>
      <c r="AH88" s="158"/>
      <c r="AI88" s="158"/>
    </row>
    <row r="89" spans="1:35" hidden="1">
      <c r="A89" s="147"/>
      <c r="B89" s="147"/>
      <c r="C89" s="147"/>
      <c r="D89" s="147"/>
      <c r="E89" s="147"/>
      <c r="F89" s="147"/>
      <c r="G89" s="147"/>
      <c r="H89" s="147"/>
      <c r="I89" s="147"/>
      <c r="J89" s="147"/>
      <c r="K89" s="147"/>
      <c r="L89" s="147"/>
      <c r="M89" s="147"/>
      <c r="N89" s="147"/>
      <c r="O89" s="147"/>
      <c r="P89" s="147"/>
      <c r="Q89" s="147"/>
      <c r="R89" s="147"/>
      <c r="S89" s="147"/>
      <c r="T89" s="147"/>
      <c r="U89" s="147"/>
      <c r="V89" s="147"/>
      <c r="W89" s="147"/>
      <c r="X89" s="147"/>
      <c r="Y89" s="147"/>
      <c r="Z89" s="147"/>
      <c r="AA89" s="147"/>
      <c r="AB89" s="147"/>
      <c r="AC89" s="147"/>
      <c r="AD89" s="147"/>
      <c r="AE89" s="147"/>
      <c r="AF89" s="147"/>
      <c r="AG89" s="147"/>
      <c r="AH89" s="158"/>
      <c r="AI89" s="158"/>
    </row>
    <row r="90" spans="1:35" hidden="1">
      <c r="A90" s="147"/>
      <c r="B90" s="147"/>
      <c r="C90" s="147"/>
      <c r="D90" s="147"/>
      <c r="E90" s="147"/>
      <c r="F90" s="147"/>
      <c r="G90" s="147"/>
      <c r="H90" s="147"/>
      <c r="I90" s="147"/>
      <c r="J90" s="147"/>
      <c r="K90" s="147"/>
      <c r="L90" s="147"/>
      <c r="M90" s="147"/>
      <c r="N90" s="147"/>
      <c r="O90" s="147"/>
      <c r="P90" s="147"/>
      <c r="Q90" s="147"/>
      <c r="R90" s="147"/>
      <c r="S90" s="147"/>
      <c r="T90" s="147"/>
      <c r="U90" s="147"/>
      <c r="V90" s="147"/>
      <c r="W90" s="147"/>
      <c r="X90" s="147"/>
      <c r="Y90" s="147"/>
      <c r="Z90" s="147"/>
      <c r="AA90" s="147"/>
      <c r="AB90" s="147"/>
      <c r="AC90" s="147"/>
      <c r="AD90" s="147"/>
      <c r="AE90" s="147"/>
      <c r="AF90" s="147"/>
      <c r="AG90" s="147"/>
      <c r="AH90" s="158"/>
      <c r="AI90" s="158"/>
    </row>
    <row r="91" spans="1:35" hidden="1">
      <c r="A91" s="147"/>
      <c r="B91" s="147"/>
      <c r="C91" s="147"/>
      <c r="D91" s="147"/>
      <c r="E91" s="147"/>
      <c r="F91" s="147"/>
      <c r="G91" s="147"/>
      <c r="H91" s="147"/>
      <c r="I91" s="147"/>
      <c r="J91" s="147"/>
      <c r="K91" s="147"/>
      <c r="L91" s="147"/>
      <c r="M91" s="147"/>
      <c r="N91" s="147"/>
      <c r="O91" s="147"/>
      <c r="P91" s="147"/>
      <c r="Q91" s="147"/>
      <c r="R91" s="147"/>
      <c r="S91" s="147"/>
      <c r="T91" s="147"/>
      <c r="U91" s="147"/>
      <c r="V91" s="147"/>
      <c r="W91" s="147"/>
      <c r="X91" s="147"/>
      <c r="Y91" s="147"/>
      <c r="Z91" s="147"/>
      <c r="AA91" s="147"/>
      <c r="AB91" s="147"/>
      <c r="AC91" s="147"/>
      <c r="AD91" s="147"/>
      <c r="AE91" s="147"/>
      <c r="AF91" s="147"/>
      <c r="AG91" s="147"/>
      <c r="AH91" s="158"/>
      <c r="AI91" s="158"/>
    </row>
    <row r="92" spans="1:35" hidden="1">
      <c r="A92" s="147"/>
      <c r="B92" s="147"/>
      <c r="C92" s="147"/>
      <c r="D92" s="147"/>
      <c r="E92" s="147"/>
      <c r="F92" s="147"/>
      <c r="G92" s="147"/>
      <c r="H92" s="147"/>
      <c r="I92" s="147"/>
      <c r="J92" s="147"/>
      <c r="K92" s="147"/>
      <c r="L92" s="147"/>
      <c r="M92" s="147"/>
      <c r="N92" s="147"/>
      <c r="O92" s="147"/>
      <c r="P92" s="147"/>
      <c r="Q92" s="147"/>
      <c r="R92" s="147"/>
      <c r="S92" s="147"/>
      <c r="T92" s="147"/>
      <c r="U92" s="147"/>
      <c r="V92" s="147"/>
      <c r="W92" s="147"/>
      <c r="X92" s="147"/>
      <c r="Y92" s="147"/>
      <c r="Z92" s="147"/>
      <c r="AA92" s="147"/>
      <c r="AB92" s="147"/>
      <c r="AC92" s="147"/>
      <c r="AD92" s="147"/>
      <c r="AE92" s="147"/>
      <c r="AF92" s="147"/>
      <c r="AG92" s="147"/>
      <c r="AH92" s="158"/>
      <c r="AI92" s="158"/>
    </row>
    <row r="93" spans="1:35" hidden="1">
      <c r="A93" s="147"/>
      <c r="B93" s="147"/>
      <c r="C93" s="147"/>
      <c r="D93" s="147"/>
      <c r="E93" s="147"/>
      <c r="F93" s="147"/>
      <c r="G93" s="147"/>
      <c r="H93" s="147"/>
      <c r="I93" s="147"/>
      <c r="J93" s="147"/>
      <c r="K93" s="147"/>
      <c r="L93" s="147"/>
      <c r="M93" s="147"/>
      <c r="N93" s="147"/>
      <c r="O93" s="147"/>
      <c r="P93" s="147"/>
      <c r="Q93" s="147"/>
      <c r="R93" s="147"/>
      <c r="S93" s="147"/>
      <c r="T93" s="147"/>
      <c r="U93" s="147"/>
      <c r="V93" s="147"/>
      <c r="W93" s="147"/>
      <c r="X93" s="147"/>
      <c r="Y93" s="147"/>
      <c r="Z93" s="147"/>
      <c r="AA93" s="147"/>
      <c r="AB93" s="147"/>
      <c r="AC93" s="147"/>
      <c r="AD93" s="147"/>
      <c r="AE93" s="147"/>
      <c r="AF93" s="147"/>
      <c r="AG93" s="147"/>
      <c r="AH93" s="158"/>
      <c r="AI93" s="158"/>
    </row>
    <row r="94" spans="1:35" hidden="1">
      <c r="A94" s="147"/>
      <c r="B94" s="147"/>
      <c r="C94" s="147"/>
      <c r="D94" s="147"/>
      <c r="E94" s="147"/>
      <c r="F94" s="147"/>
      <c r="G94" s="147"/>
      <c r="H94" s="147"/>
      <c r="I94" s="147"/>
      <c r="J94" s="147"/>
      <c r="K94" s="147"/>
      <c r="L94" s="147"/>
      <c r="M94" s="147"/>
      <c r="N94" s="147"/>
      <c r="O94" s="147"/>
      <c r="P94" s="147"/>
      <c r="Q94" s="147"/>
      <c r="R94" s="147"/>
      <c r="S94" s="147"/>
      <c r="T94" s="147"/>
      <c r="U94" s="147"/>
      <c r="V94" s="147"/>
      <c r="W94" s="147"/>
      <c r="X94" s="147"/>
      <c r="Y94" s="147"/>
      <c r="Z94" s="147"/>
      <c r="AA94" s="147"/>
      <c r="AB94" s="147"/>
      <c r="AC94" s="147"/>
      <c r="AD94" s="147"/>
      <c r="AE94" s="147"/>
      <c r="AF94" s="147"/>
      <c r="AG94" s="147"/>
      <c r="AH94" s="158"/>
      <c r="AI94" s="158"/>
    </row>
    <row r="95" spans="1:35" hidden="1">
      <c r="A95" s="147"/>
      <c r="B95" s="147"/>
      <c r="C95" s="147"/>
      <c r="D95" s="147"/>
      <c r="E95" s="147"/>
      <c r="F95" s="147"/>
      <c r="G95" s="147"/>
      <c r="H95" s="147"/>
      <c r="I95" s="147"/>
      <c r="J95" s="147"/>
      <c r="K95" s="147"/>
      <c r="L95" s="147"/>
      <c r="M95" s="147"/>
      <c r="N95" s="147"/>
      <c r="O95" s="147"/>
      <c r="P95" s="147"/>
      <c r="Q95" s="147"/>
      <c r="R95" s="147"/>
      <c r="S95" s="147"/>
      <c r="T95" s="147"/>
      <c r="U95" s="147"/>
      <c r="V95" s="147"/>
      <c r="W95" s="147"/>
      <c r="X95" s="147"/>
      <c r="Y95" s="147"/>
      <c r="Z95" s="147"/>
      <c r="AA95" s="147"/>
      <c r="AB95" s="147"/>
      <c r="AC95" s="147"/>
      <c r="AD95" s="147"/>
      <c r="AE95" s="147"/>
      <c r="AF95" s="147"/>
      <c r="AG95" s="147"/>
      <c r="AH95" s="158"/>
      <c r="AI95" s="158"/>
    </row>
    <row r="96" spans="1:35" hidden="1">
      <c r="A96" s="147"/>
      <c r="B96" s="147"/>
      <c r="C96" s="147"/>
      <c r="D96" s="147"/>
      <c r="E96" s="147"/>
      <c r="F96" s="147"/>
      <c r="G96" s="147"/>
      <c r="H96" s="147"/>
      <c r="I96" s="147"/>
      <c r="J96" s="147"/>
      <c r="K96" s="147"/>
      <c r="L96" s="147"/>
      <c r="M96" s="147"/>
      <c r="N96" s="147"/>
      <c r="O96" s="147"/>
      <c r="P96" s="147"/>
      <c r="Q96" s="147"/>
      <c r="R96" s="147"/>
      <c r="S96" s="147"/>
      <c r="T96" s="147"/>
      <c r="U96" s="147"/>
      <c r="V96" s="147"/>
      <c r="W96" s="147"/>
      <c r="X96" s="147"/>
      <c r="Y96" s="147"/>
      <c r="Z96" s="147"/>
      <c r="AA96" s="147"/>
      <c r="AB96" s="147"/>
      <c r="AC96" s="147"/>
      <c r="AD96" s="147"/>
      <c r="AE96" s="147"/>
      <c r="AF96" s="147"/>
      <c r="AG96" s="147"/>
      <c r="AH96" s="158"/>
      <c r="AI96" s="158"/>
    </row>
    <row r="97" spans="1:35" hidden="1">
      <c r="A97" s="147"/>
      <c r="B97" s="147"/>
      <c r="C97" s="147"/>
      <c r="D97" s="147"/>
      <c r="E97" s="147"/>
      <c r="F97" s="147"/>
      <c r="G97" s="147"/>
      <c r="H97" s="147"/>
      <c r="I97" s="147"/>
      <c r="J97" s="147"/>
      <c r="K97" s="147"/>
      <c r="L97" s="147"/>
      <c r="M97" s="147"/>
      <c r="N97" s="147"/>
      <c r="O97" s="147"/>
      <c r="P97" s="147"/>
      <c r="Q97" s="147"/>
      <c r="R97" s="147"/>
      <c r="S97" s="147"/>
      <c r="T97" s="147"/>
      <c r="U97" s="147"/>
      <c r="V97" s="147"/>
      <c r="W97" s="147"/>
      <c r="X97" s="147"/>
      <c r="Y97" s="147"/>
      <c r="Z97" s="147"/>
      <c r="AA97" s="147"/>
      <c r="AB97" s="147"/>
      <c r="AC97" s="147"/>
      <c r="AD97" s="147"/>
      <c r="AE97" s="147"/>
      <c r="AF97" s="147"/>
      <c r="AG97" s="147"/>
      <c r="AH97" s="158"/>
      <c r="AI97" s="158"/>
    </row>
    <row r="98" spans="1:35" hidden="1">
      <c r="A98" s="147"/>
      <c r="B98" s="147"/>
      <c r="C98" s="147"/>
      <c r="D98" s="147"/>
      <c r="E98" s="147"/>
      <c r="F98" s="147"/>
      <c r="G98" s="147"/>
      <c r="H98" s="147"/>
      <c r="I98" s="147"/>
      <c r="J98" s="147"/>
      <c r="K98" s="147"/>
      <c r="L98" s="147"/>
      <c r="M98" s="147"/>
      <c r="N98" s="147"/>
      <c r="O98" s="147"/>
      <c r="P98" s="147"/>
      <c r="Q98" s="147"/>
      <c r="R98" s="147"/>
      <c r="S98" s="147"/>
      <c r="T98" s="147"/>
      <c r="U98" s="147"/>
      <c r="V98" s="147"/>
      <c r="W98" s="147"/>
      <c r="X98" s="147"/>
      <c r="Y98" s="147"/>
      <c r="Z98" s="147"/>
      <c r="AA98" s="147"/>
      <c r="AB98" s="147"/>
      <c r="AC98" s="147"/>
      <c r="AD98" s="147"/>
      <c r="AE98" s="147"/>
      <c r="AF98" s="147"/>
      <c r="AG98" s="147"/>
      <c r="AH98" s="158"/>
      <c r="AI98" s="158"/>
    </row>
    <row r="99" spans="1:35" hidden="1">
      <c r="A99" s="147"/>
      <c r="B99" s="147"/>
      <c r="C99" s="147"/>
      <c r="D99" s="147"/>
      <c r="E99" s="147"/>
      <c r="F99" s="147"/>
      <c r="G99" s="147"/>
      <c r="H99" s="147"/>
      <c r="I99" s="147"/>
      <c r="J99" s="147"/>
      <c r="K99" s="147"/>
      <c r="L99" s="147"/>
      <c r="M99" s="147"/>
      <c r="N99" s="147"/>
      <c r="O99" s="147"/>
      <c r="P99" s="147"/>
      <c r="Q99" s="147"/>
      <c r="R99" s="147"/>
      <c r="S99" s="147"/>
      <c r="T99" s="147"/>
      <c r="U99" s="147"/>
      <c r="V99" s="147"/>
      <c r="W99" s="147"/>
      <c r="X99" s="147"/>
      <c r="Y99" s="147"/>
      <c r="Z99" s="147"/>
      <c r="AA99" s="147"/>
      <c r="AB99" s="147"/>
      <c r="AC99" s="147"/>
      <c r="AD99" s="147"/>
      <c r="AE99" s="147"/>
      <c r="AF99" s="147"/>
      <c r="AG99" s="147"/>
      <c r="AH99" s="158"/>
      <c r="AI99" s="158"/>
    </row>
    <row r="100" spans="1:35" hidden="1">
      <c r="A100" s="147"/>
      <c r="B100" s="147"/>
      <c r="C100" s="147"/>
      <c r="D100" s="147"/>
      <c r="E100" s="147"/>
      <c r="F100" s="147"/>
      <c r="G100" s="147"/>
      <c r="H100" s="147"/>
      <c r="I100" s="147"/>
      <c r="J100" s="147"/>
      <c r="K100" s="147"/>
      <c r="L100" s="147"/>
      <c r="M100" s="147"/>
      <c r="N100" s="147"/>
      <c r="O100" s="147"/>
      <c r="P100" s="147"/>
      <c r="Q100" s="147"/>
      <c r="R100" s="147"/>
      <c r="S100" s="147"/>
      <c r="T100" s="147"/>
      <c r="U100" s="147"/>
      <c r="V100" s="147"/>
      <c r="W100" s="147"/>
      <c r="X100" s="147"/>
      <c r="Y100" s="147"/>
      <c r="Z100" s="147"/>
      <c r="AA100" s="147"/>
      <c r="AB100" s="147"/>
      <c r="AC100" s="147"/>
      <c r="AD100" s="147"/>
      <c r="AE100" s="147"/>
      <c r="AF100" s="147"/>
      <c r="AG100" s="147"/>
      <c r="AH100" s="158"/>
      <c r="AI100" s="158"/>
    </row>
    <row r="101" spans="1:35" hidden="1">
      <c r="A101" s="147"/>
      <c r="B101" s="147"/>
      <c r="C101" s="147"/>
      <c r="D101" s="147"/>
      <c r="E101" s="147"/>
      <c r="F101" s="147"/>
      <c r="G101" s="147"/>
      <c r="H101" s="147"/>
      <c r="I101" s="147"/>
      <c r="J101" s="147"/>
      <c r="K101" s="147"/>
      <c r="L101" s="147"/>
      <c r="M101" s="147"/>
      <c r="N101" s="147"/>
      <c r="O101" s="147"/>
      <c r="P101" s="147"/>
      <c r="Q101" s="147"/>
      <c r="R101" s="147"/>
      <c r="S101" s="147"/>
      <c r="T101" s="147"/>
      <c r="U101" s="147"/>
      <c r="V101" s="147"/>
      <c r="W101" s="147"/>
      <c r="X101" s="147"/>
      <c r="Y101" s="147"/>
      <c r="Z101" s="147"/>
      <c r="AA101" s="147"/>
      <c r="AB101" s="147"/>
      <c r="AC101" s="147"/>
      <c r="AD101" s="147"/>
      <c r="AE101" s="147"/>
      <c r="AF101" s="147"/>
      <c r="AG101" s="147"/>
      <c r="AH101" s="158"/>
      <c r="AI101" s="158"/>
    </row>
    <row r="102" spans="1:35" hidden="1">
      <c r="A102" s="147"/>
      <c r="B102" s="147"/>
      <c r="C102" s="147"/>
      <c r="D102" s="147"/>
      <c r="E102" s="147"/>
      <c r="F102" s="147"/>
      <c r="G102" s="147"/>
      <c r="H102" s="147"/>
      <c r="I102" s="147"/>
      <c r="J102" s="147"/>
      <c r="K102" s="147"/>
      <c r="L102" s="147"/>
      <c r="M102" s="147"/>
      <c r="N102" s="147"/>
      <c r="O102" s="147"/>
      <c r="P102" s="147"/>
      <c r="Q102" s="147"/>
      <c r="R102" s="147"/>
      <c r="S102" s="147"/>
      <c r="T102" s="147"/>
      <c r="U102" s="147"/>
      <c r="V102" s="147"/>
      <c r="W102" s="147"/>
      <c r="X102" s="147"/>
      <c r="Y102" s="147"/>
      <c r="Z102" s="147"/>
      <c r="AA102" s="147"/>
      <c r="AB102" s="147"/>
      <c r="AC102" s="147"/>
      <c r="AD102" s="147"/>
      <c r="AE102" s="147"/>
      <c r="AF102" s="147"/>
      <c r="AG102" s="147"/>
      <c r="AH102" s="158"/>
      <c r="AI102" s="158"/>
    </row>
    <row r="103" spans="1:35" hidden="1">
      <c r="A103" s="147"/>
      <c r="B103" s="147"/>
      <c r="C103" s="147"/>
      <c r="D103" s="147"/>
      <c r="E103" s="147"/>
      <c r="F103" s="147"/>
      <c r="G103" s="147"/>
      <c r="H103" s="147"/>
      <c r="I103" s="147"/>
      <c r="J103" s="147"/>
      <c r="K103" s="147"/>
      <c r="L103" s="147"/>
      <c r="M103" s="147"/>
      <c r="N103" s="147"/>
      <c r="O103" s="147"/>
      <c r="P103" s="147"/>
      <c r="Q103" s="147"/>
      <c r="R103" s="147"/>
      <c r="S103" s="147"/>
      <c r="T103" s="147"/>
      <c r="U103" s="147"/>
      <c r="V103" s="147"/>
      <c r="W103" s="147"/>
      <c r="X103" s="147"/>
      <c r="Y103" s="147"/>
      <c r="Z103" s="147"/>
      <c r="AA103" s="147"/>
      <c r="AB103" s="147"/>
      <c r="AC103" s="147"/>
      <c r="AD103" s="147"/>
      <c r="AE103" s="147"/>
      <c r="AF103" s="147"/>
      <c r="AG103" s="147"/>
      <c r="AH103" s="158"/>
      <c r="AI103" s="158"/>
    </row>
    <row r="104" spans="1:35" hidden="1">
      <c r="A104" s="147"/>
      <c r="B104" s="147"/>
      <c r="C104" s="147"/>
      <c r="D104" s="147"/>
      <c r="E104" s="147"/>
      <c r="F104" s="147"/>
      <c r="G104" s="147"/>
      <c r="H104" s="147"/>
      <c r="I104" s="147"/>
      <c r="J104" s="147"/>
      <c r="K104" s="147"/>
      <c r="L104" s="147"/>
      <c r="M104" s="147"/>
      <c r="N104" s="147"/>
      <c r="O104" s="147"/>
      <c r="P104" s="147"/>
      <c r="Q104" s="147"/>
      <c r="R104" s="147"/>
      <c r="S104" s="147"/>
      <c r="T104" s="147"/>
      <c r="U104" s="147"/>
      <c r="V104" s="147"/>
      <c r="W104" s="147"/>
      <c r="X104" s="147"/>
      <c r="Y104" s="147"/>
      <c r="Z104" s="147"/>
      <c r="AA104" s="147"/>
      <c r="AB104" s="147"/>
      <c r="AC104" s="147"/>
      <c r="AD104" s="147"/>
      <c r="AE104" s="147"/>
      <c r="AF104" s="147"/>
      <c r="AG104" s="147"/>
      <c r="AH104" s="158"/>
      <c r="AI104" s="158"/>
    </row>
    <row r="105" spans="1:35" hidden="1">
      <c r="A105" s="147"/>
      <c r="B105" s="147"/>
      <c r="C105" s="147"/>
      <c r="D105" s="147"/>
      <c r="E105" s="147"/>
      <c r="F105" s="147"/>
      <c r="G105" s="147"/>
      <c r="H105" s="147"/>
      <c r="I105" s="147"/>
      <c r="J105" s="147"/>
      <c r="K105" s="147"/>
      <c r="L105" s="147"/>
      <c r="M105" s="147"/>
      <c r="N105" s="147"/>
      <c r="O105" s="147"/>
      <c r="P105" s="147"/>
      <c r="Q105" s="147"/>
      <c r="R105" s="147"/>
      <c r="S105" s="147"/>
      <c r="T105" s="147"/>
      <c r="U105" s="147"/>
      <c r="V105" s="147"/>
      <c r="W105" s="147"/>
      <c r="X105" s="147"/>
      <c r="Y105" s="147"/>
      <c r="Z105" s="147"/>
      <c r="AA105" s="147"/>
      <c r="AB105" s="147"/>
      <c r="AC105" s="147"/>
      <c r="AD105" s="147"/>
      <c r="AE105" s="147"/>
      <c r="AF105" s="147"/>
      <c r="AG105" s="147"/>
      <c r="AH105" s="158"/>
      <c r="AI105" s="158"/>
    </row>
    <row r="106" spans="1:35" hidden="1">
      <c r="A106" s="147"/>
      <c r="B106" s="147"/>
      <c r="C106" s="147"/>
      <c r="D106" s="147"/>
      <c r="E106" s="147"/>
      <c r="F106" s="147"/>
      <c r="G106" s="147"/>
      <c r="H106" s="147"/>
      <c r="I106" s="147"/>
      <c r="J106" s="147"/>
      <c r="K106" s="147"/>
      <c r="L106" s="147"/>
      <c r="M106" s="147"/>
      <c r="N106" s="147"/>
      <c r="O106" s="147"/>
      <c r="P106" s="147"/>
      <c r="Q106" s="147"/>
      <c r="R106" s="147"/>
      <c r="S106" s="147"/>
      <c r="T106" s="147"/>
      <c r="U106" s="147"/>
      <c r="V106" s="147"/>
      <c r="W106" s="147"/>
      <c r="X106" s="147"/>
      <c r="Y106" s="147"/>
      <c r="Z106" s="147"/>
      <c r="AA106" s="147"/>
      <c r="AB106" s="147"/>
      <c r="AC106" s="147"/>
      <c r="AD106" s="147"/>
      <c r="AE106" s="147"/>
      <c r="AF106" s="147"/>
      <c r="AG106" s="147"/>
      <c r="AH106" s="158"/>
      <c r="AI106" s="158"/>
    </row>
    <row r="107" spans="1:35" hidden="1">
      <c r="A107" s="147"/>
      <c r="B107" s="147"/>
      <c r="C107" s="147"/>
      <c r="D107" s="147"/>
      <c r="E107" s="147"/>
      <c r="F107" s="147"/>
      <c r="G107" s="147"/>
      <c r="H107" s="147"/>
      <c r="I107" s="147"/>
      <c r="J107" s="147"/>
      <c r="K107" s="147"/>
      <c r="L107" s="147"/>
      <c r="M107" s="147"/>
      <c r="N107" s="147"/>
      <c r="O107" s="147"/>
      <c r="P107" s="147"/>
      <c r="Q107" s="147"/>
      <c r="R107" s="147"/>
      <c r="S107" s="147"/>
      <c r="T107" s="147"/>
      <c r="U107" s="147"/>
      <c r="V107" s="147"/>
      <c r="W107" s="147"/>
      <c r="X107" s="147"/>
      <c r="Y107" s="147"/>
      <c r="Z107" s="147"/>
      <c r="AA107" s="147"/>
      <c r="AB107" s="147"/>
      <c r="AC107" s="147"/>
      <c r="AD107" s="147"/>
      <c r="AE107" s="147"/>
      <c r="AF107" s="147"/>
      <c r="AG107" s="147"/>
      <c r="AH107" s="158"/>
      <c r="AI107" s="158"/>
    </row>
    <row r="108" spans="1:35" hidden="1">
      <c r="A108" s="147"/>
      <c r="B108" s="147"/>
      <c r="C108" s="147"/>
      <c r="D108" s="147"/>
      <c r="E108" s="147"/>
      <c r="F108" s="147"/>
      <c r="G108" s="147"/>
      <c r="H108" s="147"/>
      <c r="I108" s="147"/>
      <c r="J108" s="147"/>
      <c r="K108" s="147"/>
      <c r="L108" s="147"/>
      <c r="M108" s="147"/>
      <c r="N108" s="147"/>
      <c r="O108" s="147"/>
      <c r="P108" s="147"/>
      <c r="Q108" s="147"/>
      <c r="R108" s="147"/>
      <c r="S108" s="147"/>
      <c r="T108" s="147"/>
      <c r="U108" s="147"/>
      <c r="V108" s="147"/>
      <c r="W108" s="147"/>
      <c r="X108" s="147"/>
      <c r="Y108" s="147"/>
      <c r="Z108" s="147"/>
      <c r="AA108" s="147"/>
      <c r="AB108" s="147"/>
      <c r="AC108" s="147"/>
      <c r="AD108" s="147"/>
      <c r="AE108" s="147"/>
      <c r="AF108" s="147"/>
      <c r="AG108" s="147"/>
      <c r="AH108" s="158"/>
      <c r="AI108" s="158"/>
    </row>
    <row r="109" spans="1:35" hidden="1">
      <c r="A109" s="147"/>
      <c r="B109" s="147"/>
      <c r="C109" s="147"/>
      <c r="D109" s="147"/>
      <c r="E109" s="147"/>
      <c r="F109" s="147"/>
      <c r="G109" s="147"/>
      <c r="H109" s="147"/>
      <c r="I109" s="147"/>
      <c r="J109" s="147"/>
      <c r="K109" s="147"/>
      <c r="L109" s="147"/>
      <c r="M109" s="147"/>
      <c r="N109" s="147"/>
      <c r="O109" s="147"/>
      <c r="P109" s="147"/>
      <c r="Q109" s="147"/>
      <c r="R109" s="147"/>
      <c r="S109" s="147"/>
      <c r="T109" s="147"/>
      <c r="U109" s="147"/>
      <c r="V109" s="147"/>
      <c r="W109" s="147"/>
      <c r="X109" s="147"/>
      <c r="Y109" s="147"/>
      <c r="Z109" s="147"/>
      <c r="AA109" s="147"/>
      <c r="AB109" s="147"/>
      <c r="AC109" s="147"/>
      <c r="AD109" s="147"/>
      <c r="AE109" s="147"/>
      <c r="AF109" s="147"/>
      <c r="AG109" s="147"/>
      <c r="AH109" s="158"/>
      <c r="AI109" s="158"/>
    </row>
    <row r="110" spans="1:35" hidden="1">
      <c r="A110" s="147"/>
      <c r="B110" s="147"/>
      <c r="C110" s="147"/>
      <c r="D110" s="147"/>
      <c r="E110" s="147"/>
      <c r="F110" s="147"/>
      <c r="G110" s="147"/>
      <c r="H110" s="147"/>
      <c r="I110" s="147"/>
      <c r="J110" s="147"/>
      <c r="K110" s="147"/>
      <c r="L110" s="147"/>
      <c r="M110" s="147"/>
      <c r="N110" s="147"/>
      <c r="O110" s="147"/>
      <c r="P110" s="147"/>
      <c r="Q110" s="147"/>
      <c r="R110" s="147"/>
      <c r="S110" s="147"/>
      <c r="T110" s="147"/>
      <c r="U110" s="147"/>
      <c r="V110" s="147"/>
      <c r="W110" s="147"/>
      <c r="X110" s="147"/>
      <c r="Y110" s="147"/>
      <c r="Z110" s="147"/>
      <c r="AA110" s="147"/>
      <c r="AB110" s="147"/>
      <c r="AC110" s="147"/>
      <c r="AD110" s="147"/>
      <c r="AE110" s="147"/>
      <c r="AF110" s="147"/>
      <c r="AG110" s="147"/>
      <c r="AH110" s="158"/>
      <c r="AI110" s="158"/>
    </row>
    <row r="111" spans="1:35" hidden="1">
      <c r="A111" s="147"/>
      <c r="B111" s="147"/>
      <c r="C111" s="147"/>
      <c r="D111" s="147"/>
      <c r="E111" s="147"/>
      <c r="F111" s="147"/>
      <c r="G111" s="147"/>
      <c r="H111" s="147"/>
      <c r="I111" s="147"/>
      <c r="J111" s="147"/>
      <c r="K111" s="147"/>
      <c r="L111" s="147"/>
      <c r="M111" s="147"/>
      <c r="N111" s="147"/>
      <c r="O111" s="147"/>
      <c r="P111" s="147"/>
      <c r="Q111" s="147"/>
      <c r="R111" s="147"/>
      <c r="S111" s="147"/>
      <c r="T111" s="147"/>
      <c r="U111" s="147"/>
      <c r="V111" s="147"/>
      <c r="W111" s="147"/>
      <c r="X111" s="147"/>
      <c r="Y111" s="147"/>
      <c r="Z111" s="147"/>
      <c r="AA111" s="147"/>
      <c r="AB111" s="147"/>
      <c r="AC111" s="147"/>
      <c r="AD111" s="147"/>
      <c r="AE111" s="147"/>
      <c r="AF111" s="147"/>
      <c r="AG111" s="147"/>
      <c r="AH111" s="158"/>
      <c r="AI111" s="158"/>
    </row>
    <row r="112" spans="1:35" hidden="1">
      <c r="A112" s="147"/>
      <c r="B112" s="147"/>
      <c r="C112" s="147"/>
      <c r="D112" s="147"/>
      <c r="E112" s="147"/>
      <c r="F112" s="147"/>
      <c r="G112" s="147"/>
      <c r="H112" s="147"/>
      <c r="I112" s="147"/>
      <c r="J112" s="147"/>
      <c r="K112" s="147"/>
      <c r="L112" s="147"/>
      <c r="M112" s="147"/>
      <c r="N112" s="147"/>
      <c r="O112" s="147"/>
      <c r="P112" s="147"/>
      <c r="Q112" s="147"/>
      <c r="R112" s="147"/>
      <c r="S112" s="147"/>
      <c r="T112" s="147"/>
      <c r="U112" s="147"/>
      <c r="V112" s="147"/>
      <c r="W112" s="147"/>
      <c r="X112" s="147"/>
      <c r="Y112" s="147"/>
      <c r="Z112" s="147"/>
      <c r="AA112" s="147"/>
      <c r="AB112" s="147"/>
      <c r="AC112" s="147"/>
      <c r="AD112" s="147"/>
      <c r="AE112" s="147"/>
      <c r="AF112" s="147"/>
      <c r="AG112" s="147"/>
      <c r="AH112" s="158"/>
      <c r="AI112" s="158"/>
    </row>
    <row r="113" spans="1:35" hidden="1">
      <c r="A113" s="147"/>
      <c r="B113" s="147"/>
      <c r="C113" s="147"/>
      <c r="D113" s="147"/>
      <c r="E113" s="147"/>
      <c r="F113" s="147"/>
      <c r="G113" s="147"/>
      <c r="H113" s="147"/>
      <c r="I113" s="147"/>
      <c r="J113" s="147"/>
      <c r="K113" s="147"/>
      <c r="L113" s="147"/>
      <c r="M113" s="147"/>
      <c r="N113" s="147"/>
      <c r="O113" s="147"/>
      <c r="P113" s="147"/>
      <c r="Q113" s="147"/>
      <c r="R113" s="147"/>
      <c r="S113" s="147"/>
      <c r="T113" s="147"/>
      <c r="U113" s="147"/>
      <c r="V113" s="147"/>
      <c r="W113" s="147"/>
      <c r="X113" s="147"/>
      <c r="Y113" s="147"/>
      <c r="Z113" s="147"/>
      <c r="AA113" s="147"/>
      <c r="AB113" s="147"/>
      <c r="AC113" s="147"/>
      <c r="AD113" s="147"/>
      <c r="AE113" s="147"/>
      <c r="AF113" s="147"/>
      <c r="AG113" s="147"/>
      <c r="AH113" s="158"/>
      <c r="AI113" s="158"/>
    </row>
    <row r="114" spans="1:35" hidden="1">
      <c r="A114" s="147"/>
      <c r="B114" s="147"/>
      <c r="C114" s="147"/>
      <c r="D114" s="147"/>
      <c r="E114" s="147"/>
      <c r="F114" s="147"/>
      <c r="G114" s="147"/>
      <c r="H114" s="147"/>
      <c r="I114" s="147"/>
      <c r="J114" s="147"/>
      <c r="K114" s="147"/>
      <c r="L114" s="147"/>
      <c r="M114" s="147"/>
      <c r="N114" s="147"/>
      <c r="O114" s="147"/>
      <c r="P114" s="147"/>
      <c r="Q114" s="147"/>
      <c r="R114" s="147"/>
      <c r="S114" s="147"/>
      <c r="T114" s="147"/>
      <c r="U114" s="147"/>
      <c r="V114" s="147"/>
      <c r="W114" s="147"/>
      <c r="X114" s="147"/>
      <c r="Y114" s="147"/>
      <c r="Z114" s="147"/>
      <c r="AA114" s="147"/>
      <c r="AB114" s="147"/>
      <c r="AC114" s="147"/>
      <c r="AD114" s="147"/>
      <c r="AE114" s="147"/>
      <c r="AF114" s="147"/>
      <c r="AG114" s="147"/>
      <c r="AH114" s="158"/>
      <c r="AI114" s="158"/>
    </row>
    <row r="115" spans="1:35" hidden="1">
      <c r="A115" s="147"/>
      <c r="B115" s="147"/>
      <c r="C115" s="147"/>
      <c r="D115" s="147"/>
      <c r="E115" s="147"/>
      <c r="F115" s="147"/>
      <c r="G115" s="147"/>
      <c r="H115" s="147"/>
      <c r="I115" s="147"/>
      <c r="J115" s="147"/>
      <c r="K115" s="147"/>
      <c r="L115" s="147"/>
      <c r="M115" s="147"/>
      <c r="N115" s="147"/>
      <c r="O115" s="147"/>
      <c r="P115" s="147"/>
      <c r="Q115" s="147"/>
      <c r="R115" s="147"/>
      <c r="S115" s="147"/>
      <c r="T115" s="147"/>
      <c r="U115" s="147"/>
      <c r="V115" s="147"/>
      <c r="W115" s="147"/>
      <c r="X115" s="147"/>
      <c r="Y115" s="147"/>
      <c r="Z115" s="147"/>
      <c r="AA115" s="147"/>
      <c r="AB115" s="147"/>
      <c r="AC115" s="147"/>
      <c r="AD115" s="147"/>
      <c r="AE115" s="147"/>
      <c r="AF115" s="147"/>
      <c r="AG115" s="147"/>
      <c r="AH115" s="158"/>
      <c r="AI115" s="158"/>
    </row>
    <row r="116" spans="1:35" hidden="1">
      <c r="A116" s="147"/>
      <c r="B116" s="147"/>
      <c r="C116" s="147"/>
      <c r="D116" s="147"/>
      <c r="E116" s="147"/>
      <c r="F116" s="147"/>
      <c r="G116" s="147"/>
      <c r="H116" s="147"/>
      <c r="I116" s="147"/>
      <c r="J116" s="147"/>
      <c r="K116" s="147"/>
      <c r="L116" s="147"/>
      <c r="M116" s="147"/>
      <c r="N116" s="147"/>
      <c r="O116" s="147"/>
      <c r="P116" s="147"/>
      <c r="Q116" s="147"/>
      <c r="R116" s="147"/>
      <c r="S116" s="147"/>
      <c r="T116" s="147"/>
      <c r="U116" s="147"/>
      <c r="V116" s="147"/>
      <c r="W116" s="147"/>
      <c r="X116" s="147"/>
      <c r="Y116" s="147"/>
      <c r="Z116" s="147"/>
      <c r="AA116" s="147"/>
      <c r="AB116" s="147"/>
      <c r="AC116" s="147"/>
      <c r="AD116" s="147"/>
      <c r="AE116" s="147"/>
      <c r="AF116" s="147"/>
      <c r="AG116" s="147"/>
      <c r="AH116" s="158"/>
      <c r="AI116" s="158"/>
    </row>
    <row r="117" spans="1:35" hidden="1">
      <c r="A117" s="147"/>
      <c r="B117" s="147"/>
      <c r="C117" s="147"/>
      <c r="D117" s="147"/>
      <c r="E117" s="147"/>
      <c r="F117" s="147"/>
      <c r="G117" s="147"/>
      <c r="H117" s="147"/>
      <c r="I117" s="147"/>
      <c r="J117" s="147"/>
      <c r="K117" s="147"/>
      <c r="L117" s="147"/>
      <c r="M117" s="147"/>
      <c r="N117" s="147"/>
      <c r="O117" s="147"/>
      <c r="P117" s="147"/>
      <c r="Q117" s="147"/>
      <c r="R117" s="147"/>
      <c r="S117" s="147"/>
      <c r="T117" s="147"/>
      <c r="U117" s="147"/>
      <c r="V117" s="147"/>
      <c r="W117" s="147"/>
      <c r="X117" s="147"/>
      <c r="Y117" s="147"/>
      <c r="Z117" s="147"/>
      <c r="AA117" s="147"/>
      <c r="AB117" s="147"/>
      <c r="AC117" s="147"/>
      <c r="AD117" s="147"/>
      <c r="AE117" s="147"/>
      <c r="AF117" s="147"/>
      <c r="AG117" s="147"/>
      <c r="AH117" s="158"/>
      <c r="AI117" s="158"/>
    </row>
    <row r="118" spans="1:35" hidden="1">
      <c r="A118" s="147"/>
      <c r="B118" s="147"/>
      <c r="C118" s="147"/>
      <c r="D118" s="147"/>
      <c r="E118" s="147"/>
      <c r="F118" s="147"/>
      <c r="G118" s="147"/>
      <c r="H118" s="147"/>
      <c r="I118" s="147"/>
      <c r="J118" s="147"/>
      <c r="K118" s="147"/>
      <c r="L118" s="147"/>
      <c r="M118" s="147"/>
      <c r="N118" s="147"/>
      <c r="O118" s="147"/>
      <c r="P118" s="147"/>
      <c r="Q118" s="147"/>
      <c r="R118" s="147"/>
      <c r="S118" s="147"/>
      <c r="T118" s="147"/>
      <c r="U118" s="147"/>
      <c r="V118" s="147"/>
      <c r="W118" s="147"/>
      <c r="X118" s="147"/>
      <c r="Y118" s="147"/>
      <c r="Z118" s="147"/>
      <c r="AA118" s="147"/>
      <c r="AB118" s="147"/>
      <c r="AC118" s="147"/>
      <c r="AD118" s="147"/>
      <c r="AE118" s="147"/>
      <c r="AF118" s="147"/>
      <c r="AG118" s="147"/>
      <c r="AH118" s="158"/>
      <c r="AI118" s="158"/>
    </row>
    <row r="119" spans="1:35" hidden="1">
      <c r="A119" s="147"/>
      <c r="B119" s="147"/>
      <c r="C119" s="147"/>
      <c r="D119" s="147"/>
      <c r="E119" s="147"/>
      <c r="F119" s="147"/>
      <c r="G119" s="147"/>
      <c r="H119" s="147"/>
      <c r="I119" s="147"/>
      <c r="J119" s="147"/>
      <c r="K119" s="147"/>
      <c r="L119" s="147"/>
      <c r="M119" s="147"/>
      <c r="N119" s="147"/>
      <c r="O119" s="147"/>
      <c r="P119" s="147"/>
      <c r="Q119" s="147"/>
      <c r="R119" s="147"/>
      <c r="S119" s="147"/>
      <c r="T119" s="147"/>
      <c r="U119" s="147"/>
      <c r="V119" s="147"/>
      <c r="W119" s="147"/>
      <c r="X119" s="147"/>
      <c r="Y119" s="147"/>
      <c r="Z119" s="147"/>
      <c r="AA119" s="147"/>
      <c r="AB119" s="147"/>
      <c r="AC119" s="147"/>
      <c r="AD119" s="147"/>
      <c r="AE119" s="147"/>
      <c r="AF119" s="147"/>
      <c r="AG119" s="147"/>
      <c r="AH119" s="158"/>
      <c r="AI119" s="158"/>
    </row>
    <row r="120" spans="1:35" hidden="1">
      <c r="A120" s="147"/>
      <c r="B120" s="147"/>
      <c r="C120" s="147"/>
      <c r="D120" s="147"/>
      <c r="E120" s="147"/>
      <c r="F120" s="147"/>
      <c r="G120" s="147"/>
      <c r="H120" s="147"/>
      <c r="I120" s="147"/>
      <c r="J120" s="147"/>
      <c r="K120" s="147"/>
      <c r="L120" s="147"/>
      <c r="M120" s="147"/>
      <c r="N120" s="147"/>
      <c r="O120" s="147"/>
      <c r="P120" s="147"/>
      <c r="Q120" s="147"/>
      <c r="R120" s="147"/>
      <c r="S120" s="147"/>
      <c r="T120" s="147"/>
      <c r="U120" s="147"/>
      <c r="V120" s="147"/>
      <c r="W120" s="147"/>
      <c r="X120" s="147"/>
      <c r="Y120" s="147"/>
      <c r="Z120" s="147"/>
      <c r="AA120" s="147"/>
      <c r="AB120" s="147"/>
      <c r="AC120" s="147"/>
      <c r="AD120" s="147"/>
      <c r="AE120" s="147"/>
      <c r="AF120" s="147"/>
      <c r="AG120" s="147"/>
      <c r="AH120" s="158"/>
      <c r="AI120" s="158"/>
    </row>
    <row r="121" spans="1:35" hidden="1">
      <c r="A121" s="147"/>
      <c r="B121" s="147"/>
      <c r="C121" s="147"/>
      <c r="D121" s="147"/>
      <c r="E121" s="147"/>
      <c r="F121" s="147"/>
      <c r="G121" s="147"/>
      <c r="H121" s="147"/>
      <c r="I121" s="147"/>
      <c r="J121" s="147"/>
      <c r="K121" s="147"/>
      <c r="L121" s="147"/>
      <c r="M121" s="147"/>
      <c r="N121" s="147"/>
      <c r="O121" s="147"/>
      <c r="P121" s="147"/>
      <c r="Q121" s="147"/>
      <c r="R121" s="147"/>
      <c r="S121" s="147"/>
      <c r="T121" s="147"/>
      <c r="U121" s="147"/>
      <c r="V121" s="147"/>
      <c r="W121" s="147"/>
      <c r="X121" s="147"/>
      <c r="Y121" s="147"/>
      <c r="Z121" s="147"/>
      <c r="AA121" s="147"/>
      <c r="AB121" s="147"/>
      <c r="AC121" s="147"/>
      <c r="AD121" s="147"/>
      <c r="AE121" s="147"/>
      <c r="AF121" s="147"/>
      <c r="AG121" s="147"/>
      <c r="AH121" s="158"/>
      <c r="AI121" s="158"/>
    </row>
    <row r="122" spans="1:35" hidden="1">
      <c r="A122" s="147"/>
      <c r="B122" s="147"/>
      <c r="C122" s="147"/>
      <c r="D122" s="147"/>
      <c r="E122" s="147"/>
      <c r="F122" s="147"/>
      <c r="G122" s="147"/>
      <c r="H122" s="147"/>
      <c r="I122" s="147"/>
      <c r="J122" s="147"/>
      <c r="K122" s="147"/>
      <c r="L122" s="147"/>
      <c r="M122" s="147"/>
      <c r="N122" s="147"/>
      <c r="O122" s="147"/>
      <c r="P122" s="147"/>
      <c r="Q122" s="147"/>
      <c r="R122" s="147"/>
      <c r="S122" s="147"/>
      <c r="T122" s="147"/>
      <c r="U122" s="147"/>
      <c r="V122" s="147"/>
      <c r="W122" s="147"/>
      <c r="X122" s="147"/>
      <c r="Y122" s="147"/>
      <c r="Z122" s="147"/>
      <c r="AA122" s="147"/>
      <c r="AB122" s="147"/>
      <c r="AC122" s="147"/>
      <c r="AD122" s="147"/>
      <c r="AE122" s="147"/>
      <c r="AF122" s="147"/>
      <c r="AG122" s="147"/>
      <c r="AH122" s="158"/>
      <c r="AI122" s="158"/>
    </row>
    <row r="123" spans="1:35" hidden="1">
      <c r="A123" s="147"/>
      <c r="B123" s="147"/>
      <c r="C123" s="147"/>
      <c r="D123" s="147"/>
      <c r="E123" s="147"/>
      <c r="F123" s="147"/>
      <c r="G123" s="147"/>
      <c r="H123" s="147"/>
      <c r="I123" s="147"/>
      <c r="J123" s="147"/>
      <c r="K123" s="147"/>
      <c r="L123" s="147"/>
      <c r="M123" s="147"/>
      <c r="N123" s="147"/>
      <c r="O123" s="147"/>
      <c r="P123" s="147"/>
      <c r="Q123" s="147"/>
      <c r="R123" s="147"/>
      <c r="S123" s="147"/>
      <c r="T123" s="147"/>
      <c r="U123" s="147"/>
      <c r="V123" s="147"/>
      <c r="W123" s="147"/>
      <c r="X123" s="147"/>
      <c r="Y123" s="147"/>
      <c r="Z123" s="147"/>
      <c r="AA123" s="147"/>
      <c r="AB123" s="147"/>
      <c r="AC123" s="147"/>
      <c r="AD123" s="147"/>
      <c r="AE123" s="147"/>
      <c r="AF123" s="147"/>
      <c r="AG123" s="147"/>
      <c r="AH123" s="158"/>
      <c r="AI123" s="158"/>
    </row>
    <row r="124" spans="1:35" hidden="1">
      <c r="A124" s="147"/>
      <c r="B124" s="147"/>
      <c r="C124" s="147"/>
      <c r="D124" s="147"/>
      <c r="E124" s="147"/>
      <c r="F124" s="147"/>
      <c r="G124" s="147"/>
      <c r="H124" s="147"/>
      <c r="I124" s="147"/>
      <c r="J124" s="147"/>
      <c r="K124" s="147"/>
      <c r="L124" s="147"/>
      <c r="M124" s="147"/>
      <c r="N124" s="147"/>
      <c r="O124" s="147"/>
      <c r="P124" s="147"/>
      <c r="Q124" s="147"/>
      <c r="R124" s="147"/>
      <c r="S124" s="147"/>
      <c r="T124" s="147"/>
      <c r="U124" s="147"/>
      <c r="V124" s="147"/>
      <c r="W124" s="147"/>
      <c r="X124" s="147"/>
      <c r="Y124" s="147"/>
      <c r="Z124" s="147"/>
      <c r="AA124" s="147"/>
      <c r="AB124" s="147"/>
      <c r="AC124" s="147"/>
      <c r="AD124" s="147"/>
      <c r="AE124" s="147"/>
      <c r="AF124" s="147"/>
      <c r="AG124" s="147"/>
      <c r="AH124" s="158"/>
      <c r="AI124" s="158"/>
    </row>
    <row r="125" spans="1:35" hidden="1">
      <c r="A125" s="147"/>
      <c r="B125" s="147"/>
      <c r="C125" s="147"/>
      <c r="D125" s="147"/>
      <c r="E125" s="147"/>
      <c r="F125" s="147"/>
      <c r="G125" s="147"/>
      <c r="H125" s="147"/>
      <c r="I125" s="147"/>
      <c r="J125" s="147"/>
      <c r="K125" s="147"/>
      <c r="L125" s="147"/>
      <c r="M125" s="147"/>
      <c r="N125" s="147"/>
      <c r="O125" s="147"/>
      <c r="P125" s="147"/>
      <c r="Q125" s="147"/>
      <c r="R125" s="147"/>
      <c r="S125" s="147"/>
      <c r="T125" s="147"/>
      <c r="U125" s="147"/>
      <c r="V125" s="147"/>
      <c r="W125" s="147"/>
      <c r="X125" s="147"/>
      <c r="Y125" s="147"/>
      <c r="Z125" s="147"/>
      <c r="AA125" s="147"/>
      <c r="AB125" s="147"/>
      <c r="AC125" s="147"/>
      <c r="AD125" s="147"/>
      <c r="AE125" s="147"/>
      <c r="AF125" s="147"/>
      <c r="AG125" s="147"/>
      <c r="AH125" s="158"/>
      <c r="AI125" s="158"/>
    </row>
    <row r="126" spans="1:35" hidden="1">
      <c r="A126" s="147"/>
      <c r="B126" s="147"/>
      <c r="C126" s="147"/>
      <c r="D126" s="147"/>
      <c r="E126" s="147"/>
      <c r="F126" s="147"/>
      <c r="G126" s="147"/>
      <c r="H126" s="147"/>
      <c r="I126" s="147"/>
      <c r="J126" s="147"/>
      <c r="K126" s="147"/>
      <c r="L126" s="147"/>
      <c r="M126" s="147"/>
      <c r="N126" s="147"/>
      <c r="O126" s="147"/>
      <c r="P126" s="147"/>
      <c r="Q126" s="147"/>
      <c r="R126" s="147"/>
      <c r="S126" s="147"/>
      <c r="T126" s="147"/>
      <c r="U126" s="147"/>
      <c r="V126" s="147"/>
      <c r="W126" s="147"/>
      <c r="X126" s="147"/>
      <c r="Y126" s="147"/>
      <c r="Z126" s="147"/>
      <c r="AA126" s="147"/>
      <c r="AB126" s="147"/>
      <c r="AC126" s="147"/>
      <c r="AD126" s="147"/>
      <c r="AE126" s="147"/>
      <c r="AF126" s="147"/>
      <c r="AG126" s="147"/>
      <c r="AH126" s="158"/>
      <c r="AI126" s="158"/>
    </row>
    <row r="127" spans="1:35" hidden="1">
      <c r="A127" s="147"/>
      <c r="B127" s="147"/>
      <c r="C127" s="147"/>
      <c r="D127" s="147"/>
      <c r="E127" s="147"/>
      <c r="F127" s="147"/>
      <c r="G127" s="147"/>
      <c r="H127" s="147"/>
      <c r="I127" s="147"/>
      <c r="J127" s="147"/>
      <c r="K127" s="147"/>
      <c r="L127" s="147"/>
      <c r="M127" s="147"/>
      <c r="N127" s="147"/>
      <c r="O127" s="147"/>
      <c r="P127" s="147"/>
      <c r="Q127" s="147"/>
      <c r="R127" s="147"/>
      <c r="S127" s="147"/>
      <c r="T127" s="147"/>
      <c r="U127" s="147"/>
      <c r="V127" s="147"/>
      <c r="W127" s="147"/>
      <c r="X127" s="147"/>
      <c r="Y127" s="147"/>
      <c r="Z127" s="147"/>
      <c r="AA127" s="147"/>
      <c r="AB127" s="147"/>
      <c r="AC127" s="147"/>
      <c r="AD127" s="147"/>
      <c r="AE127" s="147"/>
      <c r="AF127" s="147"/>
      <c r="AG127" s="147"/>
      <c r="AH127" s="158"/>
      <c r="AI127" s="158"/>
    </row>
    <row r="128" spans="1:35" hidden="1">
      <c r="A128" s="147"/>
      <c r="B128" s="147"/>
      <c r="C128" s="147"/>
      <c r="D128" s="147"/>
      <c r="E128" s="147"/>
      <c r="F128" s="147"/>
      <c r="G128" s="147"/>
      <c r="H128" s="147"/>
      <c r="I128" s="147"/>
      <c r="J128" s="147"/>
      <c r="K128" s="147"/>
      <c r="L128" s="147"/>
      <c r="M128" s="147"/>
      <c r="N128" s="147"/>
      <c r="O128" s="147"/>
      <c r="P128" s="147"/>
      <c r="Q128" s="147"/>
      <c r="R128" s="147"/>
      <c r="S128" s="147"/>
      <c r="T128" s="147"/>
      <c r="U128" s="147"/>
      <c r="V128" s="147"/>
      <c r="W128" s="147"/>
      <c r="X128" s="147"/>
      <c r="Y128" s="147"/>
      <c r="Z128" s="147"/>
      <c r="AA128" s="147"/>
      <c r="AB128" s="147"/>
      <c r="AC128" s="147"/>
      <c r="AD128" s="147"/>
      <c r="AE128" s="147"/>
      <c r="AF128" s="147"/>
      <c r="AG128" s="147"/>
      <c r="AH128" s="158"/>
      <c r="AI128" s="158"/>
    </row>
    <row r="129" spans="1:35" hidden="1">
      <c r="A129" s="147"/>
      <c r="B129" s="147"/>
      <c r="C129" s="147"/>
      <c r="D129" s="147"/>
      <c r="E129" s="147"/>
      <c r="F129" s="147"/>
      <c r="G129" s="147"/>
      <c r="H129" s="147"/>
      <c r="I129" s="147"/>
      <c r="J129" s="147"/>
      <c r="K129" s="147"/>
      <c r="L129" s="147"/>
      <c r="M129" s="147"/>
      <c r="N129" s="147"/>
      <c r="O129" s="147"/>
      <c r="P129" s="147"/>
      <c r="Q129" s="147"/>
      <c r="R129" s="147"/>
      <c r="S129" s="147"/>
      <c r="T129" s="147"/>
      <c r="U129" s="147"/>
      <c r="V129" s="147"/>
      <c r="W129" s="147"/>
      <c r="X129" s="147"/>
      <c r="Y129" s="147"/>
      <c r="Z129" s="147"/>
      <c r="AA129" s="147"/>
      <c r="AB129" s="147"/>
      <c r="AC129" s="147"/>
      <c r="AD129" s="147"/>
      <c r="AE129" s="147"/>
      <c r="AF129" s="147"/>
      <c r="AG129" s="147"/>
      <c r="AH129" s="158"/>
      <c r="AI129" s="158"/>
    </row>
    <row r="130" spans="1:35" hidden="1">
      <c r="A130" s="147"/>
      <c r="B130" s="147"/>
      <c r="C130" s="147"/>
      <c r="D130" s="147"/>
      <c r="E130" s="147"/>
      <c r="F130" s="147"/>
      <c r="G130" s="147"/>
      <c r="H130" s="147"/>
      <c r="I130" s="147"/>
      <c r="J130" s="147"/>
      <c r="K130" s="147"/>
      <c r="L130" s="147"/>
      <c r="M130" s="147"/>
      <c r="N130" s="147"/>
      <c r="O130" s="147"/>
      <c r="P130" s="147"/>
      <c r="Q130" s="147"/>
      <c r="R130" s="147"/>
      <c r="S130" s="147"/>
      <c r="T130" s="147"/>
      <c r="U130" s="147"/>
      <c r="V130" s="147"/>
      <c r="W130" s="147"/>
      <c r="X130" s="147"/>
      <c r="Y130" s="147"/>
      <c r="Z130" s="147"/>
      <c r="AA130" s="147"/>
      <c r="AB130" s="147"/>
      <c r="AC130" s="147"/>
      <c r="AD130" s="147"/>
      <c r="AE130" s="147"/>
      <c r="AF130" s="147"/>
      <c r="AG130" s="147"/>
      <c r="AH130" s="158"/>
      <c r="AI130" s="158"/>
    </row>
    <row r="131" spans="1:35" hidden="1">
      <c r="A131" s="147"/>
      <c r="B131" s="147"/>
      <c r="C131" s="147"/>
      <c r="D131" s="147"/>
      <c r="E131" s="147"/>
      <c r="F131" s="147"/>
      <c r="G131" s="147"/>
      <c r="H131" s="147"/>
      <c r="I131" s="147"/>
      <c r="J131" s="147"/>
      <c r="K131" s="147"/>
      <c r="L131" s="147"/>
      <c r="M131" s="147"/>
      <c r="N131" s="147"/>
      <c r="O131" s="147"/>
      <c r="P131" s="147"/>
      <c r="Q131" s="147"/>
      <c r="R131" s="147"/>
      <c r="S131" s="147"/>
      <c r="T131" s="147"/>
      <c r="U131" s="147"/>
      <c r="V131" s="147"/>
      <c r="W131" s="147"/>
      <c r="X131" s="147"/>
      <c r="Y131" s="147"/>
      <c r="Z131" s="147"/>
      <c r="AA131" s="147"/>
      <c r="AB131" s="147"/>
      <c r="AC131" s="147"/>
      <c r="AD131" s="147"/>
      <c r="AE131" s="147"/>
      <c r="AF131" s="147"/>
      <c r="AG131" s="147"/>
      <c r="AH131" s="158"/>
      <c r="AI131" s="158"/>
    </row>
    <row r="132" spans="1:35" hidden="1">
      <c r="A132" s="147"/>
      <c r="B132" s="147"/>
      <c r="C132" s="147"/>
      <c r="D132" s="147"/>
      <c r="E132" s="147"/>
      <c r="F132" s="147"/>
      <c r="G132" s="147"/>
      <c r="H132" s="147"/>
      <c r="I132" s="147"/>
      <c r="J132" s="147"/>
      <c r="K132" s="147"/>
      <c r="L132" s="147"/>
      <c r="M132" s="147"/>
      <c r="N132" s="147"/>
      <c r="O132" s="147"/>
      <c r="P132" s="147"/>
      <c r="Q132" s="147"/>
      <c r="R132" s="147"/>
      <c r="S132" s="147"/>
      <c r="T132" s="147"/>
      <c r="U132" s="147"/>
      <c r="V132" s="147"/>
      <c r="W132" s="147"/>
      <c r="X132" s="147"/>
      <c r="Y132" s="147"/>
      <c r="Z132" s="147"/>
      <c r="AA132" s="147"/>
      <c r="AB132" s="147"/>
      <c r="AC132" s="147"/>
      <c r="AD132" s="147"/>
      <c r="AE132" s="147"/>
      <c r="AF132" s="147"/>
      <c r="AG132" s="147"/>
      <c r="AH132" s="158"/>
      <c r="AI132" s="158"/>
    </row>
    <row r="133" spans="1:35" hidden="1">
      <c r="A133" s="147"/>
      <c r="B133" s="147"/>
      <c r="C133" s="147"/>
      <c r="D133" s="147"/>
      <c r="E133" s="147"/>
      <c r="F133" s="147"/>
      <c r="G133" s="147"/>
      <c r="H133" s="147"/>
      <c r="I133" s="147"/>
      <c r="J133" s="147"/>
      <c r="K133" s="147"/>
      <c r="L133" s="147"/>
      <c r="M133" s="147"/>
      <c r="N133" s="147"/>
      <c r="O133" s="147"/>
      <c r="P133" s="147"/>
      <c r="Q133" s="147"/>
      <c r="R133" s="147"/>
      <c r="S133" s="147"/>
      <c r="T133" s="147"/>
      <c r="U133" s="147"/>
      <c r="V133" s="147"/>
      <c r="W133" s="147"/>
      <c r="X133" s="147"/>
      <c r="Y133" s="147"/>
      <c r="Z133" s="147"/>
      <c r="AA133" s="147"/>
      <c r="AB133" s="147"/>
      <c r="AC133" s="147"/>
      <c r="AD133" s="147"/>
      <c r="AE133" s="147"/>
      <c r="AF133" s="147"/>
      <c r="AG133" s="147"/>
      <c r="AH133" s="158"/>
      <c r="AI133" s="158"/>
    </row>
    <row r="134" spans="1:35" hidden="1">
      <c r="A134" s="147"/>
      <c r="B134" s="147"/>
      <c r="C134" s="147"/>
      <c r="D134" s="147"/>
      <c r="E134" s="147"/>
      <c r="F134" s="147"/>
      <c r="G134" s="147"/>
      <c r="H134" s="147"/>
      <c r="I134" s="147"/>
      <c r="J134" s="147"/>
      <c r="K134" s="147"/>
      <c r="L134" s="147"/>
      <c r="M134" s="147"/>
      <c r="N134" s="147"/>
      <c r="O134" s="147"/>
      <c r="P134" s="147"/>
      <c r="Q134" s="147"/>
      <c r="R134" s="147"/>
      <c r="S134" s="147"/>
      <c r="T134" s="147"/>
      <c r="U134" s="147"/>
      <c r="V134" s="147"/>
      <c r="W134" s="147"/>
      <c r="X134" s="147"/>
      <c r="Y134" s="147"/>
      <c r="Z134" s="147"/>
      <c r="AA134" s="147"/>
      <c r="AB134" s="147"/>
      <c r="AC134" s="147"/>
      <c r="AD134" s="147"/>
      <c r="AE134" s="147"/>
      <c r="AF134" s="147"/>
      <c r="AG134" s="147"/>
      <c r="AH134" s="158"/>
      <c r="AI134" s="158"/>
    </row>
    <row r="135" spans="1:35" hidden="1">
      <c r="A135" s="147"/>
      <c r="B135" s="147"/>
      <c r="C135" s="147"/>
      <c r="D135" s="147"/>
      <c r="E135" s="147"/>
      <c r="F135" s="147"/>
      <c r="G135" s="147"/>
      <c r="H135" s="147"/>
      <c r="I135" s="147"/>
      <c r="J135" s="147"/>
      <c r="K135" s="147"/>
      <c r="L135" s="147"/>
      <c r="M135" s="147"/>
      <c r="N135" s="147"/>
      <c r="O135" s="147"/>
      <c r="P135" s="147"/>
      <c r="Q135" s="147"/>
      <c r="R135" s="147"/>
      <c r="S135" s="147"/>
      <c r="T135" s="147"/>
      <c r="U135" s="147"/>
      <c r="V135" s="147"/>
      <c r="W135" s="147"/>
      <c r="X135" s="147"/>
      <c r="Y135" s="147"/>
      <c r="Z135" s="147"/>
      <c r="AA135" s="147"/>
      <c r="AB135" s="147"/>
      <c r="AC135" s="147"/>
      <c r="AD135" s="147"/>
      <c r="AE135" s="147"/>
      <c r="AF135" s="147"/>
      <c r="AG135" s="147"/>
      <c r="AH135" s="158"/>
      <c r="AI135" s="158"/>
    </row>
    <row r="136" spans="1:35" hidden="1">
      <c r="A136" s="147"/>
      <c r="B136" s="147"/>
      <c r="C136" s="147"/>
      <c r="D136" s="147"/>
      <c r="E136" s="147"/>
      <c r="F136" s="147"/>
      <c r="G136" s="147"/>
      <c r="H136" s="147"/>
      <c r="I136" s="147"/>
      <c r="J136" s="147"/>
      <c r="K136" s="147"/>
      <c r="L136" s="147"/>
      <c r="M136" s="147"/>
      <c r="N136" s="147"/>
      <c r="O136" s="147"/>
      <c r="P136" s="147"/>
      <c r="Q136" s="147"/>
      <c r="R136" s="147"/>
      <c r="S136" s="147"/>
      <c r="T136" s="147"/>
      <c r="U136" s="147"/>
      <c r="V136" s="147"/>
      <c r="W136" s="147"/>
      <c r="X136" s="147"/>
      <c r="Y136" s="147"/>
      <c r="Z136" s="147"/>
      <c r="AA136" s="147"/>
      <c r="AB136" s="147"/>
      <c r="AC136" s="147"/>
      <c r="AD136" s="147"/>
      <c r="AE136" s="147"/>
      <c r="AF136" s="147"/>
      <c r="AG136" s="147"/>
      <c r="AH136" s="158"/>
      <c r="AI136" s="158"/>
    </row>
    <row r="137" spans="1:35" hidden="1">
      <c r="A137" s="147"/>
      <c r="B137" s="147"/>
      <c r="C137" s="147"/>
      <c r="D137" s="147"/>
      <c r="E137" s="147"/>
      <c r="F137" s="147"/>
      <c r="G137" s="147"/>
      <c r="H137" s="147"/>
      <c r="I137" s="147"/>
      <c r="J137" s="147"/>
      <c r="K137" s="147"/>
      <c r="L137" s="147"/>
      <c r="M137" s="147"/>
      <c r="N137" s="147"/>
      <c r="O137" s="147"/>
      <c r="P137" s="147"/>
      <c r="Q137" s="147"/>
      <c r="R137" s="147"/>
      <c r="S137" s="147"/>
      <c r="T137" s="147"/>
      <c r="U137" s="147"/>
      <c r="V137" s="147"/>
      <c r="W137" s="147"/>
      <c r="X137" s="147"/>
      <c r="Y137" s="147"/>
      <c r="Z137" s="147"/>
      <c r="AA137" s="147"/>
      <c r="AB137" s="147"/>
      <c r="AC137" s="147"/>
      <c r="AD137" s="147"/>
      <c r="AE137" s="147"/>
      <c r="AF137" s="147"/>
      <c r="AG137" s="147"/>
      <c r="AH137" s="158"/>
      <c r="AI137" s="158"/>
    </row>
    <row r="138" spans="1:35" hidden="1">
      <c r="A138" s="147"/>
      <c r="B138" s="147"/>
      <c r="C138" s="147"/>
      <c r="D138" s="147"/>
      <c r="E138" s="147"/>
      <c r="F138" s="147"/>
      <c r="G138" s="147"/>
      <c r="H138" s="147"/>
      <c r="I138" s="147"/>
      <c r="J138" s="147"/>
      <c r="K138" s="147"/>
      <c r="L138" s="147"/>
      <c r="M138" s="147"/>
      <c r="N138" s="147"/>
      <c r="O138" s="147"/>
      <c r="P138" s="147"/>
      <c r="Q138" s="147"/>
      <c r="R138" s="147"/>
      <c r="S138" s="147"/>
      <c r="T138" s="147"/>
      <c r="U138" s="147"/>
      <c r="V138" s="147"/>
      <c r="W138" s="147"/>
      <c r="X138" s="147"/>
      <c r="Y138" s="147"/>
      <c r="Z138" s="147"/>
      <c r="AA138" s="147"/>
      <c r="AB138" s="147"/>
      <c r="AC138" s="147"/>
      <c r="AD138" s="147"/>
      <c r="AE138" s="147"/>
      <c r="AF138" s="147"/>
      <c r="AG138" s="147"/>
      <c r="AH138" s="158"/>
      <c r="AI138" s="158"/>
    </row>
    <row r="139" spans="1:35" hidden="1">
      <c r="A139" s="147"/>
      <c r="B139" s="147"/>
      <c r="C139" s="147"/>
      <c r="D139" s="147"/>
      <c r="E139" s="147"/>
      <c r="F139" s="147"/>
      <c r="G139" s="147"/>
      <c r="H139" s="147"/>
      <c r="I139" s="147"/>
      <c r="J139" s="147"/>
      <c r="K139" s="147"/>
      <c r="L139" s="147"/>
      <c r="M139" s="147"/>
      <c r="N139" s="147"/>
      <c r="O139" s="147"/>
      <c r="P139" s="147"/>
      <c r="Q139" s="147"/>
      <c r="R139" s="147"/>
      <c r="S139" s="147"/>
      <c r="T139" s="147"/>
      <c r="U139" s="147"/>
      <c r="V139" s="147"/>
      <c r="W139" s="147"/>
      <c r="X139" s="147"/>
      <c r="Y139" s="147"/>
      <c r="Z139" s="147"/>
      <c r="AA139" s="147"/>
      <c r="AB139" s="147"/>
      <c r="AC139" s="147"/>
      <c r="AD139" s="147"/>
      <c r="AE139" s="147"/>
      <c r="AF139" s="147"/>
      <c r="AG139" s="147"/>
      <c r="AH139" s="158"/>
      <c r="AI139" s="158"/>
    </row>
    <row r="140" spans="1:35" hidden="1">
      <c r="A140" s="147"/>
      <c r="B140" s="147"/>
      <c r="C140" s="147"/>
      <c r="D140" s="147"/>
      <c r="E140" s="147"/>
      <c r="F140" s="147"/>
      <c r="G140" s="147"/>
      <c r="H140" s="147"/>
      <c r="I140" s="147"/>
      <c r="J140" s="147"/>
      <c r="K140" s="147"/>
      <c r="L140" s="147"/>
      <c r="M140" s="147"/>
      <c r="N140" s="147"/>
      <c r="O140" s="147"/>
      <c r="P140" s="147"/>
      <c r="Q140" s="147"/>
      <c r="R140" s="147"/>
      <c r="S140" s="147"/>
      <c r="T140" s="147"/>
      <c r="U140" s="147"/>
      <c r="V140" s="147"/>
      <c r="W140" s="147"/>
      <c r="X140" s="147"/>
      <c r="Y140" s="147"/>
      <c r="Z140" s="147"/>
      <c r="AA140" s="147"/>
      <c r="AB140" s="147"/>
      <c r="AC140" s="147"/>
      <c r="AD140" s="147"/>
      <c r="AE140" s="147"/>
      <c r="AF140" s="147"/>
      <c r="AG140" s="147"/>
      <c r="AH140" s="158"/>
      <c r="AI140" s="158"/>
    </row>
    <row r="141" spans="1:35" hidden="1">
      <c r="A141" s="147"/>
      <c r="B141" s="147"/>
      <c r="C141" s="147"/>
      <c r="D141" s="147"/>
      <c r="E141" s="147"/>
      <c r="F141" s="147"/>
      <c r="G141" s="147"/>
      <c r="H141" s="147"/>
      <c r="I141" s="147"/>
      <c r="J141" s="147"/>
      <c r="K141" s="147"/>
      <c r="L141" s="147"/>
      <c r="M141" s="147"/>
      <c r="N141" s="147"/>
      <c r="O141" s="147"/>
      <c r="P141" s="147"/>
      <c r="Q141" s="147"/>
      <c r="R141" s="147"/>
      <c r="S141" s="147"/>
      <c r="T141" s="147"/>
      <c r="U141" s="147"/>
      <c r="V141" s="147"/>
      <c r="W141" s="147"/>
      <c r="X141" s="147"/>
      <c r="Y141" s="147"/>
      <c r="Z141" s="147"/>
      <c r="AA141" s="147"/>
      <c r="AB141" s="147"/>
      <c r="AC141" s="147"/>
      <c r="AD141" s="147"/>
      <c r="AE141" s="147"/>
      <c r="AF141" s="147"/>
      <c r="AG141" s="147"/>
      <c r="AH141" s="158"/>
      <c r="AI141" s="158"/>
    </row>
    <row r="142" spans="1:35" hidden="1">
      <c r="A142" s="147"/>
      <c r="B142" s="147"/>
      <c r="C142" s="147"/>
      <c r="D142" s="147"/>
      <c r="E142" s="147"/>
      <c r="F142" s="147"/>
      <c r="G142" s="147"/>
      <c r="H142" s="147"/>
      <c r="I142" s="147"/>
      <c r="J142" s="147"/>
      <c r="K142" s="147"/>
      <c r="L142" s="147"/>
      <c r="M142" s="147"/>
      <c r="N142" s="147"/>
      <c r="O142" s="147"/>
      <c r="P142" s="147"/>
      <c r="Q142" s="147"/>
      <c r="R142" s="147"/>
      <c r="S142" s="147"/>
      <c r="T142" s="147"/>
      <c r="U142" s="147"/>
      <c r="V142" s="147"/>
      <c r="W142" s="147"/>
      <c r="X142" s="147"/>
      <c r="Y142" s="147"/>
      <c r="Z142" s="147"/>
      <c r="AA142" s="147"/>
      <c r="AB142" s="147"/>
      <c r="AC142" s="147"/>
      <c r="AD142" s="147"/>
      <c r="AE142" s="147"/>
      <c r="AF142" s="147"/>
      <c r="AG142" s="147"/>
      <c r="AH142" s="158"/>
      <c r="AI142" s="158"/>
    </row>
    <row r="143" spans="1:35" hidden="1">
      <c r="A143" s="147"/>
      <c r="B143" s="147"/>
      <c r="C143" s="147"/>
      <c r="D143" s="147"/>
      <c r="E143" s="147"/>
      <c r="F143" s="147"/>
      <c r="G143" s="147"/>
      <c r="H143" s="147"/>
      <c r="I143" s="147"/>
      <c r="J143" s="147"/>
      <c r="K143" s="147"/>
      <c r="L143" s="147"/>
      <c r="M143" s="147"/>
      <c r="N143" s="147"/>
      <c r="O143" s="147"/>
      <c r="P143" s="147"/>
      <c r="Q143" s="147"/>
      <c r="R143" s="147"/>
      <c r="S143" s="147"/>
      <c r="T143" s="147"/>
      <c r="U143" s="147"/>
      <c r="V143" s="147"/>
      <c r="W143" s="147"/>
      <c r="X143" s="147"/>
      <c r="Y143" s="147"/>
      <c r="Z143" s="147"/>
      <c r="AA143" s="147"/>
      <c r="AB143" s="147"/>
      <c r="AC143" s="147"/>
      <c r="AD143" s="147"/>
      <c r="AE143" s="147"/>
      <c r="AF143" s="147"/>
      <c r="AG143" s="147"/>
      <c r="AH143" s="158"/>
      <c r="AI143" s="158"/>
    </row>
    <row r="144" spans="1:35" hidden="1">
      <c r="A144" s="147"/>
      <c r="B144" s="147"/>
      <c r="C144" s="147"/>
      <c r="D144" s="147"/>
      <c r="E144" s="147"/>
      <c r="F144" s="147"/>
      <c r="G144" s="147"/>
      <c r="H144" s="147"/>
      <c r="I144" s="147"/>
      <c r="J144" s="147"/>
      <c r="K144" s="147"/>
      <c r="L144" s="147"/>
      <c r="M144" s="147"/>
      <c r="N144" s="147"/>
      <c r="O144" s="147"/>
      <c r="P144" s="147"/>
      <c r="Q144" s="147"/>
      <c r="R144" s="147"/>
      <c r="S144" s="147"/>
      <c r="T144" s="147"/>
      <c r="U144" s="147"/>
      <c r="V144" s="147"/>
      <c r="W144" s="147"/>
      <c r="X144" s="147"/>
      <c r="Y144" s="147"/>
      <c r="Z144" s="147"/>
      <c r="AA144" s="147"/>
      <c r="AB144" s="147"/>
      <c r="AC144" s="147"/>
      <c r="AD144" s="147"/>
      <c r="AE144" s="147"/>
      <c r="AF144" s="147"/>
      <c r="AG144" s="147"/>
      <c r="AH144" s="158"/>
      <c r="AI144" s="158"/>
    </row>
    <row r="145" spans="1:35" hidden="1">
      <c r="A145" s="147"/>
      <c r="B145" s="147"/>
      <c r="C145" s="147"/>
      <c r="D145" s="147"/>
      <c r="E145" s="147"/>
      <c r="F145" s="147"/>
      <c r="G145" s="147"/>
      <c r="H145" s="147"/>
      <c r="I145" s="147"/>
      <c r="J145" s="147"/>
      <c r="K145" s="147"/>
      <c r="L145" s="147"/>
      <c r="M145" s="147"/>
      <c r="N145" s="147"/>
      <c r="O145" s="147"/>
      <c r="P145" s="147"/>
      <c r="Q145" s="147"/>
      <c r="R145" s="147"/>
      <c r="S145" s="147"/>
      <c r="T145" s="147"/>
      <c r="U145" s="147"/>
      <c r="V145" s="147"/>
      <c r="W145" s="147"/>
      <c r="X145" s="147"/>
      <c r="Y145" s="147"/>
      <c r="Z145" s="147"/>
      <c r="AA145" s="147"/>
      <c r="AB145" s="147"/>
      <c r="AC145" s="147"/>
      <c r="AD145" s="147"/>
      <c r="AE145" s="147"/>
      <c r="AF145" s="147"/>
      <c r="AG145" s="147"/>
      <c r="AH145" s="158"/>
      <c r="AI145" s="158"/>
    </row>
    <row r="146" spans="1:35" hidden="1">
      <c r="A146" s="147"/>
      <c r="B146" s="147"/>
      <c r="C146" s="147"/>
      <c r="D146" s="147"/>
      <c r="E146" s="147"/>
      <c r="F146" s="147"/>
      <c r="G146" s="147"/>
      <c r="H146" s="147"/>
      <c r="I146" s="147"/>
      <c r="J146" s="147"/>
      <c r="K146" s="147"/>
      <c r="L146" s="147"/>
      <c r="M146" s="147"/>
      <c r="N146" s="147"/>
      <c r="O146" s="147"/>
      <c r="P146" s="147"/>
      <c r="Q146" s="147"/>
      <c r="R146" s="147"/>
      <c r="S146" s="147"/>
      <c r="T146" s="147"/>
      <c r="U146" s="147"/>
      <c r="V146" s="147"/>
      <c r="W146" s="147"/>
      <c r="X146" s="147"/>
      <c r="Y146" s="147"/>
      <c r="Z146" s="147"/>
      <c r="AA146" s="147"/>
      <c r="AB146" s="147"/>
      <c r="AC146" s="147"/>
      <c r="AD146" s="147"/>
      <c r="AE146" s="147"/>
      <c r="AF146" s="147"/>
      <c r="AG146" s="147"/>
      <c r="AH146" s="158"/>
      <c r="AI146" s="158"/>
    </row>
    <row r="147" spans="1:35" hidden="1">
      <c r="A147" s="147"/>
      <c r="B147" s="147"/>
      <c r="C147" s="147"/>
      <c r="D147" s="147"/>
      <c r="E147" s="147"/>
      <c r="F147" s="147"/>
      <c r="G147" s="147"/>
      <c r="H147" s="147"/>
      <c r="I147" s="147"/>
      <c r="J147" s="147"/>
      <c r="K147" s="147"/>
      <c r="L147" s="147"/>
      <c r="M147" s="147"/>
      <c r="N147" s="147"/>
      <c r="O147" s="147"/>
      <c r="P147" s="147"/>
      <c r="Q147" s="147"/>
      <c r="R147" s="147"/>
      <c r="S147" s="147"/>
      <c r="T147" s="147"/>
      <c r="U147" s="147"/>
      <c r="V147" s="147"/>
      <c r="W147" s="147"/>
      <c r="X147" s="147"/>
      <c r="Y147" s="147"/>
      <c r="Z147" s="147"/>
      <c r="AA147" s="147"/>
      <c r="AB147" s="147"/>
      <c r="AC147" s="147"/>
      <c r="AD147" s="147"/>
      <c r="AE147" s="147"/>
      <c r="AF147" s="147"/>
      <c r="AG147" s="147"/>
      <c r="AH147" s="158"/>
      <c r="AI147" s="158"/>
    </row>
    <row r="148" spans="1:35" hidden="1">
      <c r="A148" s="147"/>
      <c r="B148" s="147"/>
      <c r="C148" s="147"/>
      <c r="D148" s="147"/>
      <c r="E148" s="147"/>
      <c r="F148" s="147"/>
      <c r="G148" s="147"/>
      <c r="H148" s="147"/>
      <c r="I148" s="147"/>
      <c r="J148" s="147"/>
      <c r="K148" s="147"/>
      <c r="L148" s="147"/>
      <c r="M148" s="147"/>
      <c r="N148" s="147"/>
      <c r="O148" s="147"/>
      <c r="P148" s="147"/>
      <c r="Q148" s="147"/>
      <c r="R148" s="147"/>
      <c r="S148" s="147"/>
      <c r="T148" s="147"/>
      <c r="U148" s="147"/>
      <c r="V148" s="147"/>
      <c r="W148" s="147"/>
      <c r="X148" s="147"/>
      <c r="Y148" s="147"/>
      <c r="Z148" s="147"/>
      <c r="AA148" s="147"/>
      <c r="AB148" s="147"/>
      <c r="AC148" s="147"/>
      <c r="AD148" s="147"/>
      <c r="AE148" s="147"/>
      <c r="AF148" s="147"/>
      <c r="AG148" s="147"/>
      <c r="AH148" s="158"/>
      <c r="AI148" s="158"/>
    </row>
    <row r="149" spans="1:35" hidden="1">
      <c r="A149" s="147"/>
      <c r="B149" s="147"/>
      <c r="C149" s="147"/>
      <c r="D149" s="147"/>
      <c r="E149" s="147"/>
      <c r="F149" s="147"/>
      <c r="G149" s="147"/>
      <c r="H149" s="147"/>
      <c r="I149" s="147"/>
      <c r="J149" s="147"/>
      <c r="K149" s="147"/>
      <c r="L149" s="147"/>
      <c r="M149" s="147"/>
      <c r="N149" s="147"/>
      <c r="O149" s="147"/>
      <c r="P149" s="147"/>
      <c r="Q149" s="147"/>
      <c r="R149" s="147"/>
      <c r="S149" s="147"/>
      <c r="T149" s="147"/>
      <c r="U149" s="147"/>
      <c r="V149" s="147"/>
      <c r="W149" s="147"/>
      <c r="X149" s="147"/>
      <c r="Y149" s="147"/>
      <c r="Z149" s="147"/>
      <c r="AA149" s="147"/>
      <c r="AB149" s="147"/>
      <c r="AC149" s="147"/>
      <c r="AD149" s="147"/>
      <c r="AE149" s="147"/>
      <c r="AF149" s="147"/>
      <c r="AG149" s="147"/>
      <c r="AH149" s="158"/>
      <c r="AI149" s="158"/>
    </row>
    <row r="150" spans="1:35" hidden="1">
      <c r="A150" s="147"/>
      <c r="B150" s="147"/>
      <c r="C150" s="147"/>
      <c r="D150" s="147"/>
      <c r="E150" s="147"/>
      <c r="F150" s="147"/>
      <c r="G150" s="147"/>
      <c r="H150" s="147"/>
      <c r="I150" s="147"/>
      <c r="J150" s="147"/>
      <c r="K150" s="147"/>
      <c r="L150" s="147"/>
      <c r="M150" s="147"/>
      <c r="N150" s="147"/>
      <c r="O150" s="147"/>
      <c r="P150" s="147"/>
      <c r="Q150" s="147"/>
      <c r="R150" s="147"/>
      <c r="S150" s="147"/>
      <c r="T150" s="147"/>
      <c r="U150" s="147"/>
      <c r="V150" s="147"/>
      <c r="W150" s="147"/>
      <c r="X150" s="147"/>
      <c r="Y150" s="147"/>
      <c r="Z150" s="147"/>
      <c r="AA150" s="147"/>
      <c r="AB150" s="147"/>
      <c r="AC150" s="147"/>
      <c r="AD150" s="147"/>
      <c r="AE150" s="147"/>
      <c r="AF150" s="147"/>
      <c r="AG150" s="147"/>
      <c r="AH150" s="158"/>
      <c r="AI150" s="158"/>
    </row>
    <row r="151" spans="1:35" hidden="1">
      <c r="A151" s="147"/>
      <c r="B151" s="147"/>
      <c r="C151" s="147"/>
      <c r="D151" s="147"/>
      <c r="E151" s="147"/>
      <c r="F151" s="147"/>
      <c r="G151" s="147"/>
      <c r="H151" s="147"/>
      <c r="I151" s="147"/>
      <c r="J151" s="147"/>
      <c r="K151" s="147"/>
      <c r="L151" s="147"/>
      <c r="M151" s="147"/>
      <c r="N151" s="147"/>
      <c r="O151" s="147"/>
      <c r="P151" s="147"/>
      <c r="Q151" s="147"/>
      <c r="R151" s="147"/>
      <c r="S151" s="147"/>
      <c r="T151" s="147"/>
      <c r="U151" s="147"/>
      <c r="V151" s="147"/>
      <c r="W151" s="147"/>
      <c r="X151" s="147"/>
      <c r="Y151" s="147"/>
      <c r="Z151" s="147"/>
      <c r="AA151" s="147"/>
      <c r="AB151" s="147"/>
      <c r="AC151" s="147"/>
      <c r="AD151" s="147"/>
      <c r="AE151" s="147"/>
      <c r="AF151" s="147"/>
      <c r="AG151" s="147"/>
      <c r="AH151" s="158"/>
      <c r="AI151" s="158"/>
    </row>
    <row r="152" spans="1:35" hidden="1">
      <c r="A152" s="147"/>
      <c r="B152" s="147"/>
      <c r="C152" s="147"/>
      <c r="D152" s="147"/>
      <c r="E152" s="147"/>
      <c r="F152" s="147"/>
      <c r="G152" s="147"/>
      <c r="H152" s="147"/>
      <c r="I152" s="147"/>
      <c r="J152" s="147"/>
      <c r="K152" s="147"/>
      <c r="L152" s="147"/>
      <c r="M152" s="147"/>
      <c r="N152" s="147"/>
      <c r="O152" s="147"/>
      <c r="P152" s="147"/>
      <c r="Q152" s="147"/>
      <c r="R152" s="147"/>
      <c r="S152" s="147"/>
      <c r="T152" s="147"/>
      <c r="U152" s="147"/>
      <c r="V152" s="147"/>
      <c r="W152" s="147"/>
      <c r="X152" s="147"/>
      <c r="Y152" s="147"/>
      <c r="Z152" s="147"/>
      <c r="AA152" s="147"/>
      <c r="AB152" s="147"/>
      <c r="AC152" s="147"/>
      <c r="AD152" s="147"/>
      <c r="AE152" s="147"/>
      <c r="AF152" s="147"/>
      <c r="AG152" s="147"/>
      <c r="AH152" s="158"/>
      <c r="AI152" s="158"/>
    </row>
    <row r="153" spans="1:35" hidden="1">
      <c r="A153" s="147"/>
      <c r="B153" s="147"/>
      <c r="C153" s="147"/>
      <c r="D153" s="147"/>
      <c r="E153" s="147"/>
      <c r="F153" s="147"/>
      <c r="G153" s="147"/>
      <c r="H153" s="147"/>
      <c r="I153" s="147"/>
      <c r="J153" s="147"/>
      <c r="K153" s="147"/>
      <c r="L153" s="147"/>
      <c r="M153" s="147"/>
      <c r="N153" s="147"/>
      <c r="O153" s="147"/>
      <c r="P153" s="147"/>
      <c r="Q153" s="147"/>
      <c r="R153" s="147"/>
      <c r="S153" s="147"/>
      <c r="T153" s="147"/>
      <c r="U153" s="147"/>
      <c r="V153" s="147"/>
      <c r="W153" s="147"/>
      <c r="X153" s="147"/>
      <c r="Y153" s="147"/>
      <c r="Z153" s="147"/>
      <c r="AA153" s="147"/>
      <c r="AB153" s="147"/>
      <c r="AC153" s="147"/>
      <c r="AD153" s="147"/>
      <c r="AE153" s="147"/>
      <c r="AF153" s="147"/>
      <c r="AG153" s="147"/>
      <c r="AH153" s="158"/>
      <c r="AI153" s="158"/>
    </row>
    <row r="154" spans="1:35" hidden="1">
      <c r="A154" s="147"/>
      <c r="B154" s="147"/>
      <c r="C154" s="147"/>
      <c r="D154" s="147"/>
      <c r="E154" s="147"/>
      <c r="F154" s="147"/>
      <c r="G154" s="147"/>
      <c r="H154" s="147"/>
      <c r="I154" s="147"/>
      <c r="J154" s="147"/>
      <c r="K154" s="147"/>
      <c r="L154" s="147"/>
      <c r="M154" s="147"/>
      <c r="N154" s="147"/>
      <c r="O154" s="147"/>
      <c r="P154" s="147"/>
      <c r="Q154" s="147"/>
      <c r="R154" s="147"/>
      <c r="S154" s="147"/>
      <c r="T154" s="147"/>
      <c r="U154" s="147"/>
      <c r="V154" s="147"/>
      <c r="W154" s="147"/>
      <c r="X154" s="147"/>
      <c r="Y154" s="147"/>
      <c r="Z154" s="147"/>
      <c r="AA154" s="147"/>
      <c r="AB154" s="147"/>
      <c r="AC154" s="147"/>
      <c r="AD154" s="147"/>
      <c r="AE154" s="147"/>
      <c r="AF154" s="147"/>
      <c r="AG154" s="147"/>
      <c r="AH154" s="158"/>
      <c r="AI154" s="158"/>
    </row>
    <row r="155" spans="1:35" hidden="1">
      <c r="A155" s="147"/>
      <c r="B155" s="147"/>
      <c r="C155" s="147"/>
      <c r="D155" s="147"/>
      <c r="E155" s="147"/>
      <c r="F155" s="147"/>
      <c r="G155" s="147"/>
      <c r="H155" s="147"/>
      <c r="I155" s="147"/>
      <c r="J155" s="147"/>
      <c r="K155" s="147"/>
      <c r="L155" s="147"/>
      <c r="M155" s="147"/>
      <c r="N155" s="147"/>
      <c r="O155" s="147"/>
      <c r="P155" s="147"/>
      <c r="Q155" s="147"/>
      <c r="R155" s="147"/>
      <c r="S155" s="147"/>
      <c r="T155" s="147"/>
      <c r="U155" s="147"/>
      <c r="V155" s="147"/>
      <c r="W155" s="147"/>
      <c r="X155" s="147"/>
      <c r="Y155" s="147"/>
      <c r="Z155" s="147"/>
      <c r="AA155" s="147"/>
      <c r="AB155" s="147"/>
      <c r="AC155" s="147"/>
      <c r="AD155" s="147"/>
      <c r="AE155" s="147"/>
      <c r="AF155" s="147"/>
      <c r="AG155" s="147"/>
      <c r="AH155" s="158"/>
      <c r="AI155" s="158"/>
    </row>
    <row r="156" spans="1:35" hidden="1">
      <c r="A156" s="147"/>
      <c r="B156" s="147"/>
      <c r="C156" s="147"/>
      <c r="D156" s="147"/>
      <c r="E156" s="147"/>
      <c r="F156" s="147"/>
      <c r="G156" s="147"/>
      <c r="H156" s="147"/>
      <c r="I156" s="147"/>
      <c r="J156" s="147"/>
      <c r="K156" s="147"/>
      <c r="L156" s="147"/>
      <c r="M156" s="147"/>
      <c r="N156" s="147"/>
      <c r="O156" s="147"/>
      <c r="P156" s="147"/>
      <c r="Q156" s="147"/>
      <c r="R156" s="147"/>
      <c r="S156" s="147"/>
      <c r="T156" s="147"/>
      <c r="U156" s="147"/>
      <c r="V156" s="147"/>
      <c r="W156" s="147"/>
      <c r="X156" s="147"/>
      <c r="Y156" s="147"/>
      <c r="Z156" s="147"/>
      <c r="AA156" s="147"/>
      <c r="AB156" s="147"/>
      <c r="AC156" s="147"/>
      <c r="AD156" s="147"/>
      <c r="AE156" s="147"/>
      <c r="AF156" s="147"/>
      <c r="AG156" s="147"/>
      <c r="AH156" s="158"/>
      <c r="AI156" s="158"/>
    </row>
    <row r="157" spans="1:35" hidden="1">
      <c r="A157" s="147"/>
      <c r="B157" s="147"/>
      <c r="C157" s="147"/>
      <c r="D157" s="147"/>
      <c r="E157" s="147"/>
      <c r="F157" s="147"/>
      <c r="G157" s="147"/>
      <c r="H157" s="147"/>
      <c r="I157" s="147"/>
      <c r="J157" s="147"/>
      <c r="K157" s="147"/>
      <c r="L157" s="147"/>
      <c r="M157" s="147"/>
      <c r="N157" s="147"/>
      <c r="O157" s="147"/>
      <c r="P157" s="147"/>
      <c r="Q157" s="147"/>
      <c r="R157" s="147"/>
      <c r="S157" s="147"/>
      <c r="T157" s="147"/>
      <c r="U157" s="147"/>
      <c r="V157" s="147"/>
      <c r="W157" s="147"/>
      <c r="X157" s="147"/>
      <c r="Y157" s="147"/>
      <c r="Z157" s="147"/>
      <c r="AA157" s="147"/>
      <c r="AB157" s="147"/>
      <c r="AC157" s="147"/>
      <c r="AD157" s="147"/>
      <c r="AE157" s="147"/>
      <c r="AF157" s="147"/>
      <c r="AG157" s="147"/>
      <c r="AH157" s="158"/>
      <c r="AI157" s="158"/>
    </row>
    <row r="158" spans="1:35" hidden="1">
      <c r="A158" s="147"/>
      <c r="B158" s="147"/>
      <c r="C158" s="147"/>
      <c r="D158" s="147"/>
      <c r="E158" s="147"/>
      <c r="F158" s="147"/>
      <c r="G158" s="147"/>
      <c r="H158" s="147"/>
      <c r="I158" s="147"/>
      <c r="J158" s="147"/>
      <c r="K158" s="147"/>
      <c r="L158" s="147"/>
      <c r="M158" s="147"/>
      <c r="N158" s="147"/>
      <c r="O158" s="147"/>
      <c r="P158" s="147"/>
      <c r="Q158" s="147"/>
      <c r="R158" s="147"/>
      <c r="S158" s="147"/>
      <c r="T158" s="147"/>
      <c r="U158" s="147"/>
      <c r="V158" s="147"/>
      <c r="W158" s="147"/>
      <c r="X158" s="147"/>
      <c r="Y158" s="147"/>
      <c r="Z158" s="147"/>
      <c r="AA158" s="147"/>
      <c r="AB158" s="147"/>
      <c r="AC158" s="147"/>
      <c r="AD158" s="147"/>
      <c r="AE158" s="147"/>
      <c r="AF158" s="147"/>
      <c r="AG158" s="147"/>
      <c r="AH158" s="158"/>
      <c r="AI158" s="158"/>
    </row>
    <row r="159" spans="1:35" hidden="1">
      <c r="A159" s="147"/>
      <c r="B159" s="147"/>
      <c r="C159" s="147"/>
      <c r="D159" s="147"/>
      <c r="E159" s="147"/>
      <c r="F159" s="147"/>
      <c r="G159" s="147"/>
      <c r="H159" s="147"/>
      <c r="I159" s="147"/>
      <c r="J159" s="147"/>
      <c r="K159" s="147"/>
      <c r="L159" s="147"/>
      <c r="M159" s="147"/>
      <c r="N159" s="147"/>
      <c r="O159" s="147"/>
      <c r="P159" s="147"/>
      <c r="Q159" s="147"/>
      <c r="R159" s="147"/>
      <c r="S159" s="147"/>
      <c r="T159" s="147"/>
      <c r="U159" s="147"/>
      <c r="V159" s="147"/>
      <c r="W159" s="147"/>
      <c r="X159" s="147"/>
      <c r="Y159" s="147"/>
      <c r="Z159" s="147"/>
      <c r="AA159" s="147"/>
      <c r="AB159" s="147"/>
      <c r="AC159" s="147"/>
      <c r="AD159" s="147"/>
      <c r="AE159" s="147"/>
      <c r="AF159" s="147"/>
      <c r="AG159" s="147"/>
      <c r="AH159" s="158"/>
      <c r="AI159" s="158"/>
    </row>
    <row r="160" spans="1:35" hidden="1">
      <c r="A160" s="147"/>
      <c r="B160" s="147"/>
      <c r="C160" s="147"/>
      <c r="D160" s="147"/>
      <c r="E160" s="147"/>
      <c r="F160" s="147"/>
      <c r="G160" s="147"/>
      <c r="H160" s="147"/>
      <c r="I160" s="147"/>
      <c r="J160" s="147"/>
      <c r="K160" s="147"/>
      <c r="L160" s="147"/>
      <c r="M160" s="147"/>
      <c r="N160" s="147"/>
      <c r="O160" s="147"/>
      <c r="P160" s="147"/>
      <c r="Q160" s="147"/>
      <c r="R160" s="147"/>
      <c r="S160" s="147"/>
      <c r="T160" s="147"/>
      <c r="U160" s="147"/>
      <c r="V160" s="147"/>
      <c r="W160" s="147"/>
      <c r="X160" s="147"/>
      <c r="Y160" s="147"/>
      <c r="Z160" s="147"/>
      <c r="AA160" s="147"/>
      <c r="AB160" s="147"/>
      <c r="AC160" s="147"/>
      <c r="AD160" s="147"/>
      <c r="AE160" s="147"/>
      <c r="AF160" s="147"/>
      <c r="AG160" s="147"/>
      <c r="AH160" s="158"/>
      <c r="AI160" s="158"/>
    </row>
    <row r="161" spans="1:35" hidden="1">
      <c r="A161" s="147"/>
      <c r="B161" s="147"/>
      <c r="C161" s="147"/>
      <c r="D161" s="147"/>
      <c r="E161" s="147"/>
      <c r="F161" s="147"/>
      <c r="G161" s="147"/>
      <c r="H161" s="147"/>
      <c r="I161" s="147"/>
      <c r="J161" s="147"/>
      <c r="K161" s="147"/>
      <c r="L161" s="147"/>
      <c r="M161" s="147"/>
      <c r="N161" s="147"/>
      <c r="O161" s="147"/>
      <c r="P161" s="147"/>
      <c r="Q161" s="147"/>
      <c r="R161" s="147"/>
      <c r="S161" s="147"/>
      <c r="T161" s="147"/>
      <c r="U161" s="147"/>
      <c r="V161" s="147"/>
      <c r="W161" s="147"/>
      <c r="X161" s="147"/>
      <c r="Y161" s="147"/>
      <c r="Z161" s="147"/>
      <c r="AA161" s="147"/>
      <c r="AB161" s="147"/>
      <c r="AC161" s="147"/>
      <c r="AD161" s="147"/>
      <c r="AE161" s="147"/>
      <c r="AF161" s="147"/>
      <c r="AG161" s="147"/>
      <c r="AH161" s="158"/>
      <c r="AI161" s="158"/>
    </row>
    <row r="162" spans="1:35" hidden="1">
      <c r="A162" s="147"/>
      <c r="B162" s="147"/>
      <c r="C162" s="147"/>
      <c r="D162" s="147"/>
      <c r="E162" s="147"/>
      <c r="F162" s="147"/>
      <c r="G162" s="147"/>
      <c r="H162" s="147"/>
      <c r="I162" s="147"/>
      <c r="J162" s="147"/>
      <c r="K162" s="147"/>
      <c r="L162" s="147"/>
      <c r="M162" s="147"/>
      <c r="N162" s="147"/>
      <c r="O162" s="147"/>
      <c r="P162" s="147"/>
      <c r="Q162" s="147"/>
      <c r="R162" s="147"/>
      <c r="S162" s="147"/>
      <c r="T162" s="147"/>
      <c r="U162" s="147"/>
      <c r="V162" s="147"/>
      <c r="W162" s="147"/>
      <c r="X162" s="147"/>
      <c r="Y162" s="147"/>
      <c r="Z162" s="147"/>
      <c r="AA162" s="147"/>
      <c r="AB162" s="147"/>
      <c r="AC162" s="147"/>
      <c r="AD162" s="147"/>
      <c r="AE162" s="147"/>
      <c r="AF162" s="147"/>
      <c r="AG162" s="147"/>
      <c r="AH162" s="158"/>
      <c r="AI162" s="158"/>
    </row>
    <row r="163" spans="1:35" hidden="1">
      <c r="A163" s="147"/>
      <c r="B163" s="147"/>
      <c r="C163" s="147"/>
      <c r="D163" s="147"/>
      <c r="E163" s="147"/>
      <c r="F163" s="147"/>
      <c r="G163" s="147"/>
      <c r="H163" s="147"/>
      <c r="I163" s="147"/>
      <c r="J163" s="147"/>
      <c r="K163" s="147"/>
      <c r="L163" s="147"/>
      <c r="M163" s="147"/>
      <c r="N163" s="147"/>
      <c r="O163" s="147"/>
      <c r="P163" s="147"/>
      <c r="Q163" s="147"/>
      <c r="R163" s="147"/>
      <c r="S163" s="147"/>
      <c r="T163" s="147"/>
      <c r="U163" s="147"/>
      <c r="V163" s="147"/>
      <c r="W163" s="147"/>
      <c r="X163" s="147"/>
      <c r="Y163" s="147"/>
      <c r="Z163" s="147"/>
      <c r="AA163" s="147"/>
      <c r="AB163" s="147"/>
      <c r="AC163" s="147"/>
      <c r="AD163" s="147"/>
      <c r="AE163" s="147"/>
      <c r="AF163" s="147"/>
      <c r="AG163" s="147"/>
      <c r="AH163" s="158"/>
      <c r="AI163" s="158"/>
    </row>
    <row r="164" spans="1:35" hidden="1">
      <c r="A164" s="147"/>
      <c r="B164" s="147"/>
      <c r="C164" s="147"/>
      <c r="D164" s="147"/>
      <c r="E164" s="147"/>
      <c r="F164" s="147"/>
      <c r="G164" s="147"/>
      <c r="H164" s="147"/>
      <c r="I164" s="147"/>
      <c r="J164" s="147"/>
      <c r="K164" s="147"/>
      <c r="L164" s="147"/>
      <c r="M164" s="147"/>
      <c r="N164" s="147"/>
      <c r="O164" s="147"/>
      <c r="P164" s="147"/>
      <c r="Q164" s="147"/>
      <c r="R164" s="147"/>
      <c r="S164" s="147"/>
      <c r="T164" s="147"/>
      <c r="U164" s="147"/>
      <c r="V164" s="147"/>
      <c r="W164" s="147"/>
      <c r="X164" s="147"/>
      <c r="Y164" s="147"/>
      <c r="Z164" s="147"/>
      <c r="AA164" s="147"/>
      <c r="AB164" s="147"/>
      <c r="AC164" s="147"/>
      <c r="AD164" s="147"/>
      <c r="AE164" s="147"/>
      <c r="AF164" s="147"/>
      <c r="AG164" s="147"/>
      <c r="AH164" s="158"/>
      <c r="AI164" s="158"/>
    </row>
    <row r="165" spans="1:35" hidden="1">
      <c r="A165" s="147"/>
      <c r="B165" s="147"/>
      <c r="C165" s="147"/>
      <c r="D165" s="147"/>
      <c r="E165" s="147"/>
      <c r="F165" s="147"/>
      <c r="G165" s="147"/>
      <c r="H165" s="147"/>
      <c r="I165" s="147"/>
      <c r="J165" s="147"/>
      <c r="K165" s="147"/>
      <c r="L165" s="147"/>
      <c r="M165" s="147"/>
      <c r="N165" s="147"/>
      <c r="O165" s="147"/>
      <c r="P165" s="147"/>
      <c r="Q165" s="147"/>
      <c r="R165" s="147"/>
      <c r="S165" s="147"/>
      <c r="T165" s="147"/>
      <c r="U165" s="147"/>
      <c r="V165" s="147"/>
      <c r="W165" s="147"/>
      <c r="X165" s="147"/>
      <c r="Y165" s="147"/>
      <c r="Z165" s="147"/>
      <c r="AA165" s="147"/>
      <c r="AB165" s="147"/>
      <c r="AC165" s="147"/>
      <c r="AD165" s="147"/>
      <c r="AE165" s="147"/>
      <c r="AF165" s="147"/>
      <c r="AG165" s="147"/>
      <c r="AH165" s="158"/>
      <c r="AI165" s="158"/>
    </row>
    <row r="166" spans="1:35" hidden="1">
      <c r="A166" s="147"/>
      <c r="B166" s="147"/>
      <c r="C166" s="147"/>
      <c r="D166" s="147"/>
      <c r="E166" s="147"/>
      <c r="F166" s="147"/>
      <c r="G166" s="147"/>
      <c r="H166" s="147"/>
      <c r="I166" s="147"/>
      <c r="J166" s="147"/>
      <c r="K166" s="147"/>
      <c r="L166" s="147"/>
      <c r="M166" s="147"/>
      <c r="N166" s="147"/>
      <c r="O166" s="147"/>
      <c r="P166" s="147"/>
      <c r="Q166" s="147"/>
      <c r="R166" s="147"/>
      <c r="S166" s="147"/>
      <c r="T166" s="147"/>
      <c r="U166" s="147"/>
      <c r="V166" s="147"/>
      <c r="W166" s="147"/>
      <c r="X166" s="147"/>
      <c r="Y166" s="147"/>
      <c r="Z166" s="147"/>
      <c r="AA166" s="147"/>
      <c r="AB166" s="147"/>
      <c r="AC166" s="147"/>
      <c r="AD166" s="147"/>
      <c r="AE166" s="147"/>
      <c r="AF166" s="147"/>
      <c r="AG166" s="147"/>
      <c r="AH166" s="158"/>
      <c r="AI166" s="158"/>
    </row>
    <row r="167" spans="1:35" hidden="1">
      <c r="A167" s="147"/>
      <c r="B167" s="147"/>
      <c r="C167" s="147"/>
      <c r="D167" s="147"/>
      <c r="E167" s="147"/>
      <c r="F167" s="147"/>
      <c r="G167" s="147"/>
      <c r="H167" s="147"/>
      <c r="I167" s="147"/>
      <c r="J167" s="147"/>
      <c r="K167" s="147"/>
      <c r="L167" s="147"/>
      <c r="M167" s="147"/>
      <c r="N167" s="147"/>
      <c r="O167" s="147"/>
      <c r="P167" s="147"/>
      <c r="Q167" s="147"/>
      <c r="R167" s="147"/>
      <c r="S167" s="147"/>
      <c r="T167" s="147"/>
      <c r="U167" s="147"/>
      <c r="V167" s="147"/>
      <c r="W167" s="147"/>
      <c r="X167" s="147"/>
      <c r="Y167" s="147"/>
      <c r="Z167" s="147"/>
      <c r="AA167" s="147"/>
      <c r="AB167" s="147"/>
      <c r="AC167" s="147"/>
      <c r="AD167" s="147"/>
      <c r="AE167" s="147"/>
      <c r="AF167" s="147"/>
      <c r="AG167" s="147"/>
      <c r="AH167" s="158"/>
      <c r="AI167" s="158"/>
    </row>
    <row r="168" spans="1:35" hidden="1">
      <c r="A168" s="147"/>
      <c r="B168" s="147"/>
      <c r="C168" s="147"/>
      <c r="D168" s="147"/>
      <c r="E168" s="147"/>
      <c r="F168" s="147"/>
      <c r="G168" s="147"/>
      <c r="H168" s="147"/>
      <c r="I168" s="147"/>
      <c r="J168" s="147"/>
      <c r="K168" s="147"/>
      <c r="L168" s="147"/>
      <c r="M168" s="147"/>
      <c r="N168" s="147"/>
      <c r="O168" s="147"/>
      <c r="P168" s="147"/>
      <c r="Q168" s="147"/>
      <c r="R168" s="147"/>
      <c r="S168" s="147"/>
      <c r="T168" s="147"/>
      <c r="U168" s="147"/>
      <c r="V168" s="147"/>
      <c r="W168" s="147"/>
      <c r="X168" s="147"/>
      <c r="Y168" s="147"/>
      <c r="Z168" s="147"/>
      <c r="AA168" s="147"/>
      <c r="AB168" s="147"/>
      <c r="AC168" s="147"/>
      <c r="AD168" s="147"/>
      <c r="AE168" s="147"/>
      <c r="AF168" s="147"/>
      <c r="AG168" s="147"/>
      <c r="AH168" s="158"/>
      <c r="AI168" s="158"/>
    </row>
    <row r="169" spans="1:35" hidden="1">
      <c r="A169" s="147"/>
      <c r="B169" s="147"/>
      <c r="C169" s="147"/>
      <c r="D169" s="147"/>
      <c r="E169" s="147"/>
      <c r="F169" s="147"/>
      <c r="G169" s="147"/>
      <c r="H169" s="147"/>
      <c r="I169" s="147"/>
      <c r="J169" s="147"/>
      <c r="K169" s="147"/>
      <c r="L169" s="147"/>
      <c r="M169" s="147"/>
      <c r="N169" s="147"/>
      <c r="O169" s="147"/>
      <c r="P169" s="147"/>
      <c r="Q169" s="147"/>
      <c r="R169" s="147"/>
      <c r="S169" s="147"/>
      <c r="T169" s="147"/>
      <c r="U169" s="147"/>
      <c r="V169" s="147"/>
      <c r="W169" s="147"/>
      <c r="X169" s="147"/>
      <c r="Y169" s="147"/>
      <c r="Z169" s="147"/>
      <c r="AA169" s="147"/>
      <c r="AB169" s="147"/>
      <c r="AC169" s="147"/>
      <c r="AD169" s="147"/>
      <c r="AE169" s="147"/>
      <c r="AF169" s="147"/>
      <c r="AG169" s="147"/>
      <c r="AH169" s="158"/>
      <c r="AI169" s="158"/>
    </row>
    <row r="170" spans="1:35" hidden="1">
      <c r="A170" s="147"/>
      <c r="B170" s="147"/>
      <c r="C170" s="147"/>
      <c r="D170" s="147"/>
      <c r="E170" s="147"/>
      <c r="F170" s="147"/>
      <c r="G170" s="147"/>
      <c r="H170" s="147"/>
      <c r="I170" s="147"/>
      <c r="J170" s="147"/>
      <c r="K170" s="147"/>
      <c r="L170" s="147"/>
      <c r="M170" s="147"/>
      <c r="N170" s="147"/>
      <c r="O170" s="147"/>
      <c r="P170" s="147"/>
      <c r="Q170" s="147"/>
      <c r="R170" s="147"/>
      <c r="S170" s="147"/>
      <c r="T170" s="147"/>
      <c r="U170" s="147"/>
      <c r="V170" s="147"/>
      <c r="W170" s="147"/>
      <c r="X170" s="147"/>
      <c r="Y170" s="147"/>
      <c r="Z170" s="147"/>
      <c r="AA170" s="147"/>
      <c r="AB170" s="147"/>
      <c r="AC170" s="147"/>
      <c r="AD170" s="147"/>
      <c r="AE170" s="147"/>
      <c r="AF170" s="147"/>
      <c r="AG170" s="147"/>
      <c r="AH170" s="158"/>
      <c r="AI170" s="158"/>
    </row>
    <row r="171" spans="1:35" hidden="1">
      <c r="A171" s="147"/>
      <c r="B171" s="147"/>
      <c r="C171" s="147"/>
      <c r="D171" s="147"/>
      <c r="E171" s="147"/>
      <c r="F171" s="147"/>
      <c r="G171" s="147"/>
      <c r="H171" s="147"/>
      <c r="I171" s="147"/>
      <c r="J171" s="147"/>
      <c r="K171" s="147"/>
      <c r="L171" s="147"/>
      <c r="M171" s="147"/>
      <c r="N171" s="147"/>
      <c r="O171" s="147"/>
      <c r="P171" s="147"/>
      <c r="Q171" s="147"/>
      <c r="R171" s="147"/>
      <c r="S171" s="147"/>
      <c r="T171" s="147"/>
      <c r="U171" s="147"/>
      <c r="V171" s="147"/>
      <c r="W171" s="147"/>
      <c r="X171" s="147"/>
      <c r="Y171" s="147"/>
      <c r="Z171" s="147"/>
      <c r="AA171" s="147"/>
      <c r="AB171" s="147"/>
      <c r="AC171" s="147"/>
      <c r="AD171" s="147"/>
      <c r="AE171" s="147"/>
      <c r="AF171" s="147"/>
      <c r="AG171" s="147"/>
      <c r="AH171" s="158"/>
      <c r="AI171" s="158"/>
    </row>
    <row r="172" spans="1:35" hidden="1">
      <c r="A172" s="147"/>
      <c r="B172" s="147"/>
      <c r="C172" s="147"/>
      <c r="D172" s="147"/>
      <c r="E172" s="147"/>
      <c r="F172" s="147"/>
      <c r="G172" s="147"/>
      <c r="H172" s="147"/>
      <c r="I172" s="147"/>
      <c r="J172" s="147"/>
      <c r="K172" s="147"/>
      <c r="L172" s="147"/>
      <c r="M172" s="147"/>
      <c r="N172" s="147"/>
      <c r="O172" s="147"/>
      <c r="P172" s="147"/>
      <c r="Q172" s="147"/>
      <c r="R172" s="147"/>
      <c r="S172" s="147"/>
      <c r="T172" s="147"/>
      <c r="U172" s="147"/>
      <c r="V172" s="147"/>
      <c r="W172" s="147"/>
      <c r="X172" s="147"/>
      <c r="Y172" s="147"/>
      <c r="Z172" s="147"/>
      <c r="AA172" s="147"/>
      <c r="AB172" s="147"/>
      <c r="AC172" s="147"/>
      <c r="AD172" s="147"/>
      <c r="AE172" s="147"/>
      <c r="AF172" s="147"/>
      <c r="AG172" s="147"/>
      <c r="AH172" s="158"/>
      <c r="AI172" s="158"/>
    </row>
    <row r="173" spans="1:35" hidden="1">
      <c r="A173" s="147"/>
      <c r="B173" s="147"/>
      <c r="C173" s="147"/>
      <c r="D173" s="147"/>
      <c r="E173" s="147"/>
      <c r="F173" s="147"/>
      <c r="G173" s="147"/>
      <c r="H173" s="147"/>
      <c r="I173" s="147"/>
      <c r="J173" s="147"/>
      <c r="K173" s="147"/>
      <c r="L173" s="147"/>
      <c r="M173" s="147"/>
      <c r="N173" s="147"/>
      <c r="O173" s="147"/>
      <c r="P173" s="147"/>
      <c r="Q173" s="147"/>
      <c r="R173" s="147"/>
      <c r="S173" s="147"/>
      <c r="T173" s="147"/>
      <c r="U173" s="147"/>
      <c r="V173" s="147"/>
      <c r="W173" s="147"/>
      <c r="X173" s="147"/>
      <c r="Y173" s="147"/>
      <c r="Z173" s="147"/>
      <c r="AA173" s="147"/>
      <c r="AB173" s="147"/>
      <c r="AC173" s="147"/>
      <c r="AD173" s="147"/>
      <c r="AE173" s="147"/>
      <c r="AF173" s="147"/>
      <c r="AG173" s="147"/>
      <c r="AH173" s="158"/>
      <c r="AI173" s="158"/>
    </row>
    <row r="174" spans="1:35" hidden="1">
      <c r="A174" s="147"/>
      <c r="B174" s="147"/>
      <c r="C174" s="147"/>
      <c r="D174" s="147"/>
      <c r="E174" s="147"/>
      <c r="F174" s="147"/>
      <c r="G174" s="147"/>
      <c r="H174" s="147"/>
      <c r="I174" s="147"/>
      <c r="J174" s="147"/>
      <c r="K174" s="147"/>
      <c r="L174" s="147"/>
      <c r="M174" s="147"/>
      <c r="N174" s="147"/>
      <c r="O174" s="147"/>
      <c r="P174" s="147"/>
      <c r="Q174" s="147"/>
      <c r="R174" s="147"/>
      <c r="S174" s="147"/>
      <c r="T174" s="147"/>
      <c r="U174" s="147"/>
      <c r="V174" s="147"/>
      <c r="W174" s="147"/>
      <c r="X174" s="147"/>
      <c r="Y174" s="147"/>
      <c r="Z174" s="147"/>
      <c r="AA174" s="147"/>
      <c r="AB174" s="147"/>
      <c r="AC174" s="147"/>
      <c r="AD174" s="147"/>
      <c r="AE174" s="147"/>
      <c r="AF174" s="147"/>
      <c r="AG174" s="147"/>
      <c r="AH174" s="158"/>
      <c r="AI174" s="158"/>
    </row>
    <row r="175" spans="1:35" hidden="1">
      <c r="A175" s="147"/>
      <c r="B175" s="147"/>
      <c r="C175" s="147"/>
      <c r="D175" s="147"/>
      <c r="E175" s="147"/>
      <c r="F175" s="147"/>
      <c r="G175" s="147"/>
      <c r="H175" s="147"/>
      <c r="I175" s="147"/>
      <c r="J175" s="147"/>
      <c r="K175" s="147"/>
      <c r="L175" s="147"/>
      <c r="M175" s="147"/>
      <c r="N175" s="147"/>
      <c r="O175" s="147"/>
      <c r="P175" s="147"/>
      <c r="Q175" s="147"/>
      <c r="R175" s="147"/>
      <c r="S175" s="147"/>
      <c r="T175" s="147"/>
      <c r="U175" s="147"/>
      <c r="V175" s="147"/>
      <c r="W175" s="147"/>
      <c r="X175" s="147"/>
      <c r="Y175" s="147"/>
      <c r="Z175" s="147"/>
      <c r="AA175" s="147"/>
      <c r="AB175" s="147"/>
      <c r="AC175" s="147"/>
      <c r="AD175" s="147"/>
      <c r="AE175" s="147"/>
      <c r="AF175" s="147"/>
      <c r="AG175" s="147"/>
      <c r="AH175" s="158"/>
      <c r="AI175" s="158"/>
    </row>
    <row r="176" spans="1:35" hidden="1">
      <c r="A176" s="147"/>
      <c r="B176" s="147"/>
      <c r="C176" s="147"/>
      <c r="D176" s="147"/>
      <c r="E176" s="147"/>
      <c r="F176" s="147"/>
      <c r="G176" s="147"/>
      <c r="H176" s="147"/>
      <c r="I176" s="147"/>
      <c r="J176" s="147"/>
      <c r="K176" s="147"/>
      <c r="L176" s="147"/>
      <c r="M176" s="147"/>
      <c r="N176" s="147"/>
      <c r="O176" s="147"/>
      <c r="P176" s="147"/>
      <c r="Q176" s="147"/>
      <c r="R176" s="147"/>
      <c r="S176" s="147"/>
      <c r="T176" s="147"/>
      <c r="U176" s="147"/>
      <c r="V176" s="147"/>
      <c r="W176" s="147"/>
      <c r="X176" s="147"/>
      <c r="Y176" s="147"/>
      <c r="Z176" s="147"/>
      <c r="AA176" s="147"/>
      <c r="AB176" s="147"/>
      <c r="AC176" s="147"/>
      <c r="AD176" s="147"/>
      <c r="AE176" s="147"/>
      <c r="AF176" s="147"/>
      <c r="AG176" s="147"/>
      <c r="AH176" s="158"/>
      <c r="AI176" s="158"/>
    </row>
    <row r="177" spans="1:35" hidden="1">
      <c r="A177" s="147"/>
      <c r="B177" s="147"/>
      <c r="C177" s="147"/>
      <c r="D177" s="147"/>
      <c r="E177" s="147"/>
      <c r="F177" s="147"/>
      <c r="G177" s="147"/>
      <c r="H177" s="147"/>
      <c r="I177" s="147"/>
      <c r="J177" s="147"/>
      <c r="K177" s="147"/>
      <c r="L177" s="147"/>
      <c r="M177" s="147"/>
      <c r="N177" s="147"/>
      <c r="O177" s="147"/>
      <c r="P177" s="147"/>
      <c r="Q177" s="147"/>
      <c r="R177" s="147"/>
      <c r="S177" s="147"/>
      <c r="T177" s="147"/>
      <c r="U177" s="147"/>
      <c r="V177" s="147"/>
      <c r="W177" s="147"/>
      <c r="X177" s="147"/>
      <c r="Y177" s="147"/>
      <c r="Z177" s="147"/>
      <c r="AA177" s="147"/>
      <c r="AB177" s="147"/>
      <c r="AC177" s="147"/>
      <c r="AD177" s="147"/>
      <c r="AE177" s="147"/>
      <c r="AF177" s="147"/>
      <c r="AG177" s="147"/>
      <c r="AH177" s="158"/>
      <c r="AI177" s="158"/>
    </row>
    <row r="178" spans="1:35" hidden="1">
      <c r="A178" s="147"/>
      <c r="B178" s="147"/>
      <c r="C178" s="147"/>
      <c r="D178" s="147"/>
      <c r="E178" s="147"/>
      <c r="F178" s="147"/>
      <c r="G178" s="147"/>
      <c r="H178" s="147"/>
      <c r="I178" s="147"/>
      <c r="J178" s="147"/>
      <c r="K178" s="147"/>
      <c r="L178" s="147"/>
      <c r="M178" s="147"/>
      <c r="N178" s="147"/>
      <c r="O178" s="147"/>
      <c r="P178" s="147"/>
      <c r="Q178" s="147"/>
      <c r="R178" s="147"/>
      <c r="S178" s="147"/>
      <c r="T178" s="147"/>
      <c r="U178" s="147"/>
      <c r="V178" s="147"/>
      <c r="W178" s="147"/>
      <c r="X178" s="147"/>
      <c r="Y178" s="147"/>
      <c r="Z178" s="147"/>
      <c r="AA178" s="147"/>
      <c r="AB178" s="147"/>
      <c r="AC178" s="147"/>
      <c r="AD178" s="147"/>
      <c r="AE178" s="147"/>
      <c r="AF178" s="147"/>
      <c r="AG178" s="147"/>
      <c r="AH178" s="158"/>
      <c r="AI178" s="158"/>
    </row>
    <row r="179" spans="1:35" hidden="1">
      <c r="A179" s="147"/>
      <c r="B179" s="147"/>
      <c r="C179" s="147"/>
      <c r="D179" s="147"/>
      <c r="E179" s="147"/>
      <c r="F179" s="147"/>
      <c r="G179" s="147"/>
      <c r="H179" s="147"/>
      <c r="I179" s="147"/>
      <c r="J179" s="147"/>
      <c r="K179" s="147"/>
      <c r="L179" s="147"/>
      <c r="M179" s="147"/>
      <c r="N179" s="147"/>
      <c r="O179" s="147"/>
      <c r="P179" s="147"/>
      <c r="Q179" s="147"/>
      <c r="R179" s="147"/>
      <c r="S179" s="147"/>
      <c r="T179" s="147"/>
      <c r="U179" s="147"/>
      <c r="V179" s="147"/>
      <c r="W179" s="147"/>
      <c r="X179" s="147"/>
      <c r="Y179" s="147"/>
      <c r="Z179" s="147"/>
      <c r="AA179" s="147"/>
      <c r="AB179" s="147"/>
      <c r="AC179" s="147"/>
      <c r="AD179" s="147"/>
      <c r="AE179" s="147"/>
      <c r="AF179" s="147"/>
      <c r="AG179" s="147"/>
      <c r="AH179" s="158"/>
      <c r="AI179" s="158"/>
    </row>
    <row r="180" spans="1:35" hidden="1">
      <c r="A180" s="147"/>
      <c r="B180" s="147"/>
      <c r="C180" s="147"/>
      <c r="D180" s="147"/>
      <c r="E180" s="147"/>
      <c r="F180" s="147"/>
      <c r="G180" s="147"/>
      <c r="H180" s="147"/>
      <c r="I180" s="147"/>
      <c r="J180" s="147"/>
      <c r="K180" s="147"/>
      <c r="L180" s="147"/>
      <c r="M180" s="147"/>
      <c r="N180" s="147"/>
      <c r="O180" s="147"/>
      <c r="P180" s="147"/>
      <c r="Q180" s="147"/>
      <c r="R180" s="147"/>
      <c r="S180" s="147"/>
      <c r="T180" s="147"/>
      <c r="U180" s="147"/>
      <c r="V180" s="147"/>
      <c r="W180" s="147"/>
      <c r="X180" s="147"/>
      <c r="Y180" s="147"/>
      <c r="Z180" s="147"/>
      <c r="AA180" s="147"/>
      <c r="AB180" s="147"/>
      <c r="AC180" s="147"/>
      <c r="AD180" s="147"/>
      <c r="AE180" s="147"/>
      <c r="AF180" s="147"/>
      <c r="AG180" s="147"/>
      <c r="AH180" s="158"/>
      <c r="AI180" s="158"/>
    </row>
    <row r="181" spans="1:35" hidden="1">
      <c r="A181" s="147"/>
      <c r="B181" s="147"/>
      <c r="C181" s="147"/>
      <c r="D181" s="147"/>
      <c r="E181" s="147"/>
      <c r="F181" s="147"/>
      <c r="G181" s="147"/>
      <c r="H181" s="147"/>
      <c r="I181" s="147"/>
      <c r="J181" s="147"/>
      <c r="K181" s="147"/>
      <c r="L181" s="147"/>
      <c r="M181" s="147"/>
      <c r="N181" s="147"/>
      <c r="O181" s="147"/>
      <c r="P181" s="147"/>
      <c r="Q181" s="147"/>
      <c r="R181" s="147"/>
      <c r="S181" s="147"/>
      <c r="T181" s="147"/>
      <c r="U181" s="147"/>
      <c r="V181" s="147"/>
      <c r="W181" s="147"/>
      <c r="X181" s="147"/>
      <c r="Y181" s="147"/>
      <c r="Z181" s="147"/>
      <c r="AA181" s="147"/>
      <c r="AB181" s="147"/>
      <c r="AC181" s="147"/>
      <c r="AD181" s="147"/>
      <c r="AE181" s="147"/>
      <c r="AF181" s="147"/>
      <c r="AG181" s="147"/>
      <c r="AH181" s="158"/>
      <c r="AI181" s="158"/>
    </row>
    <row r="182" spans="1:35" hidden="1">
      <c r="A182" s="147"/>
      <c r="B182" s="147"/>
      <c r="C182" s="147"/>
      <c r="D182" s="147"/>
      <c r="E182" s="147"/>
      <c r="F182" s="147"/>
      <c r="G182" s="147"/>
      <c r="H182" s="147"/>
      <c r="I182" s="147"/>
      <c r="J182" s="147"/>
      <c r="K182" s="147"/>
      <c r="L182" s="147"/>
      <c r="M182" s="147"/>
      <c r="N182" s="147"/>
      <c r="O182" s="147"/>
      <c r="P182" s="147"/>
      <c r="Q182" s="147"/>
      <c r="R182" s="147"/>
      <c r="S182" s="147"/>
      <c r="T182" s="147"/>
      <c r="U182" s="147"/>
      <c r="V182" s="147"/>
      <c r="W182" s="147"/>
      <c r="X182" s="147"/>
      <c r="Y182" s="147"/>
      <c r="Z182" s="147"/>
      <c r="AA182" s="147"/>
      <c r="AB182" s="147"/>
      <c r="AC182" s="147"/>
      <c r="AD182" s="147"/>
      <c r="AE182" s="147"/>
      <c r="AF182" s="147"/>
      <c r="AG182" s="147"/>
      <c r="AH182" s="158"/>
      <c r="AI182" s="158"/>
    </row>
    <row r="183" spans="1:35" hidden="1">
      <c r="A183" s="147"/>
      <c r="B183" s="147"/>
      <c r="C183" s="147"/>
      <c r="D183" s="147"/>
      <c r="E183" s="147"/>
      <c r="F183" s="147"/>
      <c r="G183" s="147"/>
      <c r="H183" s="147"/>
      <c r="I183" s="147"/>
      <c r="J183" s="147"/>
      <c r="K183" s="147"/>
      <c r="L183" s="147"/>
      <c r="M183" s="147"/>
      <c r="N183" s="147"/>
      <c r="O183" s="147"/>
      <c r="P183" s="147"/>
      <c r="Q183" s="147"/>
      <c r="R183" s="147"/>
      <c r="S183" s="147"/>
      <c r="T183" s="147"/>
      <c r="U183" s="147"/>
      <c r="V183" s="147"/>
      <c r="W183" s="147"/>
      <c r="X183" s="147"/>
      <c r="Y183" s="147"/>
      <c r="Z183" s="147"/>
      <c r="AA183" s="147"/>
      <c r="AB183" s="147"/>
      <c r="AC183" s="147"/>
      <c r="AD183" s="147"/>
      <c r="AE183" s="147"/>
      <c r="AF183" s="147"/>
      <c r="AG183" s="147"/>
      <c r="AH183" s="158"/>
      <c r="AI183" s="158"/>
    </row>
    <row r="184" spans="1:35" hidden="1">
      <c r="A184" s="147"/>
      <c r="B184" s="147"/>
      <c r="C184" s="147"/>
      <c r="D184" s="147"/>
      <c r="E184" s="147"/>
      <c r="F184" s="147"/>
      <c r="G184" s="147"/>
      <c r="H184" s="147"/>
      <c r="I184" s="147"/>
      <c r="J184" s="147"/>
      <c r="K184" s="147"/>
      <c r="L184" s="147"/>
      <c r="M184" s="147"/>
      <c r="N184" s="147"/>
      <c r="O184" s="147"/>
      <c r="P184" s="147"/>
      <c r="Q184" s="147"/>
      <c r="R184" s="147"/>
      <c r="S184" s="147"/>
      <c r="T184" s="147"/>
      <c r="U184" s="147"/>
      <c r="V184" s="147"/>
      <c r="W184" s="147"/>
      <c r="X184" s="147"/>
      <c r="Y184" s="147"/>
      <c r="Z184" s="147"/>
      <c r="AA184" s="147"/>
      <c r="AB184" s="147"/>
      <c r="AC184" s="147"/>
      <c r="AD184" s="147"/>
      <c r="AE184" s="147"/>
      <c r="AF184" s="147"/>
      <c r="AG184" s="147"/>
      <c r="AH184" s="158"/>
      <c r="AI184" s="158"/>
    </row>
    <row r="185" spans="1:35" hidden="1">
      <c r="A185" s="147"/>
      <c r="B185" s="147"/>
      <c r="C185" s="147"/>
      <c r="D185" s="147"/>
      <c r="E185" s="147"/>
      <c r="F185" s="147"/>
      <c r="G185" s="147"/>
      <c r="H185" s="147"/>
      <c r="I185" s="147"/>
      <c r="J185" s="147"/>
      <c r="K185" s="147"/>
      <c r="L185" s="147"/>
      <c r="M185" s="147"/>
      <c r="N185" s="147"/>
      <c r="O185" s="147"/>
      <c r="P185" s="147"/>
      <c r="Q185" s="147"/>
      <c r="R185" s="147"/>
      <c r="S185" s="147"/>
      <c r="T185" s="147"/>
      <c r="U185" s="147"/>
      <c r="V185" s="147"/>
      <c r="W185" s="147"/>
      <c r="X185" s="147"/>
      <c r="Y185" s="147"/>
      <c r="Z185" s="147"/>
      <c r="AA185" s="147"/>
      <c r="AB185" s="147"/>
      <c r="AC185" s="147"/>
      <c r="AD185" s="147"/>
      <c r="AE185" s="147"/>
      <c r="AF185" s="147"/>
      <c r="AG185" s="147"/>
      <c r="AH185" s="158"/>
      <c r="AI185" s="158"/>
    </row>
    <row r="186" spans="1:35" hidden="1">
      <c r="A186" s="147"/>
      <c r="B186" s="147"/>
      <c r="C186" s="147"/>
      <c r="D186" s="147"/>
      <c r="E186" s="147"/>
      <c r="F186" s="147"/>
      <c r="G186" s="147"/>
      <c r="H186" s="147"/>
      <c r="I186" s="147"/>
      <c r="J186" s="147"/>
      <c r="K186" s="147"/>
      <c r="L186" s="147"/>
      <c r="M186" s="147"/>
      <c r="N186" s="147"/>
      <c r="O186" s="147"/>
      <c r="P186" s="147"/>
      <c r="Q186" s="147"/>
      <c r="R186" s="147"/>
      <c r="S186" s="147"/>
      <c r="T186" s="147"/>
      <c r="U186" s="147"/>
      <c r="V186" s="147"/>
      <c r="W186" s="147"/>
      <c r="X186" s="147"/>
      <c r="Y186" s="147"/>
      <c r="Z186" s="147"/>
      <c r="AA186" s="147"/>
      <c r="AB186" s="147"/>
      <c r="AC186" s="147"/>
      <c r="AD186" s="147"/>
      <c r="AE186" s="147"/>
      <c r="AF186" s="147"/>
      <c r="AG186" s="147"/>
      <c r="AH186" s="158"/>
      <c r="AI186" s="158"/>
    </row>
    <row r="187" spans="1:35" hidden="1">
      <c r="A187" s="147"/>
      <c r="B187" s="147"/>
      <c r="C187" s="147"/>
      <c r="D187" s="147"/>
      <c r="E187" s="147"/>
      <c r="F187" s="147"/>
      <c r="G187" s="147"/>
      <c r="H187" s="147"/>
      <c r="I187" s="147"/>
      <c r="J187" s="147"/>
      <c r="K187" s="147"/>
      <c r="L187" s="147"/>
      <c r="M187" s="147"/>
      <c r="N187" s="147"/>
      <c r="O187" s="147"/>
      <c r="P187" s="147"/>
      <c r="Q187" s="147"/>
      <c r="R187" s="147"/>
      <c r="S187" s="147"/>
      <c r="T187" s="147"/>
      <c r="U187" s="147"/>
      <c r="V187" s="147"/>
      <c r="W187" s="147"/>
      <c r="X187" s="147"/>
      <c r="Y187" s="147"/>
      <c r="Z187" s="147"/>
      <c r="AA187" s="147"/>
      <c r="AB187" s="147"/>
      <c r="AC187" s="147"/>
      <c r="AD187" s="147"/>
      <c r="AE187" s="147"/>
      <c r="AF187" s="147"/>
      <c r="AG187" s="147"/>
      <c r="AH187" s="158"/>
      <c r="AI187" s="158"/>
    </row>
    <row r="188" spans="1:35" hidden="1">
      <c r="A188" s="147"/>
      <c r="B188" s="147"/>
      <c r="C188" s="147"/>
      <c r="D188" s="147"/>
      <c r="E188" s="147"/>
      <c r="F188" s="147"/>
      <c r="G188" s="147"/>
      <c r="H188" s="147"/>
      <c r="I188" s="147"/>
      <c r="J188" s="147"/>
      <c r="K188" s="147"/>
      <c r="L188" s="147"/>
      <c r="M188" s="147"/>
      <c r="N188" s="147"/>
      <c r="O188" s="147"/>
      <c r="P188" s="147"/>
      <c r="Q188" s="147"/>
      <c r="R188" s="147"/>
      <c r="S188" s="147"/>
      <c r="T188" s="147"/>
      <c r="U188" s="147"/>
      <c r="V188" s="147"/>
      <c r="W188" s="147"/>
      <c r="X188" s="147"/>
      <c r="Y188" s="147"/>
      <c r="Z188" s="147"/>
      <c r="AA188" s="147"/>
      <c r="AB188" s="147"/>
      <c r="AC188" s="147"/>
      <c r="AD188" s="147"/>
      <c r="AE188" s="147"/>
      <c r="AF188" s="147"/>
      <c r="AG188" s="147"/>
      <c r="AH188" s="158"/>
      <c r="AI188" s="158"/>
    </row>
    <row r="189" spans="1:35" hidden="1">
      <c r="A189" s="147"/>
      <c r="B189" s="147"/>
      <c r="C189" s="147"/>
      <c r="D189" s="147"/>
      <c r="E189" s="147"/>
      <c r="F189" s="147"/>
      <c r="G189" s="147"/>
      <c r="H189" s="147"/>
      <c r="I189" s="147"/>
      <c r="J189" s="147"/>
      <c r="K189" s="147"/>
      <c r="L189" s="147"/>
      <c r="M189" s="147"/>
      <c r="N189" s="147"/>
      <c r="O189" s="147"/>
      <c r="P189" s="147"/>
      <c r="Q189" s="147"/>
      <c r="R189" s="147"/>
      <c r="S189" s="147"/>
      <c r="T189" s="147"/>
      <c r="U189" s="147"/>
      <c r="V189" s="147"/>
      <c r="W189" s="147"/>
      <c r="X189" s="147"/>
      <c r="Y189" s="147"/>
      <c r="Z189" s="147"/>
      <c r="AA189" s="147"/>
      <c r="AB189" s="147"/>
      <c r="AC189" s="147"/>
      <c r="AD189" s="147"/>
      <c r="AE189" s="147"/>
      <c r="AF189" s="147"/>
      <c r="AG189" s="147"/>
      <c r="AH189" s="158"/>
      <c r="AI189" s="158"/>
    </row>
    <row r="190" spans="1:35" hidden="1">
      <c r="A190" s="147"/>
      <c r="B190" s="147"/>
      <c r="C190" s="147"/>
      <c r="D190" s="147"/>
      <c r="E190" s="147"/>
      <c r="F190" s="147"/>
      <c r="G190" s="147"/>
      <c r="H190" s="147"/>
      <c r="I190" s="147"/>
      <c r="J190" s="147"/>
      <c r="K190" s="147"/>
      <c r="L190" s="147"/>
      <c r="M190" s="147"/>
      <c r="N190" s="147"/>
      <c r="O190" s="147"/>
      <c r="P190" s="147"/>
      <c r="Q190" s="147"/>
      <c r="R190" s="147"/>
      <c r="S190" s="147"/>
      <c r="T190" s="147"/>
      <c r="U190" s="147"/>
      <c r="V190" s="147"/>
      <c r="W190" s="147"/>
      <c r="X190" s="147"/>
      <c r="Y190" s="147"/>
      <c r="Z190" s="147"/>
      <c r="AA190" s="147"/>
      <c r="AB190" s="147"/>
      <c r="AC190" s="147"/>
      <c r="AD190" s="147"/>
      <c r="AE190" s="147"/>
      <c r="AF190" s="147"/>
      <c r="AG190" s="147"/>
      <c r="AH190" s="158"/>
      <c r="AI190" s="158"/>
    </row>
    <row r="191" spans="1:35" hidden="1">
      <c r="A191" s="147"/>
      <c r="B191" s="147"/>
      <c r="C191" s="147"/>
      <c r="D191" s="147"/>
      <c r="E191" s="147"/>
      <c r="F191" s="147"/>
      <c r="G191" s="147"/>
      <c r="H191" s="147"/>
      <c r="I191" s="147"/>
      <c r="J191" s="147"/>
      <c r="K191" s="147"/>
      <c r="L191" s="147"/>
      <c r="M191" s="147"/>
      <c r="N191" s="147"/>
      <c r="O191" s="147"/>
      <c r="P191" s="147"/>
      <c r="Q191" s="147"/>
      <c r="R191" s="147"/>
      <c r="S191" s="147"/>
      <c r="T191" s="147"/>
      <c r="U191" s="147"/>
      <c r="V191" s="147"/>
      <c r="W191" s="147"/>
      <c r="X191" s="147"/>
      <c r="Y191" s="147"/>
      <c r="Z191" s="147"/>
      <c r="AA191" s="147"/>
      <c r="AB191" s="147"/>
      <c r="AC191" s="147"/>
      <c r="AD191" s="147"/>
      <c r="AE191" s="147"/>
      <c r="AF191" s="147"/>
      <c r="AG191" s="147"/>
      <c r="AH191" s="158"/>
      <c r="AI191" s="158"/>
    </row>
    <row r="192" spans="1:35" hidden="1">
      <c r="A192" s="147"/>
      <c r="B192" s="147"/>
      <c r="C192" s="147"/>
      <c r="D192" s="147"/>
      <c r="E192" s="147"/>
      <c r="F192" s="147"/>
      <c r="G192" s="147"/>
      <c r="H192" s="147"/>
      <c r="I192" s="147"/>
      <c r="J192" s="147"/>
      <c r="K192" s="147"/>
      <c r="L192" s="147"/>
      <c r="M192" s="147"/>
      <c r="N192" s="147"/>
      <c r="O192" s="147"/>
      <c r="P192" s="147"/>
      <c r="Q192" s="147"/>
      <c r="R192" s="147"/>
      <c r="S192" s="147"/>
      <c r="T192" s="147"/>
      <c r="U192" s="147"/>
      <c r="V192" s="147"/>
      <c r="W192" s="147"/>
      <c r="X192" s="147"/>
      <c r="Y192" s="147"/>
      <c r="Z192" s="147"/>
      <c r="AA192" s="147"/>
      <c r="AB192" s="147"/>
      <c r="AC192" s="147"/>
      <c r="AD192" s="147"/>
      <c r="AE192" s="147"/>
      <c r="AF192" s="147"/>
      <c r="AG192" s="147"/>
      <c r="AH192" s="158"/>
      <c r="AI192" s="158"/>
    </row>
    <row r="193" spans="1:35" hidden="1">
      <c r="A193" s="147"/>
      <c r="B193" s="147"/>
      <c r="C193" s="147"/>
      <c r="D193" s="147"/>
      <c r="E193" s="147"/>
      <c r="F193" s="147"/>
      <c r="G193" s="147"/>
      <c r="H193" s="147"/>
      <c r="I193" s="147"/>
      <c r="J193" s="147"/>
      <c r="K193" s="147"/>
      <c r="L193" s="147"/>
      <c r="M193" s="147"/>
      <c r="N193" s="147"/>
      <c r="O193" s="147"/>
      <c r="P193" s="147"/>
      <c r="Q193" s="147"/>
      <c r="R193" s="147"/>
      <c r="S193" s="147"/>
      <c r="T193" s="147"/>
      <c r="U193" s="147"/>
      <c r="V193" s="147"/>
      <c r="W193" s="147"/>
      <c r="X193" s="147"/>
      <c r="Y193" s="147"/>
      <c r="Z193" s="147"/>
      <c r="AA193" s="147"/>
      <c r="AB193" s="147"/>
      <c r="AC193" s="147"/>
      <c r="AD193" s="147"/>
      <c r="AE193" s="147"/>
      <c r="AF193" s="147"/>
      <c r="AG193" s="147"/>
      <c r="AH193" s="158"/>
      <c r="AI193" s="158"/>
    </row>
    <row r="194" spans="1:35" hidden="1">
      <c r="A194" s="147"/>
      <c r="B194" s="147"/>
      <c r="C194" s="147"/>
      <c r="D194" s="147"/>
      <c r="E194" s="147"/>
      <c r="F194" s="147"/>
      <c r="G194" s="147"/>
      <c r="H194" s="147"/>
      <c r="I194" s="147"/>
      <c r="J194" s="147"/>
      <c r="K194" s="147"/>
      <c r="L194" s="147"/>
      <c r="M194" s="147"/>
      <c r="N194" s="147"/>
      <c r="O194" s="147"/>
      <c r="P194" s="147"/>
      <c r="Q194" s="147"/>
      <c r="R194" s="147"/>
      <c r="S194" s="147"/>
      <c r="T194" s="147"/>
      <c r="U194" s="147"/>
      <c r="V194" s="147"/>
      <c r="W194" s="147"/>
      <c r="X194" s="147"/>
      <c r="Y194" s="147"/>
      <c r="Z194" s="147"/>
      <c r="AA194" s="147"/>
      <c r="AB194" s="147"/>
      <c r="AC194" s="147"/>
      <c r="AD194" s="147"/>
      <c r="AE194" s="147"/>
      <c r="AF194" s="147"/>
      <c r="AG194" s="147"/>
      <c r="AH194" s="158"/>
      <c r="AI194" s="158"/>
    </row>
    <row r="195" spans="1:35" hidden="1">
      <c r="A195" s="147"/>
      <c r="B195" s="147"/>
      <c r="C195" s="147"/>
      <c r="D195" s="147"/>
      <c r="E195" s="147"/>
      <c r="F195" s="147"/>
      <c r="G195" s="147"/>
      <c r="H195" s="147"/>
      <c r="I195" s="147"/>
      <c r="J195" s="147"/>
      <c r="K195" s="147"/>
      <c r="L195" s="147"/>
      <c r="M195" s="147"/>
      <c r="N195" s="147"/>
      <c r="O195" s="147"/>
      <c r="P195" s="147"/>
      <c r="Q195" s="147"/>
      <c r="R195" s="147"/>
      <c r="S195" s="147"/>
      <c r="T195" s="147"/>
      <c r="U195" s="147"/>
      <c r="V195" s="147"/>
      <c r="W195" s="147"/>
      <c r="X195" s="147"/>
      <c r="Y195" s="147"/>
      <c r="Z195" s="147"/>
      <c r="AA195" s="147"/>
      <c r="AB195" s="147"/>
      <c r="AC195" s="147"/>
      <c r="AD195" s="147"/>
      <c r="AE195" s="147"/>
      <c r="AF195" s="147"/>
      <c r="AG195" s="147"/>
      <c r="AH195" s="158"/>
      <c r="AI195" s="158"/>
    </row>
    <row r="196" spans="1:35" hidden="1">
      <c r="A196" s="147"/>
      <c r="B196" s="147"/>
      <c r="C196" s="147"/>
      <c r="D196" s="147"/>
      <c r="E196" s="147"/>
      <c r="F196" s="147"/>
      <c r="G196" s="147"/>
      <c r="H196" s="147"/>
      <c r="I196" s="147"/>
      <c r="J196" s="147"/>
      <c r="K196" s="147"/>
      <c r="L196" s="147"/>
      <c r="M196" s="147"/>
      <c r="N196" s="147"/>
      <c r="O196" s="147"/>
      <c r="P196" s="147"/>
      <c r="Q196" s="147"/>
      <c r="R196" s="147"/>
      <c r="S196" s="147"/>
      <c r="T196" s="147"/>
      <c r="U196" s="147"/>
      <c r="V196" s="147"/>
      <c r="W196" s="147"/>
      <c r="X196" s="147"/>
      <c r="Y196" s="147"/>
      <c r="Z196" s="147"/>
      <c r="AA196" s="147"/>
      <c r="AB196" s="147"/>
      <c r="AC196" s="147"/>
      <c r="AD196" s="147"/>
      <c r="AE196" s="147"/>
      <c r="AF196" s="147"/>
      <c r="AG196" s="147"/>
      <c r="AH196" s="158"/>
      <c r="AI196" s="158"/>
    </row>
    <row r="197" spans="1:35" hidden="1">
      <c r="A197" s="23"/>
      <c r="B197" s="23"/>
      <c r="C197" s="23"/>
      <c r="D197" s="23"/>
      <c r="E197" s="158"/>
      <c r="F197" s="158"/>
      <c r="G197" s="158"/>
      <c r="H197" s="158"/>
      <c r="I197" s="158"/>
      <c r="J197" s="158"/>
      <c r="K197" s="158"/>
      <c r="L197" s="158"/>
      <c r="M197" s="158"/>
      <c r="N197" s="158"/>
      <c r="O197" s="158"/>
      <c r="P197" s="158"/>
      <c r="Q197" s="158"/>
      <c r="R197" s="158"/>
      <c r="S197" s="158"/>
      <c r="T197" s="158"/>
      <c r="U197" s="158"/>
      <c r="V197" s="158"/>
      <c r="W197" s="158"/>
      <c r="X197" s="158"/>
      <c r="Y197" s="158"/>
      <c r="Z197" s="158"/>
      <c r="AA197" s="158"/>
      <c r="AB197" s="158"/>
      <c r="AC197" s="158"/>
      <c r="AD197" s="158"/>
      <c r="AE197" s="158"/>
      <c r="AF197" s="158"/>
      <c r="AG197" s="158"/>
      <c r="AH197" s="158"/>
      <c r="AI197" s="158"/>
    </row>
    <row r="198" spans="1:35" hidden="1">
      <c r="A198" s="23"/>
      <c r="B198" s="23"/>
      <c r="C198" s="23"/>
      <c r="D198" s="23"/>
      <c r="E198" s="158"/>
      <c r="F198" s="158"/>
      <c r="G198" s="158"/>
      <c r="H198" s="158"/>
      <c r="I198" s="158"/>
      <c r="J198" s="158"/>
      <c r="K198" s="158"/>
      <c r="L198" s="158"/>
      <c r="M198" s="158"/>
      <c r="N198" s="158"/>
      <c r="O198" s="158"/>
      <c r="P198" s="158"/>
      <c r="Q198" s="158"/>
      <c r="R198" s="158"/>
      <c r="S198" s="158"/>
      <c r="T198" s="158"/>
      <c r="U198" s="158"/>
      <c r="V198" s="158"/>
      <c r="W198" s="158"/>
      <c r="X198" s="158"/>
      <c r="Y198" s="158"/>
      <c r="Z198" s="158"/>
      <c r="AA198" s="158"/>
      <c r="AB198" s="158"/>
      <c r="AC198" s="158"/>
      <c r="AD198" s="158"/>
      <c r="AE198" s="158"/>
      <c r="AF198" s="158"/>
      <c r="AG198" s="158"/>
      <c r="AH198" s="158"/>
      <c r="AI198" s="158"/>
    </row>
    <row r="199" spans="1:35" hidden="1">
      <c r="A199" s="23"/>
      <c r="B199" s="23"/>
      <c r="C199" s="23"/>
      <c r="D199" s="23"/>
      <c r="E199" s="158"/>
      <c r="F199" s="158"/>
      <c r="G199" s="158"/>
      <c r="H199" s="158"/>
      <c r="I199" s="158"/>
      <c r="J199" s="158"/>
      <c r="K199" s="158"/>
      <c r="L199" s="158"/>
      <c r="M199" s="158"/>
      <c r="N199" s="158"/>
      <c r="O199" s="158"/>
      <c r="P199" s="158"/>
      <c r="Q199" s="158"/>
      <c r="R199" s="158"/>
      <c r="S199" s="158"/>
      <c r="T199" s="158"/>
      <c r="U199" s="158"/>
      <c r="V199" s="158"/>
      <c r="W199" s="158"/>
      <c r="X199" s="158"/>
      <c r="Y199" s="158"/>
      <c r="Z199" s="158"/>
      <c r="AA199" s="158"/>
      <c r="AB199" s="158"/>
      <c r="AC199" s="158"/>
      <c r="AD199" s="158"/>
      <c r="AE199" s="158"/>
      <c r="AF199" s="158"/>
      <c r="AG199" s="158"/>
      <c r="AH199" s="158"/>
      <c r="AI199" s="158"/>
    </row>
    <row r="200" spans="1:35" hidden="1">
      <c r="A200" s="23"/>
      <c r="B200" s="23"/>
      <c r="C200" s="23"/>
      <c r="D200" s="23"/>
      <c r="E200" s="158"/>
      <c r="F200" s="158"/>
      <c r="G200" s="158"/>
      <c r="H200" s="158"/>
      <c r="I200" s="158"/>
      <c r="J200" s="158"/>
      <c r="K200" s="158"/>
      <c r="L200" s="158"/>
      <c r="M200" s="158"/>
      <c r="N200" s="158"/>
      <c r="O200" s="158"/>
      <c r="P200" s="158"/>
      <c r="Q200" s="158"/>
      <c r="R200" s="158"/>
      <c r="S200" s="158"/>
      <c r="T200" s="158"/>
      <c r="U200" s="158"/>
      <c r="V200" s="158"/>
      <c r="W200" s="158"/>
      <c r="X200" s="158"/>
      <c r="Y200" s="158"/>
      <c r="Z200" s="158"/>
      <c r="AA200" s="158"/>
      <c r="AB200" s="158"/>
      <c r="AC200" s="158"/>
      <c r="AD200" s="158"/>
      <c r="AE200" s="158"/>
      <c r="AF200" s="158"/>
      <c r="AG200" s="158"/>
      <c r="AH200" s="158"/>
      <c r="AI200" s="158"/>
    </row>
    <row r="201" spans="1:35" hidden="1">
      <c r="A201" s="23"/>
      <c r="B201" s="23"/>
      <c r="C201" s="23"/>
      <c r="D201" s="23"/>
      <c r="E201" s="158"/>
      <c r="F201" s="158"/>
      <c r="G201" s="158"/>
      <c r="H201" s="158"/>
      <c r="I201" s="158"/>
      <c r="J201" s="158"/>
      <c r="K201" s="158"/>
      <c r="L201" s="158"/>
      <c r="M201" s="158"/>
      <c r="N201" s="158"/>
      <c r="O201" s="158"/>
      <c r="P201" s="158"/>
      <c r="Q201" s="158"/>
      <c r="R201" s="158"/>
      <c r="S201" s="158"/>
      <c r="T201" s="158"/>
      <c r="U201" s="158"/>
      <c r="V201" s="158"/>
      <c r="W201" s="158"/>
      <c r="X201" s="158"/>
      <c r="Y201" s="158"/>
      <c r="Z201" s="158"/>
      <c r="AA201" s="158"/>
      <c r="AB201" s="158"/>
      <c r="AC201" s="158"/>
      <c r="AD201" s="158"/>
      <c r="AE201" s="158"/>
      <c r="AF201" s="158"/>
      <c r="AG201" s="158"/>
      <c r="AH201" s="158"/>
      <c r="AI201" s="158"/>
    </row>
    <row r="202" spans="1:35" hidden="1">
      <c r="A202" s="23"/>
      <c r="B202" s="23"/>
      <c r="C202" s="23"/>
      <c r="D202" s="23"/>
      <c r="E202" s="158"/>
      <c r="F202" s="158"/>
      <c r="G202" s="158"/>
      <c r="H202" s="158"/>
      <c r="I202" s="158"/>
      <c r="J202" s="158"/>
      <c r="K202" s="158"/>
      <c r="L202" s="158"/>
      <c r="M202" s="158"/>
      <c r="N202" s="158"/>
      <c r="O202" s="158"/>
      <c r="P202" s="158"/>
      <c r="Q202" s="158"/>
      <c r="R202" s="158"/>
      <c r="S202" s="158"/>
      <c r="T202" s="158"/>
      <c r="U202" s="158"/>
      <c r="V202" s="158"/>
      <c r="W202" s="158"/>
      <c r="X202" s="158"/>
      <c r="Y202" s="158"/>
      <c r="Z202" s="158"/>
      <c r="AA202" s="158"/>
      <c r="AB202" s="158"/>
      <c r="AC202" s="158"/>
      <c r="AD202" s="158"/>
      <c r="AE202" s="158"/>
      <c r="AF202" s="158"/>
      <c r="AG202" s="158"/>
      <c r="AH202" s="158"/>
      <c r="AI202" s="158"/>
    </row>
    <row r="203" spans="1:35" hidden="1">
      <c r="A203" s="23"/>
      <c r="B203" s="23"/>
      <c r="C203" s="23"/>
      <c r="D203" s="23"/>
      <c r="E203" s="158"/>
      <c r="F203" s="158"/>
      <c r="G203" s="158"/>
      <c r="H203" s="158"/>
      <c r="I203" s="158"/>
      <c r="J203" s="158"/>
      <c r="K203" s="158"/>
      <c r="L203" s="158"/>
      <c r="M203" s="158"/>
      <c r="N203" s="158"/>
      <c r="O203" s="158"/>
      <c r="P203" s="158"/>
      <c r="Q203" s="158"/>
      <c r="R203" s="158"/>
      <c r="S203" s="158"/>
      <c r="T203" s="158"/>
      <c r="U203" s="158"/>
      <c r="V203" s="158"/>
      <c r="W203" s="158"/>
      <c r="X203" s="158"/>
      <c r="Y203" s="158"/>
      <c r="Z203" s="158"/>
      <c r="AA203" s="158"/>
      <c r="AB203" s="158"/>
      <c r="AC203" s="158"/>
      <c r="AD203" s="158"/>
      <c r="AE203" s="158"/>
      <c r="AF203" s="158"/>
      <c r="AG203" s="158"/>
      <c r="AH203" s="158"/>
      <c r="AI203" s="158"/>
    </row>
    <row r="204" spans="1:35" hidden="1">
      <c r="A204" s="23"/>
      <c r="B204" s="23"/>
      <c r="C204" s="23"/>
      <c r="D204" s="23"/>
      <c r="E204" s="158"/>
      <c r="F204" s="158"/>
      <c r="G204" s="158"/>
      <c r="H204" s="158"/>
      <c r="I204" s="158"/>
      <c r="J204" s="158"/>
      <c r="K204" s="158"/>
      <c r="L204" s="158"/>
      <c r="M204" s="158"/>
      <c r="N204" s="158"/>
      <c r="O204" s="158"/>
      <c r="P204" s="158"/>
      <c r="Q204" s="158"/>
      <c r="R204" s="158"/>
      <c r="S204" s="158"/>
      <c r="T204" s="158"/>
      <c r="U204" s="158"/>
      <c r="V204" s="158"/>
      <c r="W204" s="158"/>
      <c r="X204" s="158"/>
      <c r="Y204" s="158"/>
      <c r="Z204" s="158"/>
      <c r="AA204" s="158"/>
      <c r="AB204" s="158"/>
      <c r="AC204" s="158"/>
      <c r="AD204" s="158"/>
      <c r="AE204" s="158"/>
      <c r="AF204" s="158"/>
      <c r="AG204" s="158"/>
      <c r="AH204" s="158"/>
      <c r="AI204" s="158"/>
    </row>
    <row r="205" spans="1:35" hidden="1">
      <c r="A205" s="23"/>
      <c r="B205" s="23"/>
      <c r="C205" s="23"/>
      <c r="D205" s="23"/>
      <c r="E205" s="158"/>
      <c r="F205" s="158"/>
      <c r="G205" s="158"/>
      <c r="H205" s="158"/>
      <c r="I205" s="158"/>
      <c r="J205" s="158"/>
      <c r="K205" s="158"/>
      <c r="L205" s="158"/>
      <c r="M205" s="158"/>
      <c r="N205" s="158"/>
      <c r="O205" s="158"/>
      <c r="P205" s="158"/>
      <c r="Q205" s="158"/>
      <c r="R205" s="158"/>
      <c r="S205" s="158"/>
      <c r="T205" s="158"/>
      <c r="U205" s="158"/>
      <c r="V205" s="158"/>
      <c r="W205" s="158"/>
      <c r="X205" s="158"/>
      <c r="Y205" s="158"/>
      <c r="Z205" s="158"/>
      <c r="AA205" s="158"/>
      <c r="AB205" s="158"/>
      <c r="AC205" s="158"/>
      <c r="AD205" s="158"/>
      <c r="AE205" s="158"/>
      <c r="AF205" s="158"/>
      <c r="AG205" s="158"/>
      <c r="AH205" s="158"/>
      <c r="AI205" s="158"/>
    </row>
    <row r="206" spans="1:35" hidden="1">
      <c r="A206" s="23"/>
      <c r="B206" s="23"/>
      <c r="C206" s="23"/>
      <c r="D206" s="23"/>
      <c r="E206" s="158"/>
      <c r="F206" s="158"/>
      <c r="G206" s="158"/>
      <c r="H206" s="158"/>
      <c r="I206" s="158"/>
      <c r="J206" s="158"/>
      <c r="K206" s="158"/>
      <c r="L206" s="158"/>
      <c r="M206" s="158"/>
      <c r="N206" s="158"/>
      <c r="O206" s="158"/>
      <c r="P206" s="158"/>
      <c r="Q206" s="158"/>
      <c r="R206" s="158"/>
      <c r="S206" s="158"/>
      <c r="T206" s="158"/>
      <c r="U206" s="158"/>
      <c r="V206" s="158"/>
      <c r="W206" s="158"/>
      <c r="X206" s="158"/>
      <c r="Y206" s="158"/>
      <c r="Z206" s="158"/>
      <c r="AA206" s="158"/>
      <c r="AB206" s="158"/>
      <c r="AC206" s="158"/>
      <c r="AD206" s="158"/>
      <c r="AE206" s="158"/>
      <c r="AF206" s="158"/>
      <c r="AG206" s="158"/>
      <c r="AH206" s="158"/>
      <c r="AI206" s="158"/>
    </row>
    <row r="207" spans="1:35" hidden="1">
      <c r="A207" s="23"/>
      <c r="B207" s="23"/>
      <c r="C207" s="23"/>
      <c r="D207" s="23"/>
      <c r="E207" s="158"/>
      <c r="F207" s="158"/>
      <c r="G207" s="158"/>
      <c r="H207" s="158"/>
      <c r="I207" s="158"/>
      <c r="J207" s="158"/>
      <c r="K207" s="158"/>
      <c r="L207" s="158"/>
      <c r="M207" s="158"/>
      <c r="N207" s="158"/>
      <c r="O207" s="158"/>
      <c r="P207" s="158"/>
      <c r="Q207" s="158"/>
      <c r="R207" s="158"/>
      <c r="S207" s="158"/>
      <c r="T207" s="158"/>
      <c r="U207" s="158"/>
      <c r="V207" s="158"/>
      <c r="W207" s="158"/>
      <c r="X207" s="158"/>
      <c r="Y207" s="158"/>
      <c r="Z207" s="158"/>
      <c r="AA207" s="158"/>
      <c r="AB207" s="158"/>
      <c r="AC207" s="158"/>
      <c r="AD207" s="158"/>
      <c r="AE207" s="158"/>
      <c r="AF207" s="158"/>
      <c r="AG207" s="158"/>
      <c r="AH207" s="158"/>
      <c r="AI207" s="158"/>
    </row>
    <row r="208" spans="1:35" hidden="1">
      <c r="A208" s="23"/>
      <c r="B208" s="23"/>
      <c r="C208" s="23"/>
      <c r="D208" s="23"/>
      <c r="E208" s="158"/>
      <c r="F208" s="158"/>
      <c r="G208" s="158"/>
      <c r="H208" s="158"/>
      <c r="I208" s="158"/>
      <c r="J208" s="158"/>
      <c r="K208" s="158"/>
      <c r="L208" s="158"/>
      <c r="M208" s="158"/>
      <c r="N208" s="158"/>
      <c r="O208" s="158"/>
      <c r="P208" s="158"/>
      <c r="Q208" s="158"/>
      <c r="R208" s="158"/>
      <c r="S208" s="158"/>
      <c r="T208" s="158"/>
      <c r="U208" s="158"/>
      <c r="V208" s="158"/>
      <c r="W208" s="158"/>
      <c r="X208" s="158"/>
      <c r="Y208" s="158"/>
      <c r="Z208" s="158"/>
      <c r="AA208" s="158"/>
      <c r="AB208" s="158"/>
      <c r="AC208" s="158"/>
      <c r="AD208" s="158"/>
      <c r="AE208" s="158"/>
      <c r="AF208" s="158"/>
      <c r="AG208" s="158"/>
      <c r="AH208" s="158"/>
      <c r="AI208" s="158"/>
    </row>
    <row r="209" spans="1:35" hidden="1">
      <c r="A209" s="23"/>
      <c r="B209" s="23"/>
      <c r="C209" s="23"/>
      <c r="D209" s="23"/>
      <c r="E209" s="158"/>
      <c r="F209" s="158"/>
      <c r="G209" s="158"/>
      <c r="H209" s="158"/>
      <c r="I209" s="158"/>
      <c r="J209" s="158"/>
      <c r="K209" s="158"/>
      <c r="L209" s="158"/>
      <c r="M209" s="158"/>
      <c r="N209" s="158"/>
      <c r="O209" s="158"/>
      <c r="P209" s="158"/>
      <c r="Q209" s="158"/>
      <c r="R209" s="158"/>
      <c r="S209" s="158"/>
      <c r="T209" s="158"/>
      <c r="U209" s="158"/>
      <c r="V209" s="158"/>
      <c r="W209" s="158"/>
      <c r="X209" s="158"/>
      <c r="Y209" s="158"/>
      <c r="Z209" s="158"/>
      <c r="AA209" s="158"/>
      <c r="AB209" s="158"/>
      <c r="AC209" s="158"/>
      <c r="AD209" s="158"/>
      <c r="AE209" s="158"/>
      <c r="AF209" s="158"/>
      <c r="AG209" s="158"/>
      <c r="AH209" s="158"/>
      <c r="AI209" s="158"/>
    </row>
    <row r="210" spans="1:35" hidden="1">
      <c r="A210" s="23"/>
      <c r="B210" s="23"/>
      <c r="C210" s="23"/>
      <c r="D210" s="23"/>
      <c r="E210" s="158"/>
      <c r="F210" s="158"/>
      <c r="G210" s="158"/>
      <c r="H210" s="158"/>
      <c r="I210" s="158"/>
      <c r="J210" s="158"/>
      <c r="K210" s="158"/>
      <c r="L210" s="158"/>
      <c r="M210" s="158"/>
      <c r="N210" s="158"/>
      <c r="O210" s="158"/>
      <c r="P210" s="158"/>
      <c r="Q210" s="158"/>
      <c r="R210" s="158"/>
      <c r="S210" s="158"/>
      <c r="T210" s="158"/>
      <c r="U210" s="158"/>
      <c r="V210" s="158"/>
      <c r="W210" s="158"/>
      <c r="X210" s="158"/>
      <c r="Y210" s="158"/>
      <c r="Z210" s="158"/>
      <c r="AA210" s="158"/>
      <c r="AB210" s="158"/>
      <c r="AC210" s="158"/>
      <c r="AD210" s="158"/>
      <c r="AE210" s="158"/>
      <c r="AF210" s="158"/>
      <c r="AG210" s="158"/>
      <c r="AH210" s="158"/>
      <c r="AI210" s="158"/>
    </row>
    <row r="211" spans="1:35" hidden="1">
      <c r="A211" s="23"/>
      <c r="B211" s="23"/>
      <c r="C211" s="23"/>
      <c r="D211" s="23"/>
      <c r="E211" s="158"/>
      <c r="F211" s="158"/>
      <c r="G211" s="158"/>
      <c r="H211" s="158"/>
      <c r="I211" s="158"/>
      <c r="J211" s="158"/>
      <c r="K211" s="158"/>
      <c r="L211" s="158"/>
      <c r="M211" s="158"/>
      <c r="N211" s="158"/>
      <c r="O211" s="158"/>
      <c r="P211" s="158"/>
      <c r="Q211" s="158"/>
      <c r="R211" s="158"/>
      <c r="S211" s="158"/>
      <c r="T211" s="158"/>
      <c r="U211" s="158"/>
      <c r="V211" s="158"/>
      <c r="W211" s="158"/>
      <c r="X211" s="158"/>
      <c r="Y211" s="158"/>
      <c r="Z211" s="158"/>
      <c r="AA211" s="158"/>
      <c r="AB211" s="158"/>
      <c r="AC211" s="158"/>
      <c r="AD211" s="158"/>
      <c r="AE211" s="158"/>
      <c r="AF211" s="158"/>
      <c r="AG211" s="158"/>
      <c r="AH211" s="158"/>
      <c r="AI211" s="158"/>
    </row>
    <row r="212" spans="1:35" hidden="1">
      <c r="A212" s="23"/>
      <c r="B212" s="23"/>
      <c r="C212" s="23"/>
      <c r="D212" s="23"/>
      <c r="E212" s="158"/>
      <c r="F212" s="158"/>
      <c r="G212" s="158"/>
      <c r="H212" s="158"/>
      <c r="I212" s="158"/>
      <c r="J212" s="158"/>
      <c r="K212" s="158"/>
      <c r="L212" s="158"/>
      <c r="M212" s="158"/>
      <c r="N212" s="158"/>
      <c r="O212" s="158"/>
      <c r="P212" s="158"/>
      <c r="Q212" s="158"/>
      <c r="R212" s="158"/>
      <c r="S212" s="158"/>
      <c r="T212" s="158"/>
      <c r="U212" s="158"/>
      <c r="V212" s="158"/>
      <c r="W212" s="158"/>
      <c r="X212" s="158"/>
      <c r="Y212" s="158"/>
      <c r="Z212" s="158"/>
      <c r="AA212" s="158"/>
      <c r="AB212" s="158"/>
      <c r="AC212" s="158"/>
      <c r="AD212" s="158"/>
      <c r="AE212" s="158"/>
      <c r="AF212" s="158"/>
      <c r="AG212" s="158"/>
      <c r="AH212" s="158"/>
      <c r="AI212" s="158"/>
    </row>
    <row r="213" spans="1:35" hidden="1">
      <c r="A213" s="23"/>
      <c r="B213" s="23"/>
      <c r="C213" s="23"/>
      <c r="D213" s="23"/>
      <c r="E213" s="158"/>
      <c r="F213" s="158"/>
      <c r="G213" s="158"/>
      <c r="H213" s="158"/>
      <c r="I213" s="158"/>
      <c r="J213" s="158"/>
      <c r="K213" s="158"/>
      <c r="L213" s="158"/>
      <c r="M213" s="158"/>
      <c r="N213" s="158"/>
      <c r="O213" s="158"/>
      <c r="P213" s="158"/>
      <c r="Q213" s="158"/>
      <c r="R213" s="158"/>
      <c r="S213" s="158"/>
      <c r="T213" s="158"/>
      <c r="U213" s="158"/>
      <c r="V213" s="158"/>
      <c r="W213" s="158"/>
      <c r="X213" s="158"/>
      <c r="Y213" s="158"/>
      <c r="Z213" s="158"/>
      <c r="AA213" s="158"/>
      <c r="AB213" s="158"/>
      <c r="AC213" s="158"/>
      <c r="AD213" s="158"/>
      <c r="AE213" s="158"/>
      <c r="AF213" s="158"/>
      <c r="AG213" s="158"/>
      <c r="AH213" s="158"/>
      <c r="AI213" s="158"/>
    </row>
    <row r="214" spans="1:35" hidden="1">
      <c r="A214" s="23"/>
      <c r="B214" s="23"/>
      <c r="C214" s="23"/>
      <c r="D214" s="23"/>
      <c r="E214" s="158"/>
      <c r="F214" s="158"/>
      <c r="G214" s="158"/>
      <c r="H214" s="158"/>
      <c r="I214" s="158"/>
      <c r="J214" s="158"/>
      <c r="K214" s="158"/>
      <c r="L214" s="158"/>
      <c r="M214" s="158"/>
      <c r="N214" s="158"/>
      <c r="O214" s="158"/>
      <c r="P214" s="158"/>
      <c r="Q214" s="158"/>
      <c r="R214" s="158"/>
      <c r="S214" s="158"/>
      <c r="T214" s="158"/>
      <c r="U214" s="158"/>
      <c r="V214" s="158"/>
      <c r="W214" s="158"/>
      <c r="X214" s="158"/>
      <c r="Y214" s="158"/>
      <c r="Z214" s="158"/>
      <c r="AA214" s="158"/>
      <c r="AB214" s="158"/>
      <c r="AC214" s="158"/>
      <c r="AD214" s="158"/>
      <c r="AE214" s="158"/>
      <c r="AF214" s="158"/>
      <c r="AG214" s="158"/>
      <c r="AH214" s="158"/>
      <c r="AI214" s="158"/>
    </row>
    <row r="215" spans="1:35" hidden="1">
      <c r="A215" s="23"/>
      <c r="B215" s="23"/>
      <c r="C215" s="23"/>
      <c r="D215" s="23"/>
      <c r="E215" s="158"/>
      <c r="F215" s="158"/>
      <c r="G215" s="158"/>
      <c r="H215" s="158"/>
      <c r="I215" s="158"/>
      <c r="J215" s="158"/>
      <c r="K215" s="158"/>
      <c r="L215" s="158"/>
      <c r="M215" s="158"/>
      <c r="N215" s="158"/>
      <c r="O215" s="158"/>
      <c r="P215" s="158"/>
      <c r="Q215" s="158"/>
      <c r="R215" s="158"/>
      <c r="S215" s="158"/>
      <c r="T215" s="158"/>
      <c r="U215" s="158"/>
      <c r="V215" s="158"/>
      <c r="W215" s="158"/>
      <c r="X215" s="158"/>
      <c r="Y215" s="158"/>
      <c r="Z215" s="158"/>
      <c r="AA215" s="158"/>
      <c r="AB215" s="158"/>
      <c r="AC215" s="158"/>
      <c r="AD215" s="158"/>
      <c r="AE215" s="158"/>
      <c r="AF215" s="158"/>
      <c r="AG215" s="158"/>
      <c r="AH215" s="158"/>
      <c r="AI215" s="158"/>
    </row>
    <row r="216" spans="1:35" hidden="1">
      <c r="A216" s="23"/>
      <c r="B216" s="23"/>
      <c r="C216" s="23"/>
      <c r="D216" s="23"/>
      <c r="E216" s="158"/>
      <c r="F216" s="158"/>
      <c r="G216" s="158"/>
      <c r="H216" s="158"/>
      <c r="I216" s="158"/>
      <c r="J216" s="158"/>
      <c r="K216" s="158"/>
      <c r="L216" s="158"/>
      <c r="M216" s="158"/>
      <c r="N216" s="158"/>
      <c r="O216" s="158"/>
      <c r="P216" s="158"/>
      <c r="Q216" s="158"/>
      <c r="R216" s="158"/>
      <c r="S216" s="158"/>
      <c r="T216" s="158"/>
      <c r="U216" s="158"/>
      <c r="V216" s="158"/>
      <c r="W216" s="158"/>
      <c r="X216" s="158"/>
      <c r="Y216" s="158"/>
      <c r="Z216" s="158"/>
      <c r="AA216" s="158"/>
      <c r="AB216" s="158"/>
      <c r="AC216" s="158"/>
      <c r="AD216" s="158"/>
      <c r="AE216" s="158"/>
      <c r="AF216" s="158"/>
      <c r="AG216" s="158"/>
      <c r="AH216" s="158"/>
      <c r="AI216" s="158"/>
    </row>
    <row r="217" spans="1:35" hidden="1">
      <c r="A217" s="23"/>
      <c r="B217" s="23"/>
      <c r="C217" s="23"/>
      <c r="D217" s="23"/>
      <c r="E217" s="158"/>
      <c r="F217" s="158"/>
      <c r="G217" s="158"/>
      <c r="H217" s="158"/>
      <c r="I217" s="158"/>
      <c r="J217" s="158"/>
      <c r="K217" s="158"/>
      <c r="L217" s="158"/>
      <c r="M217" s="158"/>
      <c r="N217" s="158"/>
      <c r="O217" s="158"/>
      <c r="P217" s="158"/>
      <c r="Q217" s="158"/>
      <c r="R217" s="158"/>
      <c r="S217" s="158"/>
      <c r="T217" s="158"/>
      <c r="U217" s="158"/>
      <c r="V217" s="158"/>
      <c r="W217" s="158"/>
      <c r="X217" s="158"/>
      <c r="Y217" s="158"/>
      <c r="Z217" s="158"/>
      <c r="AA217" s="158"/>
      <c r="AB217" s="158"/>
      <c r="AC217" s="158"/>
      <c r="AD217" s="158"/>
      <c r="AE217" s="158"/>
      <c r="AF217" s="158"/>
      <c r="AG217" s="158"/>
      <c r="AH217" s="158"/>
      <c r="AI217" s="158"/>
    </row>
    <row r="218" spans="1:35" hidden="1">
      <c r="A218" s="23"/>
      <c r="B218" s="23"/>
      <c r="C218" s="23"/>
      <c r="D218" s="23"/>
      <c r="E218" s="158"/>
      <c r="F218" s="158"/>
      <c r="G218" s="158"/>
      <c r="H218" s="158"/>
      <c r="I218" s="158"/>
      <c r="J218" s="158"/>
      <c r="K218" s="158"/>
      <c r="L218" s="158"/>
      <c r="M218" s="158"/>
      <c r="N218" s="158"/>
      <c r="O218" s="158"/>
      <c r="P218" s="158"/>
      <c r="Q218" s="158"/>
      <c r="R218" s="158"/>
      <c r="S218" s="158"/>
      <c r="T218" s="158"/>
      <c r="U218" s="158"/>
      <c r="V218" s="158"/>
      <c r="W218" s="158"/>
      <c r="X218" s="158"/>
      <c r="Y218" s="158"/>
      <c r="Z218" s="158"/>
      <c r="AA218" s="158"/>
      <c r="AB218" s="158"/>
      <c r="AC218" s="158"/>
      <c r="AD218" s="158"/>
      <c r="AE218" s="158"/>
      <c r="AF218" s="158"/>
      <c r="AG218" s="158"/>
      <c r="AH218" s="158"/>
      <c r="AI218" s="158"/>
    </row>
    <row r="219" spans="1:35" hidden="1">
      <c r="A219" s="23"/>
      <c r="B219" s="23"/>
      <c r="C219" s="23"/>
      <c r="D219" s="23"/>
      <c r="E219" s="158"/>
      <c r="F219" s="158"/>
      <c r="G219" s="158"/>
      <c r="H219" s="158"/>
      <c r="I219" s="158"/>
      <c r="J219" s="158"/>
      <c r="K219" s="158"/>
      <c r="L219" s="158"/>
      <c r="M219" s="158"/>
      <c r="N219" s="158"/>
      <c r="O219" s="158"/>
      <c r="P219" s="158"/>
      <c r="Q219" s="158"/>
      <c r="R219" s="158"/>
      <c r="S219" s="158"/>
      <c r="T219" s="158"/>
      <c r="U219" s="158"/>
      <c r="V219" s="158"/>
      <c r="W219" s="158"/>
      <c r="X219" s="158"/>
      <c r="Y219" s="158"/>
      <c r="Z219" s="158"/>
      <c r="AA219" s="158"/>
      <c r="AB219" s="158"/>
      <c r="AC219" s="158"/>
      <c r="AD219" s="158"/>
      <c r="AE219" s="158"/>
      <c r="AF219" s="158"/>
      <c r="AG219" s="158"/>
      <c r="AH219" s="158"/>
      <c r="AI219" s="158"/>
    </row>
    <row r="220" spans="1:35" hidden="1">
      <c r="A220" s="23"/>
      <c r="B220" s="23"/>
      <c r="C220" s="23"/>
      <c r="D220" s="23"/>
      <c r="E220" s="158"/>
      <c r="F220" s="158"/>
      <c r="G220" s="158"/>
      <c r="H220" s="158"/>
      <c r="I220" s="158"/>
      <c r="J220" s="158"/>
      <c r="K220" s="158"/>
      <c r="L220" s="158"/>
      <c r="M220" s="158"/>
      <c r="N220" s="158"/>
      <c r="O220" s="158"/>
      <c r="P220" s="158"/>
      <c r="Q220" s="158"/>
      <c r="R220" s="158"/>
      <c r="S220" s="158"/>
      <c r="T220" s="158"/>
      <c r="U220" s="158"/>
      <c r="V220" s="158"/>
      <c r="W220" s="158"/>
      <c r="X220" s="158"/>
      <c r="Y220" s="158"/>
      <c r="Z220" s="158"/>
      <c r="AA220" s="158"/>
      <c r="AB220" s="158"/>
      <c r="AC220" s="158"/>
      <c r="AD220" s="158"/>
      <c r="AE220" s="158"/>
      <c r="AF220" s="158"/>
      <c r="AG220" s="158"/>
      <c r="AH220" s="158"/>
      <c r="AI220" s="158"/>
    </row>
    <row r="221" spans="1:35" hidden="1">
      <c r="A221" s="23"/>
      <c r="B221" s="23"/>
      <c r="C221" s="23"/>
      <c r="D221" s="23"/>
      <c r="E221" s="158"/>
      <c r="F221" s="158"/>
      <c r="G221" s="158"/>
      <c r="H221" s="158"/>
      <c r="I221" s="158"/>
      <c r="J221" s="158"/>
      <c r="K221" s="158"/>
      <c r="L221" s="158"/>
      <c r="M221" s="158"/>
      <c r="N221" s="158"/>
      <c r="O221" s="158"/>
      <c r="P221" s="158"/>
      <c r="Q221" s="158"/>
      <c r="R221" s="158"/>
      <c r="S221" s="158"/>
      <c r="T221" s="158"/>
      <c r="U221" s="158"/>
      <c r="V221" s="158"/>
      <c r="W221" s="158"/>
      <c r="X221" s="158"/>
      <c r="Y221" s="158"/>
      <c r="Z221" s="158"/>
      <c r="AA221" s="158"/>
      <c r="AB221" s="158"/>
      <c r="AC221" s="158"/>
      <c r="AD221" s="158"/>
      <c r="AE221" s="158"/>
      <c r="AF221" s="158"/>
      <c r="AG221" s="158"/>
      <c r="AH221" s="158"/>
      <c r="AI221" s="158"/>
    </row>
    <row r="222" spans="1:35" hidden="1">
      <c r="A222" s="23"/>
      <c r="B222" s="23"/>
      <c r="C222" s="23"/>
      <c r="D222" s="23"/>
      <c r="E222" s="158"/>
      <c r="F222" s="158"/>
      <c r="G222" s="158"/>
      <c r="H222" s="158"/>
      <c r="I222" s="158"/>
      <c r="J222" s="158"/>
      <c r="K222" s="158"/>
      <c r="L222" s="158"/>
      <c r="M222" s="158"/>
      <c r="N222" s="158"/>
      <c r="O222" s="158"/>
      <c r="P222" s="158"/>
      <c r="Q222" s="158"/>
      <c r="R222" s="158"/>
      <c r="S222" s="158"/>
      <c r="T222" s="158"/>
      <c r="U222" s="158"/>
      <c r="V222" s="158"/>
      <c r="W222" s="158"/>
      <c r="X222" s="158"/>
      <c r="Y222" s="158"/>
      <c r="Z222" s="158"/>
      <c r="AA222" s="158"/>
      <c r="AB222" s="158"/>
      <c r="AC222" s="158"/>
      <c r="AD222" s="158"/>
      <c r="AE222" s="158"/>
      <c r="AF222" s="158"/>
      <c r="AG222" s="158"/>
      <c r="AH222" s="158"/>
      <c r="AI222" s="158"/>
    </row>
    <row r="223" spans="1:35" hidden="1">
      <c r="A223" s="23"/>
      <c r="B223" s="23"/>
      <c r="C223" s="23"/>
      <c r="D223" s="23"/>
      <c r="E223" s="158"/>
      <c r="F223" s="158"/>
      <c r="G223" s="158"/>
      <c r="H223" s="158"/>
      <c r="I223" s="158"/>
      <c r="J223" s="158"/>
      <c r="K223" s="158"/>
      <c r="L223" s="158"/>
      <c r="M223" s="158"/>
      <c r="N223" s="158"/>
      <c r="O223" s="158"/>
      <c r="P223" s="158"/>
      <c r="Q223" s="158"/>
      <c r="R223" s="158"/>
      <c r="S223" s="158"/>
      <c r="T223" s="158"/>
      <c r="U223" s="158"/>
      <c r="V223" s="158"/>
      <c r="W223" s="158"/>
      <c r="X223" s="158"/>
      <c r="Y223" s="158"/>
      <c r="Z223" s="158"/>
      <c r="AA223" s="158"/>
      <c r="AB223" s="158"/>
      <c r="AC223" s="158"/>
      <c r="AD223" s="158"/>
      <c r="AE223" s="158"/>
      <c r="AF223" s="158"/>
      <c r="AG223" s="158"/>
      <c r="AH223" s="158"/>
      <c r="AI223" s="158"/>
    </row>
    <row r="224" spans="1:35" hidden="1">
      <c r="A224" s="23"/>
      <c r="B224" s="23"/>
      <c r="C224" s="23"/>
      <c r="D224" s="23"/>
      <c r="E224" s="158"/>
      <c r="F224" s="158"/>
      <c r="G224" s="158"/>
      <c r="H224" s="158"/>
      <c r="I224" s="158"/>
      <c r="J224" s="158"/>
      <c r="K224" s="158"/>
      <c r="L224" s="158"/>
      <c r="M224" s="158"/>
      <c r="N224" s="158"/>
      <c r="O224" s="158"/>
      <c r="P224" s="158"/>
      <c r="Q224" s="158"/>
      <c r="R224" s="158"/>
      <c r="S224" s="158"/>
      <c r="T224" s="158"/>
      <c r="U224" s="158"/>
      <c r="V224" s="158"/>
      <c r="W224" s="158"/>
      <c r="X224" s="158"/>
      <c r="Y224" s="158"/>
      <c r="Z224" s="158"/>
      <c r="AA224" s="158"/>
      <c r="AB224" s="158"/>
      <c r="AC224" s="158"/>
      <c r="AD224" s="158"/>
      <c r="AE224" s="158"/>
      <c r="AF224" s="158"/>
      <c r="AG224" s="158"/>
      <c r="AH224" s="158"/>
      <c r="AI224" s="158"/>
    </row>
    <row r="225" spans="1:35" hidden="1">
      <c r="A225" s="23"/>
      <c r="B225" s="23"/>
      <c r="C225" s="23"/>
      <c r="D225" s="23"/>
      <c r="E225" s="158"/>
      <c r="F225" s="158"/>
      <c r="G225" s="158"/>
      <c r="H225" s="158"/>
      <c r="I225" s="158"/>
      <c r="J225" s="158"/>
      <c r="K225" s="158"/>
      <c r="L225" s="158"/>
      <c r="M225" s="158"/>
      <c r="N225" s="158"/>
      <c r="O225" s="158"/>
      <c r="P225" s="158"/>
      <c r="Q225" s="158"/>
      <c r="R225" s="158"/>
      <c r="S225" s="158"/>
      <c r="T225" s="158"/>
      <c r="U225" s="158"/>
      <c r="V225" s="158"/>
      <c r="W225" s="158"/>
      <c r="X225" s="158"/>
      <c r="Y225" s="158"/>
      <c r="Z225" s="158"/>
      <c r="AA225" s="158"/>
      <c r="AB225" s="158"/>
      <c r="AC225" s="158"/>
      <c r="AD225" s="158"/>
      <c r="AE225" s="158"/>
      <c r="AF225" s="158"/>
      <c r="AG225" s="158"/>
      <c r="AH225" s="158"/>
      <c r="AI225" s="158"/>
    </row>
    <row r="226" spans="1:35" hidden="1">
      <c r="A226" s="23"/>
      <c r="B226" s="23"/>
      <c r="C226" s="23"/>
      <c r="D226" s="23"/>
      <c r="E226" s="158"/>
      <c r="F226" s="158"/>
      <c r="G226" s="158"/>
      <c r="H226" s="158"/>
      <c r="I226" s="158"/>
      <c r="J226" s="158"/>
      <c r="K226" s="158"/>
      <c r="L226" s="158"/>
      <c r="M226" s="158"/>
      <c r="N226" s="158"/>
      <c r="O226" s="158"/>
      <c r="P226" s="158"/>
      <c r="Q226" s="158"/>
      <c r="R226" s="158"/>
      <c r="S226" s="158"/>
      <c r="T226" s="158"/>
      <c r="U226" s="158"/>
      <c r="V226" s="158"/>
      <c r="W226" s="158"/>
      <c r="X226" s="158"/>
      <c r="Y226" s="158"/>
      <c r="Z226" s="158"/>
      <c r="AA226" s="158"/>
      <c r="AB226" s="158"/>
      <c r="AC226" s="158"/>
      <c r="AD226" s="158"/>
      <c r="AE226" s="158"/>
      <c r="AF226" s="158"/>
      <c r="AG226" s="158"/>
      <c r="AH226" s="158"/>
      <c r="AI226" s="158"/>
    </row>
    <row r="227" spans="1:35" hidden="1">
      <c r="A227" s="23"/>
      <c r="B227" s="23"/>
      <c r="C227" s="23"/>
      <c r="D227" s="23"/>
      <c r="E227" s="158"/>
      <c r="F227" s="158"/>
      <c r="G227" s="158"/>
      <c r="H227" s="158"/>
      <c r="I227" s="158"/>
      <c r="J227" s="158"/>
      <c r="K227" s="158"/>
      <c r="L227" s="158"/>
      <c r="M227" s="158"/>
      <c r="N227" s="158"/>
      <c r="O227" s="158"/>
      <c r="P227" s="158"/>
      <c r="Q227" s="158"/>
      <c r="R227" s="158"/>
      <c r="S227" s="158"/>
      <c r="T227" s="158"/>
      <c r="U227" s="158"/>
      <c r="V227" s="158"/>
      <c r="W227" s="158"/>
      <c r="X227" s="158"/>
      <c r="Y227" s="158"/>
      <c r="Z227" s="158"/>
      <c r="AA227" s="158"/>
      <c r="AB227" s="158"/>
      <c r="AC227" s="158"/>
      <c r="AD227" s="158"/>
      <c r="AE227" s="158"/>
      <c r="AF227" s="158"/>
      <c r="AG227" s="158"/>
      <c r="AH227" s="158"/>
      <c r="AI227" s="158"/>
    </row>
    <row r="228" spans="1:35" hidden="1">
      <c r="A228" s="23"/>
      <c r="B228" s="23"/>
      <c r="C228" s="23"/>
      <c r="D228" s="23"/>
      <c r="E228" s="158"/>
      <c r="F228" s="158"/>
      <c r="G228" s="158"/>
      <c r="H228" s="158"/>
      <c r="I228" s="158"/>
      <c r="J228" s="158"/>
      <c r="K228" s="158"/>
      <c r="L228" s="158"/>
      <c r="M228" s="158"/>
      <c r="N228" s="158"/>
      <c r="O228" s="158"/>
      <c r="P228" s="158"/>
      <c r="Q228" s="158"/>
      <c r="R228" s="158"/>
      <c r="S228" s="158"/>
      <c r="T228" s="158"/>
      <c r="U228" s="158"/>
      <c r="V228" s="158"/>
      <c r="W228" s="158"/>
      <c r="X228" s="158"/>
      <c r="Y228" s="158"/>
      <c r="Z228" s="158"/>
      <c r="AA228" s="158"/>
      <c r="AB228" s="158"/>
      <c r="AC228" s="158"/>
      <c r="AD228" s="158"/>
      <c r="AE228" s="158"/>
      <c r="AF228" s="158"/>
      <c r="AG228" s="158"/>
      <c r="AH228" s="158"/>
      <c r="AI228" s="158"/>
    </row>
    <row r="229" spans="1:35" hidden="1">
      <c r="A229" s="23"/>
      <c r="B229" s="23"/>
      <c r="C229" s="23"/>
      <c r="D229" s="23"/>
      <c r="E229" s="158"/>
      <c r="F229" s="158"/>
      <c r="G229" s="158"/>
      <c r="H229" s="158"/>
      <c r="I229" s="158"/>
      <c r="J229" s="158"/>
      <c r="K229" s="158"/>
      <c r="L229" s="158"/>
      <c r="M229" s="158"/>
      <c r="N229" s="158"/>
      <c r="O229" s="158"/>
      <c r="P229" s="158"/>
      <c r="Q229" s="158"/>
      <c r="R229" s="158"/>
      <c r="S229" s="158"/>
      <c r="T229" s="158"/>
      <c r="U229" s="158"/>
      <c r="V229" s="158"/>
      <c r="W229" s="158"/>
      <c r="X229" s="158"/>
      <c r="Y229" s="158"/>
      <c r="Z229" s="158"/>
      <c r="AA229" s="158"/>
      <c r="AB229" s="158"/>
      <c r="AC229" s="158"/>
      <c r="AD229" s="158"/>
      <c r="AE229" s="158"/>
      <c r="AF229" s="158"/>
      <c r="AG229" s="158"/>
      <c r="AH229" s="158"/>
      <c r="AI229" s="158"/>
    </row>
    <row r="230" spans="1:35" hidden="1">
      <c r="A230" s="23"/>
      <c r="B230" s="23"/>
      <c r="C230" s="23"/>
      <c r="D230" s="23"/>
      <c r="E230" s="158"/>
      <c r="F230" s="158"/>
      <c r="G230" s="158"/>
      <c r="H230" s="158"/>
      <c r="I230" s="158"/>
      <c r="J230" s="158"/>
      <c r="K230" s="158"/>
      <c r="L230" s="158"/>
      <c r="M230" s="158"/>
      <c r="N230" s="158"/>
      <c r="O230" s="158"/>
      <c r="P230" s="158"/>
      <c r="Q230" s="158"/>
      <c r="R230" s="158"/>
      <c r="S230" s="158"/>
      <c r="T230" s="158"/>
      <c r="U230" s="158"/>
      <c r="V230" s="158"/>
      <c r="W230" s="158"/>
      <c r="X230" s="158"/>
      <c r="Y230" s="158"/>
      <c r="Z230" s="158"/>
      <c r="AA230" s="158"/>
      <c r="AB230" s="158"/>
      <c r="AC230" s="158"/>
      <c r="AD230" s="158"/>
      <c r="AE230" s="158"/>
      <c r="AF230" s="158"/>
      <c r="AG230" s="158"/>
      <c r="AH230" s="158"/>
      <c r="AI230" s="158"/>
    </row>
    <row r="231" spans="1:35" hidden="1">
      <c r="A231" s="23"/>
      <c r="B231" s="23"/>
      <c r="C231" s="23"/>
      <c r="D231" s="23"/>
      <c r="E231" s="158"/>
      <c r="F231" s="158"/>
      <c r="G231" s="158"/>
      <c r="H231" s="158"/>
      <c r="I231" s="158"/>
      <c r="J231" s="158"/>
      <c r="K231" s="158"/>
      <c r="L231" s="158"/>
      <c r="M231" s="158"/>
      <c r="N231" s="158"/>
      <c r="O231" s="158"/>
      <c r="P231" s="158"/>
      <c r="Q231" s="158"/>
      <c r="R231" s="158"/>
      <c r="S231" s="158"/>
      <c r="T231" s="158"/>
      <c r="U231" s="158"/>
      <c r="V231" s="158"/>
      <c r="W231" s="158"/>
      <c r="X231" s="158"/>
      <c r="Y231" s="158"/>
      <c r="Z231" s="158"/>
      <c r="AA231" s="158"/>
      <c r="AB231" s="158"/>
      <c r="AC231" s="158"/>
      <c r="AD231" s="158"/>
      <c r="AE231" s="158"/>
      <c r="AF231" s="158"/>
      <c r="AG231" s="158"/>
      <c r="AH231" s="158"/>
      <c r="AI231" s="158"/>
    </row>
    <row r="232" spans="1:35" hidden="1">
      <c r="A232" s="23"/>
      <c r="B232" s="23"/>
      <c r="C232" s="23"/>
      <c r="D232" s="23"/>
      <c r="E232" s="158"/>
      <c r="F232" s="158"/>
      <c r="G232" s="158"/>
      <c r="H232" s="158"/>
      <c r="I232" s="158"/>
      <c r="J232" s="158"/>
      <c r="K232" s="158"/>
      <c r="L232" s="158"/>
      <c r="M232" s="158"/>
      <c r="N232" s="158"/>
      <c r="O232" s="158"/>
      <c r="P232" s="158"/>
      <c r="Q232" s="158"/>
      <c r="R232" s="158"/>
      <c r="S232" s="158"/>
      <c r="T232" s="158"/>
      <c r="U232" s="158"/>
      <c r="V232" s="158"/>
      <c r="W232" s="158"/>
      <c r="X232" s="158"/>
      <c r="Y232" s="158"/>
      <c r="Z232" s="158"/>
      <c r="AA232" s="158"/>
      <c r="AB232" s="158"/>
      <c r="AC232" s="158"/>
      <c r="AD232" s="158"/>
      <c r="AE232" s="158"/>
      <c r="AF232" s="158"/>
      <c r="AG232" s="158"/>
      <c r="AH232" s="158"/>
      <c r="AI232" s="158"/>
    </row>
    <row r="233" spans="1:35" hidden="1">
      <c r="A233" s="23"/>
      <c r="B233" s="23"/>
      <c r="C233" s="23"/>
      <c r="D233" s="23"/>
      <c r="E233" s="158"/>
      <c r="F233" s="158"/>
      <c r="G233" s="158"/>
      <c r="H233" s="158"/>
      <c r="I233" s="158"/>
      <c r="J233" s="158"/>
      <c r="K233" s="158"/>
      <c r="L233" s="158"/>
      <c r="M233" s="158"/>
      <c r="N233" s="158"/>
      <c r="O233" s="158"/>
      <c r="P233" s="158"/>
      <c r="Q233" s="158"/>
      <c r="R233" s="158"/>
      <c r="S233" s="158"/>
      <c r="T233" s="158"/>
      <c r="U233" s="158"/>
      <c r="V233" s="158"/>
      <c r="W233" s="158"/>
      <c r="X233" s="158"/>
      <c r="Y233" s="158"/>
      <c r="Z233" s="158"/>
      <c r="AA233" s="158"/>
      <c r="AB233" s="158"/>
      <c r="AC233" s="158"/>
      <c r="AD233" s="158"/>
      <c r="AE233" s="158"/>
      <c r="AF233" s="158"/>
      <c r="AG233" s="158"/>
      <c r="AH233" s="158"/>
      <c r="AI233" s="158"/>
    </row>
    <row r="234" spans="1:35" hidden="1">
      <c r="A234" s="23"/>
      <c r="B234" s="23"/>
      <c r="C234" s="23"/>
      <c r="D234" s="23"/>
      <c r="E234" s="158"/>
      <c r="F234" s="158"/>
      <c r="G234" s="158"/>
      <c r="H234" s="158"/>
      <c r="I234" s="158"/>
      <c r="J234" s="158"/>
      <c r="K234" s="158"/>
      <c r="L234" s="158"/>
      <c r="M234" s="158"/>
      <c r="N234" s="158"/>
      <c r="O234" s="158"/>
      <c r="P234" s="158"/>
      <c r="Q234" s="158"/>
      <c r="R234" s="158"/>
      <c r="S234" s="158"/>
      <c r="T234" s="158"/>
      <c r="U234" s="158"/>
      <c r="V234" s="158"/>
      <c r="W234" s="158"/>
      <c r="X234" s="158"/>
      <c r="Y234" s="158"/>
      <c r="Z234" s="158"/>
      <c r="AA234" s="158"/>
      <c r="AB234" s="158"/>
      <c r="AC234" s="158"/>
      <c r="AD234" s="158"/>
      <c r="AE234" s="158"/>
      <c r="AF234" s="158"/>
      <c r="AG234" s="158"/>
      <c r="AH234" s="158"/>
      <c r="AI234" s="158"/>
    </row>
    <row r="235" spans="1:35" hidden="1">
      <c r="A235" s="23"/>
      <c r="B235" s="23"/>
      <c r="C235" s="23"/>
      <c r="D235" s="23"/>
      <c r="E235" s="158"/>
      <c r="F235" s="158"/>
      <c r="G235" s="158"/>
      <c r="H235" s="158"/>
      <c r="I235" s="158"/>
      <c r="J235" s="158"/>
      <c r="K235" s="158"/>
      <c r="L235" s="158"/>
      <c r="M235" s="158"/>
      <c r="N235" s="158"/>
      <c r="O235" s="158"/>
      <c r="P235" s="158"/>
      <c r="Q235" s="158"/>
      <c r="R235" s="158"/>
      <c r="S235" s="158"/>
      <c r="T235" s="158"/>
      <c r="U235" s="158"/>
      <c r="V235" s="158"/>
      <c r="W235" s="158"/>
      <c r="X235" s="158"/>
      <c r="Y235" s="158"/>
      <c r="Z235" s="158"/>
      <c r="AA235" s="158"/>
      <c r="AB235" s="158"/>
      <c r="AC235" s="158"/>
      <c r="AD235" s="158"/>
      <c r="AE235" s="158"/>
      <c r="AF235" s="158"/>
      <c r="AG235" s="158"/>
      <c r="AH235" s="158"/>
      <c r="AI235" s="158"/>
    </row>
    <row r="236" spans="1:35" hidden="1">
      <c r="A236" s="23"/>
      <c r="B236" s="23"/>
      <c r="C236" s="23"/>
      <c r="D236" s="23"/>
      <c r="E236" s="158"/>
      <c r="F236" s="158"/>
      <c r="G236" s="158"/>
      <c r="H236" s="158"/>
      <c r="I236" s="158"/>
      <c r="J236" s="158"/>
      <c r="K236" s="158"/>
      <c r="L236" s="158"/>
      <c r="M236" s="158"/>
      <c r="N236" s="158"/>
      <c r="O236" s="158"/>
      <c r="P236" s="158"/>
      <c r="Q236" s="158"/>
      <c r="R236" s="158"/>
      <c r="S236" s="158"/>
      <c r="T236" s="158"/>
      <c r="U236" s="158"/>
      <c r="V236" s="158"/>
      <c r="W236" s="158"/>
      <c r="X236" s="158"/>
      <c r="Y236" s="158"/>
      <c r="Z236" s="158"/>
      <c r="AA236" s="158"/>
      <c r="AB236" s="158"/>
      <c r="AC236" s="158"/>
      <c r="AD236" s="158"/>
      <c r="AE236" s="158"/>
      <c r="AF236" s="158"/>
      <c r="AG236" s="158"/>
      <c r="AH236" s="158"/>
      <c r="AI236" s="158"/>
    </row>
    <row r="237" spans="1:35" hidden="1">
      <c r="A237" s="23"/>
      <c r="B237" s="23"/>
      <c r="C237" s="23"/>
      <c r="D237" s="23"/>
      <c r="E237" s="158"/>
      <c r="F237" s="158"/>
      <c r="G237" s="158"/>
      <c r="H237" s="158"/>
      <c r="I237" s="158"/>
      <c r="J237" s="158"/>
      <c r="K237" s="158"/>
      <c r="L237" s="158"/>
      <c r="M237" s="158"/>
      <c r="N237" s="158"/>
      <c r="O237" s="158"/>
      <c r="P237" s="158"/>
      <c r="Q237" s="158"/>
      <c r="R237" s="158"/>
      <c r="S237" s="158"/>
      <c r="T237" s="158"/>
      <c r="U237" s="158"/>
      <c r="V237" s="158"/>
      <c r="W237" s="158"/>
      <c r="X237" s="158"/>
      <c r="Y237" s="158"/>
      <c r="Z237" s="158"/>
      <c r="AA237" s="158"/>
      <c r="AB237" s="158"/>
      <c r="AC237" s="158"/>
      <c r="AD237" s="158"/>
      <c r="AE237" s="158"/>
      <c r="AF237" s="158"/>
      <c r="AG237" s="158"/>
      <c r="AH237" s="158"/>
      <c r="AI237" s="158"/>
    </row>
    <row r="238" spans="1:35" hidden="1">
      <c r="A238" s="23"/>
      <c r="B238" s="23"/>
      <c r="C238" s="23"/>
      <c r="D238" s="23"/>
      <c r="E238" s="158"/>
      <c r="F238" s="158"/>
      <c r="G238" s="158"/>
      <c r="H238" s="158"/>
      <c r="I238" s="158"/>
      <c r="J238" s="158"/>
      <c r="K238" s="158"/>
      <c r="L238" s="158"/>
      <c r="M238" s="158"/>
      <c r="N238" s="158"/>
      <c r="O238" s="158"/>
      <c r="P238" s="158"/>
      <c r="Q238" s="158"/>
      <c r="R238" s="158"/>
      <c r="S238" s="158"/>
      <c r="T238" s="158"/>
      <c r="U238" s="158"/>
      <c r="V238" s="158"/>
      <c r="W238" s="158"/>
      <c r="X238" s="158"/>
      <c r="Y238" s="158"/>
      <c r="Z238" s="158"/>
      <c r="AA238" s="158"/>
      <c r="AB238" s="158"/>
      <c r="AC238" s="158"/>
      <c r="AD238" s="158"/>
      <c r="AE238" s="158"/>
      <c r="AF238" s="158"/>
      <c r="AG238" s="158"/>
      <c r="AH238" s="158"/>
      <c r="AI238" s="158"/>
    </row>
    <row r="239" spans="1:35" hidden="1">
      <c r="A239" s="23"/>
      <c r="B239" s="23"/>
      <c r="C239" s="23"/>
      <c r="D239" s="23"/>
      <c r="E239" s="158"/>
      <c r="F239" s="158"/>
      <c r="G239" s="158"/>
      <c r="H239" s="158"/>
      <c r="I239" s="158"/>
      <c r="J239" s="158"/>
      <c r="K239" s="158"/>
      <c r="L239" s="158"/>
      <c r="M239" s="158"/>
      <c r="N239" s="158"/>
      <c r="O239" s="158"/>
      <c r="P239" s="158"/>
      <c r="Q239" s="158"/>
      <c r="R239" s="158"/>
      <c r="S239" s="158"/>
      <c r="T239" s="158"/>
      <c r="U239" s="158"/>
      <c r="V239" s="158"/>
      <c r="W239" s="158"/>
      <c r="X239" s="158"/>
      <c r="Y239" s="158"/>
      <c r="Z239" s="158"/>
      <c r="AA239" s="158"/>
      <c r="AB239" s="158"/>
      <c r="AC239" s="158"/>
      <c r="AD239" s="158"/>
      <c r="AE239" s="158"/>
      <c r="AF239" s="158"/>
      <c r="AG239" s="158"/>
      <c r="AH239" s="158"/>
      <c r="AI239" s="158"/>
    </row>
    <row r="240" spans="1:35" hidden="1">
      <c r="A240" s="23"/>
      <c r="B240" s="23"/>
      <c r="C240" s="23"/>
      <c r="D240" s="23"/>
      <c r="E240" s="158"/>
      <c r="F240" s="158"/>
      <c r="G240" s="158"/>
      <c r="H240" s="158"/>
      <c r="I240" s="158"/>
      <c r="J240" s="158"/>
      <c r="K240" s="158"/>
      <c r="L240" s="158"/>
      <c r="M240" s="158"/>
      <c r="N240" s="158"/>
      <c r="O240" s="158"/>
      <c r="P240" s="158"/>
      <c r="Q240" s="158"/>
      <c r="R240" s="158"/>
      <c r="S240" s="158"/>
      <c r="T240" s="158"/>
      <c r="U240" s="158"/>
      <c r="V240" s="158"/>
      <c r="W240" s="158"/>
      <c r="X240" s="158"/>
      <c r="Y240" s="158"/>
      <c r="Z240" s="158"/>
      <c r="AA240" s="158"/>
      <c r="AB240" s="158"/>
      <c r="AC240" s="158"/>
      <c r="AD240" s="158"/>
      <c r="AE240" s="158"/>
      <c r="AF240" s="158"/>
      <c r="AG240" s="158"/>
      <c r="AH240" s="158"/>
      <c r="AI240" s="158"/>
    </row>
    <row r="241" spans="1:35" hidden="1">
      <c r="A241" s="23"/>
      <c r="B241" s="23"/>
      <c r="C241" s="23"/>
      <c r="D241" s="23"/>
      <c r="E241" s="158"/>
      <c r="F241" s="158"/>
      <c r="G241" s="158"/>
      <c r="H241" s="158"/>
      <c r="I241" s="158"/>
      <c r="J241" s="158"/>
      <c r="K241" s="158"/>
      <c r="L241" s="158"/>
      <c r="M241" s="158"/>
      <c r="N241" s="158"/>
      <c r="O241" s="158"/>
      <c r="P241" s="158"/>
      <c r="Q241" s="158"/>
      <c r="R241" s="158"/>
      <c r="S241" s="158"/>
      <c r="T241" s="158"/>
      <c r="U241" s="158"/>
      <c r="V241" s="158"/>
      <c r="W241" s="158"/>
      <c r="X241" s="158"/>
      <c r="Y241" s="158"/>
      <c r="Z241" s="158"/>
      <c r="AA241" s="158"/>
      <c r="AB241" s="158"/>
      <c r="AC241" s="158"/>
      <c r="AD241" s="158"/>
      <c r="AE241" s="158"/>
      <c r="AF241" s="158"/>
      <c r="AG241" s="158"/>
      <c r="AH241" s="158"/>
      <c r="AI241" s="158"/>
    </row>
    <row r="242" spans="1:35" hidden="1">
      <c r="A242" s="23"/>
      <c r="B242" s="23"/>
      <c r="C242" s="23"/>
      <c r="D242" s="23"/>
      <c r="E242" s="158"/>
      <c r="F242" s="158"/>
      <c r="G242" s="158"/>
      <c r="H242" s="158"/>
      <c r="I242" s="158"/>
      <c r="J242" s="158"/>
      <c r="K242" s="158"/>
      <c r="L242" s="158"/>
      <c r="M242" s="158"/>
      <c r="N242" s="158"/>
      <c r="O242" s="158"/>
      <c r="P242" s="158"/>
      <c r="Q242" s="158"/>
      <c r="R242" s="158"/>
      <c r="S242" s="158"/>
      <c r="T242" s="158"/>
      <c r="U242" s="158"/>
      <c r="V242" s="158"/>
      <c r="W242" s="158"/>
      <c r="X242" s="158"/>
      <c r="Y242" s="158"/>
      <c r="Z242" s="158"/>
      <c r="AA242" s="158"/>
      <c r="AB242" s="158"/>
      <c r="AC242" s="158"/>
      <c r="AD242" s="158"/>
      <c r="AE242" s="158"/>
      <c r="AF242" s="158"/>
      <c r="AG242" s="158"/>
      <c r="AH242" s="158"/>
      <c r="AI242" s="158"/>
    </row>
    <row r="243" spans="1:35" hidden="1">
      <c r="A243" s="23"/>
      <c r="B243" s="23"/>
      <c r="C243" s="23"/>
      <c r="D243" s="23"/>
      <c r="E243" s="158"/>
      <c r="F243" s="158"/>
      <c r="G243" s="158"/>
      <c r="H243" s="158"/>
      <c r="I243" s="158"/>
      <c r="J243" s="158"/>
      <c r="K243" s="158"/>
      <c r="L243" s="158"/>
      <c r="M243" s="158"/>
      <c r="N243" s="158"/>
      <c r="O243" s="158"/>
      <c r="P243" s="158"/>
      <c r="Q243" s="158"/>
      <c r="R243" s="158"/>
      <c r="S243" s="158"/>
      <c r="T243" s="158"/>
      <c r="U243" s="158"/>
      <c r="V243" s="158"/>
      <c r="W243" s="158"/>
      <c r="X243" s="158"/>
      <c r="Y243" s="158"/>
      <c r="Z243" s="158"/>
      <c r="AA243" s="158"/>
      <c r="AB243" s="158"/>
      <c r="AC243" s="158"/>
      <c r="AD243" s="158"/>
      <c r="AE243" s="158"/>
      <c r="AF243" s="158"/>
      <c r="AG243" s="158"/>
      <c r="AH243" s="158"/>
      <c r="AI243" s="158"/>
    </row>
    <row r="244" spans="1:35" hidden="1">
      <c r="A244" s="23"/>
      <c r="B244" s="23"/>
      <c r="C244" s="23"/>
      <c r="D244" s="23"/>
      <c r="E244" s="158"/>
      <c r="F244" s="158"/>
      <c r="G244" s="158"/>
      <c r="H244" s="158"/>
      <c r="I244" s="158"/>
      <c r="J244" s="158"/>
      <c r="K244" s="158"/>
      <c r="L244" s="158"/>
      <c r="M244" s="158"/>
      <c r="N244" s="158"/>
      <c r="O244" s="158"/>
      <c r="P244" s="158"/>
      <c r="Q244" s="158"/>
      <c r="R244" s="158"/>
      <c r="S244" s="158"/>
      <c r="T244" s="158"/>
      <c r="U244" s="158"/>
      <c r="V244" s="158"/>
      <c r="W244" s="158"/>
      <c r="X244" s="158"/>
      <c r="Y244" s="158"/>
      <c r="Z244" s="158"/>
      <c r="AA244" s="158"/>
      <c r="AB244" s="158"/>
      <c r="AC244" s="158"/>
      <c r="AD244" s="158"/>
      <c r="AE244" s="158"/>
      <c r="AF244" s="158"/>
      <c r="AG244" s="158"/>
      <c r="AH244" s="158"/>
      <c r="AI244" s="158"/>
    </row>
    <row r="245" spans="1:35" hidden="1">
      <c r="A245" s="23"/>
      <c r="B245" s="23"/>
      <c r="C245" s="23"/>
      <c r="D245" s="23"/>
      <c r="E245" s="158"/>
      <c r="F245" s="158"/>
      <c r="G245" s="158"/>
      <c r="H245" s="158"/>
      <c r="I245" s="158"/>
      <c r="J245" s="158"/>
      <c r="K245" s="158"/>
      <c r="L245" s="158"/>
      <c r="M245" s="158"/>
      <c r="N245" s="158"/>
      <c r="O245" s="158"/>
      <c r="P245" s="158"/>
      <c r="Q245" s="158"/>
      <c r="R245" s="158"/>
      <c r="S245" s="158"/>
      <c r="T245" s="158"/>
      <c r="U245" s="158"/>
      <c r="V245" s="158"/>
      <c r="W245" s="158"/>
      <c r="X245" s="158"/>
      <c r="Y245" s="158"/>
      <c r="Z245" s="158"/>
      <c r="AA245" s="158"/>
      <c r="AB245" s="158"/>
      <c r="AC245" s="158"/>
      <c r="AD245" s="158"/>
      <c r="AE245" s="158"/>
      <c r="AF245" s="158"/>
      <c r="AG245" s="158"/>
      <c r="AH245" s="158"/>
      <c r="AI245" s="158"/>
    </row>
    <row r="246" spans="1:35" hidden="1">
      <c r="A246" s="23"/>
      <c r="B246" s="23"/>
      <c r="C246" s="23"/>
      <c r="D246" s="23"/>
      <c r="E246" s="158"/>
      <c r="F246" s="158"/>
      <c r="G246" s="158"/>
      <c r="H246" s="158"/>
      <c r="I246" s="158"/>
      <c r="J246" s="158"/>
      <c r="K246" s="158"/>
      <c r="L246" s="158"/>
      <c r="M246" s="158"/>
      <c r="N246" s="158"/>
      <c r="O246" s="158"/>
      <c r="P246" s="158"/>
      <c r="Q246" s="158"/>
      <c r="R246" s="158"/>
      <c r="S246" s="158"/>
      <c r="T246" s="158"/>
      <c r="U246" s="158"/>
      <c r="V246" s="158"/>
      <c r="W246" s="158"/>
      <c r="X246" s="158"/>
      <c r="Y246" s="158"/>
      <c r="Z246" s="158"/>
      <c r="AA246" s="158"/>
      <c r="AB246" s="158"/>
      <c r="AC246" s="158"/>
      <c r="AD246" s="158"/>
      <c r="AE246" s="158"/>
      <c r="AF246" s="158"/>
      <c r="AG246" s="158"/>
      <c r="AH246" s="158"/>
      <c r="AI246" s="158"/>
    </row>
    <row r="247" spans="1:35" hidden="1">
      <c r="A247" s="23"/>
      <c r="B247" s="23"/>
      <c r="C247" s="23"/>
      <c r="D247" s="23"/>
      <c r="E247" s="158"/>
      <c r="F247" s="158"/>
      <c r="G247" s="158"/>
      <c r="H247" s="158"/>
      <c r="I247" s="158"/>
      <c r="J247" s="158"/>
      <c r="K247" s="158"/>
      <c r="L247" s="158"/>
      <c r="M247" s="158"/>
      <c r="N247" s="158"/>
      <c r="O247" s="158"/>
      <c r="P247" s="158"/>
      <c r="Q247" s="158"/>
      <c r="R247" s="158"/>
      <c r="S247" s="158"/>
      <c r="T247" s="158"/>
      <c r="U247" s="158"/>
      <c r="V247" s="158"/>
      <c r="W247" s="158"/>
      <c r="X247" s="158"/>
      <c r="Y247" s="158"/>
      <c r="Z247" s="158"/>
      <c r="AA247" s="158"/>
      <c r="AB247" s="158"/>
      <c r="AC247" s="158"/>
      <c r="AD247" s="158"/>
      <c r="AE247" s="158"/>
      <c r="AF247" s="158"/>
      <c r="AG247" s="158"/>
      <c r="AH247" s="158"/>
      <c r="AI247" s="158"/>
    </row>
    <row r="248" spans="1:35" hidden="1">
      <c r="A248" s="23"/>
      <c r="B248" s="23"/>
      <c r="C248" s="23"/>
      <c r="D248" s="23"/>
      <c r="E248" s="158"/>
      <c r="F248" s="158"/>
      <c r="G248" s="158"/>
      <c r="H248" s="158"/>
      <c r="I248" s="158"/>
      <c r="J248" s="158"/>
      <c r="K248" s="158"/>
      <c r="L248" s="158"/>
      <c r="M248" s="158"/>
      <c r="N248" s="158"/>
      <c r="O248" s="158"/>
      <c r="P248" s="158"/>
      <c r="Q248" s="158"/>
      <c r="R248" s="158"/>
      <c r="S248" s="158"/>
      <c r="T248" s="158"/>
      <c r="U248" s="158"/>
      <c r="V248" s="158"/>
      <c r="W248" s="158"/>
      <c r="X248" s="158"/>
      <c r="Y248" s="158"/>
      <c r="Z248" s="158"/>
      <c r="AA248" s="158"/>
      <c r="AB248" s="158"/>
      <c r="AC248" s="158"/>
      <c r="AD248" s="158"/>
      <c r="AE248" s="158"/>
      <c r="AF248" s="158"/>
      <c r="AG248" s="158"/>
      <c r="AH248" s="158"/>
      <c r="AI248" s="158"/>
    </row>
    <row r="249" spans="1:35" hidden="1">
      <c r="A249" s="23"/>
      <c r="B249" s="23"/>
      <c r="C249" s="23"/>
      <c r="D249" s="23"/>
      <c r="E249" s="158"/>
      <c r="F249" s="158"/>
      <c r="G249" s="158"/>
      <c r="H249" s="158"/>
      <c r="I249" s="158"/>
      <c r="J249" s="158"/>
      <c r="K249" s="158"/>
      <c r="L249" s="158"/>
      <c r="M249" s="158"/>
      <c r="N249" s="158"/>
      <c r="O249" s="158"/>
      <c r="P249" s="158"/>
      <c r="Q249" s="158"/>
      <c r="R249" s="158"/>
      <c r="S249" s="158"/>
      <c r="T249" s="158"/>
      <c r="U249" s="158"/>
      <c r="V249" s="158"/>
      <c r="W249" s="158"/>
      <c r="X249" s="158"/>
      <c r="Y249" s="158"/>
      <c r="Z249" s="158"/>
      <c r="AA249" s="158"/>
      <c r="AB249" s="158"/>
      <c r="AC249" s="158"/>
      <c r="AD249" s="158"/>
      <c r="AE249" s="158"/>
      <c r="AF249" s="158"/>
      <c r="AG249" s="158"/>
      <c r="AH249" s="158"/>
      <c r="AI249" s="158"/>
    </row>
    <row r="250" spans="1:35" hidden="1">
      <c r="A250" s="23"/>
      <c r="B250" s="23"/>
      <c r="C250" s="23"/>
      <c r="D250" s="23"/>
      <c r="E250" s="158"/>
      <c r="F250" s="158"/>
      <c r="G250" s="158"/>
      <c r="H250" s="158"/>
      <c r="I250" s="158"/>
      <c r="J250" s="158"/>
      <c r="K250" s="158"/>
      <c r="L250" s="158"/>
      <c r="M250" s="158"/>
      <c r="N250" s="158"/>
      <c r="O250" s="158"/>
      <c r="P250" s="158"/>
      <c r="Q250" s="158"/>
      <c r="R250" s="158"/>
      <c r="S250" s="158"/>
      <c r="T250" s="158"/>
      <c r="U250" s="158"/>
      <c r="V250" s="158"/>
      <c r="W250" s="158"/>
      <c r="X250" s="158"/>
      <c r="Y250" s="158"/>
      <c r="Z250" s="158"/>
      <c r="AA250" s="158"/>
      <c r="AB250" s="158"/>
      <c r="AC250" s="158"/>
      <c r="AD250" s="158"/>
      <c r="AE250" s="158"/>
      <c r="AF250" s="158"/>
      <c r="AG250" s="158"/>
      <c r="AH250" s="158"/>
      <c r="AI250" s="158"/>
    </row>
    <row r="251" spans="1:35" hidden="1">
      <c r="A251" s="23"/>
      <c r="B251" s="23"/>
      <c r="C251" s="23"/>
      <c r="D251" s="23"/>
      <c r="E251" s="158"/>
      <c r="F251" s="158"/>
      <c r="G251" s="158"/>
      <c r="H251" s="158"/>
      <c r="I251" s="158"/>
      <c r="J251" s="158"/>
      <c r="K251" s="158"/>
      <c r="L251" s="158"/>
      <c r="M251" s="158"/>
      <c r="N251" s="158"/>
      <c r="O251" s="158"/>
      <c r="P251" s="158"/>
      <c r="Q251" s="158"/>
      <c r="R251" s="158"/>
      <c r="S251" s="158"/>
      <c r="T251" s="158"/>
      <c r="U251" s="158"/>
      <c r="V251" s="158"/>
      <c r="W251" s="158"/>
      <c r="X251" s="158"/>
      <c r="Y251" s="158"/>
      <c r="Z251" s="158"/>
      <c r="AA251" s="158"/>
      <c r="AB251" s="158"/>
      <c r="AC251" s="158"/>
      <c r="AD251" s="158"/>
      <c r="AE251" s="158"/>
      <c r="AF251" s="158"/>
      <c r="AG251" s="158"/>
      <c r="AH251" s="158"/>
      <c r="AI251" s="158"/>
    </row>
    <row r="252" spans="1:35" hidden="1">
      <c r="A252" s="23"/>
      <c r="B252" s="23"/>
      <c r="C252" s="23"/>
      <c r="D252" s="23"/>
      <c r="E252" s="158"/>
      <c r="F252" s="158"/>
      <c r="G252" s="158"/>
      <c r="H252" s="158"/>
      <c r="I252" s="158"/>
      <c r="J252" s="158"/>
      <c r="K252" s="158"/>
      <c r="L252" s="158"/>
      <c r="M252" s="158"/>
      <c r="N252" s="158"/>
      <c r="O252" s="158"/>
      <c r="P252" s="158"/>
      <c r="Q252" s="158"/>
      <c r="R252" s="158"/>
      <c r="S252" s="158"/>
      <c r="T252" s="158"/>
      <c r="U252" s="158"/>
      <c r="V252" s="158"/>
      <c r="W252" s="158"/>
      <c r="X252" s="158"/>
      <c r="Y252" s="158"/>
      <c r="Z252" s="158"/>
      <c r="AA252" s="158"/>
      <c r="AB252" s="158"/>
      <c r="AC252" s="158"/>
      <c r="AD252" s="158"/>
      <c r="AE252" s="158"/>
      <c r="AF252" s="158"/>
      <c r="AG252" s="158"/>
      <c r="AH252" s="158"/>
      <c r="AI252" s="158"/>
    </row>
    <row r="253" spans="1:35" hidden="1">
      <c r="A253" s="23"/>
      <c r="B253" s="23"/>
      <c r="C253" s="23"/>
      <c r="D253" s="23"/>
      <c r="E253" s="158"/>
      <c r="F253" s="158"/>
      <c r="G253" s="158"/>
      <c r="H253" s="158"/>
      <c r="I253" s="158"/>
      <c r="J253" s="158"/>
      <c r="K253" s="158"/>
      <c r="L253" s="158"/>
      <c r="M253" s="158"/>
      <c r="N253" s="158"/>
      <c r="O253" s="158"/>
      <c r="P253" s="158"/>
      <c r="Q253" s="158"/>
      <c r="R253" s="158"/>
      <c r="S253" s="158"/>
      <c r="T253" s="158"/>
      <c r="U253" s="158"/>
      <c r="V253" s="158"/>
      <c r="W253" s="158"/>
      <c r="X253" s="158"/>
      <c r="Y253" s="158"/>
      <c r="Z253" s="158"/>
      <c r="AA253" s="158"/>
      <c r="AB253" s="158"/>
      <c r="AC253" s="158"/>
      <c r="AD253" s="158"/>
      <c r="AE253" s="158"/>
      <c r="AF253" s="158"/>
      <c r="AG253" s="158"/>
      <c r="AH253" s="158"/>
      <c r="AI253" s="158"/>
    </row>
    <row r="254" spans="1:35" hidden="1">
      <c r="A254" s="23"/>
      <c r="B254" s="23"/>
      <c r="C254" s="23"/>
      <c r="D254" s="23"/>
      <c r="E254" s="158"/>
      <c r="F254" s="158"/>
      <c r="G254" s="158"/>
      <c r="H254" s="158"/>
      <c r="I254" s="158"/>
      <c r="J254" s="158"/>
      <c r="K254" s="158"/>
      <c r="L254" s="158"/>
      <c r="M254" s="158"/>
      <c r="N254" s="158"/>
      <c r="O254" s="158"/>
      <c r="P254" s="158"/>
      <c r="Q254" s="158"/>
      <c r="R254" s="158"/>
      <c r="S254" s="158"/>
      <c r="T254" s="158"/>
      <c r="U254" s="158"/>
      <c r="V254" s="158"/>
      <c r="W254" s="158"/>
      <c r="X254" s="158"/>
      <c r="Y254" s="158"/>
      <c r="Z254" s="158"/>
      <c r="AA254" s="158"/>
      <c r="AB254" s="158"/>
      <c r="AC254" s="158"/>
      <c r="AD254" s="158"/>
      <c r="AE254" s="158"/>
      <c r="AF254" s="158"/>
      <c r="AG254" s="158"/>
      <c r="AH254" s="158"/>
      <c r="AI254" s="158"/>
    </row>
    <row r="255" spans="1:35" hidden="1">
      <c r="A255" s="23"/>
      <c r="B255" s="23"/>
      <c r="C255" s="23"/>
      <c r="D255" s="23"/>
      <c r="E255" s="158"/>
      <c r="F255" s="158"/>
      <c r="G255" s="158"/>
      <c r="H255" s="158"/>
      <c r="I255" s="158"/>
      <c r="J255" s="158"/>
      <c r="K255" s="158"/>
      <c r="L255" s="158"/>
      <c r="M255" s="158"/>
      <c r="N255" s="158"/>
      <c r="O255" s="158"/>
      <c r="P255" s="158"/>
      <c r="Q255" s="158"/>
      <c r="R255" s="158"/>
      <c r="S255" s="158"/>
      <c r="T255" s="158"/>
      <c r="U255" s="158"/>
      <c r="V255" s="158"/>
      <c r="W255" s="158"/>
      <c r="X255" s="158"/>
      <c r="Y255" s="158"/>
      <c r="Z255" s="158"/>
      <c r="AA255" s="158"/>
      <c r="AB255" s="158"/>
      <c r="AC255" s="158"/>
      <c r="AD255" s="158"/>
      <c r="AE255" s="158"/>
      <c r="AF255" s="158"/>
      <c r="AG255" s="158"/>
      <c r="AH255" s="158"/>
      <c r="AI255" s="158"/>
    </row>
    <row r="256" spans="1:35" hidden="1">
      <c r="A256" s="23"/>
      <c r="B256" s="23"/>
      <c r="C256" s="23"/>
      <c r="D256" s="23"/>
      <c r="E256" s="158"/>
      <c r="F256" s="158"/>
      <c r="G256" s="158"/>
      <c r="H256" s="158"/>
      <c r="I256" s="158"/>
      <c r="J256" s="158"/>
      <c r="K256" s="158"/>
      <c r="L256" s="158"/>
      <c r="M256" s="158"/>
      <c r="N256" s="158"/>
      <c r="O256" s="158"/>
      <c r="P256" s="158"/>
      <c r="Q256" s="158"/>
      <c r="R256" s="158"/>
      <c r="S256" s="158"/>
      <c r="T256" s="158"/>
      <c r="U256" s="158"/>
      <c r="V256" s="158"/>
      <c r="W256" s="158"/>
      <c r="X256" s="158"/>
      <c r="Y256" s="158"/>
      <c r="Z256" s="158"/>
      <c r="AA256" s="158"/>
      <c r="AB256" s="158"/>
      <c r="AC256" s="158"/>
      <c r="AD256" s="158"/>
      <c r="AE256" s="158"/>
      <c r="AF256" s="158"/>
      <c r="AG256" s="158"/>
      <c r="AH256" s="158"/>
      <c r="AI256" s="158"/>
    </row>
    <row r="257" spans="1:35" hidden="1">
      <c r="A257" s="23"/>
      <c r="B257" s="23"/>
      <c r="C257" s="23"/>
      <c r="D257" s="23"/>
      <c r="E257" s="158"/>
      <c r="F257" s="158"/>
      <c r="G257" s="158"/>
      <c r="H257" s="158"/>
      <c r="I257" s="158"/>
      <c r="J257" s="158"/>
      <c r="K257" s="158"/>
      <c r="L257" s="158"/>
      <c r="M257" s="158"/>
      <c r="N257" s="158"/>
      <c r="O257" s="158"/>
      <c r="P257" s="158"/>
      <c r="Q257" s="158"/>
      <c r="R257" s="158"/>
      <c r="S257" s="158"/>
      <c r="T257" s="158"/>
      <c r="U257" s="158"/>
      <c r="V257" s="158"/>
      <c r="W257" s="158"/>
      <c r="X257" s="158"/>
      <c r="Y257" s="158"/>
      <c r="Z257" s="158"/>
      <c r="AA257" s="158"/>
      <c r="AB257" s="158"/>
      <c r="AC257" s="158"/>
      <c r="AD257" s="158"/>
      <c r="AE257" s="158"/>
      <c r="AF257" s="158"/>
      <c r="AG257" s="158"/>
      <c r="AH257" s="158"/>
      <c r="AI257" s="158"/>
    </row>
    <row r="258" spans="1:35" hidden="1">
      <c r="A258" s="23"/>
      <c r="B258" s="23"/>
      <c r="C258" s="23"/>
      <c r="D258" s="23"/>
      <c r="E258" s="158"/>
      <c r="F258" s="158"/>
      <c r="G258" s="158"/>
      <c r="H258" s="158"/>
      <c r="I258" s="158"/>
      <c r="J258" s="158"/>
      <c r="K258" s="158"/>
      <c r="L258" s="158"/>
      <c r="M258" s="158"/>
      <c r="N258" s="158"/>
      <c r="O258" s="158"/>
      <c r="P258" s="158"/>
      <c r="Q258" s="158"/>
      <c r="R258" s="158"/>
      <c r="S258" s="158"/>
      <c r="T258" s="158"/>
      <c r="U258" s="158"/>
      <c r="V258" s="158"/>
      <c r="W258" s="158"/>
      <c r="X258" s="158"/>
      <c r="Y258" s="158"/>
      <c r="Z258" s="158"/>
      <c r="AA258" s="158"/>
      <c r="AB258" s="158"/>
      <c r="AC258" s="158"/>
      <c r="AD258" s="158"/>
      <c r="AE258" s="158"/>
      <c r="AF258" s="158"/>
      <c r="AG258" s="158"/>
      <c r="AH258" s="158"/>
      <c r="AI258" s="158"/>
    </row>
    <row r="259" spans="1:35" hidden="1">
      <c r="A259" s="23"/>
      <c r="B259" s="23"/>
      <c r="C259" s="23"/>
      <c r="D259" s="23"/>
      <c r="E259" s="158"/>
      <c r="F259" s="158"/>
      <c r="G259" s="158"/>
      <c r="H259" s="158"/>
      <c r="I259" s="158"/>
      <c r="J259" s="158"/>
      <c r="K259" s="158"/>
      <c r="L259" s="158"/>
      <c r="M259" s="158"/>
      <c r="N259" s="158"/>
      <c r="O259" s="158"/>
      <c r="P259" s="158"/>
      <c r="Q259" s="158"/>
      <c r="R259" s="158"/>
      <c r="S259" s="158"/>
      <c r="T259" s="158"/>
      <c r="U259" s="158"/>
      <c r="V259" s="158"/>
      <c r="W259" s="158"/>
      <c r="X259" s="158"/>
      <c r="Y259" s="158"/>
      <c r="Z259" s="158"/>
      <c r="AA259" s="158"/>
      <c r="AB259" s="158"/>
      <c r="AC259" s="158"/>
      <c r="AD259" s="158"/>
      <c r="AE259" s="158"/>
      <c r="AF259" s="158"/>
      <c r="AG259" s="158"/>
      <c r="AH259" s="158"/>
      <c r="AI259" s="158"/>
    </row>
    <row r="260" spans="1:35" hidden="1">
      <c r="A260" s="23"/>
      <c r="B260" s="23"/>
      <c r="C260" s="23"/>
      <c r="D260" s="23"/>
      <c r="E260" s="158"/>
      <c r="F260" s="158"/>
      <c r="G260" s="158"/>
      <c r="H260" s="158"/>
      <c r="I260" s="158"/>
      <c r="J260" s="158"/>
      <c r="K260" s="158"/>
      <c r="L260" s="158"/>
      <c r="M260" s="158"/>
      <c r="N260" s="158"/>
      <c r="O260" s="158"/>
      <c r="P260" s="158"/>
      <c r="Q260" s="158"/>
      <c r="R260" s="158"/>
      <c r="S260" s="158"/>
      <c r="T260" s="158"/>
      <c r="U260" s="158"/>
      <c r="V260" s="158"/>
      <c r="W260" s="158"/>
      <c r="X260" s="158"/>
      <c r="Y260" s="158"/>
      <c r="Z260" s="158"/>
      <c r="AA260" s="158"/>
      <c r="AB260" s="158"/>
      <c r="AC260" s="158"/>
      <c r="AD260" s="158"/>
      <c r="AE260" s="158"/>
      <c r="AF260" s="158"/>
      <c r="AG260" s="158"/>
      <c r="AH260" s="158"/>
      <c r="AI260" s="158"/>
    </row>
    <row r="261" spans="1:35" hidden="1">
      <c r="A261" s="23"/>
      <c r="B261" s="23"/>
      <c r="C261" s="23"/>
      <c r="D261" s="23"/>
      <c r="E261" s="158"/>
      <c r="F261" s="158"/>
      <c r="G261" s="158"/>
      <c r="H261" s="158"/>
      <c r="I261" s="158"/>
      <c r="J261" s="158"/>
      <c r="K261" s="158"/>
      <c r="L261" s="158"/>
      <c r="M261" s="158"/>
      <c r="N261" s="158"/>
      <c r="O261" s="158"/>
      <c r="P261" s="158"/>
      <c r="Q261" s="158"/>
      <c r="R261" s="158"/>
      <c r="S261" s="158"/>
      <c r="T261" s="158"/>
      <c r="U261" s="158"/>
      <c r="V261" s="158"/>
      <c r="W261" s="158"/>
      <c r="X261" s="158"/>
      <c r="Y261" s="158"/>
      <c r="Z261" s="158"/>
      <c r="AA261" s="158"/>
      <c r="AB261" s="158"/>
      <c r="AC261" s="158"/>
      <c r="AD261" s="158"/>
      <c r="AE261" s="158"/>
      <c r="AF261" s="158"/>
      <c r="AG261" s="158"/>
      <c r="AH261" s="158"/>
      <c r="AI261" s="158"/>
    </row>
    <row r="262" spans="1:35" hidden="1">
      <c r="A262" s="23"/>
      <c r="B262" s="23"/>
      <c r="C262" s="23"/>
      <c r="D262" s="23"/>
      <c r="E262" s="158"/>
      <c r="F262" s="158"/>
      <c r="G262" s="158"/>
      <c r="H262" s="158"/>
      <c r="I262" s="158"/>
      <c r="J262" s="158"/>
      <c r="K262" s="158"/>
      <c r="L262" s="158"/>
      <c r="M262" s="158"/>
      <c r="N262" s="158"/>
      <c r="O262" s="158"/>
      <c r="P262" s="158"/>
      <c r="Q262" s="158"/>
      <c r="R262" s="158"/>
      <c r="S262" s="158"/>
      <c r="T262" s="158"/>
      <c r="U262" s="158"/>
      <c r="V262" s="158"/>
      <c r="W262" s="158"/>
      <c r="X262" s="158"/>
      <c r="Y262" s="158"/>
      <c r="Z262" s="158"/>
      <c r="AA262" s="158"/>
      <c r="AB262" s="158"/>
      <c r="AC262" s="158"/>
      <c r="AD262" s="158"/>
      <c r="AE262" s="158"/>
      <c r="AF262" s="158"/>
      <c r="AG262" s="158"/>
      <c r="AH262" s="158"/>
      <c r="AI262" s="158"/>
    </row>
    <row r="263" spans="1:35" hidden="1">
      <c r="A263" s="23"/>
      <c r="B263" s="23"/>
      <c r="C263" s="23"/>
      <c r="D263" s="23"/>
      <c r="E263" s="158"/>
      <c r="F263" s="158"/>
      <c r="G263" s="158"/>
      <c r="H263" s="158"/>
      <c r="I263" s="158"/>
      <c r="J263" s="158"/>
      <c r="K263" s="158"/>
      <c r="L263" s="158"/>
      <c r="M263" s="158"/>
      <c r="N263" s="158"/>
      <c r="O263" s="158"/>
      <c r="P263" s="158"/>
      <c r="Q263" s="158"/>
      <c r="R263" s="158"/>
      <c r="S263" s="158"/>
      <c r="T263" s="158"/>
      <c r="U263" s="158"/>
      <c r="V263" s="158"/>
      <c r="W263" s="158"/>
      <c r="X263" s="158"/>
      <c r="Y263" s="158"/>
      <c r="Z263" s="158"/>
      <c r="AA263" s="158"/>
      <c r="AB263" s="158"/>
      <c r="AC263" s="158"/>
      <c r="AD263" s="158"/>
      <c r="AE263" s="158"/>
      <c r="AF263" s="158"/>
      <c r="AG263" s="158"/>
      <c r="AH263" s="158"/>
      <c r="AI263" s="158"/>
    </row>
    <row r="264" spans="1:35" hidden="1">
      <c r="A264" s="23"/>
      <c r="B264" s="23"/>
      <c r="C264" s="23"/>
      <c r="D264" s="23"/>
      <c r="E264" s="158"/>
      <c r="F264" s="158"/>
      <c r="G264" s="158"/>
      <c r="H264" s="158"/>
      <c r="I264" s="158"/>
      <c r="J264" s="158"/>
      <c r="K264" s="158"/>
      <c r="L264" s="158"/>
      <c r="M264" s="158"/>
      <c r="N264" s="158"/>
      <c r="O264" s="158"/>
      <c r="P264" s="158"/>
      <c r="Q264" s="158"/>
      <c r="R264" s="158"/>
      <c r="S264" s="158"/>
      <c r="T264" s="158"/>
      <c r="U264" s="158"/>
      <c r="V264" s="158"/>
      <c r="W264" s="158"/>
      <c r="X264" s="158"/>
      <c r="Y264" s="158"/>
      <c r="Z264" s="158"/>
      <c r="AA264" s="158"/>
      <c r="AB264" s="158"/>
      <c r="AC264" s="158"/>
      <c r="AD264" s="158"/>
      <c r="AE264" s="158"/>
      <c r="AF264" s="158"/>
      <c r="AG264" s="158"/>
      <c r="AH264" s="158"/>
      <c r="AI264" s="158"/>
    </row>
    <row r="265" spans="1:35" hidden="1">
      <c r="A265" s="23"/>
      <c r="B265" s="23"/>
      <c r="C265" s="23"/>
      <c r="D265" s="23"/>
      <c r="E265" s="158"/>
      <c r="F265" s="158"/>
      <c r="G265" s="158"/>
      <c r="H265" s="158"/>
      <c r="I265" s="158"/>
      <c r="J265" s="158"/>
      <c r="K265" s="158"/>
      <c r="L265" s="158"/>
      <c r="M265" s="158"/>
      <c r="N265" s="158"/>
      <c r="O265" s="158"/>
      <c r="P265" s="158"/>
      <c r="Q265" s="158"/>
      <c r="R265" s="158"/>
      <c r="S265" s="158"/>
      <c r="T265" s="158"/>
      <c r="U265" s="158"/>
      <c r="V265" s="158"/>
      <c r="W265" s="158"/>
      <c r="X265" s="158"/>
      <c r="Y265" s="158"/>
      <c r="Z265" s="158"/>
      <c r="AA265" s="158"/>
      <c r="AB265" s="158"/>
      <c r="AC265" s="158"/>
      <c r="AD265" s="158"/>
      <c r="AE265" s="158"/>
      <c r="AF265" s="158"/>
      <c r="AG265" s="158"/>
      <c r="AH265" s="158"/>
      <c r="AI265" s="158"/>
    </row>
    <row r="266" spans="1:35" hidden="1">
      <c r="A266" s="23"/>
      <c r="B266" s="23"/>
      <c r="C266" s="23"/>
      <c r="D266" s="23"/>
      <c r="E266" s="158"/>
      <c r="F266" s="158"/>
      <c r="G266" s="158"/>
      <c r="H266" s="158"/>
      <c r="I266" s="158"/>
      <c r="J266" s="158"/>
      <c r="K266" s="158"/>
      <c r="L266" s="158"/>
      <c r="M266" s="158"/>
      <c r="N266" s="158"/>
      <c r="O266" s="158"/>
      <c r="P266" s="158"/>
      <c r="Q266" s="158"/>
      <c r="R266" s="158"/>
      <c r="S266" s="158"/>
      <c r="T266" s="158"/>
      <c r="U266" s="158"/>
      <c r="V266" s="158"/>
      <c r="W266" s="158"/>
      <c r="X266" s="158"/>
      <c r="Y266" s="158"/>
      <c r="Z266" s="158"/>
      <c r="AA266" s="158"/>
      <c r="AB266" s="158"/>
      <c r="AC266" s="158"/>
      <c r="AD266" s="158"/>
      <c r="AE266" s="158"/>
      <c r="AF266" s="158"/>
      <c r="AG266" s="158"/>
      <c r="AH266" s="158"/>
      <c r="AI266" s="158"/>
    </row>
    <row r="267" spans="1:35" hidden="1">
      <c r="A267" s="23"/>
      <c r="B267" s="23"/>
      <c r="C267" s="23"/>
      <c r="D267" s="23"/>
      <c r="E267" s="158"/>
      <c r="F267" s="158"/>
      <c r="G267" s="158"/>
      <c r="H267" s="158"/>
      <c r="I267" s="158"/>
      <c r="J267" s="158"/>
      <c r="K267" s="158"/>
      <c r="L267" s="158"/>
      <c r="M267" s="158"/>
      <c r="N267" s="158"/>
      <c r="O267" s="158"/>
      <c r="P267" s="158"/>
      <c r="Q267" s="158"/>
      <c r="R267" s="158"/>
      <c r="S267" s="158"/>
      <c r="T267" s="158"/>
      <c r="U267" s="158"/>
      <c r="V267" s="158"/>
      <c r="W267" s="158"/>
      <c r="X267" s="158"/>
      <c r="Y267" s="158"/>
      <c r="Z267" s="158"/>
      <c r="AA267" s="158"/>
      <c r="AB267" s="158"/>
      <c r="AC267" s="158"/>
      <c r="AD267" s="158"/>
      <c r="AE267" s="158"/>
      <c r="AF267" s="158"/>
      <c r="AG267" s="158"/>
      <c r="AH267" s="158"/>
      <c r="AI267" s="158"/>
    </row>
    <row r="268" spans="1:35" hidden="1">
      <c r="A268" s="23"/>
      <c r="B268" s="23"/>
      <c r="C268" s="23"/>
      <c r="D268" s="23"/>
      <c r="E268" s="158"/>
      <c r="F268" s="158"/>
      <c r="G268" s="158"/>
      <c r="H268" s="158"/>
      <c r="I268" s="158"/>
      <c r="J268" s="158"/>
      <c r="K268" s="158"/>
      <c r="L268" s="158"/>
      <c r="M268" s="158"/>
      <c r="N268" s="158"/>
      <c r="O268" s="158"/>
      <c r="P268" s="158"/>
      <c r="Q268" s="158"/>
      <c r="R268" s="158"/>
      <c r="S268" s="158"/>
      <c r="T268" s="158"/>
      <c r="U268" s="158"/>
      <c r="V268" s="158"/>
      <c r="W268" s="158"/>
      <c r="X268" s="158"/>
      <c r="Y268" s="158"/>
      <c r="Z268" s="158"/>
      <c r="AA268" s="158"/>
      <c r="AB268" s="158"/>
      <c r="AC268" s="158"/>
      <c r="AD268" s="158"/>
      <c r="AE268" s="158"/>
      <c r="AF268" s="158"/>
      <c r="AG268" s="158"/>
      <c r="AH268" s="158"/>
      <c r="AI268" s="158"/>
    </row>
    <row r="269" spans="1:35" hidden="1">
      <c r="A269" s="23"/>
      <c r="B269" s="23"/>
      <c r="C269" s="23"/>
      <c r="D269" s="23"/>
      <c r="E269" s="158"/>
      <c r="F269" s="158"/>
      <c r="G269" s="158"/>
      <c r="H269" s="158"/>
      <c r="I269" s="158"/>
      <c r="J269" s="158"/>
      <c r="K269" s="158"/>
      <c r="L269" s="158"/>
      <c r="M269" s="158"/>
      <c r="N269" s="158"/>
      <c r="O269" s="158"/>
      <c r="P269" s="158"/>
      <c r="Q269" s="158"/>
      <c r="R269" s="158"/>
      <c r="S269" s="158"/>
      <c r="T269" s="158"/>
      <c r="U269" s="158"/>
      <c r="V269" s="158"/>
      <c r="W269" s="158"/>
      <c r="X269" s="158"/>
      <c r="Y269" s="158"/>
      <c r="Z269" s="158"/>
      <c r="AA269" s="158"/>
      <c r="AB269" s="158"/>
      <c r="AC269" s="158"/>
      <c r="AD269" s="158"/>
      <c r="AE269" s="158"/>
      <c r="AF269" s="158"/>
      <c r="AG269" s="158"/>
      <c r="AH269" s="158"/>
      <c r="AI269" s="158"/>
    </row>
    <row r="270" spans="1:35" hidden="1">
      <c r="A270" s="23"/>
      <c r="B270" s="23"/>
      <c r="C270" s="23"/>
      <c r="D270" s="23"/>
      <c r="E270" s="158"/>
      <c r="F270" s="158"/>
      <c r="G270" s="158"/>
      <c r="H270" s="158"/>
      <c r="I270" s="158"/>
      <c r="J270" s="158"/>
      <c r="K270" s="158"/>
      <c r="L270" s="158"/>
      <c r="M270" s="158"/>
      <c r="N270" s="158"/>
      <c r="O270" s="158"/>
      <c r="P270" s="158"/>
      <c r="Q270" s="158"/>
      <c r="R270" s="158"/>
      <c r="S270" s="158"/>
      <c r="T270" s="158"/>
      <c r="U270" s="158"/>
      <c r="V270" s="158"/>
      <c r="W270" s="158"/>
      <c r="X270" s="158"/>
      <c r="Y270" s="158"/>
      <c r="Z270" s="158"/>
      <c r="AA270" s="158"/>
      <c r="AB270" s="158"/>
      <c r="AC270" s="158"/>
      <c r="AD270" s="158"/>
      <c r="AE270" s="158"/>
      <c r="AF270" s="158"/>
      <c r="AG270" s="158"/>
      <c r="AH270" s="158"/>
      <c r="AI270" s="158"/>
    </row>
    <row r="271" spans="1:35" hidden="1">
      <c r="A271" s="23"/>
      <c r="B271" s="23"/>
      <c r="C271" s="23"/>
      <c r="D271" s="23"/>
      <c r="E271" s="158"/>
      <c r="F271" s="158"/>
      <c r="G271" s="158"/>
      <c r="H271" s="158"/>
      <c r="I271" s="158"/>
      <c r="J271" s="158"/>
      <c r="K271" s="158"/>
      <c r="L271" s="158"/>
      <c r="M271" s="158"/>
      <c r="N271" s="158"/>
      <c r="O271" s="158"/>
      <c r="P271" s="158"/>
      <c r="Q271" s="158"/>
      <c r="R271" s="158"/>
      <c r="S271" s="158"/>
      <c r="T271" s="158"/>
      <c r="U271" s="158"/>
      <c r="V271" s="158"/>
      <c r="W271" s="158"/>
      <c r="X271" s="158"/>
      <c r="Y271" s="158"/>
      <c r="Z271" s="158"/>
      <c r="AA271" s="158"/>
      <c r="AB271" s="158"/>
      <c r="AC271" s="158"/>
      <c r="AD271" s="158"/>
      <c r="AE271" s="158"/>
      <c r="AF271" s="158"/>
      <c r="AG271" s="158"/>
      <c r="AH271" s="158"/>
      <c r="AI271" s="158"/>
    </row>
    <row r="272" spans="1:35" hidden="1">
      <c r="A272" s="23"/>
      <c r="B272" s="23"/>
      <c r="C272" s="23"/>
      <c r="D272" s="23"/>
      <c r="E272" s="158"/>
      <c r="F272" s="158"/>
      <c r="G272" s="158"/>
      <c r="H272" s="158"/>
      <c r="I272" s="158"/>
      <c r="J272" s="158"/>
      <c r="K272" s="158"/>
      <c r="L272" s="158"/>
      <c r="M272" s="158"/>
      <c r="N272" s="158"/>
      <c r="O272" s="158"/>
      <c r="P272" s="158"/>
      <c r="Q272" s="158"/>
      <c r="R272" s="158"/>
      <c r="S272" s="158"/>
      <c r="T272" s="158"/>
      <c r="U272" s="158"/>
      <c r="V272" s="158"/>
      <c r="W272" s="158"/>
      <c r="X272" s="158"/>
      <c r="Y272" s="158"/>
      <c r="Z272" s="158"/>
      <c r="AA272" s="158"/>
      <c r="AB272" s="158"/>
      <c r="AC272" s="158"/>
      <c r="AD272" s="158"/>
      <c r="AE272" s="158"/>
      <c r="AF272" s="158"/>
      <c r="AG272" s="158"/>
      <c r="AH272" s="158"/>
      <c r="AI272" s="158"/>
    </row>
    <row r="273" spans="1:35" hidden="1">
      <c r="A273" s="23"/>
      <c r="B273" s="23"/>
      <c r="C273" s="23"/>
      <c r="D273" s="23"/>
      <c r="E273" s="158"/>
      <c r="F273" s="158"/>
      <c r="G273" s="158"/>
      <c r="H273" s="158"/>
      <c r="I273" s="158"/>
      <c r="J273" s="158"/>
      <c r="K273" s="158"/>
      <c r="L273" s="158"/>
      <c r="M273" s="158"/>
      <c r="N273" s="158"/>
      <c r="O273" s="158"/>
      <c r="P273" s="158"/>
      <c r="Q273" s="158"/>
      <c r="R273" s="158"/>
      <c r="S273" s="158"/>
      <c r="T273" s="158"/>
      <c r="U273" s="158"/>
      <c r="V273" s="158"/>
      <c r="W273" s="158"/>
      <c r="X273" s="158"/>
      <c r="Y273" s="158"/>
      <c r="Z273" s="158"/>
      <c r="AA273" s="158"/>
      <c r="AB273" s="158"/>
      <c r="AC273" s="158"/>
      <c r="AD273" s="158"/>
      <c r="AE273" s="158"/>
      <c r="AF273" s="158"/>
      <c r="AG273" s="158"/>
      <c r="AH273" s="158"/>
      <c r="AI273" s="158"/>
    </row>
    <row r="274" spans="1:35" hidden="1">
      <c r="A274" s="23"/>
      <c r="B274" s="23"/>
      <c r="C274" s="23"/>
      <c r="D274" s="23"/>
      <c r="E274" s="158"/>
      <c r="F274" s="158"/>
      <c r="G274" s="158"/>
      <c r="H274" s="158"/>
      <c r="I274" s="158"/>
      <c r="J274" s="158"/>
      <c r="K274" s="158"/>
      <c r="L274" s="158"/>
      <c r="M274" s="158"/>
      <c r="N274" s="158"/>
      <c r="O274" s="158"/>
      <c r="P274" s="158"/>
      <c r="Q274" s="158"/>
      <c r="R274" s="158"/>
      <c r="S274" s="158"/>
      <c r="T274" s="158"/>
      <c r="U274" s="158"/>
      <c r="V274" s="158"/>
      <c r="W274" s="158"/>
      <c r="X274" s="158"/>
      <c r="Y274" s="158"/>
      <c r="Z274" s="158"/>
      <c r="AA274" s="158"/>
      <c r="AB274" s="158"/>
      <c r="AC274" s="158"/>
      <c r="AD274" s="158"/>
      <c r="AE274" s="158"/>
      <c r="AF274" s="158"/>
      <c r="AG274" s="158"/>
      <c r="AH274" s="158"/>
      <c r="AI274" s="158"/>
    </row>
    <row r="275" spans="1:35" hidden="1">
      <c r="A275" s="23"/>
      <c r="B275" s="23"/>
      <c r="C275" s="23"/>
      <c r="D275" s="23"/>
      <c r="E275" s="158"/>
      <c r="F275" s="158"/>
      <c r="G275" s="158"/>
      <c r="H275" s="158"/>
      <c r="I275" s="158"/>
      <c r="J275" s="158"/>
      <c r="K275" s="158"/>
      <c r="L275" s="158"/>
      <c r="M275" s="158"/>
      <c r="N275" s="158"/>
      <c r="O275" s="158"/>
      <c r="P275" s="158"/>
      <c r="Q275" s="158"/>
      <c r="R275" s="158"/>
      <c r="S275" s="158"/>
      <c r="T275" s="158"/>
      <c r="U275" s="158"/>
      <c r="V275" s="158"/>
      <c r="W275" s="158"/>
      <c r="X275" s="158"/>
      <c r="Y275" s="158"/>
      <c r="Z275" s="158"/>
      <c r="AA275" s="158"/>
      <c r="AB275" s="158"/>
      <c r="AC275" s="158"/>
      <c r="AD275" s="158"/>
      <c r="AE275" s="158"/>
      <c r="AF275" s="158"/>
      <c r="AG275" s="158"/>
      <c r="AH275" s="158"/>
      <c r="AI275" s="158"/>
    </row>
    <row r="276" spans="1:35" hidden="1">
      <c r="A276" s="23"/>
      <c r="B276" s="23"/>
      <c r="C276" s="23"/>
      <c r="D276" s="23"/>
      <c r="E276" s="158"/>
      <c r="F276" s="158"/>
      <c r="G276" s="158"/>
      <c r="H276" s="158"/>
      <c r="I276" s="158"/>
      <c r="J276" s="158"/>
      <c r="K276" s="158"/>
      <c r="L276" s="158"/>
      <c r="M276" s="158"/>
      <c r="N276" s="158"/>
      <c r="O276" s="158"/>
      <c r="P276" s="158"/>
      <c r="Q276" s="158"/>
      <c r="R276" s="158"/>
      <c r="S276" s="158"/>
      <c r="T276" s="158"/>
      <c r="U276" s="158"/>
      <c r="V276" s="158"/>
      <c r="W276" s="158"/>
      <c r="X276" s="158"/>
      <c r="Y276" s="158"/>
      <c r="Z276" s="158"/>
      <c r="AA276" s="158"/>
      <c r="AB276" s="158"/>
      <c r="AC276" s="158"/>
      <c r="AD276" s="158"/>
      <c r="AE276" s="158"/>
      <c r="AF276" s="158"/>
      <c r="AG276" s="158"/>
      <c r="AH276" s="158"/>
      <c r="AI276" s="158"/>
    </row>
    <row r="277" spans="1:35" hidden="1">
      <c r="A277" s="23"/>
      <c r="B277" s="23"/>
      <c r="C277" s="23"/>
      <c r="D277" s="23"/>
      <c r="E277" s="158"/>
      <c r="F277" s="158"/>
      <c r="G277" s="158"/>
      <c r="H277" s="158"/>
      <c r="I277" s="158"/>
      <c r="J277" s="158"/>
      <c r="K277" s="158"/>
      <c r="L277" s="158"/>
      <c r="M277" s="158"/>
      <c r="N277" s="158"/>
      <c r="O277" s="158"/>
      <c r="P277" s="158"/>
      <c r="Q277" s="158"/>
      <c r="R277" s="158"/>
      <c r="S277" s="158"/>
      <c r="T277" s="158"/>
      <c r="U277" s="158"/>
      <c r="V277" s="158"/>
      <c r="W277" s="158"/>
      <c r="X277" s="158"/>
      <c r="Y277" s="158"/>
      <c r="Z277" s="158"/>
      <c r="AA277" s="158"/>
      <c r="AB277" s="158"/>
      <c r="AC277" s="158"/>
      <c r="AD277" s="158"/>
      <c r="AE277" s="158"/>
      <c r="AF277" s="158"/>
      <c r="AG277" s="158"/>
      <c r="AH277" s="158"/>
      <c r="AI277" s="158"/>
    </row>
    <row r="278" spans="1:35" hidden="1">
      <c r="A278" s="23"/>
      <c r="B278" s="23"/>
      <c r="C278" s="23"/>
      <c r="D278" s="23"/>
      <c r="E278" s="158"/>
      <c r="F278" s="158"/>
      <c r="G278" s="158"/>
      <c r="H278" s="158"/>
      <c r="I278" s="158"/>
      <c r="J278" s="158"/>
      <c r="K278" s="158"/>
      <c r="L278" s="158"/>
      <c r="M278" s="158"/>
      <c r="N278" s="158"/>
      <c r="O278" s="158"/>
      <c r="P278" s="158"/>
      <c r="Q278" s="158"/>
      <c r="R278" s="158"/>
      <c r="S278" s="158"/>
      <c r="T278" s="158"/>
      <c r="U278" s="158"/>
      <c r="V278" s="158"/>
      <c r="W278" s="158"/>
      <c r="X278" s="158"/>
      <c r="Y278" s="158"/>
      <c r="Z278" s="158"/>
      <c r="AA278" s="158"/>
      <c r="AB278" s="158"/>
      <c r="AC278" s="158"/>
      <c r="AD278" s="158"/>
      <c r="AE278" s="158"/>
      <c r="AF278" s="158"/>
      <c r="AG278" s="158"/>
      <c r="AH278" s="158"/>
      <c r="AI278" s="158"/>
    </row>
    <row r="279" spans="1:35" hidden="1">
      <c r="A279" s="23"/>
      <c r="B279" s="23"/>
      <c r="C279" s="23"/>
      <c r="D279" s="23"/>
      <c r="E279" s="158"/>
      <c r="F279" s="158"/>
      <c r="G279" s="158"/>
      <c r="H279" s="158"/>
      <c r="I279" s="158"/>
      <c r="J279" s="158"/>
      <c r="K279" s="158"/>
      <c r="L279" s="158"/>
      <c r="M279" s="158"/>
      <c r="N279" s="158"/>
      <c r="O279" s="158"/>
      <c r="P279" s="158"/>
      <c r="Q279" s="158"/>
      <c r="R279" s="158"/>
      <c r="S279" s="158"/>
      <c r="T279" s="158"/>
      <c r="U279" s="158"/>
      <c r="V279" s="158"/>
      <c r="W279" s="158"/>
      <c r="X279" s="158"/>
      <c r="Y279" s="158"/>
      <c r="Z279" s="158"/>
      <c r="AA279" s="158"/>
      <c r="AB279" s="158"/>
      <c r="AC279" s="158"/>
      <c r="AD279" s="158"/>
      <c r="AE279" s="158"/>
      <c r="AF279" s="158"/>
      <c r="AG279" s="158"/>
      <c r="AH279" s="158"/>
      <c r="AI279" s="158"/>
    </row>
    <row r="280" spans="1:35" hidden="1">
      <c r="A280" s="23"/>
      <c r="B280" s="23"/>
      <c r="C280" s="23"/>
      <c r="D280" s="23"/>
      <c r="E280" s="158"/>
      <c r="F280" s="158"/>
      <c r="G280" s="158"/>
      <c r="H280" s="158"/>
      <c r="I280" s="158"/>
      <c r="J280" s="158"/>
      <c r="K280" s="158"/>
      <c r="L280" s="158"/>
      <c r="M280" s="158"/>
      <c r="N280" s="158"/>
      <c r="O280" s="158"/>
      <c r="P280" s="158"/>
      <c r="Q280" s="158"/>
      <c r="R280" s="158"/>
      <c r="S280" s="158"/>
      <c r="T280" s="158"/>
      <c r="U280" s="158"/>
      <c r="V280" s="158"/>
      <c r="W280" s="158"/>
      <c r="X280" s="158"/>
      <c r="Y280" s="158"/>
      <c r="Z280" s="158"/>
      <c r="AA280" s="158"/>
      <c r="AB280" s="158"/>
      <c r="AC280" s="158"/>
      <c r="AD280" s="158"/>
      <c r="AE280" s="158"/>
      <c r="AF280" s="158"/>
      <c r="AG280" s="158"/>
      <c r="AH280" s="158"/>
      <c r="AI280" s="158"/>
    </row>
    <row r="281" spans="1:35" hidden="1">
      <c r="A281" s="23"/>
      <c r="B281" s="23"/>
      <c r="C281" s="23"/>
      <c r="D281" s="23"/>
      <c r="E281" s="158"/>
      <c r="F281" s="158"/>
      <c r="G281" s="158"/>
      <c r="H281" s="158"/>
      <c r="I281" s="158"/>
      <c r="J281" s="158"/>
      <c r="K281" s="158"/>
      <c r="L281" s="158"/>
      <c r="M281" s="158"/>
      <c r="N281" s="158"/>
      <c r="O281" s="158"/>
      <c r="P281" s="158"/>
      <c r="Q281" s="158"/>
      <c r="R281" s="158"/>
      <c r="S281" s="158"/>
      <c r="T281" s="158"/>
      <c r="U281" s="158"/>
      <c r="V281" s="158"/>
      <c r="W281" s="158"/>
      <c r="X281" s="158"/>
      <c r="Y281" s="158"/>
      <c r="Z281" s="158"/>
      <c r="AA281" s="158"/>
      <c r="AB281" s="158"/>
      <c r="AC281" s="158"/>
      <c r="AD281" s="158"/>
      <c r="AE281" s="158"/>
      <c r="AF281" s="158"/>
      <c r="AG281" s="158"/>
      <c r="AH281" s="158"/>
      <c r="AI281" s="158"/>
    </row>
    <row r="282" spans="1:35" hidden="1">
      <c r="A282" s="23"/>
      <c r="B282" s="23"/>
      <c r="C282" s="23"/>
      <c r="D282" s="23"/>
      <c r="E282" s="158"/>
      <c r="F282" s="158"/>
      <c r="G282" s="158"/>
      <c r="H282" s="158"/>
      <c r="I282" s="158"/>
      <c r="J282" s="158"/>
      <c r="K282" s="158"/>
      <c r="L282" s="158"/>
      <c r="M282" s="158"/>
      <c r="N282" s="158"/>
      <c r="O282" s="158"/>
      <c r="P282" s="158"/>
      <c r="Q282" s="158"/>
      <c r="R282" s="158"/>
      <c r="S282" s="158"/>
      <c r="T282" s="158"/>
      <c r="U282" s="158"/>
      <c r="V282" s="158"/>
      <c r="W282" s="158"/>
      <c r="X282" s="158"/>
      <c r="Y282" s="158"/>
      <c r="Z282" s="158"/>
      <c r="AA282" s="158"/>
      <c r="AB282" s="158"/>
      <c r="AC282" s="158"/>
      <c r="AD282" s="158"/>
      <c r="AE282" s="158"/>
      <c r="AF282" s="158"/>
      <c r="AG282" s="158"/>
      <c r="AH282" s="158"/>
      <c r="AI282" s="158"/>
    </row>
    <row r="283" spans="1:35" hidden="1">
      <c r="A283" s="23"/>
      <c r="B283" s="23"/>
      <c r="C283" s="23"/>
      <c r="D283" s="23"/>
      <c r="E283" s="158"/>
      <c r="F283" s="158"/>
      <c r="G283" s="158"/>
      <c r="H283" s="158"/>
      <c r="I283" s="158"/>
      <c r="J283" s="158"/>
      <c r="K283" s="158"/>
      <c r="L283" s="158"/>
      <c r="M283" s="158"/>
      <c r="N283" s="158"/>
      <c r="O283" s="158"/>
      <c r="P283" s="158"/>
      <c r="Q283" s="158"/>
      <c r="R283" s="158"/>
      <c r="S283" s="158"/>
      <c r="T283" s="158"/>
      <c r="U283" s="158"/>
      <c r="V283" s="158"/>
      <c r="W283" s="158"/>
      <c r="X283" s="158"/>
      <c r="Y283" s="158"/>
      <c r="Z283" s="158"/>
      <c r="AA283" s="158"/>
      <c r="AB283" s="158"/>
      <c r="AC283" s="158"/>
      <c r="AD283" s="158"/>
      <c r="AE283" s="158"/>
      <c r="AF283" s="158"/>
      <c r="AG283" s="158"/>
      <c r="AH283" s="158"/>
      <c r="AI283" s="158"/>
    </row>
    <row r="284" spans="1:35" hidden="1">
      <c r="A284" s="23"/>
      <c r="B284" s="23"/>
      <c r="C284" s="23"/>
      <c r="D284" s="23"/>
      <c r="E284" s="158"/>
      <c r="F284" s="158"/>
      <c r="G284" s="158"/>
      <c r="H284" s="158"/>
      <c r="I284" s="158"/>
      <c r="J284" s="158"/>
      <c r="K284" s="158"/>
      <c r="L284" s="158"/>
      <c r="M284" s="158"/>
      <c r="N284" s="158"/>
      <c r="O284" s="158"/>
      <c r="P284" s="158"/>
      <c r="Q284" s="158"/>
      <c r="R284" s="158"/>
      <c r="S284" s="158"/>
      <c r="T284" s="158"/>
      <c r="U284" s="158"/>
      <c r="V284" s="158"/>
      <c r="W284" s="158"/>
      <c r="X284" s="158"/>
      <c r="Y284" s="158"/>
      <c r="Z284" s="158"/>
      <c r="AA284" s="158"/>
      <c r="AB284" s="158"/>
      <c r="AC284" s="158"/>
      <c r="AD284" s="158"/>
      <c r="AE284" s="158"/>
      <c r="AF284" s="158"/>
      <c r="AG284" s="158"/>
      <c r="AH284" s="158"/>
      <c r="AI284" s="158"/>
    </row>
    <row r="285" spans="1:35" hidden="1">
      <c r="A285" s="23"/>
      <c r="B285" s="23"/>
      <c r="C285" s="23"/>
      <c r="D285" s="23"/>
      <c r="E285" s="158"/>
      <c r="F285" s="158"/>
      <c r="G285" s="158"/>
      <c r="H285" s="158"/>
      <c r="I285" s="158"/>
      <c r="J285" s="158"/>
      <c r="K285" s="158"/>
      <c r="L285" s="158"/>
      <c r="M285" s="158"/>
      <c r="N285" s="158"/>
      <c r="O285" s="158"/>
      <c r="P285" s="158"/>
      <c r="Q285" s="158"/>
      <c r="R285" s="158"/>
      <c r="S285" s="158"/>
      <c r="T285" s="158"/>
      <c r="U285" s="158"/>
      <c r="V285" s="158"/>
      <c r="W285" s="158"/>
      <c r="X285" s="158"/>
      <c r="Y285" s="158"/>
      <c r="Z285" s="158"/>
      <c r="AA285" s="158"/>
      <c r="AB285" s="158"/>
      <c r="AC285" s="158"/>
      <c r="AD285" s="158"/>
      <c r="AE285" s="158"/>
      <c r="AF285" s="158"/>
      <c r="AG285" s="158"/>
      <c r="AH285" s="158"/>
      <c r="AI285" s="158"/>
    </row>
    <row r="286" spans="1:35" hidden="1">
      <c r="A286" s="23"/>
      <c r="B286" s="23"/>
      <c r="C286" s="23"/>
      <c r="D286" s="23"/>
      <c r="E286" s="158"/>
      <c r="F286" s="158"/>
      <c r="G286" s="158"/>
      <c r="H286" s="158"/>
      <c r="I286" s="158"/>
      <c r="J286" s="158"/>
      <c r="K286" s="158"/>
      <c r="L286" s="158"/>
      <c r="M286" s="158"/>
      <c r="N286" s="158"/>
      <c r="O286" s="158"/>
      <c r="P286" s="158"/>
      <c r="Q286" s="158"/>
      <c r="R286" s="158"/>
      <c r="S286" s="158"/>
      <c r="T286" s="158"/>
      <c r="U286" s="158"/>
      <c r="V286" s="158"/>
      <c r="W286" s="158"/>
      <c r="X286" s="158"/>
      <c r="Y286" s="158"/>
      <c r="Z286" s="158"/>
      <c r="AA286" s="158"/>
      <c r="AB286" s="158"/>
      <c r="AC286" s="158"/>
      <c r="AD286" s="158"/>
      <c r="AE286" s="158"/>
      <c r="AF286" s="158"/>
      <c r="AG286" s="158"/>
      <c r="AH286" s="158"/>
      <c r="AI286" s="158"/>
    </row>
    <row r="287" spans="1:35" hidden="1">
      <c r="A287" s="23"/>
      <c r="B287" s="23"/>
      <c r="C287" s="23"/>
      <c r="D287" s="23"/>
      <c r="E287" s="158"/>
      <c r="F287" s="158"/>
      <c r="G287" s="158"/>
      <c r="H287" s="158"/>
      <c r="I287" s="158"/>
      <c r="J287" s="158"/>
      <c r="K287" s="158"/>
      <c r="L287" s="158"/>
      <c r="M287" s="158"/>
      <c r="N287" s="158"/>
      <c r="O287" s="158"/>
      <c r="P287" s="158"/>
      <c r="Q287" s="158"/>
      <c r="R287" s="158"/>
      <c r="S287" s="158"/>
      <c r="T287" s="158"/>
      <c r="U287" s="158"/>
      <c r="V287" s="158"/>
      <c r="W287" s="158"/>
      <c r="X287" s="158"/>
      <c r="Y287" s="158"/>
      <c r="Z287" s="158"/>
      <c r="AA287" s="158"/>
      <c r="AB287" s="158"/>
      <c r="AC287" s="158"/>
      <c r="AD287" s="158"/>
      <c r="AE287" s="158"/>
      <c r="AF287" s="158"/>
      <c r="AG287" s="158"/>
      <c r="AH287" s="158"/>
      <c r="AI287" s="158"/>
    </row>
    <row r="288" spans="1:35" hidden="1">
      <c r="A288" s="23"/>
      <c r="B288" s="23"/>
      <c r="C288" s="23"/>
      <c r="D288" s="23"/>
      <c r="E288" s="158"/>
      <c r="F288" s="158"/>
      <c r="G288" s="158"/>
      <c r="H288" s="158"/>
      <c r="I288" s="158"/>
      <c r="J288" s="158"/>
      <c r="K288" s="158"/>
      <c r="L288" s="158"/>
      <c r="M288" s="158"/>
      <c r="N288" s="158"/>
      <c r="O288" s="158"/>
      <c r="P288" s="158"/>
      <c r="Q288" s="158"/>
      <c r="R288" s="158"/>
      <c r="S288" s="158"/>
      <c r="T288" s="158"/>
      <c r="U288" s="158"/>
      <c r="V288" s="158"/>
      <c r="W288" s="158"/>
      <c r="X288" s="158"/>
      <c r="Y288" s="158"/>
      <c r="Z288" s="158"/>
      <c r="AA288" s="158"/>
      <c r="AB288" s="158"/>
      <c r="AC288" s="158"/>
      <c r="AD288" s="158"/>
      <c r="AE288" s="158"/>
      <c r="AF288" s="158"/>
      <c r="AG288" s="158"/>
      <c r="AH288" s="158"/>
      <c r="AI288" s="158"/>
    </row>
    <row r="289" spans="1:35" hidden="1">
      <c r="A289" s="23"/>
      <c r="B289" s="23"/>
      <c r="C289" s="23"/>
      <c r="D289" s="23"/>
      <c r="E289" s="158"/>
      <c r="F289" s="158"/>
      <c r="G289" s="158"/>
      <c r="H289" s="158"/>
      <c r="I289" s="158"/>
      <c r="J289" s="158"/>
      <c r="K289" s="158"/>
      <c r="L289" s="158"/>
      <c r="M289" s="158"/>
      <c r="N289" s="158"/>
      <c r="O289" s="158"/>
      <c r="P289" s="158"/>
      <c r="Q289" s="158"/>
      <c r="R289" s="158"/>
      <c r="S289" s="158"/>
      <c r="T289" s="158"/>
      <c r="U289" s="158"/>
      <c r="V289" s="158"/>
      <c r="W289" s="158"/>
      <c r="X289" s="158"/>
      <c r="Y289" s="158"/>
      <c r="Z289" s="158"/>
      <c r="AA289" s="158"/>
      <c r="AB289" s="158"/>
      <c r="AC289" s="158"/>
      <c r="AD289" s="158"/>
      <c r="AE289" s="158"/>
      <c r="AF289" s="158"/>
      <c r="AG289" s="158"/>
      <c r="AH289" s="158"/>
      <c r="AI289" s="158"/>
    </row>
    <row r="290" spans="1:35" hidden="1">
      <c r="A290" s="23"/>
      <c r="B290" s="23"/>
      <c r="C290" s="23"/>
      <c r="D290" s="23"/>
      <c r="E290" s="158"/>
      <c r="F290" s="158"/>
      <c r="G290" s="158"/>
      <c r="H290" s="158"/>
      <c r="I290" s="158"/>
      <c r="J290" s="158"/>
      <c r="K290" s="158"/>
      <c r="L290" s="158"/>
      <c r="M290" s="158"/>
      <c r="N290" s="158"/>
      <c r="O290" s="158"/>
      <c r="P290" s="158"/>
      <c r="Q290" s="158"/>
      <c r="R290" s="158"/>
      <c r="S290" s="158"/>
      <c r="T290" s="158"/>
      <c r="U290" s="158"/>
      <c r="V290" s="158"/>
      <c r="W290" s="158"/>
      <c r="X290" s="158"/>
      <c r="Y290" s="158"/>
      <c r="Z290" s="158"/>
      <c r="AA290" s="158"/>
      <c r="AB290" s="158"/>
      <c r="AC290" s="158"/>
      <c r="AD290" s="158"/>
      <c r="AE290" s="158"/>
      <c r="AF290" s="158"/>
      <c r="AG290" s="158"/>
      <c r="AH290" s="158"/>
      <c r="AI290" s="158"/>
    </row>
    <row r="291" spans="1:35" hidden="1">
      <c r="A291" s="23"/>
      <c r="B291" s="23"/>
      <c r="C291" s="23"/>
      <c r="D291" s="23"/>
      <c r="E291" s="158"/>
      <c r="F291" s="158"/>
      <c r="G291" s="158"/>
      <c r="H291" s="158"/>
      <c r="I291" s="158"/>
      <c r="J291" s="158"/>
      <c r="K291" s="158"/>
      <c r="L291" s="158"/>
      <c r="M291" s="158"/>
      <c r="N291" s="158"/>
      <c r="O291" s="158"/>
      <c r="P291" s="158"/>
      <c r="Q291" s="158"/>
      <c r="R291" s="158"/>
      <c r="S291" s="158"/>
      <c r="T291" s="158"/>
      <c r="U291" s="158"/>
      <c r="V291" s="158"/>
      <c r="W291" s="158"/>
      <c r="X291" s="158"/>
      <c r="Y291" s="158"/>
      <c r="Z291" s="158"/>
      <c r="AA291" s="158"/>
      <c r="AB291" s="158"/>
      <c r="AC291" s="158"/>
      <c r="AD291" s="158"/>
      <c r="AE291" s="158"/>
      <c r="AF291" s="158"/>
      <c r="AG291" s="158"/>
      <c r="AH291" s="158"/>
      <c r="AI291" s="158"/>
    </row>
    <row r="292" spans="1:35" hidden="1">
      <c r="A292" s="23"/>
      <c r="B292" s="23"/>
      <c r="C292" s="23"/>
      <c r="D292" s="23"/>
      <c r="E292" s="158"/>
      <c r="F292" s="158"/>
      <c r="G292" s="158"/>
      <c r="H292" s="158"/>
      <c r="I292" s="158"/>
      <c r="J292" s="158"/>
      <c r="K292" s="158"/>
      <c r="L292" s="158"/>
      <c r="M292" s="158"/>
      <c r="N292" s="158"/>
      <c r="O292" s="158"/>
      <c r="P292" s="158"/>
      <c r="Q292" s="158"/>
      <c r="R292" s="158"/>
      <c r="S292" s="158"/>
      <c r="T292" s="158"/>
      <c r="U292" s="158"/>
      <c r="V292" s="158"/>
      <c r="W292" s="158"/>
      <c r="X292" s="158"/>
      <c r="Y292" s="158"/>
      <c r="Z292" s="158"/>
      <c r="AA292" s="158"/>
      <c r="AB292" s="158"/>
      <c r="AC292" s="158"/>
      <c r="AD292" s="158"/>
      <c r="AE292" s="158"/>
      <c r="AF292" s="158"/>
      <c r="AG292" s="158"/>
      <c r="AH292" s="158"/>
      <c r="AI292" s="158"/>
    </row>
    <row r="293" spans="1:35" hidden="1">
      <c r="A293" s="23"/>
      <c r="B293" s="23"/>
      <c r="C293" s="23"/>
      <c r="D293" s="23"/>
      <c r="E293" s="158"/>
      <c r="F293" s="158"/>
      <c r="G293" s="158"/>
      <c r="H293" s="158"/>
      <c r="I293" s="158"/>
      <c r="J293" s="158"/>
      <c r="K293" s="158"/>
      <c r="L293" s="158"/>
      <c r="M293" s="158"/>
      <c r="N293" s="158"/>
      <c r="O293" s="158"/>
      <c r="P293" s="158"/>
      <c r="Q293" s="158"/>
      <c r="R293" s="158"/>
      <c r="S293" s="158"/>
      <c r="T293" s="158"/>
      <c r="U293" s="158"/>
      <c r="V293" s="158"/>
      <c r="W293" s="158"/>
      <c r="X293" s="158"/>
      <c r="Y293" s="158"/>
      <c r="Z293" s="158"/>
      <c r="AA293" s="158"/>
      <c r="AB293" s="158"/>
      <c r="AC293" s="158"/>
      <c r="AD293" s="158"/>
      <c r="AE293" s="158"/>
      <c r="AF293" s="158"/>
      <c r="AG293" s="158"/>
      <c r="AH293" s="158"/>
      <c r="AI293" s="158"/>
    </row>
    <row r="294" spans="1:35" hidden="1">
      <c r="A294" s="23"/>
      <c r="B294" s="23"/>
      <c r="C294" s="23"/>
      <c r="D294" s="23"/>
      <c r="E294" s="158"/>
      <c r="F294" s="158"/>
      <c r="G294" s="158"/>
      <c r="H294" s="158"/>
      <c r="I294" s="158"/>
      <c r="J294" s="158"/>
      <c r="K294" s="158"/>
      <c r="L294" s="158"/>
      <c r="M294" s="158"/>
      <c r="N294" s="158"/>
      <c r="O294" s="158"/>
      <c r="P294" s="158"/>
      <c r="Q294" s="158"/>
      <c r="R294" s="158"/>
      <c r="S294" s="158"/>
      <c r="T294" s="158"/>
      <c r="U294" s="158"/>
      <c r="V294" s="158"/>
      <c r="W294" s="158"/>
      <c r="X294" s="158"/>
      <c r="Y294" s="158"/>
      <c r="Z294" s="158"/>
      <c r="AA294" s="158"/>
      <c r="AB294" s="158"/>
      <c r="AC294" s="158"/>
      <c r="AD294" s="158"/>
      <c r="AE294" s="158"/>
      <c r="AF294" s="158"/>
      <c r="AG294" s="158"/>
      <c r="AH294" s="158"/>
      <c r="AI294" s="158"/>
    </row>
    <row r="295" spans="1:35" hidden="1">
      <c r="A295" s="23"/>
      <c r="B295" s="23"/>
      <c r="C295" s="23"/>
      <c r="D295" s="23"/>
      <c r="E295" s="158"/>
      <c r="F295" s="158"/>
      <c r="G295" s="158"/>
      <c r="H295" s="158"/>
      <c r="I295" s="158"/>
      <c r="J295" s="158"/>
      <c r="K295" s="158"/>
      <c r="L295" s="158"/>
      <c r="M295" s="158"/>
      <c r="N295" s="158"/>
      <c r="O295" s="158"/>
      <c r="P295" s="158"/>
      <c r="Q295" s="158"/>
      <c r="R295" s="158"/>
      <c r="S295" s="158"/>
      <c r="T295" s="158"/>
      <c r="U295" s="158"/>
      <c r="V295" s="158"/>
      <c r="W295" s="158"/>
      <c r="X295" s="158"/>
      <c r="Y295" s="158"/>
      <c r="Z295" s="158"/>
      <c r="AA295" s="158"/>
      <c r="AB295" s="158"/>
      <c r="AC295" s="158"/>
      <c r="AD295" s="158"/>
      <c r="AE295" s="158"/>
      <c r="AF295" s="158"/>
      <c r="AG295" s="158"/>
      <c r="AH295" s="158"/>
      <c r="AI295" s="158"/>
    </row>
    <row r="296" spans="1:35" hidden="1">
      <c r="A296" s="23"/>
      <c r="B296" s="23"/>
      <c r="C296" s="23"/>
      <c r="D296" s="23"/>
      <c r="E296" s="158"/>
      <c r="F296" s="158"/>
      <c r="G296" s="158"/>
      <c r="H296" s="158"/>
      <c r="I296" s="158"/>
      <c r="J296" s="158"/>
      <c r="K296" s="158"/>
      <c r="L296" s="158"/>
      <c r="M296" s="158"/>
      <c r="N296" s="158"/>
      <c r="O296" s="158"/>
      <c r="P296" s="158"/>
      <c r="Q296" s="158"/>
      <c r="R296" s="158"/>
      <c r="S296" s="158"/>
      <c r="T296" s="158"/>
      <c r="U296" s="158"/>
      <c r="V296" s="158"/>
      <c r="W296" s="158"/>
      <c r="X296" s="158"/>
      <c r="Y296" s="158"/>
      <c r="Z296" s="158"/>
      <c r="AA296" s="158"/>
      <c r="AB296" s="158"/>
      <c r="AC296" s="158"/>
      <c r="AD296" s="158"/>
      <c r="AE296" s="158"/>
      <c r="AF296" s="158"/>
      <c r="AG296" s="158"/>
      <c r="AH296" s="158"/>
      <c r="AI296" s="158"/>
    </row>
    <row r="297" spans="1:35" hidden="1">
      <c r="A297" s="23"/>
      <c r="B297" s="23"/>
      <c r="C297" s="23"/>
      <c r="D297" s="23"/>
      <c r="E297" s="158"/>
      <c r="F297" s="158"/>
      <c r="G297" s="158"/>
      <c r="H297" s="158"/>
      <c r="I297" s="158"/>
      <c r="J297" s="158"/>
      <c r="K297" s="158"/>
      <c r="L297" s="158"/>
      <c r="M297" s="158"/>
      <c r="N297" s="158"/>
      <c r="O297" s="158"/>
      <c r="P297" s="158"/>
      <c r="Q297" s="158"/>
      <c r="R297" s="158"/>
      <c r="S297" s="158"/>
      <c r="T297" s="158"/>
      <c r="U297" s="158"/>
      <c r="V297" s="158"/>
      <c r="W297" s="158"/>
      <c r="X297" s="158"/>
      <c r="Y297" s="158"/>
      <c r="Z297" s="158"/>
      <c r="AA297" s="158"/>
      <c r="AB297" s="158"/>
      <c r="AC297" s="158"/>
      <c r="AD297" s="158"/>
      <c r="AE297" s="158"/>
      <c r="AF297" s="158"/>
      <c r="AG297" s="158"/>
      <c r="AH297" s="158"/>
      <c r="AI297" s="158"/>
    </row>
    <row r="298" spans="1:35" hidden="1">
      <c r="A298" s="23"/>
      <c r="B298" s="23"/>
      <c r="C298" s="23"/>
      <c r="D298" s="23"/>
      <c r="E298" s="158"/>
      <c r="F298" s="158"/>
      <c r="G298" s="158"/>
      <c r="H298" s="158"/>
      <c r="I298" s="158"/>
      <c r="J298" s="158"/>
      <c r="K298" s="158"/>
      <c r="L298" s="158"/>
      <c r="M298" s="158"/>
      <c r="N298" s="158"/>
      <c r="O298" s="158"/>
      <c r="P298" s="158"/>
      <c r="Q298" s="158"/>
      <c r="R298" s="158"/>
      <c r="S298" s="158"/>
      <c r="T298" s="158"/>
      <c r="U298" s="158"/>
      <c r="V298" s="158"/>
      <c r="W298" s="158"/>
      <c r="X298" s="158"/>
      <c r="Y298" s="158"/>
      <c r="Z298" s="158"/>
      <c r="AA298" s="158"/>
      <c r="AB298" s="158"/>
      <c r="AC298" s="158"/>
      <c r="AD298" s="158"/>
      <c r="AE298" s="158"/>
      <c r="AF298" s="158"/>
      <c r="AG298" s="158"/>
      <c r="AH298" s="158"/>
      <c r="AI298" s="158"/>
    </row>
    <row r="299" spans="1:35" hidden="1">
      <c r="A299" s="23"/>
      <c r="B299" s="23"/>
      <c r="C299" s="23"/>
      <c r="D299" s="23"/>
      <c r="E299" s="158"/>
      <c r="F299" s="158"/>
      <c r="G299" s="158"/>
      <c r="H299" s="158"/>
      <c r="I299" s="158"/>
      <c r="J299" s="158"/>
      <c r="K299" s="158"/>
      <c r="L299" s="158"/>
      <c r="M299" s="158"/>
      <c r="N299" s="158"/>
      <c r="O299" s="158"/>
      <c r="P299" s="158"/>
      <c r="Q299" s="158"/>
      <c r="R299" s="158"/>
      <c r="S299" s="158"/>
      <c r="T299" s="158"/>
      <c r="U299" s="158"/>
      <c r="V299" s="158"/>
      <c r="W299" s="158"/>
      <c r="X299" s="158"/>
      <c r="Y299" s="158"/>
      <c r="Z299" s="158"/>
      <c r="AA299" s="158"/>
      <c r="AB299" s="158"/>
      <c r="AC299" s="158"/>
      <c r="AD299" s="158"/>
      <c r="AE299" s="158"/>
      <c r="AF299" s="158"/>
      <c r="AG299" s="158"/>
      <c r="AH299" s="158"/>
      <c r="AI299" s="158"/>
    </row>
    <row r="300" spans="1:35" hidden="1">
      <c r="A300" s="23"/>
      <c r="B300" s="23"/>
      <c r="C300" s="23"/>
      <c r="D300" s="23"/>
      <c r="E300" s="158"/>
      <c r="F300" s="158"/>
      <c r="G300" s="158"/>
      <c r="H300" s="158"/>
      <c r="I300" s="158"/>
      <c r="J300" s="158"/>
      <c r="K300" s="158"/>
      <c r="L300" s="158"/>
      <c r="M300" s="158"/>
      <c r="N300" s="158"/>
      <c r="O300" s="158"/>
      <c r="P300" s="158"/>
      <c r="Q300" s="158"/>
      <c r="R300" s="158"/>
      <c r="S300" s="158"/>
      <c r="T300" s="158"/>
      <c r="U300" s="158"/>
      <c r="V300" s="158"/>
      <c r="W300" s="158"/>
      <c r="X300" s="158"/>
      <c r="Y300" s="158"/>
      <c r="Z300" s="158"/>
      <c r="AA300" s="158"/>
      <c r="AB300" s="158"/>
      <c r="AC300" s="158"/>
      <c r="AD300" s="158"/>
      <c r="AE300" s="158"/>
      <c r="AF300" s="158"/>
      <c r="AG300" s="158"/>
      <c r="AH300" s="158"/>
      <c r="AI300" s="158"/>
    </row>
    <row r="301" spans="1:35" hidden="1">
      <c r="A301" s="23"/>
      <c r="B301" s="23"/>
      <c r="C301" s="23"/>
      <c r="D301" s="23"/>
      <c r="E301" s="158"/>
      <c r="F301" s="158"/>
      <c r="G301" s="158"/>
      <c r="H301" s="158"/>
      <c r="I301" s="158"/>
      <c r="J301" s="158"/>
      <c r="K301" s="158"/>
      <c r="L301" s="158"/>
      <c r="M301" s="158"/>
      <c r="N301" s="158"/>
      <c r="O301" s="158"/>
      <c r="P301" s="158"/>
      <c r="Q301" s="158"/>
      <c r="R301" s="158"/>
      <c r="S301" s="158"/>
      <c r="T301" s="158"/>
      <c r="U301" s="158"/>
      <c r="V301" s="158"/>
      <c r="W301" s="158"/>
      <c r="X301" s="158"/>
      <c r="Y301" s="158"/>
      <c r="Z301" s="158"/>
      <c r="AA301" s="158"/>
      <c r="AB301" s="158"/>
      <c r="AC301" s="158"/>
      <c r="AD301" s="158"/>
      <c r="AE301" s="158"/>
      <c r="AF301" s="158"/>
      <c r="AG301" s="158"/>
      <c r="AH301" s="158"/>
      <c r="AI301" s="158"/>
    </row>
    <row r="302" spans="1:35" hidden="1">
      <c r="A302" s="23"/>
      <c r="B302" s="23"/>
      <c r="C302" s="23"/>
      <c r="D302" s="23"/>
      <c r="E302" s="158"/>
      <c r="F302" s="158"/>
      <c r="G302" s="158"/>
      <c r="H302" s="158"/>
      <c r="I302" s="158"/>
      <c r="J302" s="158"/>
      <c r="K302" s="158"/>
      <c r="L302" s="158"/>
      <c r="M302" s="158"/>
      <c r="N302" s="158"/>
      <c r="O302" s="158"/>
      <c r="P302" s="158"/>
      <c r="Q302" s="158"/>
      <c r="R302" s="158"/>
      <c r="S302" s="158"/>
      <c r="T302" s="158"/>
      <c r="U302" s="158"/>
      <c r="V302" s="158"/>
      <c r="W302" s="158"/>
      <c r="X302" s="158"/>
      <c r="Y302" s="158"/>
      <c r="Z302" s="158"/>
      <c r="AA302" s="158"/>
      <c r="AB302" s="158"/>
      <c r="AC302" s="158"/>
      <c r="AD302" s="158"/>
      <c r="AE302" s="158"/>
      <c r="AF302" s="158"/>
      <c r="AG302" s="158"/>
      <c r="AH302" s="158"/>
      <c r="AI302" s="158"/>
    </row>
    <row r="303" spans="1:35" hidden="1">
      <c r="A303" s="23"/>
      <c r="B303" s="23"/>
      <c r="C303" s="23"/>
      <c r="D303" s="23"/>
      <c r="E303" s="158"/>
      <c r="F303" s="158"/>
      <c r="G303" s="158"/>
      <c r="H303" s="158"/>
      <c r="I303" s="158"/>
      <c r="J303" s="158"/>
      <c r="K303" s="158"/>
      <c r="L303" s="158"/>
      <c r="M303" s="158"/>
      <c r="N303" s="158"/>
      <c r="O303" s="158"/>
      <c r="P303" s="158"/>
      <c r="Q303" s="158"/>
      <c r="R303" s="158"/>
      <c r="S303" s="158"/>
      <c r="T303" s="158"/>
      <c r="U303" s="158"/>
      <c r="V303" s="158"/>
      <c r="W303" s="158"/>
      <c r="X303" s="158"/>
      <c r="Y303" s="158"/>
      <c r="Z303" s="158"/>
      <c r="AA303" s="158"/>
      <c r="AB303" s="158"/>
      <c r="AC303" s="158"/>
      <c r="AD303" s="158"/>
      <c r="AE303" s="158"/>
      <c r="AF303" s="158"/>
      <c r="AG303" s="158"/>
      <c r="AH303" s="158"/>
      <c r="AI303" s="158"/>
    </row>
    <row r="304" spans="1:35" hidden="1">
      <c r="A304" s="23"/>
      <c r="B304" s="23"/>
      <c r="C304" s="23"/>
      <c r="D304" s="23"/>
      <c r="E304" s="158"/>
      <c r="F304" s="158"/>
      <c r="G304" s="158"/>
      <c r="H304" s="158"/>
      <c r="I304" s="158"/>
      <c r="J304" s="158"/>
      <c r="K304" s="158"/>
      <c r="L304" s="158"/>
      <c r="M304" s="158"/>
      <c r="N304" s="158"/>
      <c r="O304" s="158"/>
      <c r="P304" s="158"/>
      <c r="Q304" s="158"/>
      <c r="R304" s="158"/>
      <c r="S304" s="158"/>
      <c r="T304" s="158"/>
      <c r="U304" s="158"/>
      <c r="V304" s="158"/>
      <c r="W304" s="158"/>
      <c r="X304" s="158"/>
      <c r="Y304" s="158"/>
      <c r="Z304" s="158"/>
      <c r="AA304" s="158"/>
      <c r="AB304" s="158"/>
      <c r="AC304" s="158"/>
      <c r="AD304" s="158"/>
      <c r="AE304" s="158"/>
      <c r="AF304" s="158"/>
      <c r="AG304" s="158"/>
      <c r="AH304" s="158"/>
      <c r="AI304" s="158"/>
    </row>
    <row r="305" spans="1:35" hidden="1">
      <c r="A305" s="23"/>
      <c r="B305" s="23"/>
      <c r="C305" s="23"/>
      <c r="D305" s="23"/>
      <c r="E305" s="158"/>
      <c r="F305" s="158"/>
      <c r="G305" s="158"/>
      <c r="H305" s="158"/>
      <c r="I305" s="158"/>
      <c r="J305" s="158"/>
      <c r="K305" s="158"/>
      <c r="L305" s="158"/>
      <c r="M305" s="158"/>
      <c r="N305" s="158"/>
      <c r="O305" s="158"/>
      <c r="P305" s="158"/>
      <c r="Q305" s="158"/>
      <c r="R305" s="158"/>
      <c r="S305" s="158"/>
      <c r="T305" s="158"/>
      <c r="U305" s="158"/>
      <c r="V305" s="158"/>
      <c r="W305" s="158"/>
      <c r="X305" s="158"/>
      <c r="Y305" s="158"/>
      <c r="Z305" s="158"/>
      <c r="AA305" s="158"/>
      <c r="AB305" s="158"/>
      <c r="AC305" s="158"/>
      <c r="AD305" s="158"/>
      <c r="AE305" s="158"/>
      <c r="AF305" s="158"/>
      <c r="AG305" s="158"/>
      <c r="AH305" s="158"/>
      <c r="AI305" s="158"/>
    </row>
    <row r="306" spans="1:35" hidden="1">
      <c r="A306" s="23"/>
      <c r="B306" s="23"/>
      <c r="C306" s="23"/>
      <c r="D306" s="23"/>
      <c r="E306" s="158"/>
      <c r="F306" s="158"/>
      <c r="G306" s="158"/>
      <c r="H306" s="158"/>
      <c r="I306" s="158"/>
      <c r="J306" s="158"/>
      <c r="K306" s="158"/>
      <c r="L306" s="158"/>
      <c r="M306" s="158"/>
      <c r="N306" s="158"/>
      <c r="O306" s="158"/>
      <c r="P306" s="158"/>
      <c r="Q306" s="158"/>
      <c r="R306" s="158"/>
      <c r="S306" s="158"/>
      <c r="T306" s="158"/>
      <c r="U306" s="158"/>
      <c r="V306" s="158"/>
      <c r="W306" s="158"/>
      <c r="X306" s="158"/>
      <c r="Y306" s="158"/>
      <c r="Z306" s="158"/>
      <c r="AA306" s="158"/>
      <c r="AB306" s="158"/>
      <c r="AC306" s="158"/>
      <c r="AD306" s="158"/>
      <c r="AE306" s="158"/>
      <c r="AF306" s="158"/>
      <c r="AG306" s="158"/>
      <c r="AH306" s="158"/>
      <c r="AI306" s="158"/>
    </row>
    <row r="307" spans="1:35" hidden="1">
      <c r="A307" s="23"/>
      <c r="B307" s="23"/>
      <c r="C307" s="23"/>
      <c r="D307" s="23"/>
      <c r="E307" s="158"/>
      <c r="F307" s="158"/>
      <c r="G307" s="158"/>
      <c r="H307" s="158"/>
      <c r="I307" s="158"/>
      <c r="J307" s="158"/>
      <c r="K307" s="158"/>
      <c r="L307" s="158"/>
      <c r="M307" s="158"/>
      <c r="N307" s="158"/>
      <c r="O307" s="158"/>
      <c r="P307" s="158"/>
      <c r="Q307" s="158"/>
      <c r="R307" s="158"/>
      <c r="S307" s="158"/>
      <c r="T307" s="158"/>
      <c r="U307" s="158"/>
      <c r="V307" s="158"/>
      <c r="W307" s="158"/>
      <c r="X307" s="158"/>
      <c r="Y307" s="158"/>
      <c r="Z307" s="158"/>
      <c r="AA307" s="158"/>
      <c r="AB307" s="158"/>
      <c r="AC307" s="158"/>
      <c r="AD307" s="158"/>
      <c r="AE307" s="158"/>
      <c r="AF307" s="158"/>
      <c r="AG307" s="158"/>
      <c r="AH307" s="158"/>
      <c r="AI307" s="158"/>
    </row>
    <row r="308" spans="1:35" hidden="1">
      <c r="A308" s="23"/>
      <c r="B308" s="23"/>
      <c r="C308" s="23"/>
      <c r="D308" s="23"/>
      <c r="E308" s="158"/>
      <c r="F308" s="158"/>
      <c r="G308" s="158"/>
      <c r="H308" s="158"/>
      <c r="I308" s="158"/>
      <c r="J308" s="158"/>
      <c r="K308" s="158"/>
      <c r="L308" s="158"/>
      <c r="M308" s="158"/>
      <c r="N308" s="158"/>
      <c r="O308" s="158"/>
      <c r="P308" s="158"/>
      <c r="Q308" s="158"/>
      <c r="R308" s="158"/>
      <c r="S308" s="158"/>
      <c r="T308" s="158"/>
      <c r="U308" s="158"/>
      <c r="V308" s="158"/>
      <c r="W308" s="158"/>
      <c r="X308" s="158"/>
      <c r="Y308" s="158"/>
      <c r="Z308" s="158"/>
      <c r="AA308" s="158"/>
      <c r="AB308" s="158"/>
      <c r="AC308" s="158"/>
      <c r="AD308" s="158"/>
      <c r="AE308" s="158"/>
      <c r="AF308" s="158"/>
      <c r="AG308" s="158"/>
      <c r="AH308" s="158"/>
      <c r="AI308" s="158"/>
    </row>
    <row r="309" spans="1:35" hidden="1">
      <c r="A309" s="23"/>
      <c r="B309" s="23"/>
      <c r="C309" s="23"/>
      <c r="D309" s="23"/>
      <c r="E309" s="158"/>
      <c r="F309" s="158"/>
      <c r="G309" s="158"/>
      <c r="H309" s="158"/>
      <c r="I309" s="158"/>
      <c r="J309" s="158"/>
      <c r="K309" s="158"/>
      <c r="L309" s="158"/>
      <c r="M309" s="158"/>
      <c r="N309" s="158"/>
      <c r="O309" s="158"/>
      <c r="P309" s="158"/>
      <c r="Q309" s="158"/>
      <c r="R309" s="158"/>
      <c r="S309" s="158"/>
      <c r="T309" s="158"/>
      <c r="U309" s="158"/>
      <c r="V309" s="158"/>
      <c r="W309" s="158"/>
      <c r="X309" s="158"/>
      <c r="Y309" s="158"/>
      <c r="Z309" s="158"/>
      <c r="AA309" s="158"/>
      <c r="AB309" s="158"/>
      <c r="AC309" s="158"/>
      <c r="AD309" s="158"/>
      <c r="AE309" s="158"/>
      <c r="AF309" s="158"/>
      <c r="AG309" s="158"/>
      <c r="AH309" s="158"/>
      <c r="AI309" s="158"/>
    </row>
    <row r="310" spans="1:35" hidden="1">
      <c r="A310" s="23"/>
      <c r="B310" s="23"/>
      <c r="C310" s="23"/>
      <c r="D310" s="23"/>
      <c r="E310" s="158"/>
      <c r="F310" s="158"/>
      <c r="G310" s="158"/>
      <c r="H310" s="158"/>
      <c r="I310" s="158"/>
      <c r="J310" s="158"/>
      <c r="K310" s="158"/>
      <c r="L310" s="158"/>
      <c r="M310" s="158"/>
      <c r="N310" s="158"/>
      <c r="O310" s="158"/>
      <c r="P310" s="158"/>
      <c r="Q310" s="158"/>
      <c r="R310" s="158"/>
      <c r="S310" s="158"/>
      <c r="T310" s="158"/>
      <c r="U310" s="158"/>
      <c r="V310" s="158"/>
      <c r="W310" s="158"/>
      <c r="X310" s="158"/>
      <c r="Y310" s="158"/>
      <c r="Z310" s="158"/>
      <c r="AA310" s="158"/>
      <c r="AB310" s="158"/>
      <c r="AC310" s="158"/>
      <c r="AD310" s="158"/>
      <c r="AE310" s="158"/>
      <c r="AF310" s="158"/>
      <c r="AG310" s="158"/>
      <c r="AH310" s="158"/>
      <c r="AI310" s="158"/>
    </row>
    <row r="311" spans="1:35" hidden="1">
      <c r="A311" s="23"/>
      <c r="B311" s="23"/>
      <c r="C311" s="23"/>
      <c r="D311" s="23"/>
      <c r="E311" s="158"/>
      <c r="F311" s="158"/>
      <c r="G311" s="158"/>
      <c r="H311" s="158"/>
      <c r="I311" s="158"/>
      <c r="J311" s="158"/>
      <c r="K311" s="158"/>
      <c r="L311" s="158"/>
      <c r="M311" s="158"/>
      <c r="N311" s="158"/>
      <c r="O311" s="158"/>
      <c r="P311" s="158"/>
      <c r="Q311" s="158"/>
      <c r="R311" s="158"/>
      <c r="S311" s="158"/>
      <c r="T311" s="158"/>
      <c r="U311" s="158"/>
      <c r="V311" s="158"/>
      <c r="W311" s="158"/>
      <c r="X311" s="158"/>
      <c r="Y311" s="158"/>
      <c r="Z311" s="158"/>
      <c r="AA311" s="158"/>
      <c r="AB311" s="158"/>
      <c r="AC311" s="158"/>
      <c r="AD311" s="158"/>
      <c r="AE311" s="158"/>
      <c r="AF311" s="158"/>
      <c r="AG311" s="158"/>
      <c r="AH311" s="158"/>
      <c r="AI311" s="158"/>
    </row>
    <row r="312" spans="1:35" hidden="1">
      <c r="A312" s="23"/>
      <c r="B312" s="23"/>
      <c r="C312" s="23"/>
      <c r="D312" s="23"/>
      <c r="E312" s="158"/>
      <c r="F312" s="158"/>
      <c r="G312" s="158"/>
      <c r="H312" s="158"/>
      <c r="I312" s="158"/>
      <c r="J312" s="158"/>
      <c r="K312" s="158"/>
      <c r="L312" s="158"/>
      <c r="M312" s="158"/>
      <c r="N312" s="158"/>
      <c r="O312" s="158"/>
      <c r="P312" s="158"/>
      <c r="Q312" s="158"/>
      <c r="R312" s="158"/>
      <c r="S312" s="158"/>
      <c r="T312" s="158"/>
      <c r="U312" s="158"/>
      <c r="V312" s="158"/>
      <c r="W312" s="158"/>
      <c r="X312" s="158"/>
      <c r="Y312" s="158"/>
      <c r="Z312" s="158"/>
      <c r="AA312" s="158"/>
      <c r="AB312" s="158"/>
      <c r="AC312" s="158"/>
      <c r="AD312" s="158"/>
      <c r="AE312" s="158"/>
      <c r="AF312" s="158"/>
      <c r="AG312" s="158"/>
      <c r="AH312" s="158"/>
      <c r="AI312" s="158"/>
    </row>
    <row r="313" spans="1:35" hidden="1">
      <c r="A313" s="23"/>
      <c r="B313" s="23"/>
      <c r="C313" s="23"/>
      <c r="D313" s="23"/>
      <c r="E313" s="158"/>
      <c r="F313" s="158"/>
      <c r="G313" s="158"/>
      <c r="H313" s="158"/>
      <c r="I313" s="158"/>
      <c r="J313" s="158"/>
      <c r="K313" s="158"/>
      <c r="L313" s="158"/>
      <c r="M313" s="158"/>
      <c r="N313" s="158"/>
      <c r="O313" s="158"/>
      <c r="P313" s="158"/>
      <c r="Q313" s="158"/>
      <c r="R313" s="158"/>
      <c r="S313" s="158"/>
      <c r="T313" s="158"/>
      <c r="U313" s="158"/>
      <c r="V313" s="158"/>
      <c r="W313" s="158"/>
      <c r="X313" s="158"/>
      <c r="Y313" s="158"/>
      <c r="Z313" s="158"/>
      <c r="AA313" s="158"/>
      <c r="AB313" s="158"/>
      <c r="AC313" s="158"/>
      <c r="AD313" s="158"/>
      <c r="AE313" s="158"/>
      <c r="AF313" s="158"/>
      <c r="AG313" s="158"/>
      <c r="AH313" s="158"/>
      <c r="AI313" s="158"/>
    </row>
    <row r="314" spans="1:35" hidden="1">
      <c r="A314" s="23"/>
      <c r="B314" s="23"/>
      <c r="C314" s="23"/>
      <c r="D314" s="23"/>
      <c r="E314" s="158"/>
      <c r="F314" s="158"/>
      <c r="G314" s="158"/>
      <c r="H314" s="158"/>
      <c r="I314" s="158"/>
      <c r="J314" s="158"/>
      <c r="K314" s="158"/>
      <c r="L314" s="158"/>
      <c r="M314" s="158"/>
      <c r="N314" s="158"/>
      <c r="O314" s="158"/>
      <c r="P314" s="158"/>
      <c r="Q314" s="158"/>
      <c r="R314" s="158"/>
      <c r="S314" s="158"/>
      <c r="T314" s="158"/>
      <c r="U314" s="158"/>
      <c r="V314" s="158"/>
      <c r="W314" s="158"/>
      <c r="X314" s="158"/>
      <c r="Y314" s="158"/>
      <c r="Z314" s="158"/>
      <c r="AA314" s="158"/>
      <c r="AB314" s="158"/>
      <c r="AC314" s="158"/>
      <c r="AD314" s="158"/>
      <c r="AE314" s="158"/>
      <c r="AF314" s="158"/>
      <c r="AG314" s="158"/>
      <c r="AH314" s="158"/>
      <c r="AI314" s="158"/>
    </row>
    <row r="315" spans="1:35" hidden="1">
      <c r="A315" s="23"/>
      <c r="B315" s="23"/>
      <c r="C315" s="23"/>
      <c r="D315" s="23"/>
      <c r="E315" s="158"/>
      <c r="F315" s="158"/>
      <c r="G315" s="158"/>
      <c r="H315" s="158"/>
      <c r="I315" s="158"/>
      <c r="J315" s="158"/>
      <c r="K315" s="158"/>
      <c r="L315" s="158"/>
      <c r="M315" s="158"/>
      <c r="N315" s="158"/>
      <c r="O315" s="158"/>
      <c r="P315" s="158"/>
      <c r="Q315" s="158"/>
      <c r="R315" s="158"/>
      <c r="S315" s="158"/>
      <c r="T315" s="158"/>
      <c r="U315" s="158"/>
      <c r="V315" s="158"/>
      <c r="W315" s="158"/>
      <c r="X315" s="158"/>
      <c r="Y315" s="158"/>
      <c r="Z315" s="158"/>
      <c r="AA315" s="158"/>
      <c r="AB315" s="158"/>
      <c r="AC315" s="158"/>
      <c r="AD315" s="158"/>
      <c r="AE315" s="158"/>
      <c r="AF315" s="158"/>
      <c r="AG315" s="158"/>
      <c r="AH315" s="158"/>
      <c r="AI315" s="158"/>
    </row>
    <row r="316" spans="1:35" hidden="1">
      <c r="A316" s="23"/>
      <c r="B316" s="23"/>
      <c r="C316" s="23"/>
      <c r="D316" s="23"/>
      <c r="E316" s="158"/>
      <c r="F316" s="158"/>
      <c r="G316" s="158"/>
      <c r="H316" s="158"/>
      <c r="I316" s="158"/>
      <c r="J316" s="158"/>
      <c r="K316" s="158"/>
      <c r="L316" s="158"/>
      <c r="M316" s="158"/>
      <c r="N316" s="158"/>
      <c r="O316" s="158"/>
      <c r="P316" s="158"/>
      <c r="Q316" s="158"/>
      <c r="R316" s="158"/>
      <c r="S316" s="158"/>
      <c r="T316" s="158"/>
      <c r="U316" s="158"/>
      <c r="V316" s="158"/>
      <c r="W316" s="158"/>
      <c r="X316" s="158"/>
      <c r="Y316" s="158"/>
      <c r="Z316" s="158"/>
      <c r="AA316" s="158"/>
      <c r="AB316" s="158"/>
      <c r="AC316" s="158"/>
      <c r="AD316" s="158"/>
      <c r="AE316" s="158"/>
      <c r="AF316" s="158"/>
      <c r="AG316" s="158"/>
      <c r="AH316" s="158"/>
      <c r="AI316" s="158"/>
    </row>
    <row r="317" spans="1:35" hidden="1">
      <c r="A317" s="23"/>
      <c r="B317" s="23"/>
      <c r="C317" s="23"/>
      <c r="D317" s="23"/>
      <c r="E317" s="158"/>
      <c r="F317" s="158"/>
      <c r="G317" s="158"/>
      <c r="H317" s="158"/>
      <c r="I317" s="158"/>
      <c r="J317" s="158"/>
      <c r="K317" s="158"/>
      <c r="L317" s="158"/>
      <c r="M317" s="158"/>
      <c r="N317" s="158"/>
      <c r="O317" s="158"/>
      <c r="P317" s="158"/>
      <c r="Q317" s="158"/>
      <c r="R317" s="158"/>
      <c r="S317" s="158"/>
      <c r="T317" s="158"/>
      <c r="U317" s="158"/>
      <c r="V317" s="158"/>
      <c r="W317" s="158"/>
      <c r="X317" s="158"/>
      <c r="Y317" s="158"/>
      <c r="Z317" s="158"/>
      <c r="AA317" s="158"/>
      <c r="AB317" s="158"/>
      <c r="AC317" s="158"/>
      <c r="AD317" s="158"/>
      <c r="AE317" s="158"/>
      <c r="AF317" s="158"/>
      <c r="AG317" s="158"/>
      <c r="AH317" s="158"/>
      <c r="AI317" s="158"/>
    </row>
    <row r="318" spans="1:35" hidden="1">
      <c r="A318" s="23"/>
      <c r="B318" s="23"/>
      <c r="C318" s="23"/>
      <c r="D318" s="23"/>
      <c r="E318" s="158"/>
      <c r="F318" s="158"/>
      <c r="G318" s="158"/>
      <c r="H318" s="158"/>
      <c r="I318" s="158"/>
      <c r="J318" s="158"/>
      <c r="K318" s="158"/>
      <c r="L318" s="158"/>
      <c r="M318" s="158"/>
      <c r="N318" s="158"/>
      <c r="O318" s="158"/>
      <c r="P318" s="158"/>
      <c r="Q318" s="158"/>
      <c r="R318" s="158"/>
      <c r="S318" s="158"/>
      <c r="T318" s="158"/>
      <c r="U318" s="158"/>
      <c r="V318" s="158"/>
      <c r="W318" s="158"/>
      <c r="X318" s="158"/>
      <c r="Y318" s="158"/>
      <c r="Z318" s="158"/>
      <c r="AA318" s="158"/>
      <c r="AB318" s="158"/>
      <c r="AC318" s="158"/>
      <c r="AD318" s="158"/>
      <c r="AE318" s="158"/>
      <c r="AF318" s="158"/>
      <c r="AG318" s="158"/>
      <c r="AH318" s="158"/>
      <c r="AI318" s="158"/>
    </row>
    <row r="319" spans="1:35" hidden="1">
      <c r="A319" s="23"/>
      <c r="B319" s="23"/>
      <c r="C319" s="23"/>
      <c r="D319" s="23"/>
      <c r="E319" s="158"/>
      <c r="F319" s="158"/>
      <c r="G319" s="158"/>
      <c r="H319" s="158"/>
      <c r="I319" s="158"/>
      <c r="J319" s="158"/>
      <c r="K319" s="158"/>
      <c r="L319" s="158"/>
      <c r="M319" s="158"/>
      <c r="N319" s="158"/>
      <c r="O319" s="158"/>
      <c r="P319" s="158"/>
      <c r="Q319" s="158"/>
      <c r="R319" s="158"/>
      <c r="S319" s="158"/>
      <c r="T319" s="158"/>
      <c r="U319" s="158"/>
      <c r="V319" s="158"/>
      <c r="W319" s="158"/>
      <c r="X319" s="158"/>
      <c r="Y319" s="158"/>
      <c r="Z319" s="158"/>
      <c r="AA319" s="158"/>
      <c r="AB319" s="158"/>
      <c r="AC319" s="158"/>
      <c r="AD319" s="158"/>
      <c r="AE319" s="158"/>
      <c r="AF319" s="158"/>
      <c r="AG319" s="158"/>
      <c r="AH319" s="158"/>
      <c r="AI319" s="158"/>
    </row>
    <row r="320" spans="1:35" hidden="1">
      <c r="A320" s="23"/>
      <c r="B320" s="23"/>
      <c r="C320" s="23"/>
      <c r="D320" s="23"/>
      <c r="E320" s="158"/>
      <c r="F320" s="158"/>
      <c r="G320" s="158"/>
      <c r="H320" s="158"/>
      <c r="I320" s="158"/>
      <c r="J320" s="158"/>
      <c r="K320" s="158"/>
      <c r="L320" s="158"/>
      <c r="M320" s="158"/>
      <c r="N320" s="158"/>
      <c r="O320" s="158"/>
      <c r="P320" s="158"/>
      <c r="Q320" s="158"/>
      <c r="R320" s="158"/>
      <c r="S320" s="158"/>
      <c r="T320" s="158"/>
      <c r="U320" s="158"/>
      <c r="V320" s="158"/>
      <c r="W320" s="158"/>
      <c r="X320" s="158"/>
      <c r="Y320" s="158"/>
      <c r="Z320" s="158"/>
      <c r="AA320" s="158"/>
      <c r="AB320" s="158"/>
      <c r="AC320" s="158"/>
      <c r="AD320" s="158"/>
      <c r="AE320" s="158"/>
      <c r="AF320" s="158"/>
      <c r="AG320" s="158"/>
      <c r="AH320" s="158"/>
      <c r="AI320" s="158"/>
    </row>
    <row r="321" spans="1:35" hidden="1">
      <c r="A321" s="23"/>
      <c r="B321" s="23"/>
      <c r="C321" s="23"/>
      <c r="D321" s="23"/>
      <c r="E321" s="158"/>
      <c r="F321" s="158"/>
      <c r="G321" s="158"/>
      <c r="H321" s="158"/>
      <c r="I321" s="158"/>
      <c r="J321" s="158"/>
      <c r="K321" s="158"/>
      <c r="L321" s="158"/>
      <c r="M321" s="158"/>
      <c r="N321" s="158"/>
      <c r="O321" s="158"/>
      <c r="P321" s="158"/>
      <c r="Q321" s="158"/>
      <c r="R321" s="158"/>
      <c r="S321" s="158"/>
      <c r="T321" s="158"/>
      <c r="U321" s="158"/>
      <c r="V321" s="158"/>
      <c r="W321" s="158"/>
      <c r="X321" s="158"/>
      <c r="Y321" s="158"/>
      <c r="Z321" s="158"/>
      <c r="AA321" s="158"/>
      <c r="AB321" s="158"/>
      <c r="AC321" s="158"/>
      <c r="AD321" s="158"/>
      <c r="AE321" s="158"/>
      <c r="AF321" s="158"/>
      <c r="AG321" s="158"/>
      <c r="AH321" s="158"/>
      <c r="AI321" s="158"/>
    </row>
    <row r="322" spans="1:35" hidden="1">
      <c r="A322" s="23"/>
      <c r="B322" s="23"/>
      <c r="C322" s="23"/>
      <c r="D322" s="23"/>
      <c r="E322" s="158"/>
      <c r="F322" s="158"/>
      <c r="G322" s="158"/>
      <c r="H322" s="158"/>
      <c r="I322" s="158"/>
      <c r="J322" s="158"/>
      <c r="K322" s="158"/>
      <c r="L322" s="158"/>
      <c r="M322" s="158"/>
      <c r="N322" s="158"/>
      <c r="O322" s="158"/>
      <c r="P322" s="158"/>
      <c r="Q322" s="158"/>
      <c r="R322" s="158"/>
      <c r="S322" s="158"/>
      <c r="T322" s="158"/>
      <c r="U322" s="158"/>
      <c r="V322" s="158"/>
      <c r="W322" s="158"/>
      <c r="X322" s="158"/>
      <c r="Y322" s="158"/>
      <c r="Z322" s="158"/>
      <c r="AA322" s="158"/>
      <c r="AB322" s="158"/>
      <c r="AC322" s="158"/>
      <c r="AD322" s="158"/>
      <c r="AE322" s="158"/>
      <c r="AF322" s="158"/>
      <c r="AG322" s="158"/>
      <c r="AH322" s="158"/>
      <c r="AI322" s="158"/>
    </row>
    <row r="323" spans="1:35" hidden="1">
      <c r="A323" s="23"/>
      <c r="B323" s="23"/>
      <c r="C323" s="23"/>
      <c r="D323" s="23"/>
      <c r="E323" s="158"/>
      <c r="F323" s="158"/>
      <c r="G323" s="158"/>
      <c r="H323" s="158"/>
      <c r="I323" s="158"/>
      <c r="J323" s="158"/>
      <c r="K323" s="158"/>
      <c r="L323" s="158"/>
      <c r="M323" s="158"/>
      <c r="N323" s="158"/>
      <c r="O323" s="158"/>
      <c r="P323" s="158"/>
      <c r="Q323" s="158"/>
      <c r="R323" s="158"/>
      <c r="S323" s="158"/>
      <c r="T323" s="158"/>
      <c r="U323" s="158"/>
      <c r="V323" s="158"/>
      <c r="W323" s="158"/>
      <c r="X323" s="158"/>
      <c r="Y323" s="158"/>
      <c r="Z323" s="158"/>
      <c r="AA323" s="158"/>
      <c r="AB323" s="158"/>
      <c r="AC323" s="158"/>
      <c r="AD323" s="158"/>
      <c r="AE323" s="158"/>
      <c r="AF323" s="158"/>
      <c r="AG323" s="158"/>
      <c r="AH323" s="158"/>
      <c r="AI323" s="158"/>
    </row>
    <row r="324" spans="1:35" hidden="1">
      <c r="A324" s="23"/>
      <c r="B324" s="23"/>
      <c r="C324" s="23"/>
      <c r="D324" s="23"/>
      <c r="E324" s="158"/>
      <c r="F324" s="158"/>
      <c r="G324" s="158"/>
      <c r="H324" s="158"/>
      <c r="I324" s="158"/>
      <c r="J324" s="158"/>
      <c r="K324" s="158"/>
      <c r="L324" s="158"/>
      <c r="M324" s="158"/>
      <c r="N324" s="158"/>
      <c r="O324" s="158"/>
      <c r="P324" s="158"/>
      <c r="Q324" s="158"/>
      <c r="R324" s="158"/>
      <c r="S324" s="158"/>
      <c r="T324" s="158"/>
      <c r="U324" s="158"/>
      <c r="V324" s="158"/>
      <c r="W324" s="158"/>
      <c r="X324" s="158"/>
      <c r="Y324" s="158"/>
      <c r="Z324" s="158"/>
      <c r="AA324" s="158"/>
      <c r="AB324" s="158"/>
      <c r="AC324" s="158"/>
      <c r="AD324" s="158"/>
      <c r="AE324" s="158"/>
      <c r="AF324" s="158"/>
      <c r="AG324" s="158"/>
      <c r="AH324" s="158"/>
      <c r="AI324" s="158"/>
    </row>
    <row r="325" spans="1:35" hidden="1">
      <c r="A325" s="23"/>
      <c r="B325" s="23"/>
      <c r="C325" s="23"/>
      <c r="D325" s="23"/>
      <c r="E325" s="158"/>
      <c r="F325" s="158"/>
      <c r="G325" s="158"/>
      <c r="H325" s="158"/>
      <c r="I325" s="158"/>
      <c r="J325" s="158"/>
      <c r="K325" s="158"/>
      <c r="L325" s="158"/>
      <c r="M325" s="158"/>
      <c r="N325" s="158"/>
      <c r="O325" s="158"/>
      <c r="P325" s="158"/>
      <c r="Q325" s="158"/>
      <c r="R325" s="158"/>
      <c r="S325" s="158"/>
      <c r="T325" s="158"/>
      <c r="U325" s="158"/>
      <c r="V325" s="158"/>
      <c r="W325" s="158"/>
      <c r="X325" s="158"/>
      <c r="Y325" s="158"/>
      <c r="Z325" s="158"/>
      <c r="AA325" s="158"/>
      <c r="AB325" s="158"/>
      <c r="AC325" s="158"/>
      <c r="AD325" s="158"/>
      <c r="AE325" s="158"/>
      <c r="AF325" s="158"/>
      <c r="AG325" s="158"/>
      <c r="AH325" s="158"/>
      <c r="AI325" s="158"/>
    </row>
    <row r="326" spans="1:35" hidden="1">
      <c r="A326" s="23"/>
      <c r="B326" s="23"/>
      <c r="C326" s="23"/>
      <c r="D326" s="23"/>
      <c r="E326" s="158"/>
      <c r="F326" s="158"/>
      <c r="G326" s="158"/>
      <c r="H326" s="158"/>
      <c r="I326" s="158"/>
      <c r="J326" s="158"/>
      <c r="K326" s="158"/>
      <c r="L326" s="158"/>
      <c r="M326" s="158"/>
      <c r="N326" s="158"/>
      <c r="O326" s="158"/>
      <c r="P326" s="158"/>
      <c r="Q326" s="158"/>
      <c r="R326" s="158"/>
      <c r="S326" s="158"/>
      <c r="T326" s="158"/>
      <c r="U326" s="158"/>
      <c r="V326" s="158"/>
      <c r="W326" s="158"/>
      <c r="X326" s="158"/>
      <c r="Y326" s="158"/>
      <c r="Z326" s="158"/>
      <c r="AA326" s="158"/>
      <c r="AB326" s="158"/>
      <c r="AC326" s="158"/>
      <c r="AD326" s="158"/>
      <c r="AE326" s="158"/>
      <c r="AF326" s="158"/>
      <c r="AG326" s="158"/>
      <c r="AH326" s="158"/>
      <c r="AI326" s="158"/>
    </row>
    <row r="327" spans="1:35" hidden="1">
      <c r="A327" s="23"/>
      <c r="B327" s="23"/>
      <c r="C327" s="23"/>
      <c r="D327" s="23"/>
      <c r="E327" s="158"/>
      <c r="F327" s="158"/>
      <c r="G327" s="158"/>
      <c r="H327" s="158"/>
      <c r="I327" s="158"/>
      <c r="J327" s="158"/>
      <c r="K327" s="158"/>
      <c r="L327" s="158"/>
      <c r="M327" s="158"/>
      <c r="N327" s="158"/>
      <c r="O327" s="158"/>
      <c r="P327" s="158"/>
      <c r="Q327" s="158"/>
      <c r="R327" s="158"/>
      <c r="S327" s="158"/>
      <c r="T327" s="158"/>
      <c r="U327" s="158"/>
      <c r="V327" s="158"/>
      <c r="W327" s="158"/>
      <c r="X327" s="158"/>
      <c r="Y327" s="158"/>
      <c r="Z327" s="158"/>
      <c r="AA327" s="158"/>
      <c r="AB327" s="158"/>
      <c r="AC327" s="158"/>
      <c r="AD327" s="158"/>
      <c r="AE327" s="158"/>
      <c r="AF327" s="158"/>
      <c r="AG327" s="158"/>
      <c r="AH327" s="158"/>
      <c r="AI327" s="158"/>
    </row>
    <row r="328" spans="1:35" hidden="1">
      <c r="A328" s="23"/>
      <c r="B328" s="23"/>
      <c r="C328" s="23"/>
      <c r="D328" s="23"/>
      <c r="E328" s="158"/>
      <c r="F328" s="158"/>
      <c r="G328" s="158"/>
      <c r="H328" s="158"/>
      <c r="I328" s="158"/>
      <c r="J328" s="158"/>
      <c r="K328" s="158"/>
      <c r="L328" s="158"/>
      <c r="M328" s="158"/>
      <c r="N328" s="158"/>
      <c r="O328" s="158"/>
      <c r="P328" s="158"/>
      <c r="Q328" s="158"/>
      <c r="R328" s="158"/>
      <c r="S328" s="158"/>
      <c r="T328" s="158"/>
      <c r="U328" s="158"/>
      <c r="V328" s="158"/>
      <c r="W328" s="158"/>
      <c r="X328" s="158"/>
      <c r="Y328" s="158"/>
      <c r="Z328" s="158"/>
      <c r="AA328" s="158"/>
      <c r="AB328" s="158"/>
      <c r="AC328" s="158"/>
      <c r="AD328" s="158"/>
      <c r="AE328" s="158"/>
      <c r="AF328" s="158"/>
      <c r="AG328" s="158"/>
      <c r="AH328" s="158"/>
      <c r="AI328" s="158"/>
    </row>
    <row r="329" spans="1:35" hidden="1">
      <c r="A329" s="23"/>
      <c r="B329" s="23"/>
      <c r="C329" s="23"/>
      <c r="D329" s="23"/>
      <c r="E329" s="158"/>
      <c r="F329" s="158"/>
      <c r="G329" s="158"/>
      <c r="H329" s="158"/>
      <c r="I329" s="158"/>
      <c r="J329" s="158"/>
      <c r="K329" s="158"/>
      <c r="L329" s="158"/>
      <c r="M329" s="158"/>
      <c r="N329" s="158"/>
      <c r="O329" s="158"/>
      <c r="P329" s="158"/>
      <c r="Q329" s="158"/>
      <c r="R329" s="158"/>
      <c r="S329" s="158"/>
      <c r="T329" s="158"/>
      <c r="U329" s="158"/>
      <c r="V329" s="158"/>
      <c r="W329" s="158"/>
      <c r="X329" s="158"/>
      <c r="Y329" s="158"/>
      <c r="Z329" s="158"/>
      <c r="AA329" s="158"/>
      <c r="AB329" s="158"/>
      <c r="AC329" s="158"/>
      <c r="AD329" s="158"/>
      <c r="AE329" s="158"/>
      <c r="AF329" s="158"/>
      <c r="AG329" s="158"/>
      <c r="AH329" s="158"/>
      <c r="AI329" s="158"/>
    </row>
    <row r="330" spans="1:35" hidden="1">
      <c r="A330" s="23"/>
      <c r="B330" s="23"/>
      <c r="C330" s="23"/>
      <c r="D330" s="23"/>
      <c r="E330" s="158"/>
      <c r="F330" s="158"/>
      <c r="G330" s="158"/>
      <c r="H330" s="158"/>
      <c r="I330" s="158"/>
      <c r="J330" s="158"/>
      <c r="K330" s="158"/>
      <c r="L330" s="158"/>
      <c r="M330" s="158"/>
      <c r="N330" s="158"/>
      <c r="O330" s="158"/>
      <c r="P330" s="158"/>
      <c r="Q330" s="158"/>
      <c r="R330" s="158"/>
      <c r="S330" s="158"/>
      <c r="T330" s="158"/>
      <c r="U330" s="158"/>
      <c r="V330" s="158"/>
      <c r="W330" s="158"/>
      <c r="X330" s="158"/>
      <c r="Y330" s="158"/>
      <c r="Z330" s="158"/>
      <c r="AA330" s="158"/>
      <c r="AB330" s="158"/>
      <c r="AC330" s="158"/>
      <c r="AD330" s="158"/>
      <c r="AE330" s="158"/>
      <c r="AF330" s="158"/>
      <c r="AG330" s="158"/>
      <c r="AH330" s="158"/>
      <c r="AI330" s="158"/>
    </row>
    <row r="331" spans="1:35" hidden="1">
      <c r="A331" s="23"/>
      <c r="B331" s="23"/>
      <c r="C331" s="23"/>
      <c r="D331" s="23"/>
      <c r="E331" s="158"/>
      <c r="F331" s="158"/>
      <c r="G331" s="158"/>
      <c r="H331" s="158"/>
      <c r="I331" s="158"/>
      <c r="J331" s="158"/>
      <c r="K331" s="158"/>
      <c r="L331" s="158"/>
      <c r="M331" s="158"/>
      <c r="N331" s="158"/>
      <c r="O331" s="158"/>
      <c r="P331" s="158"/>
      <c r="Q331" s="158"/>
      <c r="R331" s="158"/>
      <c r="S331" s="158"/>
      <c r="T331" s="158"/>
      <c r="U331" s="158"/>
      <c r="V331" s="158"/>
      <c r="W331" s="158"/>
      <c r="X331" s="158"/>
      <c r="Y331" s="158"/>
      <c r="Z331" s="158"/>
      <c r="AA331" s="158"/>
      <c r="AB331" s="158"/>
      <c r="AC331" s="158"/>
      <c r="AD331" s="158"/>
      <c r="AE331" s="158"/>
      <c r="AF331" s="158"/>
      <c r="AG331" s="158"/>
      <c r="AH331" s="158"/>
      <c r="AI331" s="158"/>
    </row>
    <row r="332" spans="1:35" hidden="1">
      <c r="A332" s="23"/>
      <c r="B332" s="23"/>
      <c r="C332" s="23"/>
      <c r="D332" s="23"/>
      <c r="E332" s="158"/>
      <c r="F332" s="158"/>
      <c r="G332" s="158"/>
      <c r="H332" s="158"/>
      <c r="I332" s="158"/>
      <c r="J332" s="158"/>
      <c r="K332" s="158"/>
      <c r="L332" s="158"/>
      <c r="M332" s="158"/>
      <c r="N332" s="158"/>
      <c r="O332" s="158"/>
      <c r="P332" s="158"/>
      <c r="Q332" s="158"/>
      <c r="R332" s="158"/>
      <c r="S332" s="158"/>
      <c r="T332" s="158"/>
      <c r="U332" s="158"/>
      <c r="V332" s="158"/>
      <c r="W332" s="158"/>
      <c r="X332" s="158"/>
      <c r="Y332" s="158"/>
      <c r="Z332" s="158"/>
      <c r="AA332" s="158"/>
      <c r="AB332" s="158"/>
      <c r="AC332" s="158"/>
      <c r="AD332" s="158"/>
      <c r="AE332" s="158"/>
      <c r="AF332" s="158"/>
      <c r="AG332" s="158"/>
      <c r="AH332" s="158"/>
      <c r="AI332" s="158"/>
    </row>
    <row r="333" spans="1:35" hidden="1">
      <c r="A333" s="23"/>
      <c r="B333" s="23"/>
      <c r="C333" s="23"/>
      <c r="D333" s="23"/>
      <c r="E333" s="158"/>
      <c r="F333" s="158"/>
      <c r="G333" s="158"/>
      <c r="H333" s="158"/>
      <c r="I333" s="158"/>
      <c r="J333" s="158"/>
      <c r="K333" s="158"/>
      <c r="L333" s="158"/>
      <c r="M333" s="158"/>
      <c r="N333" s="158"/>
      <c r="O333" s="158"/>
      <c r="P333" s="158"/>
      <c r="Q333" s="158"/>
      <c r="R333" s="158"/>
      <c r="S333" s="158"/>
      <c r="T333" s="158"/>
      <c r="U333" s="158"/>
      <c r="V333" s="158"/>
      <c r="W333" s="158"/>
      <c r="X333" s="158"/>
      <c r="Y333" s="158"/>
      <c r="Z333" s="158"/>
      <c r="AA333" s="158"/>
      <c r="AB333" s="158"/>
      <c r="AC333" s="158"/>
      <c r="AD333" s="158"/>
      <c r="AE333" s="158"/>
      <c r="AF333" s="158"/>
      <c r="AG333" s="158"/>
      <c r="AH333" s="158"/>
      <c r="AI333" s="158"/>
    </row>
    <row r="334" spans="1:35" hidden="1">
      <c r="A334" s="23"/>
      <c r="B334" s="23"/>
      <c r="C334" s="23"/>
      <c r="D334" s="23"/>
      <c r="E334" s="158"/>
      <c r="F334" s="158"/>
      <c r="G334" s="158"/>
      <c r="H334" s="158"/>
      <c r="I334" s="158"/>
      <c r="J334" s="158"/>
      <c r="K334" s="158"/>
      <c r="L334" s="158"/>
      <c r="M334" s="158"/>
      <c r="N334" s="158"/>
      <c r="O334" s="158"/>
      <c r="P334" s="158"/>
      <c r="Q334" s="158"/>
      <c r="R334" s="158"/>
      <c r="S334" s="158"/>
      <c r="T334" s="158"/>
      <c r="U334" s="158"/>
      <c r="V334" s="158"/>
      <c r="W334" s="158"/>
      <c r="X334" s="158"/>
      <c r="Y334" s="158"/>
      <c r="Z334" s="158"/>
      <c r="AA334" s="158"/>
      <c r="AB334" s="158"/>
      <c r="AC334" s="158"/>
      <c r="AD334" s="158"/>
      <c r="AE334" s="158"/>
      <c r="AF334" s="158"/>
      <c r="AG334" s="158"/>
      <c r="AH334" s="158"/>
      <c r="AI334" s="158"/>
    </row>
    <row r="335" spans="1:35" hidden="1">
      <c r="A335" s="23"/>
      <c r="B335" s="23"/>
      <c r="C335" s="23"/>
      <c r="D335" s="23"/>
      <c r="E335" s="158"/>
      <c r="F335" s="158"/>
      <c r="G335" s="158"/>
      <c r="H335" s="158"/>
      <c r="I335" s="158"/>
      <c r="J335" s="158"/>
      <c r="K335" s="158"/>
      <c r="L335" s="158"/>
      <c r="M335" s="158"/>
      <c r="N335" s="158"/>
      <c r="O335" s="158"/>
      <c r="P335" s="158"/>
      <c r="Q335" s="158"/>
      <c r="R335" s="158"/>
      <c r="S335" s="158"/>
      <c r="T335" s="158"/>
      <c r="U335" s="158"/>
      <c r="V335" s="158"/>
      <c r="W335" s="158"/>
      <c r="X335" s="158"/>
      <c r="Y335" s="158"/>
      <c r="Z335" s="158"/>
      <c r="AA335" s="158"/>
      <c r="AB335" s="158"/>
      <c r="AC335" s="158"/>
      <c r="AD335" s="158"/>
      <c r="AE335" s="158"/>
      <c r="AF335" s="158"/>
      <c r="AG335" s="158"/>
      <c r="AH335" s="158"/>
      <c r="AI335" s="158"/>
    </row>
    <row r="336" spans="1:35" hidden="1">
      <c r="A336" s="23"/>
      <c r="B336" s="23"/>
      <c r="C336" s="23"/>
      <c r="D336" s="23"/>
      <c r="E336" s="158"/>
      <c r="F336" s="158"/>
      <c r="G336" s="158"/>
      <c r="H336" s="158"/>
      <c r="I336" s="158"/>
      <c r="J336" s="158"/>
      <c r="K336" s="158"/>
      <c r="L336" s="158"/>
      <c r="M336" s="158"/>
      <c r="N336" s="158"/>
      <c r="O336" s="158"/>
      <c r="P336" s="158"/>
      <c r="Q336" s="158"/>
      <c r="R336" s="158"/>
      <c r="S336" s="158"/>
      <c r="T336" s="158"/>
      <c r="U336" s="158"/>
      <c r="V336" s="158"/>
      <c r="W336" s="158"/>
      <c r="X336" s="158"/>
      <c r="Y336" s="158"/>
      <c r="Z336" s="158"/>
      <c r="AA336" s="158"/>
      <c r="AB336" s="158"/>
      <c r="AC336" s="158"/>
      <c r="AD336" s="158"/>
      <c r="AE336" s="158"/>
      <c r="AF336" s="158"/>
      <c r="AG336" s="158"/>
      <c r="AH336" s="158"/>
      <c r="AI336" s="158"/>
    </row>
    <row r="337" spans="7:35" hidden="1">
      <c r="G337" s="144"/>
      <c r="H337" s="144"/>
      <c r="I337" s="144"/>
      <c r="J337" s="144"/>
      <c r="K337" s="144"/>
      <c r="L337" s="144"/>
      <c r="M337" s="144"/>
      <c r="N337" s="144"/>
      <c r="O337" s="144"/>
      <c r="P337" s="144"/>
      <c r="Q337" s="144"/>
      <c r="R337" s="144"/>
      <c r="S337" s="144"/>
      <c r="T337" s="144"/>
      <c r="U337" s="144"/>
      <c r="V337" s="144"/>
      <c r="W337" s="144"/>
      <c r="X337" s="144"/>
      <c r="Y337" s="144"/>
      <c r="Z337" s="144"/>
      <c r="AA337" s="144"/>
      <c r="AB337" s="144"/>
      <c r="AC337" s="144"/>
      <c r="AD337" s="144"/>
      <c r="AE337" s="144"/>
      <c r="AF337" s="144"/>
      <c r="AG337" s="144"/>
      <c r="AH337" s="144"/>
      <c r="AI337" s="144"/>
    </row>
    <row r="338" spans="7:35" hidden="1">
      <c r="G338" s="144"/>
      <c r="H338" s="144"/>
      <c r="I338" s="144"/>
      <c r="J338" s="144"/>
      <c r="K338" s="144"/>
      <c r="L338" s="144"/>
      <c r="M338" s="144"/>
      <c r="N338" s="144"/>
      <c r="O338" s="144"/>
      <c r="P338" s="144"/>
      <c r="Q338" s="144"/>
      <c r="R338" s="144"/>
      <c r="S338" s="144"/>
      <c r="T338" s="144"/>
      <c r="U338" s="144"/>
      <c r="V338" s="144"/>
      <c r="W338" s="144"/>
      <c r="X338" s="144"/>
      <c r="Y338" s="144"/>
      <c r="Z338" s="144"/>
      <c r="AA338" s="144"/>
      <c r="AB338" s="144"/>
      <c r="AC338" s="144"/>
      <c r="AD338" s="144"/>
      <c r="AE338" s="144"/>
      <c r="AF338" s="144"/>
      <c r="AG338" s="144"/>
      <c r="AH338" s="144"/>
      <c r="AI338" s="144"/>
    </row>
    <row r="339" spans="7:35" hidden="1">
      <c r="G339" s="144"/>
      <c r="H339" s="144"/>
      <c r="I339" s="144"/>
      <c r="J339" s="144"/>
      <c r="K339" s="144"/>
      <c r="L339" s="144"/>
      <c r="M339" s="144"/>
      <c r="N339" s="144"/>
      <c r="O339" s="144"/>
      <c r="P339" s="144"/>
      <c r="Q339" s="144"/>
      <c r="R339" s="144"/>
      <c r="S339" s="144"/>
      <c r="T339" s="144"/>
      <c r="U339" s="144"/>
      <c r="V339" s="144"/>
      <c r="W339" s="144"/>
      <c r="X339" s="144"/>
      <c r="Y339" s="144"/>
      <c r="Z339" s="144"/>
      <c r="AA339" s="144"/>
      <c r="AB339" s="144"/>
      <c r="AC339" s="144"/>
      <c r="AD339" s="144"/>
      <c r="AE339" s="144"/>
      <c r="AF339" s="144"/>
      <c r="AG339" s="144"/>
      <c r="AH339" s="144"/>
      <c r="AI339" s="144"/>
    </row>
    <row r="340" spans="7:35" hidden="1">
      <c r="G340" s="144"/>
      <c r="H340" s="144"/>
      <c r="I340" s="144"/>
      <c r="J340" s="144"/>
      <c r="K340" s="144"/>
      <c r="L340" s="144"/>
      <c r="M340" s="144"/>
      <c r="N340" s="144"/>
      <c r="O340" s="144"/>
      <c r="P340" s="144"/>
      <c r="Q340" s="144"/>
      <c r="R340" s="144"/>
      <c r="S340" s="144"/>
      <c r="T340" s="144"/>
      <c r="U340" s="144"/>
      <c r="V340" s="144"/>
      <c r="W340" s="144"/>
      <c r="X340" s="144"/>
      <c r="Y340" s="144"/>
      <c r="Z340" s="144"/>
      <c r="AA340" s="144"/>
      <c r="AB340" s="144"/>
      <c r="AC340" s="144"/>
      <c r="AD340" s="144"/>
      <c r="AE340" s="144"/>
      <c r="AF340" s="144"/>
      <c r="AG340" s="144"/>
      <c r="AH340" s="144"/>
      <c r="AI340" s="144"/>
    </row>
    <row r="341" spans="7:35" hidden="1">
      <c r="G341" s="144"/>
      <c r="H341" s="144"/>
      <c r="I341" s="144"/>
      <c r="J341" s="144"/>
      <c r="K341" s="144"/>
      <c r="L341" s="144"/>
      <c r="M341" s="144"/>
      <c r="N341" s="144"/>
      <c r="O341" s="144"/>
      <c r="P341" s="144"/>
      <c r="Q341" s="144"/>
      <c r="R341" s="144"/>
      <c r="S341" s="144"/>
      <c r="T341" s="144"/>
      <c r="U341" s="144"/>
      <c r="V341" s="144"/>
      <c r="W341" s="144"/>
      <c r="X341" s="144"/>
      <c r="Y341" s="144"/>
      <c r="Z341" s="144"/>
      <c r="AA341" s="144"/>
      <c r="AB341" s="144"/>
      <c r="AC341" s="144"/>
      <c r="AD341" s="144"/>
      <c r="AE341" s="144"/>
      <c r="AF341" s="144"/>
      <c r="AG341" s="144"/>
      <c r="AH341" s="144"/>
      <c r="AI341" s="144"/>
    </row>
    <row r="342" spans="7:35" hidden="1">
      <c r="G342" s="144"/>
      <c r="H342" s="144"/>
      <c r="I342" s="144"/>
      <c r="J342" s="144"/>
      <c r="K342" s="144"/>
      <c r="L342" s="144"/>
      <c r="M342" s="144"/>
      <c r="N342" s="144"/>
      <c r="O342" s="144"/>
      <c r="P342" s="144"/>
      <c r="Q342" s="144"/>
      <c r="R342" s="144"/>
      <c r="S342" s="144"/>
      <c r="T342" s="144"/>
      <c r="U342" s="144"/>
      <c r="V342" s="144"/>
      <c r="W342" s="144"/>
      <c r="X342" s="144"/>
      <c r="Y342" s="144"/>
      <c r="Z342" s="144"/>
      <c r="AA342" s="144"/>
      <c r="AB342" s="144"/>
      <c r="AC342" s="144"/>
      <c r="AD342" s="144"/>
      <c r="AE342" s="144"/>
      <c r="AF342" s="144"/>
      <c r="AG342" s="144"/>
      <c r="AH342" s="144"/>
      <c r="AI342" s="144"/>
    </row>
    <row r="343" spans="7:35" hidden="1">
      <c r="G343" s="144"/>
      <c r="H343" s="144"/>
      <c r="I343" s="144"/>
      <c r="J343" s="144"/>
      <c r="K343" s="144"/>
      <c r="L343" s="144"/>
      <c r="M343" s="144"/>
      <c r="N343" s="144"/>
      <c r="O343" s="144"/>
      <c r="P343" s="144"/>
      <c r="Q343" s="144"/>
      <c r="R343" s="144"/>
      <c r="S343" s="144"/>
      <c r="T343" s="144"/>
      <c r="U343" s="144"/>
      <c r="V343" s="144"/>
      <c r="W343" s="144"/>
      <c r="X343" s="144"/>
      <c r="Y343" s="144"/>
      <c r="Z343" s="144"/>
      <c r="AA343" s="144"/>
      <c r="AB343" s="144"/>
      <c r="AC343" s="144"/>
      <c r="AD343" s="144"/>
      <c r="AE343" s="144"/>
      <c r="AF343" s="144"/>
      <c r="AG343" s="144"/>
      <c r="AH343" s="144"/>
      <c r="AI343" s="144"/>
    </row>
    <row r="344" spans="7:35" hidden="1">
      <c r="G344" s="144"/>
      <c r="H344" s="144"/>
      <c r="I344" s="144"/>
      <c r="J344" s="144"/>
      <c r="K344" s="144"/>
      <c r="L344" s="144"/>
      <c r="M344" s="144"/>
      <c r="N344" s="144"/>
      <c r="O344" s="144"/>
      <c r="P344" s="144"/>
      <c r="Q344" s="144"/>
      <c r="R344" s="144"/>
      <c r="S344" s="144"/>
      <c r="T344" s="144"/>
      <c r="U344" s="144"/>
      <c r="V344" s="144"/>
      <c r="W344" s="144"/>
      <c r="X344" s="144"/>
      <c r="Y344" s="144"/>
      <c r="Z344" s="144"/>
      <c r="AA344" s="144"/>
      <c r="AB344" s="144"/>
      <c r="AC344" s="144"/>
      <c r="AD344" s="144"/>
      <c r="AE344" s="144"/>
      <c r="AF344" s="144"/>
      <c r="AG344" s="144"/>
      <c r="AH344" s="144"/>
      <c r="AI344" s="144"/>
    </row>
    <row r="345" spans="7:35" hidden="1">
      <c r="G345" s="144"/>
      <c r="H345" s="144"/>
      <c r="I345" s="144"/>
      <c r="J345" s="144"/>
      <c r="K345" s="144"/>
      <c r="L345" s="144"/>
      <c r="M345" s="144"/>
      <c r="N345" s="144"/>
      <c r="O345" s="144"/>
      <c r="P345" s="144"/>
      <c r="Q345" s="144"/>
      <c r="R345" s="144"/>
      <c r="S345" s="144"/>
      <c r="T345" s="144"/>
      <c r="U345" s="144"/>
      <c r="V345" s="144"/>
      <c r="W345" s="144"/>
      <c r="X345" s="144"/>
      <c r="Y345" s="144"/>
      <c r="Z345" s="144"/>
      <c r="AA345" s="144"/>
      <c r="AB345" s="144"/>
      <c r="AC345" s="144"/>
      <c r="AD345" s="144"/>
      <c r="AE345" s="144"/>
      <c r="AF345" s="144"/>
      <c r="AG345" s="144"/>
      <c r="AH345" s="144"/>
      <c r="AI345" s="144"/>
    </row>
    <row r="346" spans="7:35" hidden="1">
      <c r="G346" s="144"/>
      <c r="H346" s="144"/>
      <c r="I346" s="144"/>
      <c r="J346" s="144"/>
      <c r="K346" s="144"/>
      <c r="L346" s="144"/>
      <c r="M346" s="144"/>
      <c r="N346" s="144"/>
      <c r="O346" s="144"/>
      <c r="P346" s="144"/>
      <c r="Q346" s="144"/>
      <c r="R346" s="144"/>
      <c r="S346" s="144"/>
      <c r="T346" s="144"/>
      <c r="U346" s="144"/>
      <c r="V346" s="144"/>
      <c r="W346" s="144"/>
      <c r="X346" s="144"/>
      <c r="Y346" s="144"/>
      <c r="Z346" s="144"/>
      <c r="AA346" s="144"/>
      <c r="AB346" s="144"/>
      <c r="AC346" s="144"/>
      <c r="AD346" s="144"/>
      <c r="AE346" s="144"/>
      <c r="AF346" s="144"/>
      <c r="AG346" s="144"/>
      <c r="AH346" s="144"/>
      <c r="AI346" s="144"/>
    </row>
    <row r="347" spans="7:35" hidden="1">
      <c r="G347" s="144"/>
      <c r="H347" s="144"/>
      <c r="I347" s="144"/>
      <c r="J347" s="144"/>
      <c r="K347" s="144"/>
      <c r="L347" s="144"/>
      <c r="M347" s="144"/>
      <c r="N347" s="144"/>
      <c r="O347" s="144"/>
      <c r="P347" s="144"/>
      <c r="Q347" s="144"/>
      <c r="R347" s="144"/>
      <c r="S347" s="144"/>
      <c r="T347" s="144"/>
      <c r="U347" s="144"/>
      <c r="V347" s="144"/>
      <c r="W347" s="144"/>
      <c r="X347" s="144"/>
      <c r="Y347" s="144"/>
      <c r="Z347" s="144"/>
      <c r="AA347" s="144"/>
      <c r="AB347" s="144"/>
      <c r="AC347" s="144"/>
      <c r="AD347" s="144"/>
      <c r="AE347" s="144"/>
      <c r="AF347" s="144"/>
      <c r="AG347" s="144"/>
      <c r="AH347" s="144"/>
      <c r="AI347" s="144"/>
    </row>
    <row r="348" spans="7:35" hidden="1">
      <c r="G348" s="144"/>
      <c r="H348" s="144"/>
      <c r="I348" s="144"/>
      <c r="J348" s="144"/>
      <c r="K348" s="144"/>
      <c r="L348" s="144"/>
      <c r="M348" s="144"/>
      <c r="N348" s="144"/>
      <c r="O348" s="144"/>
      <c r="P348" s="144"/>
      <c r="Q348" s="144"/>
      <c r="R348" s="144"/>
      <c r="S348" s="144"/>
      <c r="T348" s="144"/>
      <c r="U348" s="144"/>
      <c r="V348" s="144"/>
      <c r="W348" s="144"/>
      <c r="X348" s="144"/>
      <c r="Y348" s="144"/>
      <c r="Z348" s="144"/>
      <c r="AA348" s="144"/>
      <c r="AB348" s="144"/>
      <c r="AC348" s="144"/>
      <c r="AD348" s="144"/>
      <c r="AE348" s="144"/>
      <c r="AF348" s="144"/>
      <c r="AG348" s="144"/>
      <c r="AH348" s="144"/>
      <c r="AI348" s="144"/>
    </row>
    <row r="349" spans="7:35" hidden="1">
      <c r="G349" s="144"/>
      <c r="H349" s="144"/>
      <c r="I349" s="144"/>
      <c r="J349" s="144"/>
      <c r="K349" s="144"/>
      <c r="L349" s="144"/>
      <c r="M349" s="144"/>
      <c r="N349" s="144"/>
      <c r="O349" s="144"/>
      <c r="P349" s="144"/>
      <c r="Q349" s="144"/>
      <c r="R349" s="144"/>
      <c r="S349" s="144"/>
      <c r="T349" s="144"/>
      <c r="U349" s="144"/>
      <c r="V349" s="144"/>
      <c r="W349" s="144"/>
      <c r="X349" s="144"/>
      <c r="Y349" s="144"/>
      <c r="Z349" s="144"/>
      <c r="AA349" s="144"/>
      <c r="AB349" s="144"/>
      <c r="AC349" s="144"/>
      <c r="AD349" s="144"/>
      <c r="AE349" s="144"/>
      <c r="AF349" s="144"/>
      <c r="AG349" s="144"/>
      <c r="AH349" s="144"/>
      <c r="AI349" s="144"/>
    </row>
    <row r="350" spans="7:35" hidden="1">
      <c r="G350" s="144"/>
      <c r="H350" s="144"/>
      <c r="I350" s="144"/>
      <c r="J350" s="144"/>
      <c r="K350" s="144"/>
      <c r="L350" s="144"/>
      <c r="M350" s="144"/>
      <c r="N350" s="144"/>
      <c r="O350" s="144"/>
      <c r="P350" s="144"/>
      <c r="Q350" s="144"/>
      <c r="R350" s="144"/>
      <c r="S350" s="144"/>
      <c r="T350" s="144"/>
      <c r="U350" s="144"/>
      <c r="V350" s="144"/>
      <c r="W350" s="144"/>
      <c r="X350" s="144"/>
      <c r="Y350" s="144"/>
      <c r="Z350" s="144"/>
      <c r="AA350" s="144"/>
      <c r="AB350" s="144"/>
      <c r="AC350" s="144"/>
      <c r="AD350" s="144"/>
      <c r="AE350" s="144"/>
      <c r="AF350" s="144"/>
      <c r="AG350" s="144"/>
      <c r="AH350" s="144"/>
      <c r="AI350" s="144"/>
    </row>
    <row r="351" spans="7:35" hidden="1">
      <c r="G351" s="144"/>
      <c r="H351" s="144"/>
      <c r="I351" s="144"/>
      <c r="J351" s="144"/>
      <c r="K351" s="144"/>
      <c r="L351" s="144"/>
      <c r="M351" s="144"/>
      <c r="N351" s="144"/>
      <c r="O351" s="144"/>
      <c r="P351" s="144"/>
      <c r="Q351" s="144"/>
      <c r="R351" s="144"/>
      <c r="S351" s="144"/>
      <c r="T351" s="144"/>
      <c r="U351" s="144"/>
      <c r="V351" s="144"/>
      <c r="W351" s="144"/>
      <c r="X351" s="144"/>
      <c r="Y351" s="144"/>
      <c r="Z351" s="144"/>
      <c r="AA351" s="144"/>
      <c r="AB351" s="144"/>
      <c r="AC351" s="144"/>
      <c r="AD351" s="144"/>
      <c r="AE351" s="144"/>
      <c r="AF351" s="144"/>
      <c r="AG351" s="144"/>
      <c r="AH351" s="144"/>
      <c r="AI351" s="144"/>
    </row>
    <row r="352" spans="7:35" hidden="1">
      <c r="G352" s="144"/>
      <c r="H352" s="144"/>
      <c r="I352" s="144"/>
      <c r="J352" s="144"/>
      <c r="K352" s="144"/>
      <c r="L352" s="144"/>
      <c r="M352" s="144"/>
      <c r="N352" s="144"/>
      <c r="O352" s="144"/>
      <c r="P352" s="144"/>
      <c r="Q352" s="144"/>
      <c r="R352" s="144"/>
      <c r="S352" s="144"/>
      <c r="T352" s="144"/>
      <c r="U352" s="144"/>
      <c r="V352" s="144"/>
      <c r="W352" s="144"/>
      <c r="X352" s="144"/>
      <c r="Y352" s="144"/>
      <c r="Z352" s="144"/>
      <c r="AA352" s="144"/>
      <c r="AB352" s="144"/>
      <c r="AC352" s="144"/>
      <c r="AD352" s="144"/>
      <c r="AE352" s="144"/>
      <c r="AF352" s="144"/>
      <c r="AG352" s="144"/>
      <c r="AH352" s="144"/>
      <c r="AI352" s="144"/>
    </row>
    <row r="353" spans="7:35" hidden="1">
      <c r="G353" s="144"/>
      <c r="H353" s="144"/>
      <c r="I353" s="144"/>
      <c r="J353" s="144"/>
      <c r="K353" s="144"/>
      <c r="L353" s="144"/>
      <c r="M353" s="144"/>
      <c r="N353" s="144"/>
      <c r="O353" s="144"/>
      <c r="P353" s="144"/>
      <c r="Q353" s="144"/>
      <c r="R353" s="144"/>
      <c r="S353" s="144"/>
      <c r="T353" s="144"/>
      <c r="U353" s="144"/>
      <c r="V353" s="144"/>
      <c r="W353" s="144"/>
      <c r="X353" s="144"/>
      <c r="Y353" s="144"/>
      <c r="Z353" s="144"/>
      <c r="AA353" s="144"/>
      <c r="AB353" s="144"/>
      <c r="AC353" s="144"/>
      <c r="AD353" s="144"/>
      <c r="AE353" s="144"/>
      <c r="AF353" s="144"/>
      <c r="AG353" s="144"/>
      <c r="AH353" s="144"/>
      <c r="AI353" s="144"/>
    </row>
    <row r="354" spans="7:35" hidden="1">
      <c r="G354" s="144"/>
      <c r="H354" s="144"/>
      <c r="I354" s="144"/>
      <c r="J354" s="144"/>
      <c r="K354" s="144"/>
      <c r="L354" s="144"/>
      <c r="M354" s="144"/>
      <c r="N354" s="144"/>
      <c r="O354" s="144"/>
      <c r="P354" s="144"/>
      <c r="Q354" s="144"/>
      <c r="R354" s="144"/>
      <c r="S354" s="144"/>
      <c r="T354" s="144"/>
      <c r="U354" s="144"/>
      <c r="V354" s="144"/>
      <c r="W354" s="144"/>
      <c r="X354" s="144"/>
      <c r="Y354" s="144"/>
      <c r="Z354" s="144"/>
      <c r="AA354" s="144"/>
      <c r="AB354" s="144"/>
      <c r="AC354" s="144"/>
      <c r="AD354" s="144"/>
      <c r="AE354" s="144"/>
      <c r="AF354" s="144"/>
      <c r="AG354" s="144"/>
      <c r="AH354" s="144"/>
      <c r="AI354" s="144"/>
    </row>
    <row r="355" spans="7:35" hidden="1">
      <c r="G355" s="144"/>
      <c r="H355" s="144"/>
      <c r="I355" s="144"/>
      <c r="J355" s="144"/>
      <c r="K355" s="144"/>
      <c r="L355" s="144"/>
      <c r="M355" s="144"/>
      <c r="N355" s="144"/>
      <c r="O355" s="144"/>
      <c r="P355" s="144"/>
      <c r="Q355" s="144"/>
      <c r="R355" s="144"/>
      <c r="S355" s="144"/>
      <c r="T355" s="144"/>
      <c r="U355" s="144"/>
      <c r="V355" s="144"/>
      <c r="W355" s="144"/>
      <c r="X355" s="144"/>
      <c r="Y355" s="144"/>
      <c r="Z355" s="144"/>
      <c r="AA355" s="144"/>
      <c r="AB355" s="144"/>
      <c r="AC355" s="144"/>
      <c r="AD355" s="144"/>
      <c r="AE355" s="144"/>
      <c r="AF355" s="144"/>
      <c r="AG355" s="144"/>
      <c r="AH355" s="144"/>
      <c r="AI355" s="144"/>
    </row>
    <row r="356" spans="7:35" hidden="1">
      <c r="G356" s="144"/>
      <c r="H356" s="144"/>
      <c r="I356" s="144"/>
      <c r="J356" s="144"/>
      <c r="K356" s="144"/>
      <c r="L356" s="144"/>
      <c r="M356" s="144"/>
      <c r="N356" s="144"/>
      <c r="O356" s="144"/>
      <c r="P356" s="144"/>
      <c r="Q356" s="144"/>
      <c r="R356" s="144"/>
      <c r="S356" s="144"/>
      <c r="T356" s="144"/>
      <c r="U356" s="144"/>
      <c r="V356" s="144"/>
      <c r="W356" s="144"/>
      <c r="X356" s="144"/>
      <c r="Y356" s="144"/>
      <c r="Z356" s="144"/>
      <c r="AA356" s="144"/>
      <c r="AB356" s="144"/>
      <c r="AC356" s="144"/>
      <c r="AD356" s="144"/>
      <c r="AE356" s="144"/>
      <c r="AF356" s="144"/>
      <c r="AG356" s="144"/>
      <c r="AH356" s="144"/>
      <c r="AI356" s="144"/>
    </row>
    <row r="357" spans="7:35" hidden="1">
      <c r="G357" s="144"/>
      <c r="H357" s="144"/>
      <c r="I357" s="144"/>
      <c r="J357" s="144"/>
      <c r="K357" s="144"/>
      <c r="L357" s="144"/>
      <c r="M357" s="144"/>
      <c r="N357" s="144"/>
      <c r="O357" s="144"/>
      <c r="P357" s="144"/>
      <c r="Q357" s="144"/>
      <c r="R357" s="144"/>
      <c r="S357" s="144"/>
      <c r="T357" s="144"/>
      <c r="U357" s="144"/>
      <c r="V357" s="144"/>
      <c r="W357" s="144"/>
      <c r="X357" s="144"/>
      <c r="Y357" s="144"/>
      <c r="Z357" s="144"/>
      <c r="AA357" s="144"/>
      <c r="AB357" s="144"/>
      <c r="AC357" s="144"/>
      <c r="AD357" s="144"/>
      <c r="AE357" s="144"/>
      <c r="AF357" s="144"/>
      <c r="AG357" s="144"/>
      <c r="AH357" s="144"/>
      <c r="AI357" s="144"/>
    </row>
    <row r="358" spans="7:35" hidden="1">
      <c r="G358" s="144"/>
      <c r="H358" s="144"/>
      <c r="I358" s="144"/>
      <c r="J358" s="144"/>
      <c r="K358" s="144"/>
      <c r="L358" s="144"/>
      <c r="M358" s="144"/>
      <c r="N358" s="144"/>
      <c r="O358" s="144"/>
      <c r="P358" s="144"/>
      <c r="Q358" s="144"/>
      <c r="R358" s="144"/>
      <c r="S358" s="144"/>
      <c r="T358" s="144"/>
      <c r="U358" s="144"/>
      <c r="V358" s="144"/>
      <c r="W358" s="144"/>
      <c r="X358" s="144"/>
      <c r="Y358" s="144"/>
      <c r="Z358" s="144"/>
      <c r="AA358" s="144"/>
      <c r="AB358" s="144"/>
      <c r="AC358" s="144"/>
      <c r="AD358" s="144"/>
      <c r="AE358" s="144"/>
      <c r="AF358" s="144"/>
      <c r="AG358" s="144"/>
      <c r="AH358" s="144"/>
      <c r="AI358" s="144"/>
    </row>
    <row r="359" spans="7:35" hidden="1">
      <c r="G359" s="144"/>
      <c r="H359" s="144"/>
      <c r="I359" s="144"/>
      <c r="J359" s="144"/>
      <c r="K359" s="144"/>
      <c r="L359" s="144"/>
      <c r="M359" s="144"/>
      <c r="N359" s="144"/>
      <c r="O359" s="144"/>
      <c r="P359" s="144"/>
      <c r="Q359" s="144"/>
      <c r="R359" s="144"/>
      <c r="S359" s="144"/>
      <c r="T359" s="144"/>
      <c r="U359" s="144"/>
      <c r="V359" s="144"/>
      <c r="W359" s="144"/>
      <c r="X359" s="144"/>
      <c r="Y359" s="144"/>
      <c r="Z359" s="144"/>
      <c r="AA359" s="144"/>
      <c r="AB359" s="144"/>
      <c r="AC359" s="144"/>
      <c r="AD359" s="144"/>
      <c r="AE359" s="144"/>
      <c r="AF359" s="144"/>
      <c r="AG359" s="144"/>
      <c r="AH359" s="144"/>
      <c r="AI359" s="144"/>
    </row>
    <row r="360" spans="7:35" hidden="1">
      <c r="G360" s="144"/>
      <c r="H360" s="144"/>
      <c r="I360" s="144"/>
      <c r="J360" s="144"/>
      <c r="K360" s="144"/>
      <c r="L360" s="144"/>
      <c r="M360" s="144"/>
      <c r="N360" s="144"/>
      <c r="O360" s="144"/>
      <c r="P360" s="144"/>
      <c r="Q360" s="144"/>
      <c r="R360" s="144"/>
      <c r="S360" s="144"/>
      <c r="T360" s="144"/>
      <c r="U360" s="144"/>
      <c r="V360" s="144"/>
      <c r="W360" s="144"/>
      <c r="X360" s="144"/>
      <c r="Y360" s="144"/>
      <c r="Z360" s="144"/>
      <c r="AA360" s="144"/>
      <c r="AB360" s="144"/>
      <c r="AC360" s="144"/>
      <c r="AD360" s="144"/>
      <c r="AE360" s="144"/>
      <c r="AF360" s="144"/>
      <c r="AG360" s="144"/>
      <c r="AH360" s="144"/>
      <c r="AI360" s="144"/>
    </row>
    <row r="361" spans="7:35" hidden="1">
      <c r="G361" s="144"/>
      <c r="H361" s="144"/>
      <c r="I361" s="144"/>
      <c r="J361" s="144"/>
      <c r="K361" s="144"/>
      <c r="L361" s="144"/>
      <c r="M361" s="144"/>
      <c r="N361" s="144"/>
      <c r="O361" s="144"/>
      <c r="P361" s="144"/>
      <c r="Q361" s="144"/>
      <c r="R361" s="144"/>
      <c r="S361" s="144"/>
      <c r="T361" s="144"/>
      <c r="U361" s="144"/>
      <c r="V361" s="144"/>
      <c r="W361" s="144"/>
      <c r="X361" s="144"/>
      <c r="Y361" s="144"/>
      <c r="Z361" s="144"/>
      <c r="AA361" s="144"/>
      <c r="AB361" s="144"/>
      <c r="AC361" s="144"/>
      <c r="AD361" s="144"/>
      <c r="AE361" s="144"/>
      <c r="AF361" s="144"/>
      <c r="AG361" s="144"/>
      <c r="AH361" s="144"/>
      <c r="AI361" s="144"/>
    </row>
    <row r="362" spans="7:35" hidden="1">
      <c r="G362" s="144"/>
      <c r="H362" s="144"/>
      <c r="I362" s="144"/>
      <c r="J362" s="144"/>
      <c r="K362" s="144"/>
      <c r="L362" s="144"/>
      <c r="M362" s="144"/>
      <c r="N362" s="144"/>
      <c r="O362" s="144"/>
      <c r="P362" s="144"/>
      <c r="Q362" s="144"/>
      <c r="R362" s="144"/>
      <c r="S362" s="144"/>
      <c r="T362" s="144"/>
      <c r="U362" s="144"/>
      <c r="V362" s="144"/>
      <c r="W362" s="144"/>
      <c r="X362" s="144"/>
      <c r="Y362" s="144"/>
      <c r="Z362" s="144"/>
      <c r="AA362" s="144"/>
      <c r="AB362" s="144"/>
      <c r="AC362" s="144"/>
      <c r="AD362" s="144"/>
      <c r="AE362" s="144"/>
      <c r="AF362" s="144"/>
      <c r="AG362" s="144"/>
      <c r="AH362" s="144"/>
      <c r="AI362" s="144"/>
    </row>
    <row r="363" spans="7:35" hidden="1">
      <c r="G363" s="144"/>
      <c r="H363" s="144"/>
      <c r="I363" s="144"/>
      <c r="J363" s="144"/>
      <c r="K363" s="144"/>
      <c r="L363" s="144"/>
      <c r="M363" s="144"/>
      <c r="N363" s="144"/>
      <c r="O363" s="144"/>
      <c r="P363" s="144"/>
      <c r="Q363" s="144"/>
      <c r="R363" s="144"/>
      <c r="S363" s="144"/>
      <c r="T363" s="144"/>
      <c r="U363" s="144"/>
      <c r="V363" s="144"/>
      <c r="W363" s="144"/>
      <c r="X363" s="144"/>
      <c r="Y363" s="144"/>
      <c r="Z363" s="144"/>
      <c r="AA363" s="144"/>
      <c r="AB363" s="144"/>
      <c r="AC363" s="144"/>
      <c r="AD363" s="144"/>
      <c r="AE363" s="144"/>
      <c r="AF363" s="144"/>
      <c r="AG363" s="144"/>
      <c r="AH363" s="144"/>
      <c r="AI363" s="144"/>
    </row>
    <row r="364" spans="7:35" hidden="1">
      <c r="G364" s="144"/>
      <c r="H364" s="144"/>
      <c r="I364" s="144"/>
      <c r="J364" s="144"/>
      <c r="K364" s="144"/>
      <c r="L364" s="144"/>
      <c r="M364" s="144"/>
      <c r="N364" s="144"/>
      <c r="O364" s="144"/>
      <c r="P364" s="144"/>
      <c r="Q364" s="144"/>
      <c r="R364" s="144"/>
      <c r="S364" s="144"/>
      <c r="T364" s="144"/>
      <c r="U364" s="144"/>
      <c r="V364" s="144"/>
      <c r="W364" s="144"/>
      <c r="X364" s="144"/>
      <c r="Y364" s="144"/>
      <c r="Z364" s="144"/>
      <c r="AA364" s="144"/>
      <c r="AB364" s="144"/>
      <c r="AC364" s="144"/>
      <c r="AD364" s="144"/>
      <c r="AE364" s="144"/>
      <c r="AF364" s="144"/>
      <c r="AG364" s="144"/>
      <c r="AH364" s="144"/>
      <c r="AI364" s="144"/>
    </row>
    <row r="365" spans="7:35" hidden="1">
      <c r="G365" s="144"/>
      <c r="H365" s="144"/>
      <c r="I365" s="144"/>
      <c r="J365" s="144"/>
      <c r="K365" s="144"/>
      <c r="L365" s="144"/>
      <c r="M365" s="144"/>
      <c r="N365" s="144"/>
      <c r="O365" s="144"/>
      <c r="P365" s="144"/>
      <c r="Q365" s="144"/>
      <c r="R365" s="144"/>
      <c r="S365" s="144"/>
      <c r="T365" s="144"/>
      <c r="U365" s="144"/>
      <c r="V365" s="144"/>
      <c r="W365" s="144"/>
      <c r="X365" s="144"/>
      <c r="Y365" s="144"/>
      <c r="Z365" s="144"/>
      <c r="AA365" s="144"/>
      <c r="AB365" s="144"/>
      <c r="AC365" s="144"/>
      <c r="AD365" s="144"/>
      <c r="AE365" s="144"/>
      <c r="AF365" s="144"/>
      <c r="AG365" s="144"/>
      <c r="AH365" s="144"/>
      <c r="AI365" s="144"/>
    </row>
    <row r="366" spans="7:35" hidden="1">
      <c r="G366" s="144"/>
      <c r="H366" s="144"/>
      <c r="I366" s="144"/>
      <c r="J366" s="144"/>
      <c r="K366" s="144"/>
      <c r="L366" s="144"/>
      <c r="M366" s="144"/>
      <c r="N366" s="144"/>
      <c r="O366" s="144"/>
      <c r="P366" s="144"/>
      <c r="Q366" s="144"/>
      <c r="R366" s="144"/>
      <c r="S366" s="144"/>
      <c r="T366" s="144"/>
      <c r="U366" s="144"/>
      <c r="V366" s="144"/>
      <c r="W366" s="144"/>
      <c r="X366" s="144"/>
      <c r="Y366" s="144"/>
      <c r="Z366" s="144"/>
      <c r="AA366" s="144"/>
      <c r="AB366" s="144"/>
      <c r="AC366" s="144"/>
      <c r="AD366" s="144"/>
      <c r="AE366" s="144"/>
      <c r="AF366" s="144"/>
      <c r="AG366" s="144"/>
      <c r="AH366" s="144"/>
      <c r="AI366" s="144"/>
    </row>
    <row r="367" spans="7:35" hidden="1">
      <c r="G367" s="144"/>
      <c r="H367" s="144"/>
      <c r="I367" s="144"/>
      <c r="J367" s="144"/>
      <c r="K367" s="144"/>
      <c r="L367" s="144"/>
      <c r="M367" s="144"/>
      <c r="N367" s="144"/>
      <c r="O367" s="144"/>
      <c r="P367" s="144"/>
      <c r="Q367" s="144"/>
      <c r="R367" s="144"/>
      <c r="S367" s="144"/>
      <c r="T367" s="144"/>
      <c r="U367" s="144"/>
      <c r="V367" s="144"/>
      <c r="W367" s="144"/>
      <c r="X367" s="144"/>
      <c r="Y367" s="144"/>
      <c r="Z367" s="144"/>
      <c r="AA367" s="144"/>
      <c r="AB367" s="144"/>
      <c r="AC367" s="144"/>
      <c r="AD367" s="144"/>
      <c r="AE367" s="144"/>
      <c r="AF367" s="144"/>
      <c r="AG367" s="144"/>
      <c r="AH367" s="144"/>
      <c r="AI367" s="144"/>
    </row>
    <row r="368" spans="7:35" hidden="1">
      <c r="G368" s="144"/>
      <c r="H368" s="144"/>
      <c r="I368" s="144"/>
      <c r="J368" s="144"/>
      <c r="K368" s="144"/>
      <c r="L368" s="144"/>
      <c r="M368" s="144"/>
      <c r="N368" s="144"/>
      <c r="O368" s="144"/>
      <c r="P368" s="144"/>
      <c r="Q368" s="144"/>
      <c r="R368" s="144"/>
      <c r="S368" s="144"/>
      <c r="T368" s="144"/>
      <c r="U368" s="144"/>
      <c r="V368" s="144"/>
      <c r="W368" s="144"/>
      <c r="X368" s="144"/>
      <c r="Y368" s="144"/>
      <c r="Z368" s="144"/>
      <c r="AA368" s="144"/>
      <c r="AB368" s="144"/>
      <c r="AC368" s="144"/>
      <c r="AD368" s="144"/>
      <c r="AE368" s="144"/>
      <c r="AF368" s="144"/>
      <c r="AG368" s="144"/>
      <c r="AH368" s="144"/>
      <c r="AI368" s="144"/>
    </row>
    <row r="369" spans="7:35" hidden="1">
      <c r="G369" s="144"/>
      <c r="H369" s="144"/>
      <c r="I369" s="144"/>
      <c r="J369" s="144"/>
      <c r="K369" s="144"/>
      <c r="L369" s="144"/>
      <c r="M369" s="144"/>
      <c r="N369" s="144"/>
      <c r="O369" s="144"/>
      <c r="P369" s="144"/>
      <c r="Q369" s="144"/>
      <c r="R369" s="144"/>
      <c r="S369" s="144"/>
      <c r="T369" s="144"/>
      <c r="U369" s="144"/>
      <c r="V369" s="144"/>
      <c r="W369" s="144"/>
      <c r="X369" s="144"/>
      <c r="Y369" s="144"/>
      <c r="Z369" s="144"/>
      <c r="AA369" s="144"/>
      <c r="AB369" s="144"/>
      <c r="AC369" s="144"/>
      <c r="AD369" s="144"/>
      <c r="AE369" s="144"/>
      <c r="AF369" s="144"/>
      <c r="AG369" s="144"/>
      <c r="AH369" s="144"/>
      <c r="AI369" s="144"/>
    </row>
    <row r="370" spans="7:35" hidden="1">
      <c r="G370" s="144"/>
      <c r="H370" s="144"/>
      <c r="I370" s="144"/>
      <c r="J370" s="144"/>
      <c r="K370" s="144"/>
      <c r="L370" s="144"/>
      <c r="M370" s="144"/>
      <c r="N370" s="144"/>
      <c r="O370" s="144"/>
      <c r="P370" s="144"/>
      <c r="Q370" s="144"/>
      <c r="R370" s="144"/>
      <c r="S370" s="144"/>
      <c r="T370" s="144"/>
      <c r="U370" s="144"/>
      <c r="V370" s="144"/>
      <c r="W370" s="144"/>
      <c r="X370" s="144"/>
      <c r="Y370" s="144"/>
      <c r="Z370" s="144"/>
      <c r="AA370" s="144"/>
      <c r="AB370" s="144"/>
      <c r="AC370" s="144"/>
      <c r="AD370" s="144"/>
      <c r="AE370" s="144"/>
      <c r="AF370" s="144"/>
      <c r="AG370" s="144"/>
      <c r="AH370" s="144"/>
      <c r="AI370" s="144"/>
    </row>
    <row r="371" spans="7:35" hidden="1">
      <c r="G371" s="144"/>
      <c r="H371" s="144"/>
      <c r="I371" s="144"/>
      <c r="J371" s="144"/>
      <c r="K371" s="144"/>
      <c r="L371" s="144"/>
      <c r="M371" s="144"/>
      <c r="N371" s="144"/>
      <c r="O371" s="144"/>
      <c r="P371" s="144"/>
      <c r="Q371" s="144"/>
      <c r="R371" s="144"/>
      <c r="S371" s="144"/>
      <c r="T371" s="144"/>
      <c r="U371" s="144"/>
      <c r="V371" s="144"/>
      <c r="W371" s="144"/>
      <c r="X371" s="144"/>
      <c r="Y371" s="144"/>
      <c r="Z371" s="144"/>
      <c r="AA371" s="144"/>
      <c r="AB371" s="144"/>
      <c r="AC371" s="144"/>
      <c r="AD371" s="144"/>
      <c r="AE371" s="144"/>
      <c r="AF371" s="144"/>
      <c r="AG371" s="144"/>
      <c r="AH371" s="144"/>
      <c r="AI371" s="144"/>
    </row>
    <row r="372" spans="7:35" hidden="1">
      <c r="G372" s="144"/>
      <c r="H372" s="144"/>
      <c r="I372" s="144"/>
      <c r="J372" s="144"/>
      <c r="K372" s="144"/>
      <c r="L372" s="144"/>
      <c r="M372" s="144"/>
      <c r="N372" s="144"/>
      <c r="O372" s="144"/>
      <c r="P372" s="144"/>
      <c r="Q372" s="144"/>
      <c r="R372" s="144"/>
      <c r="S372" s="144"/>
      <c r="T372" s="144"/>
      <c r="U372" s="144"/>
      <c r="V372" s="144"/>
      <c r="W372" s="144"/>
      <c r="X372" s="144"/>
      <c r="Y372" s="144"/>
      <c r="Z372" s="144"/>
      <c r="AA372" s="144"/>
      <c r="AB372" s="144"/>
      <c r="AC372" s="144"/>
      <c r="AD372" s="144"/>
      <c r="AE372" s="144"/>
      <c r="AF372" s="144"/>
      <c r="AG372" s="144"/>
      <c r="AH372" s="144"/>
      <c r="AI372" s="144"/>
    </row>
    <row r="373" spans="7:35" hidden="1">
      <c r="G373" s="144"/>
      <c r="H373" s="144"/>
      <c r="I373" s="144"/>
      <c r="J373" s="144"/>
      <c r="K373" s="144"/>
      <c r="L373" s="144"/>
      <c r="M373" s="144"/>
      <c r="N373" s="144"/>
      <c r="O373" s="144"/>
      <c r="P373" s="144"/>
      <c r="Q373" s="144"/>
      <c r="R373" s="144"/>
      <c r="S373" s="144"/>
      <c r="T373" s="144"/>
      <c r="U373" s="144"/>
      <c r="V373" s="144"/>
      <c r="W373" s="144"/>
      <c r="X373" s="144"/>
      <c r="Y373" s="144"/>
      <c r="Z373" s="144"/>
      <c r="AA373" s="144"/>
      <c r="AB373" s="144"/>
      <c r="AC373" s="144"/>
      <c r="AD373" s="144"/>
      <c r="AE373" s="144"/>
      <c r="AF373" s="144"/>
      <c r="AG373" s="144"/>
      <c r="AH373" s="144"/>
      <c r="AI373" s="144"/>
    </row>
    <row r="374" spans="7:35" hidden="1">
      <c r="G374" s="144"/>
      <c r="H374" s="144"/>
      <c r="I374" s="144"/>
      <c r="J374" s="144"/>
      <c r="K374" s="144"/>
      <c r="L374" s="144"/>
      <c r="M374" s="144"/>
      <c r="N374" s="144"/>
      <c r="O374" s="144"/>
      <c r="P374" s="144"/>
      <c r="Q374" s="144"/>
      <c r="R374" s="144"/>
      <c r="S374" s="144"/>
      <c r="T374" s="144"/>
      <c r="U374" s="144"/>
      <c r="V374" s="144"/>
      <c r="W374" s="144"/>
      <c r="X374" s="144"/>
      <c r="Y374" s="144"/>
      <c r="Z374" s="144"/>
      <c r="AA374" s="144"/>
      <c r="AB374" s="144"/>
      <c r="AC374" s="144"/>
      <c r="AD374" s="144"/>
      <c r="AE374" s="144"/>
      <c r="AF374" s="144"/>
      <c r="AG374" s="144"/>
      <c r="AH374" s="144"/>
      <c r="AI374" s="144"/>
    </row>
    <row r="375" spans="7:35" hidden="1">
      <c r="G375" s="144"/>
      <c r="H375" s="144"/>
      <c r="I375" s="144"/>
      <c r="J375" s="144"/>
      <c r="K375" s="144"/>
      <c r="L375" s="144"/>
      <c r="M375" s="144"/>
      <c r="N375" s="144"/>
      <c r="O375" s="144"/>
      <c r="P375" s="144"/>
      <c r="Q375" s="144"/>
      <c r="R375" s="144"/>
      <c r="S375" s="144"/>
      <c r="T375" s="144"/>
      <c r="U375" s="144"/>
      <c r="V375" s="144"/>
      <c r="W375" s="144"/>
      <c r="X375" s="144"/>
      <c r="Y375" s="144"/>
      <c r="Z375" s="144"/>
      <c r="AA375" s="144"/>
      <c r="AB375" s="144"/>
      <c r="AC375" s="144"/>
      <c r="AD375" s="144"/>
      <c r="AE375" s="144"/>
      <c r="AF375" s="144"/>
      <c r="AG375" s="144"/>
      <c r="AH375" s="144"/>
      <c r="AI375" s="144"/>
    </row>
    <row r="376" spans="7:35" hidden="1">
      <c r="G376" s="144"/>
      <c r="H376" s="144"/>
      <c r="I376" s="144"/>
      <c r="J376" s="144"/>
      <c r="K376" s="144"/>
      <c r="L376" s="144"/>
      <c r="M376" s="144"/>
      <c r="N376" s="144"/>
      <c r="O376" s="144"/>
      <c r="P376" s="144"/>
      <c r="Q376" s="144"/>
      <c r="R376" s="144"/>
      <c r="S376" s="144"/>
      <c r="T376" s="144"/>
      <c r="U376" s="144"/>
      <c r="V376" s="144"/>
      <c r="W376" s="144"/>
      <c r="X376" s="144"/>
      <c r="Y376" s="144"/>
      <c r="Z376" s="144"/>
      <c r="AA376" s="144"/>
      <c r="AB376" s="144"/>
      <c r="AC376" s="144"/>
      <c r="AD376" s="144"/>
      <c r="AE376" s="144"/>
      <c r="AF376" s="144"/>
      <c r="AG376" s="144"/>
      <c r="AH376" s="144"/>
      <c r="AI376" s="144"/>
    </row>
    <row r="377" spans="7:35" hidden="1">
      <c r="G377" s="144"/>
      <c r="H377" s="144"/>
      <c r="I377" s="144"/>
      <c r="J377" s="144"/>
      <c r="K377" s="144"/>
      <c r="L377" s="144"/>
      <c r="M377" s="144"/>
      <c r="N377" s="144"/>
      <c r="O377" s="144"/>
      <c r="P377" s="144"/>
      <c r="Q377" s="144"/>
      <c r="R377" s="144"/>
      <c r="S377" s="144"/>
      <c r="T377" s="144"/>
      <c r="U377" s="144"/>
      <c r="V377" s="144"/>
      <c r="W377" s="144"/>
      <c r="X377" s="144"/>
      <c r="Y377" s="144"/>
      <c r="Z377" s="144"/>
      <c r="AA377" s="144"/>
      <c r="AB377" s="144"/>
      <c r="AC377" s="144"/>
      <c r="AD377" s="144"/>
      <c r="AE377" s="144"/>
      <c r="AF377" s="144"/>
      <c r="AG377" s="144"/>
      <c r="AH377" s="144"/>
      <c r="AI377" s="144"/>
    </row>
    <row r="378" spans="7:35" hidden="1">
      <c r="G378" s="144"/>
      <c r="H378" s="144"/>
      <c r="I378" s="144"/>
      <c r="J378" s="144"/>
      <c r="K378" s="144"/>
      <c r="L378" s="144"/>
      <c r="M378" s="144"/>
      <c r="N378" s="144"/>
      <c r="O378" s="144"/>
      <c r="P378" s="144"/>
      <c r="Q378" s="144"/>
      <c r="R378" s="144"/>
      <c r="S378" s="144"/>
      <c r="T378" s="144"/>
      <c r="U378" s="144"/>
      <c r="V378" s="144"/>
      <c r="W378" s="144"/>
      <c r="X378" s="144"/>
      <c r="Y378" s="144"/>
      <c r="Z378" s="144"/>
      <c r="AA378" s="144"/>
      <c r="AB378" s="144"/>
      <c r="AC378" s="144"/>
      <c r="AD378" s="144"/>
      <c r="AE378" s="144"/>
      <c r="AF378" s="144"/>
      <c r="AG378" s="144"/>
      <c r="AH378" s="144"/>
      <c r="AI378" s="144"/>
    </row>
    <row r="379" spans="7:35" hidden="1">
      <c r="G379" s="144"/>
      <c r="H379" s="144"/>
      <c r="I379" s="144"/>
      <c r="J379" s="144"/>
      <c r="K379" s="144"/>
      <c r="L379" s="144"/>
      <c r="M379" s="144"/>
      <c r="N379" s="144"/>
      <c r="O379" s="144"/>
      <c r="P379" s="144"/>
      <c r="Q379" s="144"/>
      <c r="R379" s="144"/>
      <c r="S379" s="144"/>
      <c r="T379" s="144"/>
      <c r="U379" s="144"/>
      <c r="V379" s="144"/>
      <c r="W379" s="144"/>
      <c r="X379" s="144"/>
      <c r="Y379" s="144"/>
      <c r="Z379" s="144"/>
      <c r="AA379" s="144"/>
      <c r="AB379" s="144"/>
      <c r="AC379" s="144"/>
      <c r="AD379" s="144"/>
      <c r="AE379" s="144"/>
      <c r="AF379" s="144"/>
      <c r="AG379" s="144"/>
      <c r="AH379" s="144"/>
      <c r="AI379" s="144"/>
    </row>
    <row r="380" spans="7:35" hidden="1">
      <c r="G380" s="144"/>
      <c r="H380" s="144"/>
      <c r="I380" s="144"/>
      <c r="J380" s="144"/>
      <c r="K380" s="144"/>
      <c r="L380" s="144"/>
      <c r="M380" s="144"/>
      <c r="N380" s="144"/>
      <c r="O380" s="144"/>
      <c r="P380" s="144"/>
      <c r="Q380" s="144"/>
      <c r="R380" s="144"/>
      <c r="S380" s="144"/>
      <c r="T380" s="144"/>
      <c r="U380" s="144"/>
      <c r="V380" s="144"/>
      <c r="W380" s="144"/>
      <c r="X380" s="144"/>
      <c r="Y380" s="144"/>
      <c r="Z380" s="144"/>
      <c r="AA380" s="144"/>
      <c r="AB380" s="144"/>
      <c r="AC380" s="144"/>
      <c r="AD380" s="144"/>
      <c r="AE380" s="144"/>
      <c r="AF380" s="144"/>
      <c r="AG380" s="144"/>
      <c r="AH380" s="144"/>
      <c r="AI380" s="144"/>
    </row>
    <row r="381" spans="7:35" hidden="1">
      <c r="G381" s="144"/>
      <c r="H381" s="144"/>
      <c r="I381" s="144"/>
      <c r="J381" s="144"/>
      <c r="K381" s="144"/>
      <c r="L381" s="144"/>
      <c r="M381" s="144"/>
      <c r="N381" s="144"/>
      <c r="O381" s="144"/>
      <c r="P381" s="144"/>
      <c r="Q381" s="144"/>
      <c r="R381" s="144"/>
      <c r="S381" s="144"/>
      <c r="T381" s="144"/>
      <c r="U381" s="144"/>
      <c r="V381" s="144"/>
      <c r="W381" s="144"/>
      <c r="X381" s="144"/>
      <c r="Y381" s="144"/>
      <c r="Z381" s="144"/>
      <c r="AA381" s="144"/>
      <c r="AB381" s="144"/>
      <c r="AC381" s="144"/>
      <c r="AD381" s="144"/>
      <c r="AE381" s="144"/>
      <c r="AF381" s="144"/>
      <c r="AG381" s="144"/>
      <c r="AH381" s="144"/>
      <c r="AI381" s="144"/>
    </row>
    <row r="382" spans="7:35" hidden="1">
      <c r="G382" s="144"/>
      <c r="H382" s="144"/>
      <c r="I382" s="144"/>
      <c r="J382" s="144"/>
      <c r="K382" s="144"/>
      <c r="L382" s="144"/>
      <c r="M382" s="144"/>
      <c r="N382" s="144"/>
      <c r="O382" s="144"/>
      <c r="P382" s="144"/>
      <c r="Q382" s="144"/>
      <c r="R382" s="144"/>
      <c r="S382" s="144"/>
      <c r="T382" s="144"/>
      <c r="U382" s="144"/>
      <c r="V382" s="144"/>
      <c r="W382" s="144"/>
      <c r="X382" s="144"/>
      <c r="Y382" s="144"/>
      <c r="Z382" s="144"/>
      <c r="AA382" s="144"/>
      <c r="AB382" s="144"/>
      <c r="AC382" s="144"/>
      <c r="AD382" s="144"/>
      <c r="AE382" s="144"/>
      <c r="AF382" s="144"/>
      <c r="AG382" s="144"/>
      <c r="AH382" s="144"/>
      <c r="AI382" s="144"/>
    </row>
    <row r="383" spans="7:35" hidden="1">
      <c r="G383" s="144"/>
      <c r="H383" s="144"/>
      <c r="I383" s="144"/>
      <c r="J383" s="144"/>
      <c r="K383" s="144"/>
      <c r="L383" s="144"/>
      <c r="M383" s="144"/>
      <c r="N383" s="144"/>
      <c r="O383" s="144"/>
      <c r="P383" s="144"/>
      <c r="Q383" s="144"/>
      <c r="R383" s="144"/>
      <c r="S383" s="144"/>
      <c r="T383" s="144"/>
      <c r="U383" s="144"/>
      <c r="V383" s="144"/>
      <c r="W383" s="144"/>
      <c r="X383" s="144"/>
      <c r="Y383" s="144"/>
      <c r="Z383" s="144"/>
      <c r="AA383" s="144"/>
      <c r="AB383" s="144"/>
      <c r="AC383" s="144"/>
      <c r="AD383" s="144"/>
      <c r="AE383" s="144"/>
      <c r="AF383" s="144"/>
      <c r="AG383" s="144"/>
      <c r="AH383" s="144"/>
      <c r="AI383" s="144"/>
    </row>
    <row r="384" spans="7:35" hidden="1">
      <c r="G384" s="144"/>
      <c r="H384" s="144"/>
      <c r="I384" s="144"/>
      <c r="J384" s="144"/>
      <c r="K384" s="144"/>
      <c r="L384" s="144"/>
      <c r="M384" s="144"/>
      <c r="N384" s="144"/>
      <c r="O384" s="144"/>
      <c r="P384" s="144"/>
      <c r="Q384" s="144"/>
      <c r="R384" s="144"/>
      <c r="S384" s="144"/>
      <c r="T384" s="144"/>
      <c r="U384" s="144"/>
      <c r="V384" s="144"/>
      <c r="W384" s="144"/>
      <c r="X384" s="144"/>
      <c r="Y384" s="144"/>
      <c r="Z384" s="144"/>
      <c r="AA384" s="144"/>
      <c r="AB384" s="144"/>
      <c r="AC384" s="144"/>
      <c r="AD384" s="144"/>
      <c r="AE384" s="144"/>
      <c r="AF384" s="144"/>
      <c r="AG384" s="144"/>
      <c r="AH384" s="144"/>
      <c r="AI384" s="144"/>
    </row>
    <row r="385" spans="7:35" hidden="1">
      <c r="G385" s="144"/>
      <c r="H385" s="144"/>
      <c r="I385" s="144"/>
      <c r="J385" s="144"/>
      <c r="K385" s="144"/>
      <c r="L385" s="144"/>
      <c r="M385" s="144"/>
      <c r="N385" s="144"/>
      <c r="O385" s="144"/>
      <c r="P385" s="144"/>
      <c r="Q385" s="144"/>
      <c r="R385" s="144"/>
      <c r="S385" s="144"/>
      <c r="T385" s="144"/>
      <c r="U385" s="144"/>
      <c r="V385" s="144"/>
      <c r="W385" s="144"/>
      <c r="X385" s="144"/>
      <c r="Y385" s="144"/>
      <c r="Z385" s="144"/>
      <c r="AA385" s="144"/>
      <c r="AB385" s="144"/>
      <c r="AC385" s="144"/>
      <c r="AD385" s="144"/>
      <c r="AE385" s="144"/>
      <c r="AF385" s="144"/>
      <c r="AG385" s="144"/>
      <c r="AH385" s="144"/>
      <c r="AI385" s="144"/>
    </row>
    <row r="386" spans="7:35" hidden="1">
      <c r="G386" s="144"/>
      <c r="H386" s="144"/>
      <c r="I386" s="144"/>
      <c r="J386" s="144"/>
      <c r="K386" s="144"/>
      <c r="L386" s="144"/>
      <c r="M386" s="144"/>
      <c r="N386" s="144"/>
      <c r="O386" s="144"/>
      <c r="P386" s="144"/>
      <c r="Q386" s="144"/>
      <c r="R386" s="144"/>
      <c r="S386" s="144"/>
      <c r="T386" s="144"/>
      <c r="U386" s="144"/>
      <c r="V386" s="144"/>
      <c r="W386" s="144"/>
      <c r="X386" s="144"/>
      <c r="Y386" s="144"/>
      <c r="Z386" s="144"/>
      <c r="AA386" s="144"/>
      <c r="AB386" s="144"/>
      <c r="AC386" s="144"/>
      <c r="AD386" s="144"/>
      <c r="AE386" s="144"/>
      <c r="AF386" s="144"/>
      <c r="AG386" s="144"/>
      <c r="AH386" s="144"/>
      <c r="AI386" s="144"/>
    </row>
    <row r="387" spans="7:35" hidden="1">
      <c r="G387" s="144"/>
      <c r="H387" s="144"/>
      <c r="I387" s="144"/>
      <c r="J387" s="144"/>
      <c r="K387" s="144"/>
      <c r="L387" s="144"/>
      <c r="M387" s="144"/>
      <c r="N387" s="144"/>
      <c r="O387" s="144"/>
      <c r="P387" s="144"/>
      <c r="Q387" s="144"/>
      <c r="R387" s="144"/>
      <c r="S387" s="144"/>
      <c r="T387" s="144"/>
      <c r="U387" s="144"/>
      <c r="V387" s="144"/>
      <c r="W387" s="144"/>
      <c r="X387" s="144"/>
      <c r="Y387" s="144"/>
      <c r="Z387" s="144"/>
      <c r="AA387" s="144"/>
      <c r="AB387" s="144"/>
      <c r="AC387" s="144"/>
      <c r="AD387" s="144"/>
      <c r="AE387" s="144"/>
      <c r="AF387" s="144"/>
      <c r="AG387" s="144"/>
      <c r="AH387" s="144"/>
      <c r="AI387" s="144"/>
    </row>
    <row r="388" spans="7:35" hidden="1">
      <c r="G388" s="144"/>
      <c r="H388" s="144"/>
      <c r="I388" s="144"/>
      <c r="J388" s="144"/>
      <c r="K388" s="144"/>
      <c r="L388" s="144"/>
      <c r="M388" s="144"/>
      <c r="N388" s="144"/>
      <c r="O388" s="144"/>
      <c r="P388" s="144"/>
      <c r="Q388" s="144"/>
      <c r="R388" s="144"/>
      <c r="S388" s="144"/>
      <c r="T388" s="144"/>
      <c r="U388" s="144"/>
      <c r="V388" s="144"/>
      <c r="W388" s="144"/>
      <c r="X388" s="144"/>
      <c r="Y388" s="144"/>
      <c r="Z388" s="144"/>
      <c r="AA388" s="144"/>
      <c r="AB388" s="144"/>
      <c r="AC388" s="144"/>
      <c r="AD388" s="144"/>
      <c r="AE388" s="144"/>
      <c r="AF388" s="144"/>
      <c r="AG388" s="144"/>
      <c r="AH388" s="144"/>
      <c r="AI388" s="144"/>
    </row>
    <row r="389" spans="7:35" hidden="1">
      <c r="G389" s="144"/>
      <c r="H389" s="144"/>
      <c r="I389" s="144"/>
      <c r="J389" s="144"/>
      <c r="K389" s="144"/>
      <c r="L389" s="144"/>
      <c r="M389" s="144"/>
      <c r="N389" s="144"/>
      <c r="O389" s="144"/>
      <c r="P389" s="144"/>
      <c r="Q389" s="144"/>
      <c r="R389" s="144"/>
      <c r="S389" s="144"/>
      <c r="T389" s="144"/>
      <c r="U389" s="144"/>
      <c r="V389" s="144"/>
      <c r="W389" s="144"/>
      <c r="X389" s="144"/>
      <c r="Y389" s="144"/>
      <c r="Z389" s="144"/>
      <c r="AA389" s="144"/>
      <c r="AB389" s="144"/>
      <c r="AC389" s="144"/>
      <c r="AD389" s="144"/>
      <c r="AE389" s="144"/>
      <c r="AF389" s="144"/>
      <c r="AG389" s="144"/>
      <c r="AH389" s="144"/>
      <c r="AI389" s="144"/>
    </row>
    <row r="390" spans="7:35" hidden="1">
      <c r="G390" s="144"/>
      <c r="H390" s="144"/>
      <c r="I390" s="144"/>
      <c r="J390" s="144"/>
      <c r="K390" s="144"/>
      <c r="L390" s="144"/>
      <c r="M390" s="144"/>
      <c r="N390" s="144"/>
      <c r="O390" s="144"/>
      <c r="P390" s="144"/>
      <c r="Q390" s="144"/>
      <c r="R390" s="144"/>
      <c r="S390" s="144"/>
      <c r="T390" s="144"/>
      <c r="U390" s="144"/>
      <c r="V390" s="144"/>
      <c r="W390" s="144"/>
      <c r="X390" s="144"/>
      <c r="Y390" s="144"/>
      <c r="Z390" s="144"/>
      <c r="AA390" s="144"/>
      <c r="AB390" s="144"/>
      <c r="AC390" s="144"/>
      <c r="AD390" s="144"/>
      <c r="AE390" s="144"/>
      <c r="AF390" s="144"/>
      <c r="AG390" s="144"/>
      <c r="AH390" s="144"/>
      <c r="AI390" s="144"/>
    </row>
    <row r="391" spans="7:35" hidden="1">
      <c r="G391" s="144"/>
      <c r="H391" s="144"/>
      <c r="I391" s="144"/>
      <c r="J391" s="144"/>
      <c r="K391" s="144"/>
      <c r="L391" s="144"/>
      <c r="M391" s="144"/>
      <c r="N391" s="144"/>
      <c r="O391" s="144"/>
      <c r="P391" s="144"/>
      <c r="Q391" s="144"/>
      <c r="R391" s="144"/>
      <c r="S391" s="144"/>
      <c r="T391" s="144"/>
      <c r="U391" s="144"/>
      <c r="V391" s="144"/>
      <c r="W391" s="144"/>
      <c r="X391" s="144"/>
      <c r="Y391" s="144"/>
      <c r="Z391" s="144"/>
      <c r="AA391" s="144"/>
      <c r="AB391" s="144"/>
      <c r="AC391" s="144"/>
      <c r="AD391" s="144"/>
      <c r="AE391" s="144"/>
      <c r="AF391" s="144"/>
      <c r="AG391" s="144"/>
      <c r="AH391" s="144"/>
      <c r="AI391" s="144"/>
    </row>
    <row r="392" spans="7:35" hidden="1">
      <c r="G392" s="144"/>
      <c r="H392" s="144"/>
      <c r="I392" s="144"/>
      <c r="J392" s="144"/>
      <c r="K392" s="144"/>
      <c r="L392" s="144"/>
      <c r="M392" s="144"/>
      <c r="N392" s="144"/>
      <c r="O392" s="144"/>
      <c r="P392" s="144"/>
      <c r="Q392" s="144"/>
      <c r="R392" s="144"/>
      <c r="S392" s="144"/>
      <c r="T392" s="144"/>
      <c r="U392" s="144"/>
      <c r="V392" s="144"/>
      <c r="W392" s="144"/>
      <c r="X392" s="144"/>
      <c r="Y392" s="144"/>
      <c r="Z392" s="144"/>
      <c r="AA392" s="144"/>
      <c r="AB392" s="144"/>
      <c r="AC392" s="144"/>
      <c r="AD392" s="144"/>
      <c r="AE392" s="144"/>
      <c r="AF392" s="144"/>
      <c r="AG392" s="144"/>
      <c r="AH392" s="144"/>
      <c r="AI392" s="144"/>
    </row>
    <row r="393" spans="7:35" hidden="1">
      <c r="G393" s="144"/>
      <c r="H393" s="144"/>
      <c r="I393" s="144"/>
      <c r="J393" s="144"/>
      <c r="K393" s="144"/>
      <c r="L393" s="144"/>
      <c r="M393" s="144"/>
      <c r="N393" s="144"/>
      <c r="O393" s="144"/>
      <c r="P393" s="144"/>
      <c r="Q393" s="144"/>
      <c r="R393" s="144"/>
      <c r="S393" s="144"/>
      <c r="T393" s="144"/>
      <c r="U393" s="144"/>
      <c r="V393" s="144"/>
      <c r="W393" s="144"/>
      <c r="X393" s="144"/>
      <c r="Y393" s="144"/>
      <c r="Z393" s="144"/>
      <c r="AA393" s="144"/>
      <c r="AB393" s="144"/>
      <c r="AC393" s="144"/>
      <c r="AD393" s="144"/>
      <c r="AE393" s="144"/>
      <c r="AF393" s="144"/>
      <c r="AG393" s="144"/>
      <c r="AH393" s="144"/>
      <c r="AI393" s="144"/>
    </row>
    <row r="394" spans="7:35" hidden="1">
      <c r="G394" s="144"/>
      <c r="H394" s="144"/>
      <c r="I394" s="144"/>
      <c r="J394" s="144"/>
      <c r="K394" s="144"/>
      <c r="L394" s="144"/>
      <c r="M394" s="144"/>
      <c r="N394" s="144"/>
      <c r="O394" s="144"/>
      <c r="P394" s="144"/>
      <c r="Q394" s="144"/>
      <c r="R394" s="144"/>
      <c r="S394" s="144"/>
      <c r="T394" s="144"/>
      <c r="U394" s="144"/>
      <c r="V394" s="144"/>
      <c r="W394" s="144"/>
      <c r="X394" s="144"/>
      <c r="Y394" s="144"/>
      <c r="Z394" s="144"/>
      <c r="AA394" s="144"/>
      <c r="AB394" s="144"/>
      <c r="AC394" s="144"/>
      <c r="AD394" s="144"/>
      <c r="AE394" s="144"/>
      <c r="AF394" s="144"/>
      <c r="AG394" s="144"/>
      <c r="AH394" s="144"/>
      <c r="AI394" s="144"/>
    </row>
    <row r="395" spans="7:35" hidden="1">
      <c r="G395" s="144"/>
      <c r="H395" s="144"/>
      <c r="I395" s="144"/>
      <c r="J395" s="144"/>
      <c r="K395" s="144"/>
      <c r="L395" s="144"/>
      <c r="M395" s="144"/>
      <c r="N395" s="144"/>
      <c r="O395" s="144"/>
      <c r="P395" s="144"/>
      <c r="Q395" s="144"/>
      <c r="R395" s="144"/>
      <c r="S395" s="144"/>
      <c r="T395" s="144"/>
      <c r="U395" s="144"/>
      <c r="V395" s="144"/>
      <c r="W395" s="144"/>
      <c r="X395" s="144"/>
      <c r="Y395" s="144"/>
      <c r="Z395" s="144"/>
      <c r="AA395" s="144"/>
      <c r="AB395" s="144"/>
      <c r="AC395" s="144"/>
      <c r="AD395" s="144"/>
      <c r="AE395" s="144"/>
      <c r="AF395" s="144"/>
      <c r="AG395" s="144"/>
      <c r="AH395" s="144"/>
      <c r="AI395" s="144"/>
    </row>
    <row r="396" spans="7:35" hidden="1">
      <c r="G396" s="144"/>
      <c r="H396" s="144"/>
      <c r="I396" s="144"/>
      <c r="J396" s="144"/>
      <c r="K396" s="144"/>
      <c r="L396" s="144"/>
      <c r="M396" s="144"/>
      <c r="N396" s="144"/>
      <c r="O396" s="144"/>
      <c r="P396" s="144"/>
      <c r="Q396" s="144"/>
      <c r="R396" s="144"/>
      <c r="S396" s="144"/>
      <c r="T396" s="144"/>
      <c r="U396" s="144"/>
      <c r="V396" s="144"/>
      <c r="W396" s="144"/>
      <c r="X396" s="144"/>
      <c r="Y396" s="144"/>
      <c r="Z396" s="144"/>
      <c r="AA396" s="144"/>
      <c r="AB396" s="144"/>
      <c r="AC396" s="144"/>
      <c r="AD396" s="144"/>
      <c r="AE396" s="144"/>
      <c r="AF396" s="144"/>
      <c r="AG396" s="144"/>
      <c r="AH396" s="144"/>
      <c r="AI396" s="144"/>
    </row>
    <row r="397" spans="7:35" hidden="1">
      <c r="G397" s="144"/>
      <c r="H397" s="144"/>
      <c r="I397" s="144"/>
      <c r="J397" s="144"/>
      <c r="K397" s="144"/>
      <c r="L397" s="144"/>
      <c r="M397" s="144"/>
      <c r="N397" s="144"/>
      <c r="O397" s="144"/>
      <c r="P397" s="144"/>
      <c r="Q397" s="144"/>
      <c r="R397" s="144"/>
      <c r="S397" s="144"/>
      <c r="T397" s="144"/>
      <c r="U397" s="144"/>
      <c r="V397" s="144"/>
      <c r="W397" s="144"/>
      <c r="X397" s="144"/>
      <c r="Y397" s="144"/>
      <c r="Z397" s="144"/>
      <c r="AA397" s="144"/>
      <c r="AB397" s="144"/>
      <c r="AC397" s="144"/>
      <c r="AD397" s="144"/>
      <c r="AE397" s="144"/>
      <c r="AF397" s="144"/>
      <c r="AG397" s="144"/>
      <c r="AH397" s="144"/>
      <c r="AI397" s="144"/>
    </row>
    <row r="398" spans="7:35" hidden="1">
      <c r="G398" s="144"/>
      <c r="H398" s="144"/>
      <c r="I398" s="144"/>
      <c r="J398" s="144"/>
      <c r="K398" s="144"/>
      <c r="L398" s="144"/>
      <c r="M398" s="144"/>
      <c r="N398" s="144"/>
      <c r="O398" s="144"/>
      <c r="P398" s="144"/>
      <c r="Q398" s="144"/>
      <c r="R398" s="144"/>
      <c r="S398" s="144"/>
      <c r="T398" s="144"/>
      <c r="U398" s="144"/>
      <c r="V398" s="144"/>
      <c r="W398" s="144"/>
      <c r="X398" s="144"/>
      <c r="Y398" s="144"/>
      <c r="Z398" s="144"/>
      <c r="AA398" s="144"/>
      <c r="AB398" s="144"/>
      <c r="AC398" s="144"/>
      <c r="AD398" s="144"/>
      <c r="AE398" s="144"/>
      <c r="AF398" s="144"/>
      <c r="AG398" s="144"/>
      <c r="AH398" s="144"/>
      <c r="AI398" s="144"/>
    </row>
    <row r="399" spans="7:35" hidden="1">
      <c r="G399" s="144"/>
      <c r="H399" s="144"/>
      <c r="I399" s="144"/>
      <c r="J399" s="144"/>
      <c r="K399" s="144"/>
      <c r="L399" s="144"/>
      <c r="M399" s="144"/>
      <c r="N399" s="144"/>
      <c r="O399" s="144"/>
      <c r="P399" s="144"/>
      <c r="Q399" s="144"/>
      <c r="R399" s="144"/>
      <c r="S399" s="144"/>
      <c r="T399" s="144"/>
      <c r="U399" s="144"/>
      <c r="V399" s="144"/>
      <c r="W399" s="144"/>
      <c r="X399" s="144"/>
      <c r="Y399" s="144"/>
      <c r="Z399" s="144"/>
      <c r="AA399" s="144"/>
      <c r="AB399" s="144"/>
      <c r="AC399" s="144"/>
      <c r="AD399" s="144"/>
      <c r="AE399" s="144"/>
      <c r="AF399" s="144"/>
      <c r="AG399" s="144"/>
      <c r="AH399" s="144"/>
      <c r="AI399" s="144"/>
    </row>
    <row r="400" spans="7:35" hidden="1">
      <c r="G400" s="144"/>
      <c r="H400" s="144"/>
      <c r="I400" s="144"/>
      <c r="J400" s="144"/>
      <c r="K400" s="144"/>
      <c r="L400" s="144"/>
      <c r="M400" s="144"/>
      <c r="N400" s="144"/>
      <c r="O400" s="144"/>
      <c r="P400" s="144"/>
      <c r="Q400" s="144"/>
      <c r="R400" s="144"/>
      <c r="S400" s="144"/>
      <c r="T400" s="144"/>
      <c r="U400" s="144"/>
      <c r="V400" s="144"/>
      <c r="W400" s="144"/>
      <c r="X400" s="144"/>
      <c r="Y400" s="144"/>
      <c r="Z400" s="144"/>
      <c r="AA400" s="144"/>
      <c r="AB400" s="144"/>
      <c r="AC400" s="144"/>
      <c r="AD400" s="144"/>
      <c r="AE400" s="144"/>
      <c r="AF400" s="144"/>
      <c r="AG400" s="144"/>
      <c r="AH400" s="144"/>
      <c r="AI400" s="144"/>
    </row>
    <row r="401" spans="7:35" hidden="1">
      <c r="G401" s="144"/>
      <c r="H401" s="144"/>
      <c r="I401" s="144"/>
      <c r="J401" s="144"/>
      <c r="K401" s="144"/>
      <c r="L401" s="144"/>
      <c r="M401" s="144"/>
      <c r="N401" s="144"/>
      <c r="O401" s="144"/>
      <c r="P401" s="144"/>
      <c r="Q401" s="144"/>
      <c r="R401" s="144"/>
      <c r="S401" s="144"/>
      <c r="T401" s="144"/>
      <c r="U401" s="144"/>
      <c r="V401" s="144"/>
      <c r="W401" s="144"/>
      <c r="X401" s="144"/>
      <c r="Y401" s="144"/>
      <c r="Z401" s="144"/>
      <c r="AA401" s="144"/>
      <c r="AB401" s="144"/>
      <c r="AC401" s="144"/>
      <c r="AD401" s="144"/>
      <c r="AE401" s="144"/>
      <c r="AF401" s="144"/>
      <c r="AG401" s="144"/>
      <c r="AH401" s="144"/>
      <c r="AI401" s="144"/>
    </row>
    <row r="402" spans="7:35" hidden="1">
      <c r="G402" s="144"/>
      <c r="H402" s="144"/>
      <c r="I402" s="144"/>
      <c r="J402" s="144"/>
      <c r="K402" s="144"/>
      <c r="L402" s="144"/>
      <c r="M402" s="144"/>
      <c r="N402" s="144"/>
      <c r="O402" s="144"/>
      <c r="P402" s="144"/>
      <c r="Q402" s="144"/>
      <c r="R402" s="144"/>
      <c r="S402" s="144"/>
      <c r="T402" s="144"/>
      <c r="U402" s="144"/>
      <c r="V402" s="144"/>
      <c r="W402" s="144"/>
      <c r="X402" s="144"/>
      <c r="Y402" s="144"/>
      <c r="Z402" s="144"/>
      <c r="AA402" s="144"/>
      <c r="AB402" s="144"/>
      <c r="AC402" s="144"/>
      <c r="AD402" s="144"/>
      <c r="AE402" s="144"/>
      <c r="AF402" s="144"/>
      <c r="AG402" s="144"/>
      <c r="AH402" s="144"/>
      <c r="AI402" s="144"/>
    </row>
    <row r="403" spans="7:35" hidden="1">
      <c r="G403" s="144"/>
      <c r="H403" s="144"/>
      <c r="I403" s="144"/>
      <c r="J403" s="144"/>
      <c r="K403" s="144"/>
      <c r="L403" s="144"/>
      <c r="M403" s="144"/>
      <c r="N403" s="144"/>
      <c r="O403" s="144"/>
      <c r="P403" s="144"/>
      <c r="Q403" s="144"/>
      <c r="R403" s="144"/>
      <c r="S403" s="144"/>
      <c r="T403" s="144"/>
      <c r="U403" s="144"/>
      <c r="V403" s="144"/>
      <c r="W403" s="144"/>
      <c r="X403" s="144"/>
      <c r="Y403" s="144"/>
      <c r="Z403" s="144"/>
      <c r="AA403" s="144"/>
      <c r="AB403" s="144"/>
      <c r="AC403" s="144"/>
      <c r="AD403" s="144"/>
      <c r="AE403" s="144"/>
      <c r="AF403" s="144"/>
      <c r="AG403" s="144"/>
      <c r="AH403" s="144"/>
      <c r="AI403" s="144"/>
    </row>
    <row r="404" spans="7:35" hidden="1">
      <c r="G404" s="144"/>
      <c r="H404" s="144"/>
      <c r="I404" s="144"/>
      <c r="J404" s="144"/>
      <c r="K404" s="144"/>
      <c r="L404" s="144"/>
      <c r="M404" s="144"/>
      <c r="N404" s="144"/>
      <c r="O404" s="144"/>
      <c r="P404" s="144"/>
      <c r="Q404" s="144"/>
      <c r="R404" s="144"/>
      <c r="S404" s="144"/>
      <c r="T404" s="144"/>
      <c r="U404" s="144"/>
      <c r="V404" s="144"/>
      <c r="W404" s="144"/>
      <c r="X404" s="144"/>
      <c r="Y404" s="144"/>
      <c r="Z404" s="144"/>
      <c r="AA404" s="144"/>
      <c r="AB404" s="144"/>
      <c r="AC404" s="144"/>
      <c r="AD404" s="144"/>
      <c r="AE404" s="144"/>
      <c r="AF404" s="144"/>
      <c r="AG404" s="144"/>
      <c r="AH404" s="144"/>
      <c r="AI404" s="144"/>
    </row>
    <row r="405" spans="7:35" hidden="1">
      <c r="G405" s="144"/>
      <c r="H405" s="144"/>
      <c r="I405" s="144"/>
      <c r="J405" s="144"/>
      <c r="K405" s="144"/>
      <c r="L405" s="144"/>
      <c r="M405" s="144"/>
      <c r="N405" s="144"/>
      <c r="O405" s="144"/>
      <c r="P405" s="144"/>
      <c r="Q405" s="144"/>
      <c r="R405" s="144"/>
      <c r="S405" s="144"/>
      <c r="T405" s="144"/>
      <c r="U405" s="144"/>
      <c r="V405" s="144"/>
      <c r="W405" s="144"/>
      <c r="X405" s="144"/>
      <c r="Y405" s="144"/>
      <c r="Z405" s="144"/>
      <c r="AA405" s="144"/>
      <c r="AB405" s="144"/>
      <c r="AC405" s="144"/>
      <c r="AD405" s="144"/>
      <c r="AE405" s="144"/>
      <c r="AF405" s="144"/>
      <c r="AG405" s="144"/>
      <c r="AH405" s="144"/>
      <c r="AI405" s="144"/>
    </row>
    <row r="406" spans="7:35" hidden="1">
      <c r="G406" s="144"/>
      <c r="H406" s="144"/>
      <c r="I406" s="144"/>
      <c r="J406" s="144"/>
      <c r="K406" s="144"/>
      <c r="L406" s="144"/>
      <c r="M406" s="144"/>
      <c r="N406" s="144"/>
      <c r="O406" s="144"/>
      <c r="P406" s="144"/>
      <c r="Q406" s="144"/>
      <c r="R406" s="144"/>
      <c r="S406" s="144"/>
      <c r="T406" s="144"/>
      <c r="U406" s="144"/>
      <c r="V406" s="144"/>
      <c r="W406" s="144"/>
      <c r="X406" s="144"/>
      <c r="Y406" s="144"/>
      <c r="Z406" s="144"/>
      <c r="AA406" s="144"/>
      <c r="AB406" s="144"/>
      <c r="AC406" s="144"/>
      <c r="AD406" s="144"/>
      <c r="AE406" s="144"/>
      <c r="AF406" s="144"/>
      <c r="AG406" s="144"/>
      <c r="AH406" s="144"/>
      <c r="AI406" s="144"/>
    </row>
    <row r="407" spans="7:35" hidden="1">
      <c r="G407" s="144"/>
      <c r="H407" s="144"/>
      <c r="I407" s="144"/>
      <c r="J407" s="144"/>
      <c r="K407" s="144"/>
      <c r="L407" s="144"/>
      <c r="M407" s="144"/>
      <c r="N407" s="144"/>
      <c r="O407" s="144"/>
      <c r="P407" s="144"/>
      <c r="Q407" s="144"/>
      <c r="R407" s="144"/>
      <c r="S407" s="144"/>
      <c r="T407" s="144"/>
      <c r="U407" s="144"/>
      <c r="V407" s="144"/>
      <c r="W407" s="144"/>
      <c r="X407" s="144"/>
      <c r="Y407" s="144"/>
      <c r="Z407" s="144"/>
      <c r="AA407" s="144"/>
      <c r="AB407" s="144"/>
      <c r="AC407" s="144"/>
      <c r="AD407" s="144"/>
      <c r="AE407" s="144"/>
      <c r="AF407" s="144"/>
      <c r="AG407" s="144"/>
      <c r="AH407" s="144"/>
      <c r="AI407" s="144"/>
    </row>
    <row r="408" spans="7:35" hidden="1">
      <c r="G408" s="144"/>
      <c r="H408" s="144"/>
      <c r="I408" s="144"/>
      <c r="J408" s="144"/>
      <c r="K408" s="144"/>
      <c r="L408" s="144"/>
      <c r="M408" s="144"/>
      <c r="N408" s="144"/>
      <c r="O408" s="144"/>
      <c r="P408" s="144"/>
      <c r="Q408" s="144"/>
      <c r="R408" s="144"/>
      <c r="S408" s="144"/>
      <c r="T408" s="144"/>
      <c r="U408" s="144"/>
      <c r="V408" s="144"/>
      <c r="W408" s="144"/>
      <c r="X408" s="144"/>
      <c r="Y408" s="144"/>
      <c r="Z408" s="144"/>
      <c r="AA408" s="144"/>
      <c r="AB408" s="144"/>
      <c r="AC408" s="144"/>
      <c r="AD408" s="144"/>
      <c r="AE408" s="144"/>
      <c r="AF408" s="144"/>
      <c r="AG408" s="144"/>
      <c r="AH408" s="144"/>
      <c r="AI408" s="144"/>
    </row>
    <row r="409" spans="7:35" hidden="1">
      <c r="G409" s="144"/>
      <c r="H409" s="144"/>
      <c r="I409" s="144"/>
      <c r="J409" s="144"/>
      <c r="K409" s="144"/>
      <c r="L409" s="144"/>
      <c r="M409" s="144"/>
      <c r="N409" s="144"/>
      <c r="O409" s="144"/>
      <c r="P409" s="144"/>
      <c r="Q409" s="144"/>
      <c r="R409" s="144"/>
      <c r="S409" s="144"/>
      <c r="T409" s="144"/>
      <c r="U409" s="144"/>
      <c r="V409" s="144"/>
      <c r="W409" s="144"/>
      <c r="X409" s="144"/>
      <c r="Y409" s="144"/>
      <c r="Z409" s="144"/>
      <c r="AA409" s="144"/>
      <c r="AB409" s="144"/>
      <c r="AC409" s="144"/>
      <c r="AD409" s="144"/>
      <c r="AE409" s="144"/>
      <c r="AF409" s="144"/>
      <c r="AG409" s="144"/>
      <c r="AH409" s="144"/>
      <c r="AI409" s="144"/>
    </row>
    <row r="410" spans="7:35" hidden="1">
      <c r="G410" s="144"/>
      <c r="H410" s="144"/>
      <c r="I410" s="144"/>
      <c r="J410" s="144"/>
      <c r="K410" s="144"/>
      <c r="L410" s="144"/>
      <c r="M410" s="144"/>
      <c r="N410" s="144"/>
      <c r="O410" s="144"/>
      <c r="P410" s="144"/>
      <c r="Q410" s="144"/>
      <c r="R410" s="144"/>
      <c r="S410" s="144"/>
      <c r="T410" s="144"/>
      <c r="U410" s="144"/>
      <c r="V410" s="144"/>
      <c r="W410" s="144"/>
      <c r="X410" s="144"/>
      <c r="Y410" s="144"/>
      <c r="Z410" s="144"/>
      <c r="AA410" s="144"/>
      <c r="AB410" s="144"/>
      <c r="AC410" s="144"/>
      <c r="AD410" s="144"/>
      <c r="AE410" s="144"/>
      <c r="AF410" s="144"/>
      <c r="AG410" s="144"/>
      <c r="AH410" s="144"/>
      <c r="AI410" s="144"/>
    </row>
    <row r="411" spans="7:35" hidden="1">
      <c r="G411" s="144"/>
      <c r="H411" s="144"/>
      <c r="I411" s="144"/>
      <c r="J411" s="144"/>
      <c r="K411" s="144"/>
      <c r="L411" s="144"/>
      <c r="M411" s="144"/>
      <c r="N411" s="144"/>
      <c r="O411" s="144"/>
      <c r="P411" s="144"/>
      <c r="Q411" s="144"/>
      <c r="R411" s="144"/>
      <c r="S411" s="144"/>
      <c r="T411" s="144"/>
      <c r="U411" s="144"/>
      <c r="V411" s="144"/>
      <c r="W411" s="144"/>
      <c r="X411" s="144"/>
      <c r="Y411" s="144"/>
      <c r="Z411" s="144"/>
      <c r="AA411" s="144"/>
      <c r="AB411" s="144"/>
      <c r="AC411" s="144"/>
      <c r="AD411" s="144"/>
      <c r="AE411" s="144"/>
      <c r="AF411" s="144"/>
      <c r="AG411" s="144"/>
      <c r="AH411" s="144"/>
      <c r="AI411" s="144"/>
    </row>
    <row r="412" spans="7:35" hidden="1">
      <c r="G412" s="144"/>
      <c r="H412" s="144"/>
      <c r="I412" s="144"/>
      <c r="J412" s="144"/>
      <c r="K412" s="144"/>
      <c r="L412" s="144"/>
      <c r="M412" s="144"/>
      <c r="N412" s="144"/>
      <c r="O412" s="144"/>
      <c r="P412" s="144"/>
      <c r="Q412" s="144"/>
      <c r="R412" s="144"/>
      <c r="S412" s="144"/>
      <c r="T412" s="144"/>
      <c r="U412" s="144"/>
      <c r="V412" s="144"/>
      <c r="W412" s="144"/>
      <c r="X412" s="144"/>
      <c r="Y412" s="144"/>
      <c r="Z412" s="144"/>
      <c r="AA412" s="144"/>
      <c r="AB412" s="144"/>
      <c r="AC412" s="144"/>
      <c r="AD412" s="144"/>
      <c r="AE412" s="144"/>
      <c r="AF412" s="144"/>
      <c r="AG412" s="144"/>
      <c r="AH412" s="144"/>
      <c r="AI412" s="144"/>
    </row>
    <row r="413" spans="7:35" hidden="1">
      <c r="G413" s="144"/>
      <c r="H413" s="144"/>
      <c r="I413" s="144"/>
      <c r="J413" s="144"/>
      <c r="K413" s="144"/>
      <c r="L413" s="144"/>
      <c r="M413" s="144"/>
      <c r="N413" s="144"/>
      <c r="O413" s="144"/>
      <c r="P413" s="144"/>
      <c r="Q413" s="144"/>
      <c r="R413" s="144"/>
      <c r="S413" s="144"/>
      <c r="T413" s="144"/>
      <c r="U413" s="144"/>
      <c r="V413" s="144"/>
      <c r="W413" s="144"/>
      <c r="X413" s="144"/>
      <c r="Y413" s="144"/>
      <c r="Z413" s="144"/>
      <c r="AA413" s="144"/>
      <c r="AB413" s="144"/>
      <c r="AC413" s="144"/>
      <c r="AD413" s="144"/>
      <c r="AE413" s="144"/>
      <c r="AF413" s="144"/>
      <c r="AG413" s="144"/>
      <c r="AH413" s="144"/>
      <c r="AI413" s="144"/>
    </row>
    <row r="414" spans="7:35" hidden="1">
      <c r="G414" s="144"/>
      <c r="H414" s="144"/>
      <c r="I414" s="144"/>
      <c r="J414" s="144"/>
      <c r="K414" s="144"/>
      <c r="L414" s="144"/>
      <c r="M414" s="144"/>
      <c r="N414" s="144"/>
      <c r="O414" s="144"/>
      <c r="P414" s="144"/>
      <c r="Q414" s="144"/>
      <c r="R414" s="144"/>
      <c r="S414" s="144"/>
      <c r="T414" s="144"/>
      <c r="U414" s="144"/>
      <c r="V414" s="144"/>
      <c r="W414" s="144"/>
      <c r="X414" s="144"/>
      <c r="Y414" s="144"/>
      <c r="Z414" s="144"/>
      <c r="AA414" s="144"/>
      <c r="AB414" s="144"/>
      <c r="AC414" s="144"/>
      <c r="AD414" s="144"/>
      <c r="AE414" s="144"/>
      <c r="AF414" s="144"/>
      <c r="AG414" s="144"/>
      <c r="AH414" s="144"/>
      <c r="AI414" s="144"/>
    </row>
    <row r="415" spans="7:35" hidden="1">
      <c r="G415" s="144"/>
      <c r="H415" s="144"/>
      <c r="I415" s="144"/>
      <c r="J415" s="144"/>
      <c r="K415" s="144"/>
      <c r="L415" s="144"/>
      <c r="M415" s="144"/>
      <c r="N415" s="144"/>
      <c r="O415" s="144"/>
      <c r="P415" s="144"/>
      <c r="Q415" s="144"/>
      <c r="R415" s="144"/>
      <c r="S415" s="144"/>
      <c r="T415" s="144"/>
      <c r="U415" s="144"/>
      <c r="V415" s="144"/>
      <c r="W415" s="144"/>
      <c r="X415" s="144"/>
      <c r="Y415" s="144"/>
      <c r="Z415" s="144"/>
      <c r="AA415" s="144"/>
      <c r="AB415" s="144"/>
      <c r="AC415" s="144"/>
      <c r="AD415" s="144"/>
      <c r="AE415" s="144"/>
      <c r="AF415" s="144"/>
      <c r="AG415" s="144"/>
      <c r="AH415" s="144"/>
      <c r="AI415" s="144"/>
    </row>
    <row r="416" spans="7:35" hidden="1">
      <c r="G416" s="144"/>
      <c r="H416" s="144"/>
      <c r="I416" s="144"/>
      <c r="J416" s="144"/>
      <c r="K416" s="144"/>
      <c r="L416" s="144"/>
      <c r="M416" s="144"/>
      <c r="N416" s="144"/>
      <c r="O416" s="144"/>
      <c r="P416" s="144"/>
      <c r="Q416" s="144"/>
      <c r="R416" s="144"/>
      <c r="S416" s="144"/>
      <c r="T416" s="144"/>
      <c r="U416" s="144"/>
      <c r="V416" s="144"/>
      <c r="W416" s="144"/>
      <c r="X416" s="144"/>
      <c r="Y416" s="144"/>
      <c r="Z416" s="144"/>
      <c r="AA416" s="144"/>
      <c r="AB416" s="144"/>
      <c r="AC416" s="144"/>
      <c r="AD416" s="144"/>
      <c r="AE416" s="144"/>
      <c r="AF416" s="144"/>
      <c r="AG416" s="144"/>
      <c r="AH416" s="144"/>
      <c r="AI416" s="144"/>
    </row>
    <row r="417" spans="7:35" hidden="1">
      <c r="G417" s="144"/>
      <c r="H417" s="144"/>
      <c r="I417" s="144"/>
      <c r="J417" s="144"/>
      <c r="K417" s="144"/>
      <c r="L417" s="144"/>
      <c r="M417" s="144"/>
      <c r="N417" s="144"/>
      <c r="O417" s="144"/>
      <c r="P417" s="144"/>
      <c r="Q417" s="144"/>
      <c r="R417" s="144"/>
      <c r="S417" s="144"/>
      <c r="T417" s="144"/>
      <c r="U417" s="144"/>
      <c r="V417" s="144"/>
      <c r="W417" s="144"/>
      <c r="X417" s="144"/>
      <c r="Y417" s="144"/>
      <c r="Z417" s="144"/>
      <c r="AA417" s="144"/>
      <c r="AB417" s="144"/>
      <c r="AC417" s="144"/>
      <c r="AD417" s="144"/>
      <c r="AE417" s="144"/>
      <c r="AF417" s="144"/>
      <c r="AG417" s="144"/>
      <c r="AH417" s="144"/>
      <c r="AI417" s="144"/>
    </row>
    <row r="418" spans="7:35" hidden="1">
      <c r="G418" s="144"/>
      <c r="H418" s="144"/>
      <c r="I418" s="144"/>
      <c r="J418" s="144"/>
      <c r="K418" s="144"/>
      <c r="L418" s="144"/>
      <c r="M418" s="144"/>
      <c r="N418" s="144"/>
      <c r="O418" s="144"/>
      <c r="P418" s="144"/>
      <c r="Q418" s="144"/>
      <c r="R418" s="144"/>
      <c r="S418" s="144"/>
      <c r="T418" s="144"/>
      <c r="U418" s="144"/>
      <c r="V418" s="144"/>
      <c r="W418" s="144"/>
      <c r="X418" s="144"/>
      <c r="Y418" s="144"/>
      <c r="Z418" s="144"/>
      <c r="AA418" s="144"/>
      <c r="AB418" s="144"/>
      <c r="AC418" s="144"/>
      <c r="AD418" s="144"/>
      <c r="AE418" s="144"/>
      <c r="AF418" s="144"/>
      <c r="AG418" s="144"/>
      <c r="AH418" s="144"/>
      <c r="AI418" s="144"/>
    </row>
    <row r="419" spans="7:35" hidden="1">
      <c r="G419" s="144"/>
      <c r="H419" s="144"/>
      <c r="I419" s="144"/>
      <c r="J419" s="144"/>
      <c r="K419" s="144"/>
      <c r="L419" s="144"/>
      <c r="M419" s="144"/>
      <c r="N419" s="144"/>
      <c r="O419" s="144"/>
      <c r="P419" s="144"/>
      <c r="Q419" s="144"/>
      <c r="R419" s="144"/>
      <c r="S419" s="144"/>
      <c r="T419" s="144"/>
      <c r="U419" s="144"/>
      <c r="V419" s="144"/>
      <c r="W419" s="144"/>
      <c r="X419" s="144"/>
      <c r="Y419" s="144"/>
      <c r="Z419" s="144"/>
      <c r="AA419" s="144"/>
      <c r="AB419" s="144"/>
      <c r="AC419" s="144"/>
      <c r="AD419" s="144"/>
      <c r="AE419" s="144"/>
      <c r="AF419" s="144"/>
      <c r="AG419" s="144"/>
      <c r="AH419" s="144"/>
      <c r="AI419" s="144"/>
    </row>
    <row r="420" spans="7:35" hidden="1">
      <c r="G420" s="144"/>
      <c r="H420" s="144"/>
      <c r="I420" s="144"/>
      <c r="J420" s="144"/>
      <c r="K420" s="144"/>
      <c r="L420" s="144"/>
      <c r="M420" s="144"/>
      <c r="N420" s="144"/>
      <c r="O420" s="144"/>
      <c r="P420" s="144"/>
      <c r="Q420" s="144"/>
      <c r="R420" s="144"/>
      <c r="S420" s="144"/>
      <c r="T420" s="144"/>
      <c r="U420" s="144"/>
      <c r="V420" s="144"/>
      <c r="W420" s="144"/>
      <c r="X420" s="144"/>
      <c r="Y420" s="144"/>
      <c r="Z420" s="144"/>
      <c r="AA420" s="144"/>
      <c r="AB420" s="144"/>
      <c r="AC420" s="144"/>
      <c r="AD420" s="144"/>
      <c r="AE420" s="144"/>
      <c r="AF420" s="144"/>
      <c r="AG420" s="144"/>
      <c r="AH420" s="144"/>
      <c r="AI420" s="144"/>
    </row>
    <row r="421" spans="7:35" hidden="1">
      <c r="G421" s="144"/>
      <c r="H421" s="144"/>
      <c r="I421" s="144"/>
      <c r="J421" s="144"/>
      <c r="K421" s="144"/>
      <c r="L421" s="144"/>
      <c r="M421" s="144"/>
      <c r="N421" s="144"/>
      <c r="O421" s="144"/>
      <c r="P421" s="144"/>
      <c r="Q421" s="144"/>
      <c r="R421" s="144"/>
      <c r="S421" s="144"/>
      <c r="T421" s="144"/>
      <c r="U421" s="144"/>
      <c r="V421" s="144"/>
      <c r="W421" s="144"/>
      <c r="X421" s="144"/>
      <c r="Y421" s="144"/>
      <c r="Z421" s="144"/>
      <c r="AA421" s="144"/>
      <c r="AB421" s="144"/>
      <c r="AC421" s="144"/>
      <c r="AD421" s="144"/>
      <c r="AE421" s="144"/>
      <c r="AF421" s="144"/>
      <c r="AG421" s="144"/>
      <c r="AH421" s="144"/>
      <c r="AI421" s="144"/>
    </row>
    <row r="422" spans="7:35" hidden="1">
      <c r="G422" s="144"/>
      <c r="H422" s="144"/>
      <c r="I422" s="144"/>
      <c r="J422" s="144"/>
      <c r="K422" s="144"/>
      <c r="L422" s="144"/>
      <c r="M422" s="144"/>
      <c r="N422" s="144"/>
      <c r="O422" s="144"/>
      <c r="P422" s="144"/>
      <c r="Q422" s="144"/>
      <c r="R422" s="144"/>
      <c r="S422" s="144"/>
      <c r="T422" s="144"/>
      <c r="U422" s="144"/>
      <c r="V422" s="144"/>
      <c r="W422" s="144"/>
      <c r="X422" s="144"/>
      <c r="Y422" s="144"/>
      <c r="Z422" s="144"/>
      <c r="AA422" s="144"/>
      <c r="AB422" s="144"/>
      <c r="AC422" s="144"/>
      <c r="AD422" s="144"/>
      <c r="AE422" s="144"/>
      <c r="AF422" s="144"/>
      <c r="AG422" s="144"/>
      <c r="AH422" s="144"/>
      <c r="AI422" s="144"/>
    </row>
    <row r="423" spans="7:35" hidden="1">
      <c r="G423" s="144"/>
      <c r="H423" s="144"/>
      <c r="I423" s="144"/>
      <c r="J423" s="144"/>
      <c r="K423" s="144"/>
      <c r="L423" s="144"/>
      <c r="M423" s="144"/>
      <c r="N423" s="144"/>
      <c r="O423" s="144"/>
      <c r="P423" s="144"/>
      <c r="Q423" s="144"/>
      <c r="R423" s="144"/>
      <c r="S423" s="144"/>
      <c r="T423" s="144"/>
      <c r="U423" s="144"/>
      <c r="V423" s="144"/>
      <c r="W423" s="144"/>
      <c r="X423" s="144"/>
      <c r="Y423" s="144"/>
      <c r="Z423" s="144"/>
      <c r="AA423" s="144"/>
      <c r="AB423" s="144"/>
      <c r="AC423" s="144"/>
      <c r="AD423" s="144"/>
      <c r="AE423" s="144"/>
      <c r="AF423" s="144"/>
      <c r="AG423" s="144"/>
      <c r="AH423" s="144"/>
      <c r="AI423" s="144"/>
    </row>
    <row r="424" spans="7:35" hidden="1">
      <c r="G424" s="144"/>
      <c r="H424" s="144"/>
      <c r="I424" s="144"/>
      <c r="J424" s="144"/>
      <c r="K424" s="144"/>
      <c r="L424" s="144"/>
      <c r="M424" s="144"/>
      <c r="N424" s="144"/>
      <c r="O424" s="144"/>
      <c r="P424" s="144"/>
      <c r="Q424" s="144"/>
      <c r="R424" s="144"/>
      <c r="S424" s="144"/>
      <c r="T424" s="144"/>
      <c r="U424" s="144"/>
      <c r="V424" s="144"/>
      <c r="W424" s="144"/>
      <c r="X424" s="144"/>
      <c r="Y424" s="144"/>
      <c r="Z424" s="144"/>
      <c r="AA424" s="144"/>
      <c r="AB424" s="144"/>
      <c r="AC424" s="144"/>
      <c r="AD424" s="144"/>
      <c r="AE424" s="144"/>
      <c r="AF424" s="144"/>
      <c r="AG424" s="144"/>
      <c r="AH424" s="144"/>
      <c r="AI424" s="144"/>
    </row>
    <row r="425" spans="7:35" hidden="1">
      <c r="G425" s="144"/>
      <c r="H425" s="144"/>
      <c r="I425" s="144"/>
      <c r="J425" s="144"/>
      <c r="K425" s="144"/>
      <c r="L425" s="144"/>
      <c r="M425" s="144"/>
      <c r="N425" s="144"/>
      <c r="O425" s="144"/>
      <c r="P425" s="144"/>
      <c r="Q425" s="144"/>
      <c r="R425" s="144"/>
      <c r="S425" s="144"/>
      <c r="T425" s="144"/>
      <c r="U425" s="144"/>
      <c r="V425" s="144"/>
      <c r="W425" s="144"/>
      <c r="X425" s="144"/>
      <c r="Y425" s="144"/>
      <c r="Z425" s="144"/>
      <c r="AA425" s="144"/>
      <c r="AB425" s="144"/>
      <c r="AC425" s="144"/>
      <c r="AD425" s="144"/>
      <c r="AE425" s="144"/>
      <c r="AF425" s="144"/>
      <c r="AG425" s="144"/>
      <c r="AH425" s="144"/>
      <c r="AI425" s="144"/>
    </row>
    <row r="426" spans="7:35" hidden="1">
      <c r="G426" s="144"/>
      <c r="H426" s="144"/>
      <c r="I426" s="144"/>
      <c r="J426" s="144"/>
      <c r="K426" s="144"/>
      <c r="L426" s="144"/>
      <c r="M426" s="144"/>
      <c r="N426" s="144"/>
      <c r="O426" s="144"/>
      <c r="P426" s="144"/>
      <c r="Q426" s="144"/>
      <c r="R426" s="144"/>
      <c r="S426" s="144"/>
      <c r="T426" s="144"/>
      <c r="U426" s="144"/>
      <c r="V426" s="144"/>
      <c r="W426" s="144"/>
      <c r="X426" s="144"/>
      <c r="Y426" s="144"/>
      <c r="Z426" s="144"/>
      <c r="AA426" s="144"/>
      <c r="AB426" s="144"/>
      <c r="AC426" s="144"/>
      <c r="AD426" s="144"/>
      <c r="AE426" s="144"/>
      <c r="AF426" s="144"/>
      <c r="AG426" s="144"/>
      <c r="AH426" s="144"/>
      <c r="AI426" s="144"/>
    </row>
    <row r="427" spans="7:35" hidden="1">
      <c r="G427" s="144"/>
      <c r="H427" s="144"/>
      <c r="I427" s="144"/>
      <c r="J427" s="144"/>
      <c r="K427" s="144"/>
      <c r="L427" s="144"/>
      <c r="M427" s="144"/>
      <c r="N427" s="144"/>
      <c r="O427" s="144"/>
      <c r="P427" s="144"/>
      <c r="Q427" s="144"/>
      <c r="R427" s="144"/>
      <c r="S427" s="144"/>
      <c r="T427" s="144"/>
      <c r="U427" s="144"/>
      <c r="V427" s="144"/>
      <c r="W427" s="144"/>
      <c r="X427" s="144"/>
      <c r="Y427" s="144"/>
      <c r="Z427" s="144"/>
      <c r="AA427" s="144"/>
      <c r="AB427" s="144"/>
      <c r="AC427" s="144"/>
      <c r="AD427" s="144"/>
      <c r="AE427" s="144"/>
      <c r="AF427" s="144"/>
      <c r="AG427" s="144"/>
      <c r="AH427" s="144"/>
      <c r="AI427" s="144"/>
    </row>
    <row r="428" spans="7:35" hidden="1">
      <c r="G428" s="144"/>
      <c r="H428" s="144"/>
      <c r="I428" s="144"/>
      <c r="J428" s="144"/>
      <c r="K428" s="144"/>
      <c r="L428" s="144"/>
      <c r="M428" s="144"/>
      <c r="N428" s="144"/>
      <c r="O428" s="144"/>
      <c r="P428" s="144"/>
      <c r="Q428" s="144"/>
      <c r="R428" s="144"/>
      <c r="S428" s="144"/>
      <c r="T428" s="144"/>
      <c r="U428" s="144"/>
      <c r="V428" s="144"/>
      <c r="W428" s="144"/>
      <c r="X428" s="144"/>
      <c r="Y428" s="144"/>
      <c r="Z428" s="144"/>
      <c r="AA428" s="144"/>
      <c r="AB428" s="144"/>
      <c r="AC428" s="144"/>
      <c r="AD428" s="144"/>
      <c r="AE428" s="144"/>
      <c r="AF428" s="144"/>
      <c r="AG428" s="144"/>
      <c r="AH428" s="144"/>
      <c r="AI428" s="144"/>
    </row>
    <row r="429" spans="7:35" hidden="1">
      <c r="G429" s="144"/>
      <c r="H429" s="144"/>
      <c r="I429" s="144"/>
      <c r="J429" s="144"/>
      <c r="K429" s="144"/>
      <c r="L429" s="144"/>
      <c r="M429" s="144"/>
      <c r="N429" s="144"/>
      <c r="O429" s="144"/>
      <c r="P429" s="144"/>
      <c r="Q429" s="144"/>
      <c r="R429" s="144"/>
      <c r="S429" s="144"/>
      <c r="T429" s="144"/>
      <c r="U429" s="144"/>
      <c r="V429" s="144"/>
      <c r="W429" s="144"/>
      <c r="X429" s="144"/>
      <c r="Y429" s="144"/>
      <c r="Z429" s="144"/>
      <c r="AA429" s="144"/>
      <c r="AB429" s="144"/>
      <c r="AC429" s="144"/>
      <c r="AD429" s="144"/>
      <c r="AE429" s="144"/>
      <c r="AF429" s="144"/>
      <c r="AG429" s="144"/>
      <c r="AH429" s="144"/>
      <c r="AI429" s="144"/>
    </row>
    <row r="430" spans="7:35" hidden="1">
      <c r="G430" s="144"/>
      <c r="H430" s="144"/>
      <c r="I430" s="144"/>
      <c r="J430" s="144"/>
      <c r="K430" s="144"/>
      <c r="L430" s="144"/>
      <c r="M430" s="144"/>
      <c r="N430" s="144"/>
      <c r="O430" s="144"/>
      <c r="P430" s="144"/>
      <c r="Q430" s="144"/>
      <c r="R430" s="144"/>
      <c r="S430" s="144"/>
      <c r="T430" s="144"/>
      <c r="U430" s="144"/>
      <c r="V430" s="144"/>
      <c r="W430" s="144"/>
      <c r="X430" s="144"/>
      <c r="Y430" s="144"/>
      <c r="Z430" s="144"/>
      <c r="AA430" s="144"/>
      <c r="AB430" s="144"/>
      <c r="AC430" s="144"/>
      <c r="AD430" s="144"/>
      <c r="AE430" s="144"/>
      <c r="AF430" s="144"/>
      <c r="AG430" s="144"/>
      <c r="AH430" s="144"/>
      <c r="AI430" s="144"/>
    </row>
    <row r="431" spans="7:35" hidden="1">
      <c r="G431" s="144"/>
      <c r="H431" s="144"/>
      <c r="I431" s="144"/>
      <c r="J431" s="144"/>
      <c r="K431" s="144"/>
      <c r="L431" s="144"/>
      <c r="M431" s="144"/>
      <c r="N431" s="144"/>
      <c r="O431" s="144"/>
      <c r="P431" s="144"/>
      <c r="Q431" s="144"/>
      <c r="R431" s="144"/>
      <c r="S431" s="144"/>
      <c r="T431" s="144"/>
      <c r="U431" s="144"/>
      <c r="V431" s="144"/>
      <c r="W431" s="144"/>
      <c r="X431" s="144"/>
      <c r="Y431" s="144"/>
      <c r="Z431" s="144"/>
      <c r="AA431" s="144"/>
      <c r="AB431" s="144"/>
      <c r="AC431" s="144"/>
      <c r="AD431" s="144"/>
      <c r="AE431" s="144"/>
      <c r="AF431" s="144"/>
      <c r="AG431" s="144"/>
      <c r="AH431" s="144"/>
      <c r="AI431" s="144"/>
    </row>
    <row r="432" spans="7:35" hidden="1">
      <c r="G432" s="144"/>
      <c r="H432" s="144"/>
      <c r="I432" s="144"/>
      <c r="J432" s="144"/>
      <c r="K432" s="144"/>
      <c r="L432" s="144"/>
      <c r="M432" s="144"/>
      <c r="N432" s="144"/>
      <c r="O432" s="144"/>
      <c r="P432" s="144"/>
      <c r="Q432" s="144"/>
      <c r="R432" s="144"/>
      <c r="S432" s="144"/>
      <c r="T432" s="144"/>
      <c r="U432" s="144"/>
      <c r="V432" s="144"/>
      <c r="W432" s="144"/>
      <c r="X432" s="144"/>
      <c r="Y432" s="144"/>
      <c r="Z432" s="144"/>
      <c r="AA432" s="144"/>
      <c r="AB432" s="144"/>
      <c r="AC432" s="144"/>
      <c r="AD432" s="144"/>
      <c r="AE432" s="144"/>
      <c r="AF432" s="144"/>
      <c r="AG432" s="144"/>
      <c r="AH432" s="144"/>
      <c r="AI432" s="144"/>
    </row>
    <row r="433" spans="7:35" hidden="1">
      <c r="G433" s="144"/>
      <c r="H433" s="144"/>
      <c r="I433" s="144"/>
      <c r="J433" s="144"/>
      <c r="K433" s="144"/>
      <c r="L433" s="144"/>
      <c r="M433" s="144"/>
      <c r="N433" s="144"/>
      <c r="O433" s="144"/>
      <c r="P433" s="144"/>
      <c r="Q433" s="144"/>
      <c r="R433" s="144"/>
      <c r="S433" s="144"/>
      <c r="T433" s="144"/>
      <c r="U433" s="144"/>
      <c r="V433" s="144"/>
      <c r="W433" s="144"/>
      <c r="X433" s="144"/>
      <c r="Y433" s="144"/>
      <c r="Z433" s="144"/>
      <c r="AA433" s="144"/>
      <c r="AB433" s="144"/>
      <c r="AC433" s="144"/>
      <c r="AD433" s="144"/>
      <c r="AE433" s="144"/>
      <c r="AF433" s="144"/>
      <c r="AG433" s="144"/>
      <c r="AH433" s="144"/>
      <c r="AI433" s="144"/>
    </row>
    <row r="434" spans="7:35" hidden="1">
      <c r="G434" s="144"/>
      <c r="H434" s="144"/>
      <c r="I434" s="144"/>
      <c r="J434" s="144"/>
      <c r="K434" s="144"/>
      <c r="L434" s="144"/>
      <c r="M434" s="144"/>
      <c r="N434" s="144"/>
      <c r="O434" s="144"/>
      <c r="P434" s="144"/>
      <c r="Q434" s="144"/>
      <c r="R434" s="144"/>
      <c r="S434" s="144"/>
      <c r="T434" s="144"/>
      <c r="U434" s="144"/>
      <c r="V434" s="144"/>
      <c r="W434" s="144"/>
      <c r="X434" s="144"/>
      <c r="Y434" s="144"/>
      <c r="Z434" s="144"/>
      <c r="AA434" s="144"/>
      <c r="AB434" s="144"/>
      <c r="AC434" s="144"/>
      <c r="AD434" s="144"/>
      <c r="AE434" s="144"/>
      <c r="AF434" s="144"/>
      <c r="AG434" s="144"/>
      <c r="AH434" s="144"/>
      <c r="AI434" s="144"/>
    </row>
    <row r="435" spans="7:35" hidden="1">
      <c r="G435" s="144"/>
      <c r="H435" s="144"/>
      <c r="I435" s="144"/>
      <c r="J435" s="144"/>
      <c r="K435" s="144"/>
      <c r="L435" s="144"/>
      <c r="M435" s="144"/>
      <c r="N435" s="144"/>
      <c r="O435" s="144"/>
      <c r="P435" s="144"/>
      <c r="Q435" s="144"/>
      <c r="R435" s="144"/>
      <c r="S435" s="144"/>
      <c r="T435" s="144"/>
      <c r="U435" s="144"/>
      <c r="V435" s="144"/>
      <c r="W435" s="144"/>
      <c r="X435" s="144"/>
      <c r="Y435" s="144"/>
      <c r="Z435" s="144"/>
      <c r="AA435" s="144"/>
      <c r="AB435" s="144"/>
      <c r="AC435" s="144"/>
      <c r="AD435" s="144"/>
      <c r="AE435" s="144"/>
      <c r="AF435" s="144"/>
      <c r="AG435" s="144"/>
      <c r="AH435" s="144"/>
      <c r="AI435" s="144"/>
    </row>
    <row r="436" spans="7:35" hidden="1">
      <c r="G436" s="144"/>
      <c r="H436" s="144"/>
      <c r="I436" s="144"/>
      <c r="J436" s="144"/>
      <c r="K436" s="144"/>
      <c r="L436" s="144"/>
      <c r="M436" s="144"/>
      <c r="N436" s="144"/>
      <c r="O436" s="144"/>
      <c r="P436" s="144"/>
      <c r="Q436" s="144"/>
      <c r="R436" s="144"/>
      <c r="S436" s="144"/>
      <c r="T436" s="144"/>
      <c r="U436" s="144"/>
      <c r="V436" s="144"/>
      <c r="W436" s="144"/>
      <c r="X436" s="144"/>
      <c r="Y436" s="144"/>
      <c r="Z436" s="144"/>
      <c r="AA436" s="144"/>
      <c r="AB436" s="144"/>
      <c r="AC436" s="144"/>
      <c r="AD436" s="144"/>
      <c r="AE436" s="144"/>
      <c r="AF436" s="144"/>
      <c r="AG436" s="144"/>
      <c r="AH436" s="144"/>
      <c r="AI436" s="144"/>
    </row>
    <row r="437" spans="7:35" hidden="1">
      <c r="G437" s="144"/>
      <c r="H437" s="144"/>
      <c r="I437" s="144"/>
      <c r="J437" s="144"/>
      <c r="K437" s="144"/>
      <c r="L437" s="144"/>
      <c r="M437" s="144"/>
      <c r="N437" s="144"/>
      <c r="O437" s="144"/>
      <c r="P437" s="144"/>
      <c r="Q437" s="144"/>
      <c r="R437" s="144"/>
      <c r="S437" s="144"/>
      <c r="T437" s="144"/>
      <c r="U437" s="144"/>
      <c r="V437" s="144"/>
      <c r="W437" s="144"/>
      <c r="X437" s="144"/>
      <c r="Y437" s="144"/>
      <c r="Z437" s="144"/>
      <c r="AA437" s="144"/>
      <c r="AB437" s="144"/>
      <c r="AC437" s="144"/>
      <c r="AD437" s="144"/>
      <c r="AE437" s="144"/>
      <c r="AF437" s="144"/>
      <c r="AG437" s="144"/>
      <c r="AH437" s="144"/>
      <c r="AI437" s="144"/>
    </row>
    <row r="438" spans="7:35" hidden="1">
      <c r="G438" s="144"/>
      <c r="H438" s="144"/>
      <c r="I438" s="144"/>
      <c r="J438" s="144"/>
      <c r="K438" s="144"/>
      <c r="L438" s="144"/>
      <c r="M438" s="144"/>
      <c r="N438" s="144"/>
      <c r="O438" s="144"/>
      <c r="P438" s="144"/>
      <c r="Q438" s="144"/>
      <c r="R438" s="144"/>
      <c r="S438" s="144"/>
      <c r="T438" s="144"/>
      <c r="U438" s="144"/>
      <c r="V438" s="144"/>
      <c r="W438" s="144"/>
      <c r="X438" s="144"/>
      <c r="Y438" s="144"/>
      <c r="Z438" s="144"/>
      <c r="AA438" s="144"/>
      <c r="AB438" s="144"/>
      <c r="AC438" s="144"/>
      <c r="AD438" s="144"/>
      <c r="AE438" s="144"/>
      <c r="AF438" s="144"/>
      <c r="AG438" s="144"/>
      <c r="AH438" s="144"/>
      <c r="AI438" s="144"/>
    </row>
    <row r="439" spans="7:35" hidden="1">
      <c r="G439" s="144"/>
      <c r="H439" s="144"/>
      <c r="I439" s="144"/>
      <c r="J439" s="144"/>
      <c r="K439" s="144"/>
      <c r="L439" s="144"/>
      <c r="M439" s="144"/>
      <c r="N439" s="144"/>
      <c r="O439" s="144"/>
      <c r="P439" s="144"/>
      <c r="Q439" s="144"/>
      <c r="R439" s="144"/>
      <c r="S439" s="144"/>
      <c r="T439" s="144"/>
      <c r="U439" s="144"/>
      <c r="V439" s="144"/>
      <c r="W439" s="144"/>
      <c r="X439" s="144"/>
      <c r="Y439" s="144"/>
      <c r="Z439" s="144"/>
      <c r="AA439" s="144"/>
      <c r="AB439" s="144"/>
      <c r="AC439" s="144"/>
      <c r="AD439" s="144"/>
      <c r="AE439" s="144"/>
      <c r="AF439" s="144"/>
      <c r="AG439" s="144"/>
      <c r="AH439" s="144"/>
      <c r="AI439" s="144"/>
    </row>
    <row r="440" spans="7:35" hidden="1">
      <c r="G440" s="144"/>
      <c r="H440" s="144"/>
      <c r="I440" s="144"/>
      <c r="J440" s="144"/>
      <c r="K440" s="144"/>
      <c r="L440" s="144"/>
      <c r="M440" s="144"/>
      <c r="N440" s="144"/>
      <c r="O440" s="144"/>
      <c r="P440" s="144"/>
      <c r="Q440" s="144"/>
      <c r="R440" s="144"/>
      <c r="S440" s="144"/>
      <c r="T440" s="144"/>
      <c r="U440" s="144"/>
      <c r="V440" s="144"/>
      <c r="W440" s="144"/>
      <c r="X440" s="144"/>
      <c r="Y440" s="144"/>
      <c r="Z440" s="144"/>
      <c r="AA440" s="144"/>
      <c r="AB440" s="144"/>
      <c r="AC440" s="144"/>
      <c r="AD440" s="144"/>
      <c r="AE440" s="144"/>
      <c r="AF440" s="144"/>
      <c r="AG440" s="144"/>
      <c r="AH440" s="144"/>
      <c r="AI440" s="144"/>
    </row>
    <row r="441" spans="7:35" hidden="1">
      <c r="G441" s="144"/>
      <c r="H441" s="144"/>
      <c r="I441" s="144"/>
      <c r="J441" s="144"/>
      <c r="K441" s="144"/>
      <c r="L441" s="144"/>
      <c r="M441" s="144"/>
      <c r="N441" s="144"/>
      <c r="O441" s="144"/>
      <c r="P441" s="144"/>
      <c r="Q441" s="144"/>
      <c r="R441" s="144"/>
      <c r="S441" s="144"/>
      <c r="T441" s="144"/>
      <c r="U441" s="144"/>
      <c r="V441" s="144"/>
      <c r="W441" s="144"/>
      <c r="X441" s="144"/>
      <c r="Y441" s="144"/>
      <c r="Z441" s="144"/>
      <c r="AA441" s="144"/>
      <c r="AB441" s="144"/>
      <c r="AC441" s="144"/>
      <c r="AD441" s="144"/>
      <c r="AE441" s="144"/>
      <c r="AF441" s="144"/>
      <c r="AG441" s="144"/>
      <c r="AH441" s="144"/>
      <c r="AI441" s="144"/>
    </row>
    <row r="442" spans="7:35" hidden="1">
      <c r="G442" s="144"/>
      <c r="H442" s="144"/>
      <c r="I442" s="144"/>
      <c r="J442" s="144"/>
      <c r="K442" s="144"/>
      <c r="L442" s="144"/>
      <c r="M442" s="144"/>
      <c r="N442" s="144"/>
      <c r="O442" s="144"/>
      <c r="P442" s="144"/>
      <c r="Q442" s="144"/>
      <c r="R442" s="144"/>
      <c r="S442" s="144"/>
      <c r="T442" s="144"/>
      <c r="U442" s="144"/>
      <c r="V442" s="144"/>
      <c r="W442" s="144"/>
      <c r="X442" s="144"/>
      <c r="Y442" s="144"/>
      <c r="Z442" s="144"/>
      <c r="AA442" s="144"/>
      <c r="AB442" s="144"/>
      <c r="AC442" s="144"/>
      <c r="AD442" s="144"/>
      <c r="AE442" s="144"/>
      <c r="AF442" s="144"/>
      <c r="AG442" s="144"/>
      <c r="AH442" s="144"/>
      <c r="AI442" s="144"/>
    </row>
    <row r="443" spans="7:35" hidden="1">
      <c r="G443" s="144"/>
      <c r="H443" s="144"/>
      <c r="I443" s="144"/>
      <c r="J443" s="144"/>
      <c r="K443" s="144"/>
      <c r="L443" s="144"/>
      <c r="M443" s="144"/>
      <c r="N443" s="144"/>
      <c r="O443" s="144"/>
      <c r="P443" s="144"/>
      <c r="Q443" s="144"/>
      <c r="R443" s="144"/>
      <c r="S443" s="144"/>
      <c r="T443" s="144"/>
      <c r="U443" s="144"/>
      <c r="V443" s="144"/>
      <c r="W443" s="144"/>
      <c r="X443" s="144"/>
      <c r="Y443" s="144"/>
      <c r="Z443" s="144"/>
      <c r="AA443" s="144"/>
      <c r="AB443" s="144"/>
      <c r="AC443" s="144"/>
      <c r="AD443" s="144"/>
      <c r="AE443" s="144"/>
      <c r="AF443" s="144"/>
      <c r="AG443" s="144"/>
      <c r="AH443" s="144"/>
      <c r="AI443" s="144"/>
    </row>
    <row r="444" spans="7:35" hidden="1">
      <c r="G444" s="144"/>
      <c r="H444" s="144"/>
      <c r="I444" s="144"/>
      <c r="J444" s="144"/>
      <c r="K444" s="144"/>
      <c r="L444" s="144"/>
      <c r="M444" s="144"/>
      <c r="N444" s="144"/>
      <c r="O444" s="144"/>
      <c r="P444" s="144"/>
      <c r="Q444" s="144"/>
      <c r="R444" s="144"/>
      <c r="S444" s="144"/>
      <c r="T444" s="144"/>
      <c r="U444" s="144"/>
      <c r="V444" s="144"/>
      <c r="W444" s="144"/>
      <c r="X444" s="144"/>
      <c r="Y444" s="144"/>
      <c r="Z444" s="144"/>
      <c r="AA444" s="144"/>
      <c r="AB444" s="144"/>
      <c r="AC444" s="144"/>
      <c r="AD444" s="144"/>
      <c r="AE444" s="144"/>
      <c r="AF444" s="144"/>
      <c r="AG444" s="144"/>
      <c r="AH444" s="144"/>
      <c r="AI444" s="144"/>
    </row>
    <row r="445" spans="7:35" hidden="1">
      <c r="G445" s="144"/>
      <c r="H445" s="144"/>
      <c r="I445" s="144"/>
      <c r="J445" s="144"/>
      <c r="K445" s="144"/>
      <c r="L445" s="144"/>
      <c r="M445" s="144"/>
      <c r="N445" s="144"/>
      <c r="O445" s="144"/>
      <c r="P445" s="144"/>
      <c r="Q445" s="144"/>
      <c r="R445" s="144"/>
      <c r="S445" s="144"/>
      <c r="T445" s="144"/>
      <c r="U445" s="144"/>
      <c r="V445" s="144"/>
      <c r="W445" s="144"/>
      <c r="X445" s="144"/>
      <c r="Y445" s="144"/>
      <c r="Z445" s="144"/>
      <c r="AA445" s="144"/>
      <c r="AB445" s="144"/>
      <c r="AC445" s="144"/>
      <c r="AD445" s="144"/>
      <c r="AE445" s="144"/>
      <c r="AF445" s="144"/>
      <c r="AG445" s="144"/>
      <c r="AH445" s="144"/>
      <c r="AI445" s="144"/>
    </row>
    <row r="446" spans="7:35" hidden="1">
      <c r="G446" s="144"/>
      <c r="H446" s="144"/>
      <c r="I446" s="144"/>
      <c r="J446" s="144"/>
      <c r="K446" s="144"/>
      <c r="L446" s="144"/>
      <c r="M446" s="144"/>
      <c r="N446" s="144"/>
      <c r="O446" s="144"/>
      <c r="P446" s="144"/>
      <c r="Q446" s="144"/>
      <c r="R446" s="144"/>
      <c r="S446" s="144"/>
      <c r="T446" s="144"/>
      <c r="U446" s="144"/>
      <c r="V446" s="144"/>
      <c r="W446" s="144"/>
      <c r="X446" s="144"/>
      <c r="Y446" s="144"/>
      <c r="Z446" s="144"/>
      <c r="AA446" s="144"/>
      <c r="AB446" s="144"/>
      <c r="AC446" s="144"/>
      <c r="AD446" s="144"/>
      <c r="AE446" s="144"/>
      <c r="AF446" s="144"/>
      <c r="AG446" s="144"/>
      <c r="AH446" s="144"/>
      <c r="AI446" s="144"/>
    </row>
    <row r="447" spans="7:35" hidden="1">
      <c r="G447" s="144"/>
      <c r="H447" s="144"/>
      <c r="I447" s="144"/>
      <c r="J447" s="144"/>
      <c r="K447" s="144"/>
      <c r="L447" s="144"/>
      <c r="M447" s="144"/>
      <c r="N447" s="144"/>
      <c r="O447" s="144"/>
      <c r="P447" s="144"/>
      <c r="Q447" s="144"/>
      <c r="R447" s="144"/>
      <c r="S447" s="144"/>
      <c r="T447" s="144"/>
      <c r="U447" s="144"/>
      <c r="V447" s="144"/>
      <c r="W447" s="144"/>
      <c r="X447" s="144"/>
      <c r="Y447" s="144"/>
      <c r="Z447" s="144"/>
      <c r="AA447" s="144"/>
      <c r="AB447" s="144"/>
      <c r="AC447" s="144"/>
      <c r="AD447" s="144"/>
      <c r="AE447" s="144"/>
      <c r="AF447" s="144"/>
      <c r="AG447" s="144"/>
      <c r="AH447" s="144"/>
      <c r="AI447" s="144"/>
    </row>
    <row r="448" spans="7:35" hidden="1">
      <c r="G448" s="144"/>
      <c r="H448" s="144"/>
      <c r="I448" s="144"/>
      <c r="J448" s="144"/>
      <c r="K448" s="144"/>
      <c r="L448" s="144"/>
      <c r="M448" s="144"/>
      <c r="N448" s="144"/>
      <c r="O448" s="144"/>
      <c r="P448" s="144"/>
      <c r="Q448" s="144"/>
      <c r="R448" s="144"/>
      <c r="S448" s="144"/>
      <c r="T448" s="144"/>
      <c r="U448" s="144"/>
      <c r="V448" s="144"/>
      <c r="W448" s="144"/>
      <c r="X448" s="144"/>
      <c r="Y448" s="144"/>
      <c r="Z448" s="144"/>
      <c r="AA448" s="144"/>
      <c r="AB448" s="144"/>
      <c r="AC448" s="144"/>
      <c r="AD448" s="144"/>
      <c r="AE448" s="144"/>
      <c r="AF448" s="144"/>
      <c r="AG448" s="144"/>
      <c r="AH448" s="144"/>
      <c r="AI448" s="144"/>
    </row>
    <row r="449" spans="7:35" hidden="1">
      <c r="G449" s="144"/>
      <c r="H449" s="144"/>
      <c r="I449" s="144"/>
      <c r="J449" s="144"/>
      <c r="K449" s="144"/>
      <c r="L449" s="144"/>
      <c r="M449" s="144"/>
      <c r="N449" s="144"/>
      <c r="O449" s="144"/>
      <c r="P449" s="144"/>
      <c r="Q449" s="144"/>
      <c r="R449" s="144"/>
      <c r="S449" s="144"/>
      <c r="T449" s="144"/>
      <c r="U449" s="144"/>
      <c r="V449" s="144"/>
      <c r="W449" s="144"/>
      <c r="X449" s="144"/>
      <c r="Y449" s="144"/>
      <c r="Z449" s="144"/>
      <c r="AA449" s="144"/>
      <c r="AB449" s="144"/>
      <c r="AC449" s="144"/>
      <c r="AD449" s="144"/>
      <c r="AE449" s="144"/>
      <c r="AF449" s="144"/>
      <c r="AG449" s="144"/>
      <c r="AH449" s="144"/>
      <c r="AI449" s="144"/>
    </row>
    <row r="450" spans="7:35" hidden="1">
      <c r="G450" s="144"/>
      <c r="H450" s="144"/>
      <c r="I450" s="144"/>
      <c r="J450" s="144"/>
      <c r="K450" s="144"/>
      <c r="L450" s="144"/>
      <c r="M450" s="144"/>
      <c r="N450" s="144"/>
      <c r="O450" s="144"/>
      <c r="P450" s="144"/>
      <c r="Q450" s="144"/>
      <c r="R450" s="144"/>
      <c r="S450" s="144"/>
      <c r="T450" s="144"/>
      <c r="U450" s="144"/>
      <c r="V450" s="144"/>
      <c r="W450" s="144"/>
      <c r="X450" s="144"/>
      <c r="Y450" s="144"/>
      <c r="Z450" s="144"/>
      <c r="AA450" s="144"/>
      <c r="AB450" s="144"/>
      <c r="AC450" s="144"/>
      <c r="AD450" s="144"/>
      <c r="AE450" s="144"/>
      <c r="AF450" s="144"/>
      <c r="AG450" s="144"/>
      <c r="AH450" s="144"/>
      <c r="AI450" s="144"/>
    </row>
    <row r="451" spans="7:35" hidden="1">
      <c r="G451" s="144"/>
      <c r="H451" s="144"/>
      <c r="I451" s="144"/>
      <c r="J451" s="144"/>
      <c r="K451" s="144"/>
      <c r="L451" s="144"/>
      <c r="M451" s="144"/>
      <c r="N451" s="144"/>
      <c r="O451" s="144"/>
      <c r="P451" s="144"/>
      <c r="Q451" s="144"/>
      <c r="R451" s="144"/>
      <c r="S451" s="144"/>
      <c r="T451" s="144"/>
      <c r="U451" s="144"/>
      <c r="V451" s="144"/>
      <c r="W451" s="144"/>
      <c r="X451" s="144"/>
      <c r="Y451" s="144"/>
      <c r="Z451" s="144"/>
      <c r="AA451" s="144"/>
      <c r="AB451" s="144"/>
      <c r="AC451" s="144"/>
      <c r="AD451" s="144"/>
      <c r="AE451" s="144"/>
      <c r="AF451" s="144"/>
      <c r="AG451" s="144"/>
      <c r="AH451" s="144"/>
      <c r="AI451" s="144"/>
    </row>
    <row r="452" spans="7:35" hidden="1">
      <c r="G452" s="144"/>
      <c r="H452" s="144"/>
      <c r="I452" s="144"/>
      <c r="J452" s="144"/>
      <c r="K452" s="144"/>
      <c r="L452" s="144"/>
      <c r="M452" s="144"/>
      <c r="N452" s="144"/>
      <c r="O452" s="144"/>
      <c r="P452" s="144"/>
      <c r="Q452" s="144"/>
      <c r="R452" s="144"/>
      <c r="S452" s="144"/>
      <c r="T452" s="144"/>
      <c r="U452" s="144"/>
      <c r="V452" s="144"/>
      <c r="W452" s="144"/>
      <c r="X452" s="144"/>
      <c r="Y452" s="144"/>
      <c r="Z452" s="144"/>
      <c r="AA452" s="144"/>
      <c r="AB452" s="144"/>
      <c r="AC452" s="144"/>
      <c r="AD452" s="144"/>
      <c r="AE452" s="144"/>
      <c r="AF452" s="144"/>
      <c r="AG452" s="144"/>
      <c r="AH452" s="144"/>
      <c r="AI452" s="144"/>
    </row>
    <row r="453" spans="7:35" hidden="1">
      <c r="G453" s="144"/>
      <c r="H453" s="144"/>
      <c r="I453" s="144"/>
      <c r="J453" s="144"/>
      <c r="K453" s="144"/>
      <c r="L453" s="144"/>
      <c r="M453" s="144"/>
      <c r="N453" s="144"/>
      <c r="O453" s="144"/>
      <c r="P453" s="144"/>
      <c r="Q453" s="144"/>
      <c r="R453" s="144"/>
      <c r="S453" s="144"/>
      <c r="T453" s="144"/>
      <c r="U453" s="144"/>
      <c r="V453" s="144"/>
      <c r="W453" s="144"/>
      <c r="X453" s="144"/>
      <c r="Y453" s="144"/>
      <c r="Z453" s="144"/>
      <c r="AA453" s="144"/>
      <c r="AB453" s="144"/>
      <c r="AC453" s="144"/>
      <c r="AD453" s="144"/>
      <c r="AE453" s="144"/>
      <c r="AF453" s="144"/>
      <c r="AG453" s="144"/>
      <c r="AH453" s="144"/>
      <c r="AI453" s="144"/>
    </row>
    <row r="454" spans="7:35" hidden="1">
      <c r="G454" s="144"/>
      <c r="H454" s="144"/>
      <c r="I454" s="144"/>
      <c r="J454" s="144"/>
      <c r="K454" s="144"/>
      <c r="L454" s="144"/>
      <c r="M454" s="144"/>
      <c r="N454" s="144"/>
      <c r="O454" s="144"/>
      <c r="P454" s="144"/>
      <c r="Q454" s="144"/>
      <c r="R454" s="144"/>
      <c r="S454" s="144"/>
      <c r="T454" s="144"/>
      <c r="U454" s="144"/>
      <c r="V454" s="144"/>
      <c r="W454" s="144"/>
      <c r="X454" s="144"/>
      <c r="Y454" s="144"/>
      <c r="Z454" s="144"/>
      <c r="AA454" s="144"/>
      <c r="AB454" s="144"/>
      <c r="AC454" s="144"/>
      <c r="AD454" s="144"/>
      <c r="AE454" s="144"/>
      <c r="AF454" s="144"/>
      <c r="AG454" s="144"/>
      <c r="AH454" s="144"/>
      <c r="AI454" s="144"/>
    </row>
    <row r="455" spans="7:35" hidden="1">
      <c r="G455" s="144"/>
      <c r="H455" s="144"/>
      <c r="I455" s="144"/>
      <c r="J455" s="144"/>
      <c r="K455" s="144"/>
      <c r="L455" s="144"/>
      <c r="M455" s="144"/>
      <c r="N455" s="144"/>
      <c r="O455" s="144"/>
      <c r="P455" s="144"/>
      <c r="Q455" s="144"/>
      <c r="R455" s="144"/>
      <c r="S455" s="144"/>
      <c r="T455" s="144"/>
      <c r="U455" s="144"/>
      <c r="V455" s="144"/>
      <c r="W455" s="144"/>
      <c r="X455" s="144"/>
      <c r="Y455" s="144"/>
      <c r="Z455" s="144"/>
      <c r="AA455" s="144"/>
      <c r="AB455" s="144"/>
      <c r="AC455" s="144"/>
      <c r="AD455" s="144"/>
      <c r="AE455" s="144"/>
      <c r="AF455" s="144"/>
      <c r="AG455" s="144"/>
      <c r="AH455" s="144"/>
      <c r="AI455" s="144"/>
    </row>
    <row r="456" spans="7:35" hidden="1">
      <c r="G456" s="144"/>
      <c r="H456" s="144"/>
      <c r="I456" s="144"/>
      <c r="J456" s="144"/>
      <c r="K456" s="144"/>
      <c r="L456" s="144"/>
      <c r="M456" s="144"/>
      <c r="N456" s="144"/>
      <c r="O456" s="144"/>
      <c r="P456" s="144"/>
      <c r="Q456" s="144"/>
      <c r="R456" s="144"/>
      <c r="S456" s="144"/>
      <c r="T456" s="144"/>
      <c r="U456" s="144"/>
      <c r="V456" s="144"/>
      <c r="W456" s="144"/>
      <c r="X456" s="144"/>
      <c r="Y456" s="144"/>
      <c r="Z456" s="144"/>
      <c r="AA456" s="144"/>
      <c r="AB456" s="144"/>
      <c r="AC456" s="144"/>
      <c r="AD456" s="144"/>
      <c r="AE456" s="144"/>
      <c r="AF456" s="144"/>
      <c r="AG456" s="144"/>
      <c r="AH456" s="144"/>
      <c r="AI456" s="144"/>
    </row>
    <row r="457" spans="7:35" hidden="1">
      <c r="G457" s="144"/>
      <c r="H457" s="144"/>
      <c r="I457" s="144"/>
      <c r="J457" s="144"/>
      <c r="K457" s="144"/>
      <c r="L457" s="144"/>
      <c r="M457" s="144"/>
      <c r="N457" s="144"/>
      <c r="O457" s="144"/>
      <c r="P457" s="144"/>
      <c r="Q457" s="144"/>
      <c r="R457" s="144"/>
      <c r="S457" s="144"/>
      <c r="T457" s="144"/>
      <c r="U457" s="144"/>
      <c r="V457" s="144"/>
      <c r="W457" s="144"/>
      <c r="X457" s="144"/>
      <c r="Y457" s="144"/>
      <c r="Z457" s="144"/>
      <c r="AA457" s="144"/>
      <c r="AB457" s="144"/>
      <c r="AC457" s="144"/>
      <c r="AD457" s="144"/>
      <c r="AE457" s="144"/>
      <c r="AF457" s="144"/>
      <c r="AG457" s="144"/>
      <c r="AH457" s="144"/>
      <c r="AI457" s="144"/>
    </row>
    <row r="458" spans="7:35" hidden="1">
      <c r="G458" s="144"/>
      <c r="H458" s="144"/>
      <c r="I458" s="144"/>
      <c r="J458" s="144"/>
      <c r="K458" s="144"/>
      <c r="L458" s="144"/>
      <c r="M458" s="144"/>
      <c r="N458" s="144"/>
      <c r="O458" s="144"/>
      <c r="P458" s="144"/>
      <c r="Q458" s="144"/>
      <c r="R458" s="144"/>
      <c r="S458" s="144"/>
      <c r="T458" s="144"/>
      <c r="U458" s="144"/>
      <c r="V458" s="144"/>
      <c r="W458" s="144"/>
      <c r="X458" s="144"/>
      <c r="Y458" s="144"/>
      <c r="Z458" s="144"/>
      <c r="AA458" s="144"/>
      <c r="AB458" s="144"/>
      <c r="AC458" s="144"/>
      <c r="AD458" s="144"/>
      <c r="AE458" s="144"/>
      <c r="AF458" s="144"/>
      <c r="AG458" s="144"/>
      <c r="AH458" s="144"/>
      <c r="AI458" s="144"/>
    </row>
    <row r="459" spans="7:35" hidden="1">
      <c r="G459" s="144"/>
      <c r="H459" s="144"/>
      <c r="I459" s="144"/>
      <c r="J459" s="144"/>
      <c r="K459" s="144"/>
      <c r="L459" s="144"/>
      <c r="M459" s="144"/>
      <c r="N459" s="144"/>
      <c r="O459" s="144"/>
      <c r="P459" s="144"/>
      <c r="Q459" s="144"/>
      <c r="R459" s="144"/>
      <c r="S459" s="144"/>
      <c r="T459" s="144"/>
      <c r="U459" s="144"/>
      <c r="V459" s="144"/>
      <c r="W459" s="144"/>
      <c r="X459" s="144"/>
      <c r="Y459" s="144"/>
      <c r="Z459" s="144"/>
      <c r="AA459" s="144"/>
      <c r="AB459" s="144"/>
      <c r="AC459" s="144"/>
      <c r="AD459" s="144"/>
      <c r="AE459" s="144"/>
      <c r="AF459" s="144"/>
      <c r="AG459" s="144"/>
      <c r="AH459" s="144"/>
      <c r="AI459" s="144"/>
    </row>
    <row r="460" spans="7:35" hidden="1">
      <c r="G460" s="144"/>
      <c r="H460" s="144"/>
      <c r="I460" s="144"/>
      <c r="J460" s="144"/>
      <c r="K460" s="144"/>
      <c r="L460" s="144"/>
      <c r="M460" s="144"/>
      <c r="N460" s="144"/>
      <c r="O460" s="144"/>
      <c r="P460" s="144"/>
      <c r="Q460" s="144"/>
      <c r="R460" s="144"/>
      <c r="S460" s="144"/>
      <c r="T460" s="144"/>
      <c r="U460" s="144"/>
      <c r="V460" s="144"/>
      <c r="W460" s="144"/>
      <c r="X460" s="144"/>
      <c r="Y460" s="144"/>
      <c r="Z460" s="144"/>
      <c r="AA460" s="144"/>
      <c r="AB460" s="144"/>
      <c r="AC460" s="144"/>
      <c r="AD460" s="144"/>
      <c r="AE460" s="144"/>
      <c r="AF460" s="144"/>
      <c r="AG460" s="144"/>
      <c r="AH460" s="144"/>
      <c r="AI460" s="144"/>
    </row>
    <row r="461" spans="7:35" hidden="1">
      <c r="G461" s="144"/>
      <c r="H461" s="144"/>
      <c r="I461" s="144"/>
      <c r="J461" s="144"/>
      <c r="K461" s="144"/>
      <c r="L461" s="144"/>
      <c r="M461" s="144"/>
      <c r="N461" s="144"/>
      <c r="O461" s="144"/>
      <c r="P461" s="144"/>
      <c r="Q461" s="144"/>
      <c r="R461" s="144"/>
      <c r="S461" s="144"/>
      <c r="T461" s="144"/>
      <c r="U461" s="144"/>
      <c r="V461" s="144"/>
      <c r="W461" s="144"/>
      <c r="X461" s="144"/>
      <c r="Y461" s="144"/>
      <c r="Z461" s="144"/>
      <c r="AA461" s="144"/>
      <c r="AB461" s="144"/>
      <c r="AC461" s="144"/>
      <c r="AD461" s="144"/>
      <c r="AE461" s="144"/>
      <c r="AF461" s="144"/>
      <c r="AG461" s="144"/>
      <c r="AH461" s="144"/>
      <c r="AI461" s="144"/>
    </row>
    <row r="462" spans="7:35" hidden="1">
      <c r="G462" s="144"/>
      <c r="H462" s="144"/>
      <c r="I462" s="144"/>
      <c r="J462" s="144"/>
      <c r="K462" s="144"/>
      <c r="L462" s="144"/>
      <c r="M462" s="144"/>
      <c r="N462" s="144"/>
      <c r="O462" s="144"/>
      <c r="P462" s="144"/>
      <c r="Q462" s="144"/>
      <c r="R462" s="144"/>
      <c r="S462" s="144"/>
      <c r="T462" s="144"/>
      <c r="U462" s="144"/>
      <c r="V462" s="144"/>
      <c r="W462" s="144"/>
      <c r="X462" s="144"/>
      <c r="Y462" s="144"/>
      <c r="Z462" s="144"/>
      <c r="AA462" s="144"/>
      <c r="AB462" s="144"/>
      <c r="AC462" s="144"/>
      <c r="AD462" s="144"/>
      <c r="AE462" s="144"/>
      <c r="AF462" s="144"/>
      <c r="AG462" s="144"/>
      <c r="AH462" s="144"/>
      <c r="AI462" s="144"/>
    </row>
    <row r="463" spans="7:35" hidden="1">
      <c r="G463" s="144"/>
      <c r="H463" s="144"/>
      <c r="I463" s="144"/>
      <c r="J463" s="144"/>
      <c r="K463" s="144"/>
      <c r="L463" s="144"/>
      <c r="M463" s="144"/>
      <c r="N463" s="144"/>
      <c r="O463" s="144"/>
      <c r="P463" s="144"/>
      <c r="Q463" s="144"/>
      <c r="R463" s="144"/>
      <c r="S463" s="144"/>
      <c r="T463" s="144"/>
      <c r="U463" s="144"/>
      <c r="V463" s="144"/>
      <c r="W463" s="144"/>
      <c r="X463" s="144"/>
      <c r="Y463" s="144"/>
      <c r="Z463" s="144"/>
      <c r="AA463" s="144"/>
      <c r="AB463" s="144"/>
      <c r="AC463" s="144"/>
      <c r="AD463" s="144"/>
      <c r="AE463" s="144"/>
      <c r="AF463" s="144"/>
      <c r="AG463" s="144"/>
      <c r="AH463" s="144"/>
      <c r="AI463" s="144"/>
    </row>
    <row r="464" spans="7:35" hidden="1">
      <c r="G464" s="144"/>
      <c r="H464" s="144"/>
      <c r="I464" s="144"/>
      <c r="J464" s="144"/>
      <c r="K464" s="144"/>
      <c r="L464" s="144"/>
      <c r="M464" s="144"/>
      <c r="N464" s="144"/>
      <c r="O464" s="144"/>
      <c r="P464" s="144"/>
      <c r="Q464" s="144"/>
      <c r="R464" s="144"/>
      <c r="S464" s="144"/>
      <c r="T464" s="144"/>
      <c r="U464" s="144"/>
      <c r="V464" s="144"/>
      <c r="W464" s="144"/>
      <c r="X464" s="144"/>
      <c r="Y464" s="144"/>
      <c r="Z464" s="144"/>
      <c r="AA464" s="144"/>
      <c r="AB464" s="144"/>
      <c r="AC464" s="144"/>
      <c r="AD464" s="144"/>
      <c r="AE464" s="144"/>
      <c r="AF464" s="144"/>
      <c r="AG464" s="144"/>
      <c r="AH464" s="144"/>
      <c r="AI464" s="144"/>
    </row>
    <row r="465" spans="7:35" hidden="1">
      <c r="G465" s="144"/>
      <c r="H465" s="144"/>
      <c r="I465" s="144"/>
      <c r="J465" s="144"/>
      <c r="K465" s="144"/>
      <c r="L465" s="144"/>
      <c r="M465" s="144"/>
      <c r="N465" s="144"/>
      <c r="O465" s="144"/>
      <c r="P465" s="144"/>
      <c r="Q465" s="144"/>
      <c r="R465" s="144"/>
      <c r="S465" s="144"/>
      <c r="T465" s="144"/>
      <c r="U465" s="144"/>
      <c r="V465" s="144"/>
      <c r="W465" s="144"/>
      <c r="X465" s="144"/>
      <c r="Y465" s="144"/>
      <c r="Z465" s="144"/>
      <c r="AA465" s="144"/>
      <c r="AB465" s="144"/>
      <c r="AC465" s="144"/>
      <c r="AD465" s="144"/>
      <c r="AE465" s="144"/>
      <c r="AF465" s="144"/>
      <c r="AG465" s="144"/>
      <c r="AH465" s="144"/>
      <c r="AI465" s="144"/>
    </row>
    <row r="466" spans="7:35" hidden="1">
      <c r="G466" s="144"/>
      <c r="H466" s="144"/>
      <c r="I466" s="144"/>
      <c r="J466" s="144"/>
      <c r="K466" s="144"/>
      <c r="L466" s="144"/>
      <c r="M466" s="144"/>
      <c r="N466" s="144"/>
      <c r="O466" s="144"/>
      <c r="P466" s="144"/>
      <c r="Q466" s="144"/>
      <c r="R466" s="144"/>
      <c r="S466" s="144"/>
      <c r="T466" s="144"/>
      <c r="U466" s="144"/>
      <c r="V466" s="144"/>
      <c r="W466" s="144"/>
      <c r="X466" s="144"/>
      <c r="Y466" s="144"/>
      <c r="Z466" s="144"/>
      <c r="AA466" s="144"/>
      <c r="AB466" s="144"/>
      <c r="AC466" s="144"/>
      <c r="AD466" s="144"/>
      <c r="AE466" s="144"/>
      <c r="AF466" s="144"/>
      <c r="AG466" s="144"/>
      <c r="AH466" s="144"/>
      <c r="AI466" s="144"/>
    </row>
    <row r="467" spans="7:35" hidden="1">
      <c r="G467" s="144"/>
      <c r="H467" s="144"/>
      <c r="I467" s="144"/>
      <c r="J467" s="144"/>
      <c r="K467" s="144"/>
      <c r="L467" s="144"/>
      <c r="M467" s="144"/>
      <c r="N467" s="144"/>
      <c r="O467" s="144"/>
      <c r="P467" s="144"/>
      <c r="Q467" s="144"/>
      <c r="R467" s="144"/>
      <c r="S467" s="144"/>
      <c r="T467" s="144"/>
      <c r="U467" s="144"/>
      <c r="V467" s="144"/>
      <c r="W467" s="144"/>
      <c r="X467" s="144"/>
      <c r="Y467" s="144"/>
      <c r="Z467" s="144"/>
      <c r="AA467" s="144"/>
      <c r="AB467" s="144"/>
      <c r="AC467" s="144"/>
      <c r="AD467" s="144"/>
      <c r="AE467" s="144"/>
      <c r="AF467" s="144"/>
      <c r="AG467" s="144"/>
      <c r="AH467" s="144"/>
      <c r="AI467" s="144"/>
    </row>
    <row r="468" spans="7:35" hidden="1">
      <c r="G468" s="144"/>
      <c r="H468" s="144"/>
      <c r="I468" s="144"/>
      <c r="J468" s="144"/>
      <c r="K468" s="144"/>
      <c r="L468" s="144"/>
      <c r="M468" s="144"/>
      <c r="N468" s="144"/>
      <c r="O468" s="144"/>
      <c r="P468" s="144"/>
      <c r="Q468" s="144"/>
      <c r="R468" s="144"/>
      <c r="S468" s="144"/>
      <c r="T468" s="144"/>
      <c r="U468" s="144"/>
      <c r="V468" s="144"/>
      <c r="W468" s="144"/>
      <c r="X468" s="144"/>
      <c r="Y468" s="144"/>
      <c r="Z468" s="144"/>
      <c r="AA468" s="144"/>
      <c r="AB468" s="144"/>
      <c r="AC468" s="144"/>
      <c r="AD468" s="144"/>
      <c r="AE468" s="144"/>
      <c r="AF468" s="144"/>
      <c r="AG468" s="144"/>
      <c r="AH468" s="144"/>
      <c r="AI468" s="144"/>
    </row>
    <row r="469" spans="7:35" hidden="1">
      <c r="G469" s="144"/>
      <c r="H469" s="144"/>
      <c r="I469" s="144"/>
      <c r="J469" s="144"/>
      <c r="K469" s="144"/>
      <c r="L469" s="144"/>
      <c r="M469" s="144"/>
      <c r="N469" s="144"/>
      <c r="O469" s="144"/>
      <c r="P469" s="144"/>
      <c r="Q469" s="144"/>
      <c r="R469" s="144"/>
      <c r="S469" s="144"/>
      <c r="T469" s="144"/>
      <c r="U469" s="144"/>
      <c r="V469" s="144"/>
      <c r="W469" s="144"/>
      <c r="X469" s="144"/>
      <c r="Y469" s="144"/>
      <c r="Z469" s="144"/>
      <c r="AA469" s="144"/>
      <c r="AB469" s="144"/>
      <c r="AC469" s="144"/>
      <c r="AD469" s="144"/>
      <c r="AE469" s="144"/>
      <c r="AF469" s="144"/>
      <c r="AG469" s="144"/>
      <c r="AH469" s="144"/>
      <c r="AI469" s="144"/>
    </row>
    <row r="470" spans="7:35" hidden="1">
      <c r="G470" s="144"/>
      <c r="H470" s="144"/>
      <c r="I470" s="144"/>
      <c r="J470" s="144"/>
      <c r="K470" s="144"/>
      <c r="L470" s="144"/>
      <c r="M470" s="144"/>
      <c r="N470" s="144"/>
      <c r="O470" s="144"/>
      <c r="P470" s="144"/>
      <c r="Q470" s="144"/>
      <c r="R470" s="144"/>
      <c r="S470" s="144"/>
      <c r="T470" s="144"/>
      <c r="U470" s="144"/>
      <c r="V470" s="144"/>
      <c r="W470" s="144"/>
      <c r="X470" s="144"/>
      <c r="Y470" s="144"/>
      <c r="Z470" s="144"/>
      <c r="AA470" s="144"/>
      <c r="AB470" s="144"/>
      <c r="AC470" s="144"/>
      <c r="AD470" s="144"/>
      <c r="AE470" s="144"/>
      <c r="AF470" s="144"/>
      <c r="AG470" s="144"/>
      <c r="AH470" s="144"/>
      <c r="AI470" s="144"/>
    </row>
    <row r="471" spans="7:35" hidden="1">
      <c r="G471" s="144"/>
      <c r="H471" s="144"/>
      <c r="I471" s="144"/>
      <c r="J471" s="144"/>
      <c r="K471" s="144"/>
      <c r="L471" s="144"/>
      <c r="M471" s="144"/>
      <c r="N471" s="144"/>
      <c r="O471" s="144"/>
      <c r="P471" s="144"/>
      <c r="Q471" s="144"/>
      <c r="R471" s="144"/>
      <c r="S471" s="144"/>
      <c r="T471" s="144"/>
      <c r="U471" s="144"/>
      <c r="V471" s="144"/>
      <c r="W471" s="144"/>
      <c r="X471" s="144"/>
      <c r="Y471" s="144"/>
      <c r="Z471" s="144"/>
      <c r="AA471" s="144"/>
      <c r="AB471" s="144"/>
      <c r="AC471" s="144"/>
      <c r="AD471" s="144"/>
      <c r="AE471" s="144"/>
      <c r="AF471" s="144"/>
      <c r="AG471" s="144"/>
      <c r="AH471" s="144"/>
      <c r="AI471" s="144"/>
    </row>
    <row r="472" spans="7:35" hidden="1">
      <c r="G472" s="144"/>
      <c r="H472" s="144"/>
      <c r="I472" s="144"/>
      <c r="J472" s="144"/>
      <c r="K472" s="144"/>
      <c r="L472" s="144"/>
      <c r="M472" s="144"/>
      <c r="N472" s="144"/>
      <c r="O472" s="144"/>
      <c r="P472" s="144"/>
      <c r="Q472" s="144"/>
      <c r="R472" s="144"/>
      <c r="S472" s="144"/>
      <c r="T472" s="144"/>
      <c r="U472" s="144"/>
      <c r="V472" s="144"/>
      <c r="W472" s="144"/>
      <c r="X472" s="144"/>
      <c r="Y472" s="144"/>
      <c r="Z472" s="144"/>
      <c r="AA472" s="144"/>
      <c r="AB472" s="144"/>
      <c r="AC472" s="144"/>
      <c r="AD472" s="144"/>
      <c r="AE472" s="144"/>
      <c r="AF472" s="144"/>
      <c r="AG472" s="144"/>
      <c r="AH472" s="144"/>
      <c r="AI472" s="144"/>
    </row>
    <row r="473" spans="7:35" hidden="1">
      <c r="G473" s="144"/>
      <c r="H473" s="144"/>
      <c r="I473" s="144"/>
      <c r="J473" s="144"/>
      <c r="K473" s="144"/>
      <c r="L473" s="144"/>
      <c r="M473" s="144"/>
      <c r="N473" s="144"/>
      <c r="O473" s="144"/>
      <c r="P473" s="144"/>
      <c r="Q473" s="144"/>
      <c r="R473" s="144"/>
      <c r="S473" s="144"/>
      <c r="T473" s="144"/>
      <c r="U473" s="144"/>
      <c r="V473" s="144"/>
      <c r="W473" s="144"/>
      <c r="X473" s="144"/>
      <c r="Y473" s="144"/>
      <c r="Z473" s="144"/>
      <c r="AA473" s="144"/>
      <c r="AB473" s="144"/>
      <c r="AC473" s="144"/>
      <c r="AD473" s="144"/>
      <c r="AE473" s="144"/>
      <c r="AF473" s="144"/>
      <c r="AG473" s="144"/>
      <c r="AH473" s="144"/>
      <c r="AI473" s="144"/>
    </row>
    <row r="474" spans="7:35" hidden="1">
      <c r="G474" s="144"/>
      <c r="H474" s="144"/>
      <c r="I474" s="144"/>
      <c r="J474" s="144"/>
      <c r="K474" s="144"/>
      <c r="L474" s="144"/>
      <c r="M474" s="144"/>
      <c r="N474" s="144"/>
      <c r="O474" s="144"/>
      <c r="P474" s="144"/>
      <c r="Q474" s="144"/>
      <c r="R474" s="144"/>
      <c r="S474" s="144"/>
      <c r="T474" s="144"/>
      <c r="U474" s="144"/>
      <c r="V474" s="144"/>
      <c r="W474" s="144"/>
      <c r="X474" s="144"/>
      <c r="Y474" s="144"/>
      <c r="Z474" s="144"/>
      <c r="AA474" s="144"/>
      <c r="AB474" s="144"/>
      <c r="AC474" s="144"/>
      <c r="AD474" s="144"/>
      <c r="AE474" s="144"/>
      <c r="AF474" s="144"/>
      <c r="AG474" s="144"/>
      <c r="AH474" s="144"/>
      <c r="AI474" s="144"/>
    </row>
    <row r="475" spans="7:35" hidden="1">
      <c r="G475" s="144"/>
      <c r="H475" s="144"/>
      <c r="I475" s="144"/>
      <c r="J475" s="144"/>
      <c r="K475" s="144"/>
      <c r="L475" s="144"/>
      <c r="M475" s="144"/>
      <c r="N475" s="144"/>
      <c r="O475" s="144"/>
      <c r="P475" s="144"/>
      <c r="Q475" s="144"/>
      <c r="R475" s="144"/>
      <c r="S475" s="144"/>
      <c r="T475" s="144"/>
      <c r="U475" s="144"/>
      <c r="V475" s="144"/>
      <c r="W475" s="144"/>
      <c r="X475" s="144"/>
      <c r="Y475" s="144"/>
      <c r="Z475" s="144"/>
      <c r="AA475" s="144"/>
      <c r="AB475" s="144"/>
      <c r="AC475" s="144"/>
      <c r="AD475" s="144"/>
      <c r="AE475" s="144"/>
      <c r="AF475" s="144"/>
      <c r="AG475" s="144"/>
      <c r="AH475" s="144"/>
      <c r="AI475" s="144"/>
    </row>
    <row r="476" spans="7:35" hidden="1">
      <c r="G476" s="144"/>
      <c r="H476" s="144"/>
      <c r="I476" s="144"/>
      <c r="J476" s="144"/>
      <c r="K476" s="144"/>
      <c r="L476" s="144"/>
      <c r="M476" s="144"/>
      <c r="N476" s="144"/>
      <c r="O476" s="144"/>
      <c r="P476" s="144"/>
      <c r="Q476" s="144"/>
      <c r="R476" s="144"/>
      <c r="S476" s="144"/>
      <c r="T476" s="144"/>
      <c r="U476" s="144"/>
      <c r="V476" s="144"/>
      <c r="W476" s="144"/>
      <c r="X476" s="144"/>
      <c r="Y476" s="144"/>
      <c r="Z476" s="144"/>
      <c r="AA476" s="144"/>
      <c r="AB476" s="144"/>
      <c r="AC476" s="144"/>
      <c r="AD476" s="144"/>
      <c r="AE476" s="144"/>
      <c r="AF476" s="144"/>
      <c r="AG476" s="144"/>
      <c r="AH476" s="144"/>
      <c r="AI476" s="144"/>
    </row>
    <row r="477" spans="7:35" hidden="1">
      <c r="G477" s="144"/>
      <c r="H477" s="144"/>
      <c r="I477" s="144"/>
      <c r="J477" s="144"/>
      <c r="K477" s="144"/>
      <c r="L477" s="144"/>
      <c r="M477" s="144"/>
      <c r="N477" s="144"/>
      <c r="O477" s="144"/>
      <c r="P477" s="144"/>
      <c r="Q477" s="144"/>
      <c r="R477" s="144"/>
      <c r="S477" s="144"/>
      <c r="T477" s="144"/>
      <c r="U477" s="144"/>
      <c r="V477" s="144"/>
      <c r="W477" s="144"/>
      <c r="X477" s="144"/>
      <c r="Y477" s="144"/>
      <c r="Z477" s="144"/>
      <c r="AA477" s="144"/>
      <c r="AB477" s="144"/>
      <c r="AC477" s="144"/>
      <c r="AD477" s="144"/>
      <c r="AE477" s="144"/>
      <c r="AF477" s="144"/>
      <c r="AG477" s="144"/>
      <c r="AH477" s="144"/>
      <c r="AI477" s="144"/>
    </row>
    <row r="478" spans="7:35" hidden="1">
      <c r="G478" s="144"/>
      <c r="H478" s="144"/>
      <c r="I478" s="144"/>
      <c r="J478" s="144"/>
      <c r="K478" s="144"/>
      <c r="L478" s="144"/>
      <c r="M478" s="144"/>
      <c r="N478" s="144"/>
      <c r="O478" s="144"/>
      <c r="P478" s="144"/>
      <c r="Q478" s="144"/>
      <c r="R478" s="144"/>
      <c r="S478" s="144"/>
      <c r="T478" s="144"/>
      <c r="U478" s="144"/>
      <c r="V478" s="144"/>
      <c r="W478" s="144"/>
      <c r="X478" s="144"/>
      <c r="Y478" s="144"/>
      <c r="Z478" s="144"/>
      <c r="AA478" s="144"/>
      <c r="AB478" s="144"/>
      <c r="AC478" s="144"/>
      <c r="AD478" s="144"/>
      <c r="AE478" s="144"/>
      <c r="AF478" s="144"/>
      <c r="AG478" s="144"/>
      <c r="AH478" s="144"/>
      <c r="AI478" s="144"/>
    </row>
    <row r="479" spans="7:35" hidden="1">
      <c r="G479" s="144"/>
      <c r="H479" s="144"/>
      <c r="I479" s="144"/>
      <c r="J479" s="144"/>
      <c r="K479" s="144"/>
      <c r="L479" s="144"/>
      <c r="M479" s="144"/>
      <c r="N479" s="144"/>
      <c r="O479" s="144"/>
      <c r="P479" s="144"/>
      <c r="Q479" s="144"/>
      <c r="R479" s="144"/>
      <c r="S479" s="144"/>
      <c r="T479" s="144"/>
      <c r="U479" s="144"/>
      <c r="V479" s="144"/>
      <c r="W479" s="144"/>
      <c r="X479" s="144"/>
      <c r="Y479" s="144"/>
      <c r="Z479" s="144"/>
      <c r="AA479" s="144"/>
      <c r="AB479" s="144"/>
      <c r="AC479" s="144"/>
      <c r="AD479" s="144"/>
      <c r="AE479" s="144"/>
      <c r="AF479" s="144"/>
      <c r="AG479" s="144"/>
      <c r="AH479" s="144"/>
      <c r="AI479" s="144"/>
    </row>
    <row r="480" spans="7:35" hidden="1">
      <c r="G480" s="144"/>
      <c r="H480" s="144"/>
      <c r="I480" s="144"/>
      <c r="J480" s="144"/>
      <c r="K480" s="144"/>
      <c r="L480" s="144"/>
      <c r="M480" s="144"/>
      <c r="N480" s="144"/>
      <c r="O480" s="144"/>
      <c r="P480" s="144"/>
      <c r="Q480" s="144"/>
      <c r="R480" s="144"/>
      <c r="S480" s="144"/>
      <c r="T480" s="144"/>
      <c r="U480" s="144"/>
      <c r="V480" s="144"/>
      <c r="W480" s="144"/>
      <c r="X480" s="144"/>
      <c r="Y480" s="144"/>
      <c r="Z480" s="144"/>
      <c r="AA480" s="144"/>
      <c r="AB480" s="144"/>
      <c r="AC480" s="144"/>
      <c r="AD480" s="144"/>
      <c r="AE480" s="144"/>
      <c r="AF480" s="144"/>
      <c r="AG480" s="144"/>
      <c r="AH480" s="144"/>
      <c r="AI480" s="144"/>
    </row>
    <row r="481" spans="7:35" hidden="1">
      <c r="G481" s="144"/>
      <c r="H481" s="144"/>
      <c r="I481" s="144"/>
      <c r="J481" s="144"/>
      <c r="K481" s="144"/>
      <c r="L481" s="144"/>
      <c r="M481" s="144"/>
      <c r="N481" s="144"/>
      <c r="O481" s="144"/>
      <c r="P481" s="144"/>
      <c r="Q481" s="144"/>
      <c r="R481" s="144"/>
      <c r="S481" s="144"/>
      <c r="T481" s="144"/>
      <c r="U481" s="144"/>
      <c r="V481" s="144"/>
      <c r="W481" s="144"/>
      <c r="X481" s="144"/>
      <c r="Y481" s="144"/>
      <c r="Z481" s="144"/>
      <c r="AA481" s="144"/>
      <c r="AB481" s="144"/>
      <c r="AC481" s="144"/>
      <c r="AD481" s="144"/>
      <c r="AE481" s="144"/>
      <c r="AF481" s="144"/>
      <c r="AG481" s="144"/>
      <c r="AH481" s="144"/>
      <c r="AI481" s="144"/>
    </row>
    <row r="482" spans="7:35" hidden="1">
      <c r="G482" s="144"/>
      <c r="H482" s="144"/>
      <c r="I482" s="144"/>
      <c r="J482" s="144"/>
      <c r="K482" s="144"/>
      <c r="L482" s="144"/>
      <c r="M482" s="144"/>
      <c r="N482" s="144"/>
      <c r="O482" s="144"/>
      <c r="P482" s="144"/>
      <c r="Q482" s="144"/>
      <c r="R482" s="144"/>
      <c r="S482" s="144"/>
      <c r="T482" s="144"/>
      <c r="U482" s="144"/>
      <c r="V482" s="144"/>
      <c r="W482" s="144"/>
      <c r="X482" s="144"/>
      <c r="Y482" s="144"/>
      <c r="Z482" s="144"/>
      <c r="AA482" s="144"/>
      <c r="AB482" s="144"/>
      <c r="AC482" s="144"/>
      <c r="AD482" s="144"/>
      <c r="AE482" s="144"/>
      <c r="AF482" s="144"/>
      <c r="AG482" s="144"/>
      <c r="AH482" s="144"/>
      <c r="AI482" s="144"/>
    </row>
    <row r="483" spans="7:35" hidden="1">
      <c r="G483" s="144"/>
      <c r="H483" s="144"/>
      <c r="I483" s="144"/>
      <c r="J483" s="144"/>
      <c r="K483" s="144"/>
      <c r="L483" s="144"/>
      <c r="M483" s="144"/>
      <c r="N483" s="144"/>
      <c r="O483" s="144"/>
      <c r="P483" s="144"/>
      <c r="Q483" s="144"/>
      <c r="R483" s="144"/>
      <c r="S483" s="144"/>
      <c r="T483" s="144"/>
      <c r="U483" s="144"/>
      <c r="V483" s="144"/>
      <c r="W483" s="144"/>
      <c r="X483" s="144"/>
      <c r="Y483" s="144"/>
      <c r="Z483" s="144"/>
      <c r="AA483" s="144"/>
      <c r="AB483" s="144"/>
      <c r="AC483" s="144"/>
      <c r="AD483" s="144"/>
      <c r="AE483" s="144"/>
      <c r="AF483" s="144"/>
      <c r="AG483" s="144"/>
      <c r="AH483" s="144"/>
      <c r="AI483" s="144"/>
    </row>
    <row r="484" spans="7:35" hidden="1">
      <c r="G484" s="144"/>
      <c r="H484" s="144"/>
      <c r="I484" s="144"/>
      <c r="J484" s="144"/>
      <c r="K484" s="144"/>
      <c r="L484" s="144"/>
      <c r="M484" s="144"/>
      <c r="N484" s="144"/>
      <c r="O484" s="144"/>
      <c r="P484" s="144"/>
      <c r="Q484" s="144"/>
      <c r="R484" s="144"/>
      <c r="S484" s="144"/>
      <c r="T484" s="144"/>
      <c r="U484" s="144"/>
      <c r="V484" s="144"/>
      <c r="W484" s="144"/>
      <c r="X484" s="144"/>
      <c r="Y484" s="144"/>
      <c r="Z484" s="144"/>
      <c r="AA484" s="144"/>
      <c r="AB484" s="144"/>
      <c r="AC484" s="144"/>
      <c r="AD484" s="144"/>
      <c r="AE484" s="144"/>
      <c r="AF484" s="144"/>
      <c r="AG484" s="144"/>
      <c r="AH484" s="144"/>
      <c r="AI484" s="144"/>
    </row>
    <row r="485" spans="7:35" hidden="1">
      <c r="G485" s="144"/>
      <c r="H485" s="144"/>
      <c r="I485" s="144"/>
      <c r="J485" s="144"/>
      <c r="K485" s="144"/>
      <c r="L485" s="144"/>
      <c r="M485" s="144"/>
      <c r="N485" s="144"/>
      <c r="O485" s="144"/>
      <c r="P485" s="144"/>
      <c r="Q485" s="144"/>
      <c r="R485" s="144"/>
      <c r="S485" s="144"/>
      <c r="T485" s="144"/>
      <c r="U485" s="144"/>
      <c r="V485" s="144"/>
      <c r="W485" s="144"/>
      <c r="X485" s="144"/>
      <c r="Y485" s="144"/>
      <c r="Z485" s="144"/>
      <c r="AA485" s="144"/>
      <c r="AB485" s="144"/>
      <c r="AC485" s="144"/>
      <c r="AD485" s="144"/>
      <c r="AE485" s="144"/>
      <c r="AF485" s="144"/>
      <c r="AG485" s="144"/>
      <c r="AH485" s="144"/>
      <c r="AI485" s="144"/>
    </row>
    <row r="486" spans="7:35" hidden="1">
      <c r="G486" s="144"/>
      <c r="H486" s="144"/>
      <c r="I486" s="144"/>
      <c r="J486" s="144"/>
      <c r="K486" s="144"/>
      <c r="L486" s="144"/>
      <c r="M486" s="144"/>
      <c r="N486" s="144"/>
      <c r="O486" s="144"/>
      <c r="P486" s="144"/>
      <c r="Q486" s="144"/>
      <c r="R486" s="144"/>
      <c r="S486" s="144"/>
      <c r="T486" s="144"/>
      <c r="U486" s="144"/>
      <c r="V486" s="144"/>
      <c r="W486" s="144"/>
      <c r="X486" s="144"/>
      <c r="Y486" s="144"/>
      <c r="Z486" s="144"/>
      <c r="AA486" s="144"/>
      <c r="AB486" s="144"/>
      <c r="AC486" s="144"/>
      <c r="AD486" s="144"/>
      <c r="AE486" s="144"/>
      <c r="AF486" s="144"/>
      <c r="AG486" s="144"/>
      <c r="AH486" s="144"/>
      <c r="AI486" s="144"/>
    </row>
    <row r="487" spans="7:35" hidden="1">
      <c r="G487" s="144"/>
      <c r="H487" s="144"/>
      <c r="I487" s="144"/>
      <c r="J487" s="144"/>
      <c r="K487" s="144"/>
      <c r="L487" s="144"/>
      <c r="M487" s="144"/>
      <c r="N487" s="144"/>
      <c r="O487" s="144"/>
      <c r="P487" s="144"/>
      <c r="Q487" s="144"/>
      <c r="R487" s="144"/>
      <c r="S487" s="144"/>
      <c r="T487" s="144"/>
      <c r="U487" s="144"/>
      <c r="V487" s="144"/>
      <c r="W487" s="144"/>
      <c r="X487" s="144"/>
      <c r="Y487" s="144"/>
      <c r="Z487" s="144"/>
      <c r="AA487" s="144"/>
      <c r="AB487" s="144"/>
      <c r="AC487" s="144"/>
      <c r="AD487" s="144"/>
      <c r="AE487" s="144"/>
      <c r="AF487" s="144"/>
      <c r="AG487" s="144"/>
      <c r="AH487" s="144"/>
      <c r="AI487" s="144"/>
    </row>
    <row r="488" spans="7:35" hidden="1">
      <c r="G488" s="144"/>
      <c r="H488" s="144"/>
      <c r="I488" s="144"/>
      <c r="J488" s="144"/>
      <c r="K488" s="144"/>
      <c r="L488" s="144"/>
      <c r="M488" s="144"/>
      <c r="N488" s="144"/>
      <c r="O488" s="144"/>
      <c r="P488" s="144"/>
      <c r="Q488" s="144"/>
      <c r="R488" s="144"/>
      <c r="S488" s="144"/>
      <c r="T488" s="144"/>
      <c r="U488" s="144"/>
      <c r="V488" s="144"/>
      <c r="W488" s="144"/>
      <c r="X488" s="144"/>
      <c r="Y488" s="144"/>
      <c r="Z488" s="144"/>
      <c r="AA488" s="144"/>
      <c r="AB488" s="144"/>
      <c r="AC488" s="144"/>
      <c r="AD488" s="144"/>
      <c r="AE488" s="144"/>
      <c r="AF488" s="144"/>
      <c r="AG488" s="144"/>
      <c r="AH488" s="144"/>
      <c r="AI488" s="144"/>
    </row>
    <row r="489" spans="7:35" hidden="1">
      <c r="G489" s="144"/>
      <c r="H489" s="144"/>
      <c r="I489" s="144"/>
      <c r="J489" s="144"/>
      <c r="K489" s="144"/>
      <c r="L489" s="144"/>
      <c r="M489" s="144"/>
      <c r="N489" s="144"/>
      <c r="O489" s="144"/>
      <c r="P489" s="144"/>
      <c r="Q489" s="144"/>
      <c r="R489" s="144"/>
      <c r="S489" s="144"/>
      <c r="T489" s="144"/>
      <c r="U489" s="144"/>
      <c r="V489" s="144"/>
      <c r="W489" s="144"/>
      <c r="X489" s="144"/>
      <c r="Y489" s="144"/>
      <c r="Z489" s="144"/>
      <c r="AA489" s="144"/>
      <c r="AB489" s="144"/>
      <c r="AC489" s="144"/>
      <c r="AD489" s="144"/>
      <c r="AE489" s="144"/>
      <c r="AF489" s="144"/>
      <c r="AG489" s="144"/>
      <c r="AH489" s="144"/>
      <c r="AI489" s="144"/>
    </row>
    <row r="490" spans="7:35" hidden="1">
      <c r="G490" s="144"/>
      <c r="H490" s="144"/>
      <c r="I490" s="144"/>
      <c r="J490" s="144"/>
      <c r="K490" s="144"/>
      <c r="L490" s="144"/>
      <c r="M490" s="144"/>
      <c r="N490" s="144"/>
      <c r="O490" s="144"/>
      <c r="P490" s="144"/>
      <c r="Q490" s="144"/>
      <c r="R490" s="144"/>
      <c r="S490" s="144"/>
      <c r="T490" s="144"/>
      <c r="U490" s="144"/>
      <c r="V490" s="144"/>
      <c r="W490" s="144"/>
      <c r="X490" s="144"/>
      <c r="Y490" s="144"/>
      <c r="Z490" s="144"/>
      <c r="AA490" s="144"/>
      <c r="AB490" s="144"/>
      <c r="AC490" s="144"/>
      <c r="AD490" s="144"/>
      <c r="AE490" s="144"/>
      <c r="AF490" s="144"/>
      <c r="AG490" s="144"/>
      <c r="AH490" s="144"/>
      <c r="AI490" s="144"/>
    </row>
    <row r="491" spans="7:35" hidden="1">
      <c r="G491" s="144"/>
      <c r="H491" s="144"/>
      <c r="I491" s="144"/>
      <c r="J491" s="144"/>
      <c r="K491" s="144"/>
      <c r="L491" s="144"/>
      <c r="M491" s="144"/>
      <c r="N491" s="144"/>
      <c r="O491" s="144"/>
      <c r="P491" s="144"/>
      <c r="Q491" s="144"/>
      <c r="R491" s="144"/>
      <c r="S491" s="144"/>
      <c r="T491" s="144"/>
      <c r="U491" s="144"/>
      <c r="V491" s="144"/>
      <c r="W491" s="144"/>
      <c r="X491" s="144"/>
      <c r="Y491" s="144"/>
      <c r="Z491" s="144"/>
      <c r="AA491" s="144"/>
      <c r="AB491" s="144"/>
      <c r="AC491" s="144"/>
      <c r="AD491" s="144"/>
      <c r="AE491" s="144"/>
      <c r="AF491" s="144"/>
      <c r="AG491" s="144"/>
      <c r="AH491" s="144"/>
      <c r="AI491" s="144"/>
    </row>
    <row r="492" spans="7:35" hidden="1">
      <c r="G492" s="144"/>
      <c r="H492" s="144"/>
      <c r="I492" s="144"/>
      <c r="J492" s="144"/>
      <c r="K492" s="144"/>
      <c r="L492" s="144"/>
      <c r="M492" s="144"/>
      <c r="N492" s="144"/>
      <c r="O492" s="144"/>
      <c r="P492" s="144"/>
      <c r="Q492" s="144"/>
      <c r="R492" s="144"/>
      <c r="S492" s="144"/>
      <c r="T492" s="144"/>
      <c r="U492" s="144"/>
      <c r="V492" s="144"/>
      <c r="W492" s="144"/>
      <c r="X492" s="144"/>
      <c r="Y492" s="144"/>
      <c r="Z492" s="144"/>
      <c r="AA492" s="144"/>
      <c r="AB492" s="144"/>
      <c r="AC492" s="144"/>
      <c r="AD492" s="144"/>
      <c r="AE492" s="144"/>
      <c r="AF492" s="144"/>
      <c r="AG492" s="144"/>
      <c r="AH492" s="144"/>
      <c r="AI492" s="144"/>
    </row>
    <row r="493" spans="7:35" hidden="1">
      <c r="G493" s="144"/>
      <c r="H493" s="144"/>
      <c r="I493" s="144"/>
      <c r="J493" s="144"/>
      <c r="K493" s="144"/>
      <c r="L493" s="144"/>
      <c r="M493" s="144"/>
      <c r="N493" s="144"/>
      <c r="O493" s="144"/>
      <c r="P493" s="144"/>
      <c r="Q493" s="144"/>
      <c r="R493" s="144"/>
      <c r="S493" s="144"/>
      <c r="T493" s="144"/>
      <c r="U493" s="144"/>
      <c r="V493" s="144"/>
      <c r="W493" s="144"/>
      <c r="X493" s="144"/>
      <c r="Y493" s="144"/>
      <c r="Z493" s="144"/>
      <c r="AA493" s="144"/>
      <c r="AB493" s="144"/>
      <c r="AC493" s="144"/>
      <c r="AD493" s="144"/>
      <c r="AE493" s="144"/>
      <c r="AF493" s="144"/>
      <c r="AG493" s="144"/>
      <c r="AH493" s="144"/>
      <c r="AI493" s="144"/>
    </row>
    <row r="494" spans="7:35" hidden="1">
      <c r="G494" s="144"/>
      <c r="H494" s="144"/>
      <c r="I494" s="144"/>
      <c r="J494" s="144"/>
      <c r="K494" s="144"/>
      <c r="L494" s="144"/>
      <c r="M494" s="144"/>
      <c r="N494" s="144"/>
      <c r="O494" s="144"/>
      <c r="P494" s="144"/>
      <c r="Q494" s="144"/>
      <c r="R494" s="144"/>
      <c r="S494" s="144"/>
      <c r="T494" s="144"/>
      <c r="U494" s="144"/>
      <c r="V494" s="144"/>
      <c r="W494" s="144"/>
      <c r="X494" s="144"/>
      <c r="Y494" s="144"/>
      <c r="Z494" s="144"/>
      <c r="AA494" s="144"/>
      <c r="AB494" s="144"/>
      <c r="AC494" s="144"/>
      <c r="AD494" s="144"/>
      <c r="AE494" s="144"/>
      <c r="AF494" s="144"/>
      <c r="AG494" s="144"/>
      <c r="AH494" s="144"/>
      <c r="AI494" s="144"/>
    </row>
    <row r="495" spans="7:35" hidden="1">
      <c r="G495" s="144"/>
      <c r="H495" s="144"/>
      <c r="I495" s="144"/>
      <c r="J495" s="144"/>
      <c r="K495" s="144"/>
      <c r="L495" s="144"/>
      <c r="M495" s="144"/>
      <c r="N495" s="144"/>
      <c r="O495" s="144"/>
      <c r="P495" s="144"/>
      <c r="Q495" s="144"/>
      <c r="R495" s="144"/>
      <c r="S495" s="144"/>
      <c r="T495" s="144"/>
      <c r="U495" s="144"/>
      <c r="V495" s="144"/>
      <c r="W495" s="144"/>
      <c r="X495" s="144"/>
      <c r="Y495" s="144"/>
      <c r="Z495" s="144"/>
      <c r="AA495" s="144"/>
      <c r="AB495" s="144"/>
      <c r="AC495" s="144"/>
      <c r="AD495" s="144"/>
      <c r="AE495" s="144"/>
      <c r="AF495" s="144"/>
      <c r="AG495" s="144"/>
      <c r="AH495" s="144"/>
      <c r="AI495" s="144"/>
    </row>
    <row r="496" spans="7:35" hidden="1">
      <c r="G496" s="144"/>
      <c r="H496" s="144"/>
      <c r="I496" s="144"/>
      <c r="J496" s="144"/>
      <c r="K496" s="144"/>
      <c r="L496" s="144"/>
      <c r="M496" s="144"/>
      <c r="N496" s="144"/>
      <c r="O496" s="144"/>
      <c r="P496" s="144"/>
      <c r="Q496" s="144"/>
      <c r="R496" s="144"/>
      <c r="S496" s="144"/>
      <c r="T496" s="144"/>
      <c r="U496" s="144"/>
      <c r="V496" s="144"/>
      <c r="W496" s="144"/>
      <c r="X496" s="144"/>
      <c r="Y496" s="144"/>
      <c r="Z496" s="144"/>
      <c r="AA496" s="144"/>
      <c r="AB496" s="144"/>
      <c r="AC496" s="144"/>
      <c r="AD496" s="144"/>
      <c r="AE496" s="144"/>
      <c r="AF496" s="144"/>
      <c r="AG496" s="144"/>
      <c r="AH496" s="144"/>
      <c r="AI496" s="144"/>
    </row>
    <row r="497" spans="7:35" hidden="1">
      <c r="G497" s="144"/>
      <c r="H497" s="144"/>
      <c r="I497" s="144"/>
      <c r="J497" s="144"/>
      <c r="K497" s="144"/>
      <c r="L497" s="144"/>
      <c r="M497" s="144"/>
      <c r="N497" s="144"/>
      <c r="O497" s="144"/>
      <c r="P497" s="144"/>
      <c r="Q497" s="144"/>
      <c r="R497" s="144"/>
      <c r="S497" s="144"/>
      <c r="T497" s="144"/>
      <c r="U497" s="144"/>
      <c r="V497" s="144"/>
      <c r="W497" s="144"/>
      <c r="X497" s="144"/>
      <c r="Y497" s="144"/>
      <c r="Z497" s="144"/>
      <c r="AA497" s="144"/>
      <c r="AB497" s="144"/>
      <c r="AC497" s="144"/>
      <c r="AD497" s="144"/>
      <c r="AE497" s="144"/>
      <c r="AF497" s="144"/>
      <c r="AG497" s="144"/>
      <c r="AH497" s="144"/>
      <c r="AI497" s="144"/>
    </row>
    <row r="498" spans="7:35" hidden="1">
      <c r="G498" s="144"/>
      <c r="H498" s="144"/>
      <c r="I498" s="144"/>
      <c r="J498" s="144"/>
      <c r="K498" s="144"/>
      <c r="L498" s="144"/>
      <c r="M498" s="144"/>
      <c r="N498" s="144"/>
      <c r="O498" s="144"/>
      <c r="P498" s="144"/>
      <c r="Q498" s="144"/>
      <c r="R498" s="144"/>
      <c r="S498" s="144"/>
      <c r="T498" s="144"/>
      <c r="U498" s="144"/>
      <c r="V498" s="144"/>
      <c r="W498" s="144"/>
      <c r="X498" s="144"/>
      <c r="Y498" s="144"/>
      <c r="Z498" s="144"/>
      <c r="AA498" s="144"/>
      <c r="AB498" s="144"/>
      <c r="AC498" s="144"/>
      <c r="AD498" s="144"/>
      <c r="AE498" s="144"/>
      <c r="AF498" s="144"/>
      <c r="AG498" s="144"/>
      <c r="AH498" s="144"/>
      <c r="AI498" s="144"/>
    </row>
    <row r="499" spans="7:35" hidden="1">
      <c r="G499" s="144"/>
      <c r="H499" s="144"/>
      <c r="I499" s="144"/>
      <c r="J499" s="144"/>
      <c r="K499" s="144"/>
      <c r="L499" s="144"/>
      <c r="M499" s="144"/>
      <c r="N499" s="144"/>
      <c r="O499" s="144"/>
      <c r="P499" s="144"/>
      <c r="Q499" s="144"/>
      <c r="R499" s="144"/>
      <c r="S499" s="144"/>
      <c r="T499" s="144"/>
      <c r="U499" s="144"/>
      <c r="V499" s="144"/>
      <c r="W499" s="144"/>
      <c r="X499" s="144"/>
      <c r="Y499" s="144"/>
      <c r="Z499" s="144"/>
      <c r="AA499" s="144"/>
      <c r="AB499" s="144"/>
      <c r="AC499" s="144"/>
      <c r="AD499" s="144"/>
      <c r="AE499" s="144"/>
      <c r="AF499" s="144"/>
      <c r="AG499" s="144"/>
      <c r="AH499" s="144"/>
      <c r="AI499" s="144"/>
    </row>
    <row r="500" spans="7:35" hidden="1">
      <c r="G500" s="144"/>
      <c r="H500" s="144"/>
      <c r="I500" s="144"/>
      <c r="J500" s="144"/>
      <c r="K500" s="144"/>
      <c r="L500" s="144"/>
      <c r="M500" s="144"/>
      <c r="N500" s="144"/>
      <c r="O500" s="144"/>
      <c r="P500" s="144"/>
      <c r="Q500" s="144"/>
      <c r="R500" s="144"/>
      <c r="S500" s="144"/>
      <c r="T500" s="144"/>
      <c r="U500" s="144"/>
      <c r="V500" s="144"/>
      <c r="W500" s="144"/>
      <c r="X500" s="144"/>
      <c r="Y500" s="144"/>
      <c r="Z500" s="144"/>
      <c r="AA500" s="144"/>
      <c r="AB500" s="144"/>
      <c r="AC500" s="144"/>
      <c r="AD500" s="144"/>
      <c r="AE500" s="144"/>
      <c r="AF500" s="144"/>
      <c r="AG500" s="144"/>
      <c r="AH500" s="144"/>
      <c r="AI500" s="144"/>
    </row>
    <row r="501" spans="7:35" hidden="1">
      <c r="G501" s="144"/>
      <c r="H501" s="144"/>
      <c r="I501" s="144"/>
      <c r="J501" s="144"/>
      <c r="K501" s="144"/>
      <c r="L501" s="144"/>
      <c r="M501" s="144"/>
      <c r="N501" s="144"/>
      <c r="O501" s="144"/>
      <c r="P501" s="144"/>
      <c r="Q501" s="144"/>
      <c r="R501" s="144"/>
      <c r="S501" s="144"/>
      <c r="T501" s="144"/>
      <c r="U501" s="144"/>
      <c r="V501" s="144"/>
      <c r="W501" s="144"/>
      <c r="X501" s="144"/>
      <c r="Y501" s="144"/>
      <c r="Z501" s="144"/>
      <c r="AA501" s="144"/>
      <c r="AB501" s="144"/>
      <c r="AC501" s="144"/>
      <c r="AD501" s="144"/>
      <c r="AE501" s="144"/>
      <c r="AF501" s="144"/>
      <c r="AG501" s="144"/>
      <c r="AH501" s="144"/>
      <c r="AI501" s="144"/>
    </row>
    <row r="502" spans="7:35" hidden="1">
      <c r="G502" s="144"/>
      <c r="H502" s="144"/>
      <c r="I502" s="144"/>
      <c r="J502" s="144"/>
      <c r="K502" s="144"/>
      <c r="L502" s="144"/>
      <c r="M502" s="144"/>
      <c r="N502" s="144"/>
      <c r="O502" s="144"/>
      <c r="P502" s="144"/>
      <c r="Q502" s="144"/>
      <c r="R502" s="144"/>
      <c r="S502" s="144"/>
      <c r="T502" s="144"/>
      <c r="U502" s="144"/>
      <c r="V502" s="144"/>
      <c r="W502" s="144"/>
      <c r="X502" s="144"/>
      <c r="Y502" s="144"/>
      <c r="Z502" s="144"/>
      <c r="AA502" s="144"/>
      <c r="AB502" s="144"/>
      <c r="AC502" s="144"/>
      <c r="AD502" s="144"/>
      <c r="AE502" s="144"/>
      <c r="AF502" s="144"/>
      <c r="AG502" s="144"/>
      <c r="AH502" s="144"/>
      <c r="AI502" s="144"/>
    </row>
    <row r="503" spans="7:35" hidden="1">
      <c r="G503" s="144"/>
      <c r="H503" s="144"/>
      <c r="I503" s="144"/>
      <c r="J503" s="144"/>
      <c r="K503" s="144"/>
      <c r="L503" s="144"/>
      <c r="M503" s="144"/>
      <c r="N503" s="144"/>
      <c r="O503" s="144"/>
      <c r="P503" s="144"/>
      <c r="Q503" s="144"/>
      <c r="R503" s="144"/>
      <c r="S503" s="144"/>
      <c r="T503" s="144"/>
      <c r="U503" s="144"/>
      <c r="V503" s="144"/>
      <c r="W503" s="144"/>
      <c r="X503" s="144"/>
      <c r="Y503" s="144"/>
      <c r="Z503" s="144"/>
      <c r="AA503" s="144"/>
      <c r="AB503" s="144"/>
      <c r="AC503" s="144"/>
      <c r="AD503" s="144"/>
      <c r="AE503" s="144"/>
      <c r="AF503" s="144"/>
      <c r="AG503" s="144"/>
      <c r="AH503" s="144"/>
      <c r="AI503" s="144"/>
    </row>
    <row r="504" spans="7:35" hidden="1">
      <c r="G504" s="144"/>
      <c r="H504" s="144"/>
      <c r="I504" s="144"/>
      <c r="J504" s="144"/>
      <c r="K504" s="144"/>
      <c r="L504" s="144"/>
      <c r="M504" s="144"/>
      <c r="N504" s="144"/>
      <c r="O504" s="144"/>
      <c r="P504" s="144"/>
      <c r="Q504" s="144"/>
      <c r="R504" s="144"/>
      <c r="S504" s="144"/>
      <c r="T504" s="144"/>
      <c r="U504" s="144"/>
      <c r="V504" s="144"/>
      <c r="W504" s="144"/>
      <c r="X504" s="144"/>
      <c r="Y504" s="144"/>
      <c r="Z504" s="144"/>
      <c r="AA504" s="144"/>
      <c r="AB504" s="144"/>
      <c r="AC504" s="144"/>
      <c r="AD504" s="144"/>
      <c r="AE504" s="144"/>
      <c r="AF504" s="144"/>
      <c r="AG504" s="144"/>
      <c r="AH504" s="144"/>
      <c r="AI504" s="144"/>
    </row>
    <row r="505" spans="7:35" hidden="1">
      <c r="G505" s="144"/>
      <c r="H505" s="144"/>
      <c r="I505" s="144"/>
      <c r="J505" s="144"/>
      <c r="K505" s="144"/>
      <c r="L505" s="144"/>
      <c r="M505" s="144"/>
      <c r="N505" s="144"/>
      <c r="O505" s="144"/>
      <c r="P505" s="144"/>
      <c r="Q505" s="144"/>
      <c r="R505" s="144"/>
      <c r="S505" s="144"/>
      <c r="T505" s="144"/>
      <c r="U505" s="144"/>
      <c r="V505" s="144"/>
      <c r="W505" s="144"/>
      <c r="X505" s="144"/>
      <c r="Y505" s="144"/>
      <c r="Z505" s="144"/>
      <c r="AA505" s="144"/>
      <c r="AB505" s="144"/>
      <c r="AC505" s="144"/>
      <c r="AD505" s="144"/>
      <c r="AE505" s="144"/>
      <c r="AF505" s="144"/>
      <c r="AG505" s="144"/>
      <c r="AH505" s="144"/>
      <c r="AI505" s="144"/>
    </row>
    <row r="506" spans="7:35" hidden="1">
      <c r="G506" s="144"/>
      <c r="H506" s="144"/>
      <c r="I506" s="144"/>
      <c r="J506" s="144"/>
      <c r="K506" s="144"/>
      <c r="L506" s="144"/>
      <c r="M506" s="144"/>
      <c r="N506" s="144"/>
      <c r="O506" s="144"/>
      <c r="P506" s="144"/>
      <c r="Q506" s="144"/>
      <c r="R506" s="144"/>
      <c r="S506" s="144"/>
      <c r="T506" s="144"/>
      <c r="U506" s="144"/>
      <c r="V506" s="144"/>
      <c r="W506" s="144"/>
      <c r="X506" s="144"/>
      <c r="Y506" s="144"/>
      <c r="Z506" s="144"/>
      <c r="AA506" s="144"/>
      <c r="AB506" s="144"/>
      <c r="AC506" s="144"/>
      <c r="AD506" s="144"/>
      <c r="AE506" s="144"/>
      <c r="AF506" s="144"/>
      <c r="AG506" s="144"/>
      <c r="AH506" s="144"/>
      <c r="AI506" s="144"/>
    </row>
    <row r="507" spans="7:35" hidden="1">
      <c r="G507" s="144"/>
      <c r="H507" s="144"/>
      <c r="I507" s="144"/>
      <c r="J507" s="144"/>
      <c r="K507" s="144"/>
      <c r="L507" s="144"/>
      <c r="M507" s="144"/>
      <c r="N507" s="144"/>
      <c r="O507" s="144"/>
      <c r="P507" s="144"/>
      <c r="Q507" s="144"/>
      <c r="R507" s="144"/>
      <c r="S507" s="144"/>
      <c r="T507" s="144"/>
      <c r="U507" s="144"/>
      <c r="V507" s="144"/>
      <c r="W507" s="144"/>
      <c r="X507" s="144"/>
      <c r="Y507" s="144"/>
      <c r="Z507" s="144"/>
      <c r="AA507" s="144"/>
      <c r="AB507" s="144"/>
      <c r="AC507" s="144"/>
      <c r="AD507" s="144"/>
      <c r="AE507" s="144"/>
      <c r="AF507" s="144"/>
      <c r="AG507" s="144"/>
      <c r="AH507" s="144"/>
      <c r="AI507" s="144"/>
    </row>
    <row r="508" spans="7:35" hidden="1">
      <c r="G508" s="144"/>
      <c r="H508" s="144"/>
      <c r="I508" s="144"/>
      <c r="J508" s="144"/>
      <c r="K508" s="144"/>
      <c r="L508" s="144"/>
      <c r="M508" s="144"/>
      <c r="N508" s="144"/>
      <c r="O508" s="144"/>
      <c r="P508" s="144"/>
      <c r="Q508" s="144"/>
      <c r="R508" s="144"/>
      <c r="S508" s="144"/>
      <c r="T508" s="144"/>
      <c r="U508" s="144"/>
      <c r="V508" s="144"/>
      <c r="W508" s="144"/>
      <c r="X508" s="144"/>
      <c r="Y508" s="144"/>
      <c r="Z508" s="144"/>
      <c r="AA508" s="144"/>
      <c r="AB508" s="144"/>
      <c r="AC508" s="144"/>
      <c r="AD508" s="144"/>
      <c r="AE508" s="144"/>
      <c r="AF508" s="144"/>
      <c r="AG508" s="144"/>
      <c r="AH508" s="144"/>
      <c r="AI508" s="144"/>
    </row>
    <row r="509" spans="7:35" hidden="1">
      <c r="G509" s="144"/>
      <c r="H509" s="144"/>
      <c r="I509" s="144"/>
      <c r="J509" s="144"/>
      <c r="K509" s="144"/>
      <c r="L509" s="144"/>
      <c r="M509" s="144"/>
      <c r="N509" s="144"/>
      <c r="O509" s="144"/>
      <c r="P509" s="144"/>
      <c r="Q509" s="144"/>
      <c r="R509" s="144"/>
      <c r="S509" s="144"/>
      <c r="T509" s="144"/>
      <c r="U509" s="144"/>
      <c r="V509" s="144"/>
      <c r="W509" s="144"/>
      <c r="X509" s="144"/>
      <c r="Y509" s="144"/>
      <c r="Z509" s="144"/>
      <c r="AA509" s="144"/>
      <c r="AB509" s="144"/>
      <c r="AC509" s="144"/>
      <c r="AD509" s="144"/>
      <c r="AE509" s="144"/>
      <c r="AF509" s="144"/>
      <c r="AG509" s="144"/>
      <c r="AH509" s="144"/>
      <c r="AI509" s="144"/>
    </row>
    <row r="510" spans="7:35" hidden="1">
      <c r="G510" s="144"/>
      <c r="H510" s="144"/>
      <c r="I510" s="144"/>
      <c r="J510" s="144"/>
      <c r="K510" s="144"/>
      <c r="L510" s="144"/>
      <c r="M510" s="144"/>
      <c r="N510" s="144"/>
      <c r="O510" s="144"/>
      <c r="P510" s="144"/>
      <c r="Q510" s="144"/>
      <c r="R510" s="144"/>
      <c r="S510" s="144"/>
      <c r="T510" s="144"/>
      <c r="U510" s="144"/>
      <c r="V510" s="144"/>
      <c r="W510" s="144"/>
      <c r="X510" s="144"/>
      <c r="Y510" s="144"/>
      <c r="Z510" s="144"/>
      <c r="AA510" s="144"/>
      <c r="AB510" s="144"/>
      <c r="AC510" s="144"/>
      <c r="AD510" s="144"/>
      <c r="AE510" s="144"/>
      <c r="AF510" s="144"/>
      <c r="AG510" s="144"/>
      <c r="AH510" s="144"/>
      <c r="AI510" s="144"/>
    </row>
    <row r="511" spans="7:35" hidden="1">
      <c r="G511" s="144"/>
      <c r="H511" s="144"/>
      <c r="I511" s="144"/>
      <c r="J511" s="144"/>
      <c r="K511" s="144"/>
      <c r="L511" s="144"/>
      <c r="M511" s="144"/>
      <c r="N511" s="144"/>
      <c r="O511" s="144"/>
      <c r="P511" s="144"/>
      <c r="Q511" s="144"/>
      <c r="R511" s="144"/>
      <c r="S511" s="144"/>
      <c r="T511" s="144"/>
      <c r="U511" s="144"/>
      <c r="V511" s="144"/>
      <c r="W511" s="144"/>
      <c r="X511" s="144"/>
      <c r="Y511" s="144"/>
      <c r="Z511" s="144"/>
      <c r="AA511" s="144"/>
      <c r="AB511" s="144"/>
      <c r="AC511" s="144"/>
      <c r="AD511" s="144"/>
      <c r="AE511" s="144"/>
      <c r="AF511" s="144"/>
      <c r="AG511" s="144"/>
      <c r="AH511" s="144"/>
      <c r="AI511" s="144"/>
    </row>
    <row r="512" spans="7:35" hidden="1">
      <c r="G512" s="144"/>
      <c r="H512" s="144"/>
      <c r="I512" s="144"/>
      <c r="J512" s="144"/>
      <c r="K512" s="144"/>
      <c r="L512" s="144"/>
      <c r="M512" s="144"/>
      <c r="N512" s="144"/>
      <c r="O512" s="144"/>
      <c r="P512" s="144"/>
      <c r="Q512" s="144"/>
      <c r="R512" s="144"/>
      <c r="S512" s="144"/>
      <c r="T512" s="144"/>
      <c r="U512" s="144"/>
      <c r="V512" s="144"/>
      <c r="W512" s="144"/>
      <c r="X512" s="144"/>
      <c r="Y512" s="144"/>
      <c r="Z512" s="144"/>
      <c r="AA512" s="144"/>
      <c r="AB512" s="144"/>
      <c r="AC512" s="144"/>
      <c r="AD512" s="144"/>
      <c r="AE512" s="144"/>
      <c r="AF512" s="144"/>
      <c r="AG512" s="144"/>
      <c r="AH512" s="144"/>
      <c r="AI512" s="144"/>
    </row>
    <row r="513" spans="7:35" hidden="1">
      <c r="G513" s="144"/>
      <c r="H513" s="144"/>
      <c r="I513" s="144"/>
      <c r="J513" s="144"/>
      <c r="K513" s="144"/>
      <c r="L513" s="144"/>
      <c r="M513" s="144"/>
      <c r="N513" s="144"/>
      <c r="O513" s="144"/>
      <c r="P513" s="144"/>
      <c r="Q513" s="144"/>
      <c r="R513" s="144"/>
      <c r="S513" s="144"/>
      <c r="T513" s="144"/>
      <c r="U513" s="144"/>
      <c r="V513" s="144"/>
      <c r="W513" s="144"/>
      <c r="X513" s="144"/>
      <c r="Y513" s="144"/>
      <c r="Z513" s="144"/>
      <c r="AA513" s="144"/>
      <c r="AB513" s="144"/>
      <c r="AC513" s="144"/>
      <c r="AD513" s="144"/>
      <c r="AE513" s="144"/>
      <c r="AF513" s="144"/>
      <c r="AG513" s="144"/>
      <c r="AH513" s="144"/>
      <c r="AI513" s="144"/>
    </row>
    <row r="514" spans="7:35" hidden="1">
      <c r="G514" s="144"/>
      <c r="H514" s="144"/>
      <c r="I514" s="144"/>
      <c r="J514" s="144"/>
      <c r="K514" s="144"/>
      <c r="L514" s="144"/>
      <c r="M514" s="144"/>
      <c r="N514" s="144"/>
      <c r="O514" s="144"/>
      <c r="P514" s="144"/>
      <c r="Q514" s="144"/>
      <c r="R514" s="144"/>
      <c r="S514" s="144"/>
      <c r="T514" s="144"/>
      <c r="U514" s="144"/>
      <c r="V514" s="144"/>
      <c r="W514" s="144"/>
      <c r="X514" s="144"/>
      <c r="Y514" s="144"/>
      <c r="Z514" s="144"/>
      <c r="AA514" s="144"/>
      <c r="AB514" s="144"/>
      <c r="AC514" s="144"/>
      <c r="AD514" s="144"/>
      <c r="AE514" s="144"/>
      <c r="AF514" s="144"/>
      <c r="AG514" s="144"/>
      <c r="AH514" s="144"/>
      <c r="AI514" s="144"/>
    </row>
    <row r="515" spans="7:35" hidden="1">
      <c r="G515" s="144"/>
      <c r="H515" s="144"/>
      <c r="I515" s="144"/>
      <c r="J515" s="144"/>
      <c r="K515" s="144"/>
      <c r="L515" s="144"/>
      <c r="M515" s="144"/>
      <c r="N515" s="144"/>
      <c r="O515" s="144"/>
      <c r="P515" s="144"/>
      <c r="Q515" s="144"/>
      <c r="R515" s="144"/>
      <c r="S515" s="144"/>
      <c r="T515" s="144"/>
      <c r="U515" s="144"/>
      <c r="V515" s="144"/>
      <c r="W515" s="144"/>
      <c r="X515" s="144"/>
      <c r="Y515" s="144"/>
      <c r="Z515" s="144"/>
      <c r="AA515" s="144"/>
      <c r="AB515" s="144"/>
      <c r="AC515" s="144"/>
      <c r="AD515" s="144"/>
      <c r="AE515" s="144"/>
      <c r="AF515" s="144"/>
      <c r="AG515" s="144"/>
      <c r="AH515" s="144"/>
      <c r="AI515" s="144"/>
    </row>
    <row r="516" spans="7:35" hidden="1">
      <c r="G516" s="144"/>
      <c r="H516" s="144"/>
      <c r="I516" s="144"/>
      <c r="J516" s="144"/>
      <c r="K516" s="144"/>
      <c r="L516" s="144"/>
      <c r="M516" s="144"/>
      <c r="N516" s="144"/>
      <c r="O516" s="144"/>
      <c r="P516" s="144"/>
      <c r="Q516" s="144"/>
      <c r="R516" s="144"/>
      <c r="S516" s="144"/>
      <c r="T516" s="144"/>
      <c r="U516" s="144"/>
      <c r="V516" s="144"/>
      <c r="W516" s="144"/>
      <c r="X516" s="144"/>
      <c r="Y516" s="144"/>
      <c r="Z516" s="144"/>
      <c r="AA516" s="144"/>
      <c r="AB516" s="144"/>
      <c r="AC516" s="144"/>
      <c r="AD516" s="144"/>
      <c r="AE516" s="144"/>
      <c r="AF516" s="144"/>
      <c r="AG516" s="144"/>
      <c r="AH516" s="144"/>
      <c r="AI516" s="144"/>
    </row>
    <row r="517" spans="7:35" hidden="1">
      <c r="G517" s="144"/>
      <c r="H517" s="144"/>
      <c r="I517" s="144"/>
      <c r="J517" s="144"/>
      <c r="K517" s="144"/>
      <c r="L517" s="144"/>
      <c r="M517" s="144"/>
      <c r="N517" s="144"/>
      <c r="O517" s="144"/>
      <c r="P517" s="144"/>
      <c r="Q517" s="144"/>
      <c r="R517" s="144"/>
      <c r="S517" s="144"/>
      <c r="T517" s="144"/>
      <c r="U517" s="144"/>
      <c r="V517" s="144"/>
      <c r="W517" s="144"/>
      <c r="X517" s="144"/>
      <c r="Y517" s="144"/>
      <c r="Z517" s="144"/>
      <c r="AA517" s="144"/>
      <c r="AB517" s="144"/>
      <c r="AC517" s="144"/>
      <c r="AD517" s="144"/>
      <c r="AE517" s="144"/>
      <c r="AF517" s="144"/>
      <c r="AG517" s="144"/>
      <c r="AH517" s="144"/>
      <c r="AI517" s="144"/>
    </row>
    <row r="518" spans="7:35" hidden="1">
      <c r="G518" s="144"/>
      <c r="H518" s="144"/>
      <c r="I518" s="144"/>
      <c r="J518" s="144"/>
      <c r="K518" s="144"/>
      <c r="L518" s="144"/>
      <c r="M518" s="144"/>
      <c r="N518" s="144"/>
      <c r="O518" s="144"/>
      <c r="P518" s="144"/>
      <c r="Q518" s="144"/>
      <c r="R518" s="144"/>
      <c r="S518" s="144"/>
      <c r="T518" s="144"/>
      <c r="U518" s="144"/>
      <c r="V518" s="144"/>
      <c r="W518" s="144"/>
      <c r="X518" s="144"/>
      <c r="Y518" s="144"/>
      <c r="Z518" s="144"/>
      <c r="AA518" s="144"/>
      <c r="AB518" s="144"/>
      <c r="AC518" s="144"/>
      <c r="AD518" s="144"/>
      <c r="AE518" s="144"/>
      <c r="AF518" s="144"/>
      <c r="AG518" s="144"/>
      <c r="AH518" s="144"/>
      <c r="AI518" s="144"/>
    </row>
    <row r="519" spans="7:35" hidden="1">
      <c r="G519" s="144"/>
      <c r="H519" s="144"/>
      <c r="I519" s="144"/>
      <c r="J519" s="144"/>
      <c r="K519" s="144"/>
      <c r="L519" s="144"/>
      <c r="M519" s="144"/>
      <c r="N519" s="144"/>
      <c r="O519" s="144"/>
      <c r="P519" s="144"/>
      <c r="Q519" s="144"/>
      <c r="R519" s="144"/>
      <c r="S519" s="144"/>
      <c r="T519" s="144"/>
      <c r="U519" s="144"/>
      <c r="V519" s="144"/>
      <c r="W519" s="144"/>
      <c r="X519" s="144"/>
      <c r="Y519" s="144"/>
      <c r="Z519" s="144"/>
      <c r="AA519" s="144"/>
      <c r="AB519" s="144"/>
      <c r="AC519" s="144"/>
      <c r="AD519" s="144"/>
      <c r="AE519" s="144"/>
      <c r="AF519" s="144"/>
      <c r="AG519" s="144"/>
      <c r="AH519" s="144"/>
      <c r="AI519" s="144"/>
    </row>
    <row r="520" spans="7:35" hidden="1">
      <c r="G520" s="144"/>
      <c r="H520" s="144"/>
      <c r="I520" s="144"/>
      <c r="J520" s="144"/>
      <c r="K520" s="144"/>
      <c r="L520" s="144"/>
      <c r="M520" s="144"/>
      <c r="N520" s="144"/>
      <c r="O520" s="144"/>
      <c r="P520" s="144"/>
      <c r="Q520" s="144"/>
      <c r="R520" s="144"/>
      <c r="S520" s="144"/>
      <c r="T520" s="144"/>
      <c r="U520" s="144"/>
      <c r="V520" s="144"/>
      <c r="W520" s="144"/>
      <c r="X520" s="144"/>
      <c r="Y520" s="144"/>
      <c r="Z520" s="144"/>
      <c r="AA520" s="144"/>
      <c r="AB520" s="144"/>
      <c r="AC520" s="144"/>
      <c r="AD520" s="144"/>
      <c r="AE520" s="144"/>
      <c r="AF520" s="144"/>
      <c r="AG520" s="144"/>
      <c r="AH520" s="144"/>
      <c r="AI520" s="144"/>
    </row>
    <row r="521" spans="7:35" hidden="1">
      <c r="G521" s="144"/>
      <c r="H521" s="144"/>
      <c r="I521" s="144"/>
      <c r="J521" s="144"/>
      <c r="K521" s="144"/>
      <c r="L521" s="144"/>
      <c r="M521" s="144"/>
      <c r="N521" s="144"/>
      <c r="O521" s="144"/>
      <c r="P521" s="144"/>
      <c r="Q521" s="144"/>
      <c r="R521" s="144"/>
      <c r="S521" s="144"/>
      <c r="T521" s="144"/>
      <c r="U521" s="144"/>
      <c r="V521" s="144"/>
      <c r="W521" s="144"/>
      <c r="X521" s="144"/>
      <c r="Y521" s="144"/>
      <c r="Z521" s="144"/>
      <c r="AA521" s="144"/>
      <c r="AB521" s="144"/>
      <c r="AC521" s="144"/>
      <c r="AD521" s="144"/>
      <c r="AE521" s="144"/>
      <c r="AF521" s="144"/>
      <c r="AG521" s="144"/>
      <c r="AH521" s="144"/>
      <c r="AI521" s="144"/>
    </row>
    <row r="522" spans="7:35" hidden="1">
      <c r="G522" s="144"/>
      <c r="H522" s="144"/>
      <c r="I522" s="144"/>
      <c r="J522" s="144"/>
      <c r="K522" s="144"/>
      <c r="L522" s="144"/>
      <c r="M522" s="144"/>
      <c r="N522" s="144"/>
      <c r="O522" s="144"/>
      <c r="P522" s="144"/>
      <c r="Q522" s="144"/>
      <c r="R522" s="144"/>
      <c r="S522" s="144"/>
      <c r="T522" s="144"/>
      <c r="U522" s="144"/>
      <c r="V522" s="144"/>
      <c r="W522" s="144"/>
      <c r="X522" s="144"/>
      <c r="Y522" s="144"/>
      <c r="Z522" s="144"/>
      <c r="AA522" s="144"/>
      <c r="AB522" s="144"/>
      <c r="AC522" s="144"/>
      <c r="AD522" s="144"/>
      <c r="AE522" s="144"/>
      <c r="AF522" s="144"/>
      <c r="AG522" s="144"/>
      <c r="AH522" s="144"/>
      <c r="AI522" s="144"/>
    </row>
    <row r="523" spans="7:35" hidden="1">
      <c r="G523" s="144"/>
      <c r="H523" s="144"/>
      <c r="I523" s="144"/>
      <c r="J523" s="144"/>
      <c r="K523" s="144"/>
      <c r="L523" s="144"/>
      <c r="M523" s="144"/>
      <c r="N523" s="144"/>
      <c r="O523" s="144"/>
      <c r="P523" s="144"/>
      <c r="Q523" s="144"/>
      <c r="R523" s="144"/>
      <c r="S523" s="144"/>
      <c r="T523" s="144"/>
      <c r="U523" s="144"/>
      <c r="V523" s="144"/>
      <c r="W523" s="144"/>
      <c r="X523" s="144"/>
      <c r="Y523" s="144"/>
      <c r="Z523" s="144"/>
      <c r="AA523" s="144"/>
      <c r="AB523" s="144"/>
      <c r="AC523" s="144"/>
      <c r="AD523" s="144"/>
      <c r="AE523" s="144"/>
      <c r="AF523" s="144"/>
      <c r="AG523" s="144"/>
      <c r="AH523" s="144"/>
      <c r="AI523" s="144"/>
    </row>
    <row r="524" spans="7:35" hidden="1">
      <c r="G524" s="144"/>
      <c r="H524" s="144"/>
      <c r="I524" s="144"/>
      <c r="J524" s="144"/>
      <c r="K524" s="144"/>
      <c r="L524" s="144"/>
      <c r="M524" s="144"/>
      <c r="N524" s="144"/>
      <c r="O524" s="144"/>
      <c r="P524" s="144"/>
      <c r="Q524" s="144"/>
      <c r="R524" s="144"/>
      <c r="S524" s="144"/>
      <c r="T524" s="144"/>
      <c r="U524" s="144"/>
      <c r="V524" s="144"/>
      <c r="W524" s="144"/>
      <c r="X524" s="144"/>
      <c r="Y524" s="144"/>
      <c r="Z524" s="144"/>
      <c r="AA524" s="144"/>
      <c r="AB524" s="144"/>
      <c r="AC524" s="144"/>
      <c r="AD524" s="144"/>
      <c r="AE524" s="144"/>
      <c r="AF524" s="144"/>
      <c r="AG524" s="144"/>
      <c r="AH524" s="144"/>
      <c r="AI524" s="144"/>
    </row>
    <row r="525" spans="7:35" hidden="1">
      <c r="G525" s="144"/>
      <c r="H525" s="144"/>
      <c r="I525" s="144"/>
      <c r="J525" s="144"/>
      <c r="K525" s="144"/>
      <c r="L525" s="144"/>
      <c r="M525" s="144"/>
      <c r="N525" s="144"/>
      <c r="O525" s="144"/>
      <c r="P525" s="144"/>
      <c r="Q525" s="144"/>
      <c r="R525" s="144"/>
      <c r="S525" s="144"/>
      <c r="T525" s="144"/>
      <c r="U525" s="144"/>
      <c r="V525" s="144"/>
      <c r="W525" s="144"/>
      <c r="X525" s="144"/>
      <c r="Y525" s="144"/>
      <c r="Z525" s="144"/>
      <c r="AA525" s="144"/>
      <c r="AB525" s="144"/>
      <c r="AC525" s="144"/>
      <c r="AD525" s="144"/>
      <c r="AE525" s="144"/>
      <c r="AF525" s="144"/>
      <c r="AG525" s="144"/>
      <c r="AH525" s="144"/>
      <c r="AI525" s="144"/>
    </row>
    <row r="526" spans="7:35" hidden="1">
      <c r="G526" s="144"/>
      <c r="H526" s="144"/>
      <c r="I526" s="144"/>
      <c r="J526" s="144"/>
      <c r="K526" s="144"/>
      <c r="L526" s="144"/>
      <c r="M526" s="144"/>
      <c r="N526" s="144"/>
      <c r="O526" s="144"/>
      <c r="P526" s="144"/>
      <c r="Q526" s="144"/>
      <c r="R526" s="144"/>
      <c r="S526" s="144"/>
      <c r="T526" s="144"/>
      <c r="U526" s="144"/>
      <c r="V526" s="144"/>
      <c r="W526" s="144"/>
      <c r="X526" s="144"/>
      <c r="Y526" s="144"/>
      <c r="Z526" s="144"/>
      <c r="AA526" s="144"/>
      <c r="AB526" s="144"/>
      <c r="AC526" s="144"/>
      <c r="AD526" s="144"/>
      <c r="AE526" s="144"/>
      <c r="AF526" s="144"/>
      <c r="AG526" s="144"/>
      <c r="AH526" s="144"/>
      <c r="AI526" s="144"/>
    </row>
    <row r="527" spans="7:35" hidden="1">
      <c r="G527" s="144"/>
      <c r="H527" s="144"/>
      <c r="I527" s="144"/>
      <c r="J527" s="144"/>
      <c r="K527" s="144"/>
      <c r="L527" s="144"/>
      <c r="M527" s="144"/>
      <c r="N527" s="144"/>
      <c r="O527" s="144"/>
      <c r="P527" s="144"/>
      <c r="Q527" s="144"/>
      <c r="R527" s="144"/>
      <c r="S527" s="144"/>
      <c r="T527" s="144"/>
      <c r="U527" s="144"/>
      <c r="V527" s="144"/>
      <c r="W527" s="144"/>
      <c r="X527" s="144"/>
      <c r="Y527" s="144"/>
      <c r="Z527" s="144"/>
      <c r="AA527" s="144"/>
      <c r="AB527" s="144"/>
      <c r="AC527" s="144"/>
      <c r="AD527" s="144"/>
      <c r="AE527" s="144"/>
      <c r="AF527" s="144"/>
      <c r="AG527" s="144"/>
      <c r="AH527" s="144"/>
      <c r="AI527" s="144"/>
    </row>
    <row r="528" spans="7:35" hidden="1">
      <c r="G528" s="144"/>
      <c r="H528" s="144"/>
      <c r="I528" s="144"/>
      <c r="J528" s="144"/>
      <c r="K528" s="144"/>
      <c r="L528" s="144"/>
      <c r="M528" s="144"/>
      <c r="N528" s="144"/>
      <c r="O528" s="144"/>
      <c r="P528" s="144"/>
      <c r="Q528" s="144"/>
      <c r="R528" s="144"/>
      <c r="S528" s="144"/>
      <c r="T528" s="144"/>
      <c r="U528" s="144"/>
      <c r="V528" s="144"/>
      <c r="W528" s="144"/>
      <c r="X528" s="144"/>
      <c r="Y528" s="144"/>
      <c r="Z528" s="144"/>
      <c r="AA528" s="144"/>
      <c r="AB528" s="144"/>
      <c r="AC528" s="144"/>
      <c r="AD528" s="144"/>
      <c r="AE528" s="144"/>
      <c r="AF528" s="144"/>
      <c r="AG528" s="144"/>
      <c r="AH528" s="144"/>
      <c r="AI528" s="144"/>
    </row>
    <row r="529" spans="7:35" hidden="1">
      <c r="G529" s="144"/>
      <c r="H529" s="144"/>
      <c r="I529" s="144"/>
      <c r="J529" s="144"/>
      <c r="K529" s="144"/>
      <c r="L529" s="144"/>
      <c r="M529" s="144"/>
      <c r="N529" s="144"/>
      <c r="O529" s="144"/>
      <c r="P529" s="144"/>
      <c r="Q529" s="144"/>
      <c r="R529" s="144"/>
      <c r="S529" s="144"/>
      <c r="T529" s="144"/>
      <c r="U529" s="144"/>
      <c r="V529" s="144"/>
      <c r="W529" s="144"/>
      <c r="X529" s="144"/>
      <c r="Y529" s="144"/>
      <c r="Z529" s="144"/>
      <c r="AA529" s="144"/>
      <c r="AB529" s="144"/>
      <c r="AC529" s="144"/>
      <c r="AD529" s="144"/>
      <c r="AE529" s="144"/>
      <c r="AF529" s="144"/>
      <c r="AG529" s="144"/>
      <c r="AH529" s="144"/>
      <c r="AI529" s="144"/>
    </row>
    <row r="530" spans="7:35" hidden="1">
      <c r="G530" s="144"/>
      <c r="H530" s="144"/>
      <c r="I530" s="144"/>
      <c r="J530" s="144"/>
      <c r="K530" s="144"/>
      <c r="L530" s="144"/>
      <c r="M530" s="144"/>
      <c r="N530" s="144"/>
      <c r="O530" s="144"/>
      <c r="P530" s="144"/>
      <c r="Q530" s="144"/>
      <c r="R530" s="144"/>
      <c r="S530" s="144"/>
      <c r="T530" s="144"/>
      <c r="U530" s="144"/>
      <c r="V530" s="144"/>
      <c r="W530" s="144"/>
      <c r="X530" s="144"/>
      <c r="Y530" s="144"/>
      <c r="Z530" s="144"/>
      <c r="AA530" s="144"/>
      <c r="AB530" s="144"/>
      <c r="AC530" s="144"/>
      <c r="AD530" s="144"/>
      <c r="AE530" s="144"/>
      <c r="AF530" s="144"/>
      <c r="AG530" s="144"/>
      <c r="AH530" s="144"/>
      <c r="AI530" s="144"/>
    </row>
    <row r="531" spans="7:35" hidden="1">
      <c r="G531" s="144"/>
      <c r="H531" s="144"/>
      <c r="I531" s="144"/>
      <c r="J531" s="144"/>
      <c r="K531" s="144"/>
      <c r="L531" s="144"/>
      <c r="M531" s="144"/>
      <c r="N531" s="144"/>
      <c r="O531" s="144"/>
      <c r="P531" s="144"/>
      <c r="Q531" s="144"/>
      <c r="R531" s="144"/>
      <c r="S531" s="144"/>
      <c r="T531" s="144"/>
      <c r="U531" s="144"/>
      <c r="V531" s="144"/>
      <c r="W531" s="144"/>
      <c r="X531" s="144"/>
      <c r="Y531" s="144"/>
      <c r="Z531" s="144"/>
      <c r="AA531" s="144"/>
      <c r="AB531" s="144"/>
      <c r="AC531" s="144"/>
      <c r="AD531" s="144"/>
      <c r="AE531" s="144"/>
      <c r="AF531" s="144"/>
      <c r="AG531" s="144"/>
      <c r="AH531" s="144"/>
      <c r="AI531" s="144"/>
    </row>
    <row r="532" spans="7:35" hidden="1">
      <c r="G532" s="144"/>
      <c r="H532" s="144"/>
      <c r="I532" s="144"/>
      <c r="J532" s="144"/>
      <c r="K532" s="144"/>
      <c r="L532" s="144"/>
      <c r="M532" s="144"/>
      <c r="N532" s="144"/>
      <c r="O532" s="144"/>
      <c r="P532" s="144"/>
      <c r="Q532" s="144"/>
      <c r="R532" s="144"/>
      <c r="S532" s="144"/>
      <c r="T532" s="144"/>
      <c r="U532" s="144"/>
      <c r="V532" s="144"/>
      <c r="W532" s="144"/>
      <c r="X532" s="144"/>
      <c r="Y532" s="144"/>
      <c r="Z532" s="144"/>
      <c r="AA532" s="144"/>
      <c r="AB532" s="144"/>
      <c r="AC532" s="144"/>
      <c r="AD532" s="144"/>
      <c r="AE532" s="144"/>
      <c r="AF532" s="144"/>
      <c r="AG532" s="144"/>
      <c r="AH532" s="144"/>
      <c r="AI532" s="144"/>
    </row>
    <row r="533" spans="7:35" hidden="1">
      <c r="G533" s="144"/>
      <c r="H533" s="144"/>
      <c r="I533" s="144"/>
      <c r="J533" s="144"/>
      <c r="K533" s="144"/>
      <c r="L533" s="144"/>
      <c r="M533" s="144"/>
      <c r="N533" s="144"/>
      <c r="O533" s="144"/>
      <c r="P533" s="144"/>
      <c r="Q533" s="144"/>
      <c r="R533" s="144"/>
      <c r="S533" s="144"/>
      <c r="T533" s="144"/>
      <c r="U533" s="144"/>
      <c r="V533" s="144"/>
      <c r="W533" s="144"/>
      <c r="X533" s="144"/>
      <c r="Y533" s="144"/>
      <c r="Z533" s="144"/>
      <c r="AA533" s="144"/>
      <c r="AB533" s="144"/>
      <c r="AC533" s="144"/>
      <c r="AD533" s="144"/>
      <c r="AE533" s="144"/>
      <c r="AF533" s="144"/>
      <c r="AG533" s="144"/>
      <c r="AH533" s="144"/>
      <c r="AI533" s="144"/>
    </row>
    <row r="534" spans="7:35" hidden="1">
      <c r="G534" s="144"/>
      <c r="H534" s="144"/>
      <c r="I534" s="144"/>
      <c r="J534" s="144"/>
      <c r="K534" s="144"/>
      <c r="L534" s="144"/>
      <c r="M534" s="144"/>
      <c r="N534" s="144"/>
      <c r="O534" s="144"/>
      <c r="P534" s="144"/>
      <c r="Q534" s="144"/>
      <c r="R534" s="144"/>
      <c r="S534" s="144"/>
      <c r="T534" s="144"/>
      <c r="U534" s="144"/>
      <c r="V534" s="144"/>
      <c r="W534" s="144"/>
      <c r="X534" s="144"/>
      <c r="Y534" s="144"/>
      <c r="Z534" s="144"/>
      <c r="AA534" s="144"/>
      <c r="AB534" s="144"/>
      <c r="AC534" s="144"/>
      <c r="AD534" s="144"/>
      <c r="AE534" s="144"/>
      <c r="AF534" s="144"/>
      <c r="AG534" s="144"/>
      <c r="AH534" s="144"/>
      <c r="AI534" s="144"/>
    </row>
    <row r="535" spans="7:35" hidden="1">
      <c r="G535" s="144"/>
      <c r="H535" s="144"/>
      <c r="I535" s="144"/>
      <c r="J535" s="144"/>
      <c r="K535" s="144"/>
      <c r="L535" s="144"/>
      <c r="M535" s="144"/>
      <c r="N535" s="144"/>
      <c r="O535" s="144"/>
      <c r="P535" s="144"/>
      <c r="Q535" s="144"/>
      <c r="R535" s="144"/>
      <c r="S535" s="144"/>
      <c r="T535" s="144"/>
      <c r="U535" s="144"/>
      <c r="V535" s="144"/>
      <c r="W535" s="144"/>
      <c r="X535" s="144"/>
      <c r="Y535" s="144"/>
      <c r="Z535" s="144"/>
      <c r="AA535" s="144"/>
      <c r="AB535" s="144"/>
      <c r="AC535" s="144"/>
      <c r="AD535" s="144"/>
      <c r="AE535" s="144"/>
      <c r="AF535" s="144"/>
      <c r="AG535" s="144"/>
      <c r="AH535" s="144"/>
      <c r="AI535" s="144"/>
    </row>
    <row r="536" spans="7:35" hidden="1">
      <c r="G536" s="144"/>
      <c r="H536" s="144"/>
      <c r="I536" s="144"/>
      <c r="J536" s="144"/>
      <c r="K536" s="144"/>
      <c r="L536" s="144"/>
      <c r="M536" s="144"/>
      <c r="N536" s="144"/>
      <c r="O536" s="144"/>
      <c r="P536" s="144"/>
      <c r="Q536" s="144"/>
      <c r="R536" s="144"/>
      <c r="S536" s="144"/>
      <c r="T536" s="144"/>
      <c r="U536" s="144"/>
      <c r="V536" s="144"/>
      <c r="W536" s="144"/>
      <c r="X536" s="144"/>
      <c r="Y536" s="144"/>
      <c r="Z536" s="144"/>
      <c r="AA536" s="144"/>
      <c r="AB536" s="144"/>
      <c r="AC536" s="144"/>
      <c r="AD536" s="144"/>
      <c r="AE536" s="144"/>
      <c r="AF536" s="144"/>
      <c r="AG536" s="144"/>
      <c r="AH536" s="144"/>
      <c r="AI536" s="144"/>
    </row>
    <row r="537" spans="7:35" hidden="1">
      <c r="G537" s="144"/>
      <c r="H537" s="144"/>
      <c r="I537" s="144"/>
      <c r="J537" s="144"/>
      <c r="K537" s="144"/>
      <c r="L537" s="144"/>
      <c r="M537" s="144"/>
      <c r="N537" s="144"/>
      <c r="O537" s="144"/>
      <c r="P537" s="144"/>
      <c r="Q537" s="144"/>
      <c r="R537" s="144"/>
      <c r="S537" s="144"/>
      <c r="T537" s="144"/>
      <c r="U537" s="144"/>
      <c r="V537" s="144"/>
      <c r="W537" s="144"/>
      <c r="X537" s="144"/>
      <c r="Y537" s="144"/>
      <c r="Z537" s="144"/>
      <c r="AA537" s="144"/>
      <c r="AB537" s="144"/>
      <c r="AC537" s="144"/>
      <c r="AD537" s="144"/>
      <c r="AE537" s="144"/>
      <c r="AF537" s="144"/>
      <c r="AG537" s="144"/>
      <c r="AH537" s="144"/>
      <c r="AI537" s="144"/>
    </row>
    <row r="538" spans="7:35" hidden="1">
      <c r="G538" s="144"/>
      <c r="H538" s="144"/>
      <c r="I538" s="144"/>
      <c r="J538" s="144"/>
      <c r="K538" s="144"/>
      <c r="L538" s="144"/>
      <c r="M538" s="144"/>
      <c r="N538" s="144"/>
      <c r="O538" s="144"/>
      <c r="P538" s="144"/>
      <c r="Q538" s="144"/>
      <c r="R538" s="144"/>
      <c r="S538" s="144"/>
      <c r="T538" s="144"/>
      <c r="U538" s="144"/>
      <c r="V538" s="144"/>
      <c r="W538" s="144"/>
      <c r="X538" s="144"/>
      <c r="Y538" s="144"/>
      <c r="Z538" s="144"/>
      <c r="AA538" s="144"/>
      <c r="AB538" s="144"/>
      <c r="AC538" s="144"/>
      <c r="AD538" s="144"/>
      <c r="AE538" s="144"/>
      <c r="AF538" s="144"/>
      <c r="AG538" s="144"/>
      <c r="AH538" s="144"/>
      <c r="AI538" s="144"/>
    </row>
    <row r="539" spans="7:35" hidden="1">
      <c r="G539" s="144"/>
      <c r="H539" s="144"/>
      <c r="I539" s="144"/>
      <c r="J539" s="144"/>
      <c r="K539" s="144"/>
      <c r="L539" s="144"/>
      <c r="M539" s="144"/>
      <c r="N539" s="144"/>
      <c r="O539" s="144"/>
      <c r="P539" s="144"/>
      <c r="Q539" s="144"/>
      <c r="R539" s="144"/>
      <c r="S539" s="144"/>
      <c r="T539" s="144"/>
      <c r="U539" s="144"/>
      <c r="V539" s="144"/>
      <c r="W539" s="144"/>
      <c r="X539" s="144"/>
      <c r="Y539" s="144"/>
      <c r="Z539" s="144"/>
      <c r="AA539" s="144"/>
      <c r="AB539" s="144"/>
      <c r="AC539" s="144"/>
      <c r="AD539" s="144"/>
      <c r="AE539" s="144"/>
      <c r="AF539" s="144"/>
      <c r="AG539" s="144"/>
      <c r="AH539" s="144"/>
      <c r="AI539" s="144"/>
    </row>
    <row r="540" spans="7:35" hidden="1">
      <c r="G540" s="144"/>
      <c r="H540" s="144"/>
      <c r="I540" s="144"/>
      <c r="J540" s="144"/>
      <c r="K540" s="144"/>
      <c r="L540" s="144"/>
      <c r="M540" s="144"/>
      <c r="N540" s="144"/>
      <c r="O540" s="144"/>
      <c r="P540" s="144"/>
      <c r="Q540" s="144"/>
      <c r="R540" s="144"/>
      <c r="S540" s="144"/>
      <c r="T540" s="144"/>
      <c r="U540" s="144"/>
      <c r="V540" s="144"/>
      <c r="W540" s="144"/>
      <c r="X540" s="144"/>
      <c r="Y540" s="144"/>
      <c r="Z540" s="144"/>
      <c r="AA540" s="144"/>
      <c r="AB540" s="144"/>
      <c r="AC540" s="144"/>
      <c r="AD540" s="144"/>
      <c r="AE540" s="144"/>
      <c r="AF540" s="144"/>
      <c r="AG540" s="144"/>
      <c r="AH540" s="144"/>
      <c r="AI540" s="144"/>
    </row>
    <row r="541" spans="7:35" hidden="1">
      <c r="G541" s="144"/>
      <c r="H541" s="144"/>
      <c r="I541" s="144"/>
      <c r="J541" s="144"/>
      <c r="K541" s="144"/>
      <c r="L541" s="144"/>
      <c r="M541" s="144"/>
      <c r="N541" s="144"/>
      <c r="O541" s="144"/>
      <c r="P541" s="144"/>
      <c r="Q541" s="144"/>
      <c r="R541" s="144"/>
      <c r="S541" s="144"/>
      <c r="T541" s="144"/>
      <c r="U541" s="144"/>
      <c r="V541" s="144"/>
      <c r="W541" s="144"/>
      <c r="X541" s="144"/>
      <c r="Y541" s="144"/>
      <c r="Z541" s="144"/>
      <c r="AA541" s="144"/>
      <c r="AB541" s="144"/>
      <c r="AC541" s="144"/>
      <c r="AD541" s="144"/>
      <c r="AE541" s="144"/>
      <c r="AF541" s="144"/>
      <c r="AG541" s="144"/>
      <c r="AH541" s="144"/>
      <c r="AI541" s="144"/>
    </row>
    <row r="542" spans="7:35" hidden="1">
      <c r="G542" s="144"/>
      <c r="H542" s="144"/>
      <c r="I542" s="144"/>
      <c r="J542" s="144"/>
      <c r="K542" s="144"/>
      <c r="L542" s="144"/>
      <c r="M542" s="144"/>
      <c r="N542" s="144"/>
      <c r="O542" s="144"/>
      <c r="P542" s="144"/>
      <c r="Q542" s="144"/>
      <c r="R542" s="144"/>
      <c r="S542" s="144"/>
      <c r="T542" s="144"/>
      <c r="U542" s="144"/>
      <c r="V542" s="144"/>
      <c r="W542" s="144"/>
      <c r="X542" s="144"/>
      <c r="Y542" s="144"/>
      <c r="Z542" s="144"/>
      <c r="AA542" s="144"/>
      <c r="AB542" s="144"/>
      <c r="AC542" s="144"/>
      <c r="AD542" s="144"/>
      <c r="AE542" s="144"/>
      <c r="AF542" s="144"/>
      <c r="AG542" s="144"/>
      <c r="AH542" s="144"/>
      <c r="AI542" s="144"/>
    </row>
    <row r="543" spans="7:35" hidden="1">
      <c r="G543" s="144"/>
      <c r="H543" s="144"/>
      <c r="I543" s="144"/>
      <c r="J543" s="144"/>
      <c r="K543" s="144"/>
      <c r="L543" s="144"/>
      <c r="M543" s="144"/>
      <c r="N543" s="144"/>
      <c r="O543" s="144"/>
      <c r="P543" s="144"/>
      <c r="Q543" s="144"/>
      <c r="R543" s="144"/>
      <c r="S543" s="144"/>
      <c r="T543" s="144"/>
      <c r="U543" s="144"/>
      <c r="V543" s="144"/>
      <c r="W543" s="144"/>
      <c r="X543" s="144"/>
      <c r="Y543" s="144"/>
      <c r="Z543" s="144"/>
      <c r="AA543" s="144"/>
      <c r="AB543" s="144"/>
      <c r="AC543" s="144"/>
      <c r="AD543" s="144"/>
      <c r="AE543" s="144"/>
      <c r="AF543" s="144"/>
      <c r="AG543" s="144"/>
      <c r="AH543" s="144"/>
      <c r="AI543" s="144"/>
    </row>
    <row r="544" spans="7:35" hidden="1">
      <c r="G544" s="144"/>
      <c r="H544" s="144"/>
      <c r="I544" s="144"/>
      <c r="J544" s="144"/>
      <c r="K544" s="144"/>
      <c r="L544" s="144"/>
      <c r="M544" s="144"/>
      <c r="N544" s="144"/>
      <c r="O544" s="144"/>
      <c r="P544" s="144"/>
      <c r="Q544" s="144"/>
      <c r="R544" s="144"/>
      <c r="S544" s="144"/>
      <c r="T544" s="144"/>
      <c r="U544" s="144"/>
      <c r="V544" s="144"/>
      <c r="W544" s="144"/>
      <c r="X544" s="144"/>
      <c r="Y544" s="144"/>
      <c r="Z544" s="144"/>
      <c r="AA544" s="144"/>
      <c r="AB544" s="144"/>
      <c r="AC544" s="144"/>
      <c r="AD544" s="144"/>
      <c r="AE544" s="144"/>
      <c r="AF544" s="144"/>
      <c r="AG544" s="144"/>
      <c r="AH544" s="144"/>
      <c r="AI544" s="144"/>
    </row>
    <row r="545" spans="7:35" hidden="1">
      <c r="G545" s="144"/>
      <c r="H545" s="144"/>
      <c r="I545" s="144"/>
      <c r="J545" s="144"/>
      <c r="K545" s="144"/>
      <c r="L545" s="144"/>
      <c r="M545" s="144"/>
      <c r="N545" s="144"/>
      <c r="O545" s="144"/>
      <c r="P545" s="144"/>
      <c r="Q545" s="144"/>
      <c r="R545" s="144"/>
      <c r="S545" s="144"/>
      <c r="T545" s="144"/>
      <c r="U545" s="144"/>
      <c r="V545" s="144"/>
      <c r="W545" s="144"/>
      <c r="X545" s="144"/>
      <c r="Y545" s="144"/>
      <c r="Z545" s="144"/>
      <c r="AA545" s="144"/>
      <c r="AB545" s="144"/>
      <c r="AC545" s="144"/>
      <c r="AD545" s="144"/>
      <c r="AE545" s="144"/>
      <c r="AF545" s="144"/>
      <c r="AG545" s="144"/>
      <c r="AH545" s="144"/>
      <c r="AI545" s="144"/>
    </row>
    <row r="546" spans="7:35" hidden="1">
      <c r="G546" s="144"/>
      <c r="H546" s="144"/>
      <c r="I546" s="144"/>
      <c r="J546" s="144"/>
      <c r="K546" s="144"/>
      <c r="L546" s="144"/>
      <c r="M546" s="144"/>
      <c r="N546" s="144"/>
      <c r="O546" s="144"/>
      <c r="P546" s="144"/>
      <c r="Q546" s="144"/>
      <c r="R546" s="144"/>
      <c r="S546" s="144"/>
      <c r="T546" s="144"/>
      <c r="U546" s="144"/>
      <c r="V546" s="144"/>
      <c r="W546" s="144"/>
      <c r="X546" s="144"/>
      <c r="Y546" s="144"/>
      <c r="Z546" s="144"/>
      <c r="AA546" s="144"/>
      <c r="AB546" s="144"/>
      <c r="AC546" s="144"/>
      <c r="AD546" s="144"/>
      <c r="AE546" s="144"/>
      <c r="AF546" s="144"/>
      <c r="AG546" s="144"/>
      <c r="AH546" s="144"/>
      <c r="AI546" s="144"/>
    </row>
    <row r="547" spans="7:35" hidden="1">
      <c r="G547" s="144"/>
      <c r="H547" s="144"/>
      <c r="I547" s="144"/>
      <c r="J547" s="144"/>
      <c r="K547" s="144"/>
      <c r="L547" s="144"/>
      <c r="M547" s="144"/>
      <c r="N547" s="144"/>
      <c r="O547" s="144"/>
      <c r="P547" s="144"/>
      <c r="Q547" s="144"/>
      <c r="R547" s="144"/>
      <c r="S547" s="144"/>
      <c r="T547" s="144"/>
      <c r="U547" s="144"/>
      <c r="V547" s="144"/>
      <c r="W547" s="144"/>
      <c r="X547" s="144"/>
      <c r="Y547" s="144"/>
      <c r="Z547" s="144"/>
      <c r="AA547" s="144"/>
      <c r="AB547" s="144"/>
      <c r="AC547" s="144"/>
      <c r="AD547" s="144"/>
      <c r="AE547" s="144"/>
      <c r="AF547" s="144"/>
      <c r="AG547" s="144"/>
      <c r="AH547" s="144"/>
      <c r="AI547" s="144"/>
    </row>
    <row r="548" spans="7:35" hidden="1">
      <c r="G548" s="144"/>
      <c r="H548" s="144"/>
      <c r="I548" s="144"/>
      <c r="J548" s="144"/>
      <c r="K548" s="144"/>
      <c r="L548" s="144"/>
      <c r="M548" s="144"/>
      <c r="N548" s="144"/>
      <c r="O548" s="144"/>
      <c r="P548" s="144"/>
      <c r="Q548" s="144"/>
      <c r="R548" s="144"/>
      <c r="S548" s="144"/>
      <c r="T548" s="144"/>
      <c r="U548" s="144"/>
      <c r="V548" s="144"/>
      <c r="W548" s="144"/>
      <c r="X548" s="144"/>
      <c r="Y548" s="144"/>
      <c r="Z548" s="144"/>
      <c r="AA548" s="144"/>
      <c r="AB548" s="144"/>
      <c r="AC548" s="144"/>
      <c r="AD548" s="144"/>
      <c r="AE548" s="144"/>
      <c r="AF548" s="144"/>
      <c r="AG548" s="144"/>
      <c r="AH548" s="144"/>
      <c r="AI548" s="144"/>
    </row>
    <row r="549" spans="7:35" hidden="1">
      <c r="G549" s="144"/>
      <c r="H549" s="144"/>
      <c r="I549" s="144"/>
      <c r="J549" s="144"/>
      <c r="K549" s="144"/>
      <c r="L549" s="144"/>
      <c r="M549" s="144"/>
      <c r="N549" s="144"/>
      <c r="O549" s="144"/>
      <c r="P549" s="144"/>
      <c r="Q549" s="144"/>
      <c r="R549" s="144"/>
      <c r="S549" s="144"/>
      <c r="T549" s="144"/>
      <c r="U549" s="144"/>
      <c r="V549" s="144"/>
      <c r="W549" s="144"/>
      <c r="X549" s="144"/>
      <c r="Y549" s="144"/>
      <c r="Z549" s="144"/>
      <c r="AA549" s="144"/>
      <c r="AB549" s="144"/>
      <c r="AC549" s="144"/>
      <c r="AD549" s="144"/>
      <c r="AE549" s="144"/>
      <c r="AF549" s="144"/>
      <c r="AG549" s="144"/>
      <c r="AH549" s="144"/>
      <c r="AI549" s="144"/>
    </row>
    <row r="550" spans="7:35" hidden="1">
      <c r="G550" s="144"/>
      <c r="H550" s="144"/>
      <c r="I550" s="144"/>
      <c r="J550" s="144"/>
      <c r="K550" s="144"/>
      <c r="L550" s="144"/>
      <c r="M550" s="144"/>
      <c r="N550" s="144"/>
      <c r="O550" s="144"/>
      <c r="P550" s="144"/>
      <c r="Q550" s="144"/>
      <c r="R550" s="144"/>
      <c r="S550" s="144"/>
      <c r="T550" s="144"/>
      <c r="U550" s="144"/>
      <c r="V550" s="144"/>
      <c r="W550" s="144"/>
      <c r="X550" s="144"/>
      <c r="Y550" s="144"/>
      <c r="Z550" s="144"/>
      <c r="AA550" s="144"/>
      <c r="AB550" s="144"/>
      <c r="AC550" s="144"/>
      <c r="AD550" s="144"/>
      <c r="AE550" s="144"/>
      <c r="AF550" s="144"/>
      <c r="AG550" s="144"/>
      <c r="AH550" s="144"/>
      <c r="AI550" s="144"/>
    </row>
    <row r="551" spans="7:35" hidden="1">
      <c r="G551" s="144"/>
      <c r="H551" s="144"/>
      <c r="I551" s="144"/>
      <c r="J551" s="144"/>
      <c r="K551" s="144"/>
      <c r="L551" s="144"/>
      <c r="M551" s="144"/>
      <c r="N551" s="144"/>
      <c r="O551" s="144"/>
      <c r="P551" s="144"/>
      <c r="Q551" s="144"/>
      <c r="R551" s="144"/>
      <c r="S551" s="144"/>
      <c r="T551" s="144"/>
      <c r="U551" s="144"/>
      <c r="V551" s="144"/>
      <c r="W551" s="144"/>
      <c r="X551" s="144"/>
      <c r="Y551" s="144"/>
      <c r="Z551" s="144"/>
      <c r="AA551" s="144"/>
      <c r="AB551" s="144"/>
      <c r="AC551" s="144"/>
      <c r="AD551" s="144"/>
      <c r="AE551" s="144"/>
      <c r="AF551" s="144"/>
      <c r="AG551" s="144"/>
      <c r="AH551" s="144"/>
      <c r="AI551" s="144"/>
    </row>
    <row r="552" spans="7:35" hidden="1">
      <c r="G552" s="144"/>
      <c r="H552" s="144"/>
      <c r="I552" s="144"/>
      <c r="J552" s="144"/>
      <c r="K552" s="144"/>
      <c r="L552" s="144"/>
      <c r="M552" s="144"/>
      <c r="N552" s="144"/>
      <c r="O552" s="144"/>
      <c r="P552" s="144"/>
      <c r="Q552" s="144"/>
      <c r="R552" s="144"/>
      <c r="S552" s="144"/>
      <c r="T552" s="144"/>
      <c r="U552" s="144"/>
      <c r="V552" s="144"/>
      <c r="W552" s="144"/>
      <c r="X552" s="144"/>
      <c r="Y552" s="144"/>
      <c r="Z552" s="144"/>
      <c r="AA552" s="144"/>
      <c r="AB552" s="144"/>
      <c r="AC552" s="144"/>
      <c r="AD552" s="144"/>
      <c r="AE552" s="144"/>
      <c r="AF552" s="144"/>
      <c r="AG552" s="144"/>
      <c r="AH552" s="144"/>
      <c r="AI552" s="144"/>
    </row>
    <row r="553" spans="7:35" hidden="1">
      <c r="G553" s="144"/>
      <c r="H553" s="144"/>
      <c r="I553" s="144"/>
      <c r="J553" s="144"/>
      <c r="K553" s="144"/>
      <c r="L553" s="144"/>
      <c r="M553" s="144"/>
      <c r="N553" s="144"/>
      <c r="O553" s="144"/>
      <c r="P553" s="144"/>
      <c r="Q553" s="144"/>
      <c r="R553" s="144"/>
      <c r="S553" s="144"/>
      <c r="T553" s="144"/>
      <c r="U553" s="144"/>
      <c r="V553" s="144"/>
      <c r="W553" s="144"/>
      <c r="X553" s="144"/>
      <c r="Y553" s="144"/>
      <c r="Z553" s="144"/>
      <c r="AA553" s="144"/>
      <c r="AB553" s="144"/>
      <c r="AC553" s="144"/>
      <c r="AD553" s="144"/>
      <c r="AE553" s="144"/>
      <c r="AF553" s="144"/>
      <c r="AG553" s="144"/>
      <c r="AH553" s="144"/>
      <c r="AI553" s="144"/>
    </row>
    <row r="554" spans="7:35" hidden="1">
      <c r="G554" s="144"/>
      <c r="H554" s="144"/>
      <c r="I554" s="144"/>
      <c r="J554" s="144"/>
      <c r="K554" s="144"/>
      <c r="L554" s="144"/>
      <c r="M554" s="144"/>
      <c r="N554" s="144"/>
      <c r="O554" s="144"/>
      <c r="P554" s="144"/>
      <c r="Q554" s="144"/>
      <c r="R554" s="144"/>
      <c r="S554" s="144"/>
      <c r="T554" s="144"/>
      <c r="U554" s="144"/>
      <c r="V554" s="144"/>
      <c r="W554" s="144"/>
      <c r="X554" s="144"/>
      <c r="Y554" s="144"/>
      <c r="Z554" s="144"/>
      <c r="AA554" s="144"/>
      <c r="AB554" s="144"/>
      <c r="AC554" s="144"/>
      <c r="AD554" s="144"/>
      <c r="AE554" s="144"/>
      <c r="AF554" s="144"/>
      <c r="AG554" s="144"/>
      <c r="AH554" s="144"/>
      <c r="AI554" s="144"/>
    </row>
    <row r="555" spans="7:35" hidden="1">
      <c r="G555" s="144"/>
      <c r="H555" s="144"/>
      <c r="I555" s="144"/>
      <c r="J555" s="144"/>
      <c r="K555" s="144"/>
      <c r="L555" s="144"/>
      <c r="M555" s="144"/>
      <c r="N555" s="144"/>
      <c r="O555" s="144"/>
      <c r="P555" s="144"/>
      <c r="Q555" s="144"/>
      <c r="R555" s="144"/>
      <c r="S555" s="144"/>
      <c r="T555" s="144"/>
      <c r="U555" s="144"/>
      <c r="V555" s="144"/>
      <c r="W555" s="144"/>
      <c r="X555" s="144"/>
      <c r="Y555" s="144"/>
      <c r="Z555" s="144"/>
      <c r="AA555" s="144"/>
      <c r="AB555" s="144"/>
      <c r="AC555" s="144"/>
      <c r="AD555" s="144"/>
      <c r="AE555" s="144"/>
      <c r="AF555" s="144"/>
      <c r="AG555" s="144"/>
      <c r="AH555" s="144"/>
      <c r="AI555" s="144"/>
    </row>
    <row r="556" spans="7:35" hidden="1">
      <c r="G556" s="144"/>
      <c r="H556" s="144"/>
      <c r="I556" s="144"/>
      <c r="J556" s="144"/>
      <c r="K556" s="144"/>
      <c r="L556" s="144"/>
      <c r="M556" s="144"/>
      <c r="N556" s="144"/>
      <c r="O556" s="144"/>
      <c r="P556" s="144"/>
      <c r="Q556" s="144"/>
      <c r="R556" s="144"/>
      <c r="S556" s="144"/>
      <c r="T556" s="144"/>
      <c r="U556" s="144"/>
      <c r="V556" s="144"/>
      <c r="W556" s="144"/>
      <c r="X556" s="144"/>
      <c r="Y556" s="144"/>
      <c r="Z556" s="144"/>
      <c r="AA556" s="144"/>
      <c r="AB556" s="144"/>
      <c r="AC556" s="144"/>
      <c r="AD556" s="144"/>
      <c r="AE556" s="144"/>
      <c r="AF556" s="144"/>
      <c r="AG556" s="144"/>
      <c r="AH556" s="144"/>
      <c r="AI556" s="144"/>
    </row>
    <row r="557" spans="7:35" hidden="1">
      <c r="G557" s="144"/>
      <c r="H557" s="144"/>
      <c r="I557" s="144"/>
      <c r="J557" s="144"/>
      <c r="K557" s="144"/>
      <c r="L557" s="144"/>
      <c r="M557" s="144"/>
      <c r="N557" s="144"/>
      <c r="O557" s="144"/>
      <c r="P557" s="144"/>
      <c r="Q557" s="144"/>
      <c r="R557" s="144"/>
      <c r="S557" s="144"/>
      <c r="T557" s="144"/>
      <c r="U557" s="144"/>
      <c r="V557" s="144"/>
      <c r="W557" s="144"/>
      <c r="X557" s="144"/>
      <c r="Y557" s="144"/>
      <c r="Z557" s="144"/>
      <c r="AA557" s="144"/>
      <c r="AB557" s="144"/>
      <c r="AC557" s="144"/>
      <c r="AD557" s="144"/>
      <c r="AE557" s="144"/>
      <c r="AF557" s="144"/>
      <c r="AG557" s="144"/>
      <c r="AH557" s="144"/>
      <c r="AI557" s="144"/>
    </row>
    <row r="558" spans="7:35" hidden="1">
      <c r="G558" s="144"/>
      <c r="H558" s="144"/>
      <c r="I558" s="144"/>
      <c r="J558" s="144"/>
      <c r="K558" s="144"/>
      <c r="L558" s="144"/>
      <c r="M558" s="144"/>
      <c r="N558" s="144"/>
      <c r="O558" s="144"/>
      <c r="P558" s="144"/>
      <c r="Q558" s="144"/>
      <c r="R558" s="144"/>
      <c r="S558" s="144"/>
      <c r="T558" s="144"/>
      <c r="U558" s="144"/>
      <c r="V558" s="144"/>
      <c r="W558" s="144"/>
      <c r="X558" s="144"/>
      <c r="Y558" s="144"/>
      <c r="Z558" s="144"/>
      <c r="AA558" s="144"/>
      <c r="AB558" s="144"/>
      <c r="AC558" s="144"/>
      <c r="AD558" s="144"/>
      <c r="AE558" s="144"/>
      <c r="AF558" s="144"/>
      <c r="AG558" s="144"/>
      <c r="AH558" s="144"/>
      <c r="AI558" s="144"/>
    </row>
    <row r="559" spans="7:35" hidden="1">
      <c r="G559" s="144"/>
      <c r="H559" s="144"/>
      <c r="I559" s="144"/>
      <c r="J559" s="144"/>
      <c r="K559" s="144"/>
      <c r="L559" s="144"/>
      <c r="M559" s="144"/>
      <c r="N559" s="144"/>
      <c r="O559" s="144"/>
      <c r="P559" s="144"/>
      <c r="Q559" s="144"/>
      <c r="R559" s="144"/>
      <c r="S559" s="144"/>
      <c r="T559" s="144"/>
      <c r="U559" s="144"/>
      <c r="V559" s="144"/>
      <c r="W559" s="144"/>
      <c r="X559" s="144"/>
      <c r="Y559" s="144"/>
      <c r="Z559" s="144"/>
      <c r="AA559" s="144"/>
      <c r="AB559" s="144"/>
      <c r="AC559" s="144"/>
      <c r="AD559" s="144"/>
      <c r="AE559" s="144"/>
      <c r="AF559" s="144"/>
      <c r="AG559" s="144"/>
      <c r="AH559" s="144"/>
      <c r="AI559" s="144"/>
    </row>
    <row r="560" spans="7:35" hidden="1">
      <c r="G560" s="144"/>
      <c r="H560" s="144"/>
      <c r="I560" s="144"/>
      <c r="J560" s="144"/>
      <c r="K560" s="144"/>
      <c r="L560" s="144"/>
      <c r="M560" s="144"/>
      <c r="N560" s="144"/>
      <c r="O560" s="144"/>
      <c r="P560" s="144"/>
      <c r="Q560" s="144"/>
      <c r="R560" s="144"/>
      <c r="S560" s="144"/>
      <c r="T560" s="144"/>
      <c r="U560" s="144"/>
      <c r="V560" s="144"/>
      <c r="W560" s="144"/>
      <c r="X560" s="144"/>
      <c r="Y560" s="144"/>
      <c r="Z560" s="144"/>
      <c r="AA560" s="144"/>
      <c r="AB560" s="144"/>
      <c r="AC560" s="144"/>
      <c r="AD560" s="144"/>
      <c r="AE560" s="144"/>
      <c r="AF560" s="144"/>
      <c r="AG560" s="144"/>
      <c r="AH560" s="144"/>
      <c r="AI560" s="144"/>
    </row>
    <row r="561" spans="7:35" hidden="1">
      <c r="G561" s="144"/>
      <c r="H561" s="144"/>
      <c r="I561" s="144"/>
      <c r="J561" s="144"/>
      <c r="K561" s="144"/>
      <c r="L561" s="144"/>
      <c r="M561" s="144"/>
      <c r="N561" s="144"/>
      <c r="O561" s="144"/>
      <c r="P561" s="144"/>
      <c r="Q561" s="144"/>
      <c r="R561" s="144"/>
      <c r="S561" s="144"/>
      <c r="T561" s="144"/>
      <c r="U561" s="144"/>
      <c r="V561" s="144"/>
      <c r="W561" s="144"/>
      <c r="X561" s="144"/>
      <c r="Y561" s="144"/>
      <c r="Z561" s="144"/>
      <c r="AA561" s="144"/>
      <c r="AB561" s="144"/>
      <c r="AC561" s="144"/>
      <c r="AD561" s="144"/>
      <c r="AE561" s="144"/>
      <c r="AF561" s="144"/>
      <c r="AG561" s="144"/>
      <c r="AH561" s="144"/>
      <c r="AI561" s="144"/>
    </row>
    <row r="562" spans="7:35" hidden="1">
      <c r="G562" s="144"/>
      <c r="H562" s="144"/>
      <c r="I562" s="144"/>
      <c r="J562" s="144"/>
      <c r="K562" s="144"/>
      <c r="L562" s="144"/>
      <c r="M562" s="144"/>
      <c r="N562" s="144"/>
      <c r="O562" s="144"/>
      <c r="P562" s="144"/>
      <c r="Q562" s="144"/>
      <c r="R562" s="144"/>
      <c r="S562" s="144"/>
      <c r="T562" s="144"/>
      <c r="U562" s="144"/>
      <c r="V562" s="144"/>
      <c r="W562" s="144"/>
      <c r="X562" s="144"/>
      <c r="Y562" s="144"/>
      <c r="Z562" s="144"/>
      <c r="AA562" s="144"/>
      <c r="AB562" s="144"/>
      <c r="AC562" s="144"/>
      <c r="AD562" s="144"/>
      <c r="AE562" s="144"/>
      <c r="AF562" s="144"/>
      <c r="AG562" s="144"/>
      <c r="AH562" s="144"/>
      <c r="AI562" s="144"/>
    </row>
    <row r="563" spans="7:35" hidden="1">
      <c r="G563" s="144"/>
      <c r="H563" s="144"/>
      <c r="I563" s="144"/>
      <c r="J563" s="144"/>
      <c r="K563" s="144"/>
      <c r="L563" s="144"/>
      <c r="M563" s="144"/>
      <c r="N563" s="144"/>
      <c r="O563" s="144"/>
      <c r="P563" s="144"/>
      <c r="Q563" s="144"/>
      <c r="R563" s="144"/>
      <c r="S563" s="144"/>
      <c r="T563" s="144"/>
      <c r="U563" s="144"/>
      <c r="V563" s="144"/>
      <c r="W563" s="144"/>
      <c r="X563" s="144"/>
      <c r="Y563" s="144"/>
      <c r="Z563" s="144"/>
      <c r="AA563" s="144"/>
      <c r="AB563" s="144"/>
      <c r="AC563" s="144"/>
      <c r="AD563" s="144"/>
      <c r="AE563" s="144"/>
      <c r="AF563" s="144"/>
      <c r="AG563" s="144"/>
      <c r="AH563" s="144"/>
      <c r="AI563" s="144"/>
    </row>
    <row r="564" spans="7:35" hidden="1">
      <c r="G564" s="144"/>
      <c r="H564" s="144"/>
      <c r="I564" s="144"/>
      <c r="J564" s="144"/>
      <c r="K564" s="144"/>
      <c r="L564" s="144"/>
      <c r="M564" s="144"/>
      <c r="N564" s="144"/>
      <c r="O564" s="144"/>
      <c r="P564" s="144"/>
      <c r="Q564" s="144"/>
      <c r="R564" s="144"/>
      <c r="S564" s="144"/>
      <c r="T564" s="144"/>
      <c r="U564" s="144"/>
      <c r="V564" s="144"/>
      <c r="W564" s="144"/>
      <c r="X564" s="144"/>
      <c r="Y564" s="144"/>
      <c r="Z564" s="144"/>
      <c r="AA564" s="144"/>
      <c r="AB564" s="144"/>
      <c r="AC564" s="144"/>
      <c r="AD564" s="144"/>
      <c r="AE564" s="144"/>
      <c r="AF564" s="144"/>
      <c r="AG564" s="144"/>
      <c r="AH564" s="144"/>
      <c r="AI564" s="144"/>
    </row>
    <row r="565" spans="7:35" hidden="1">
      <c r="G565" s="144"/>
      <c r="H565" s="144"/>
      <c r="I565" s="144"/>
      <c r="J565" s="144"/>
      <c r="K565" s="144"/>
      <c r="L565" s="144"/>
      <c r="M565" s="144"/>
      <c r="N565" s="144"/>
      <c r="O565" s="144"/>
      <c r="P565" s="144"/>
      <c r="Q565" s="144"/>
      <c r="R565" s="144"/>
      <c r="S565" s="144"/>
      <c r="T565" s="144"/>
      <c r="U565" s="144"/>
      <c r="V565" s="144"/>
      <c r="W565" s="144"/>
      <c r="X565" s="144"/>
      <c r="Y565" s="144"/>
      <c r="Z565" s="144"/>
      <c r="AA565" s="144"/>
      <c r="AB565" s="144"/>
      <c r="AC565" s="144"/>
      <c r="AD565" s="144"/>
      <c r="AE565" s="144"/>
      <c r="AF565" s="144"/>
      <c r="AG565" s="144"/>
      <c r="AH565" s="144"/>
      <c r="AI565" s="144"/>
    </row>
    <row r="566" spans="7:35" hidden="1">
      <c r="G566" s="144"/>
      <c r="H566" s="144"/>
      <c r="I566" s="144"/>
      <c r="J566" s="144"/>
      <c r="K566" s="144"/>
      <c r="L566" s="144"/>
      <c r="M566" s="144"/>
      <c r="N566" s="144"/>
      <c r="O566" s="144"/>
      <c r="P566" s="144"/>
      <c r="Q566" s="144"/>
      <c r="R566" s="144"/>
      <c r="S566" s="144"/>
      <c r="T566" s="144"/>
      <c r="U566" s="144"/>
      <c r="V566" s="144"/>
      <c r="W566" s="144"/>
      <c r="X566" s="144"/>
      <c r="Y566" s="144"/>
      <c r="Z566" s="144"/>
      <c r="AA566" s="144"/>
      <c r="AB566" s="144"/>
      <c r="AC566" s="144"/>
      <c r="AD566" s="144"/>
      <c r="AE566" s="144"/>
      <c r="AF566" s="144"/>
      <c r="AG566" s="144"/>
      <c r="AH566" s="144"/>
      <c r="AI566" s="144"/>
    </row>
    <row r="567" spans="7:35" hidden="1">
      <c r="G567" s="144"/>
      <c r="H567" s="144"/>
      <c r="I567" s="144"/>
      <c r="J567" s="144"/>
      <c r="K567" s="144"/>
      <c r="L567" s="144"/>
      <c r="M567" s="144"/>
      <c r="N567" s="144"/>
      <c r="O567" s="144"/>
      <c r="P567" s="144"/>
      <c r="Q567" s="144"/>
      <c r="R567" s="144"/>
      <c r="S567" s="144"/>
      <c r="T567" s="144"/>
      <c r="U567" s="144"/>
      <c r="V567" s="144"/>
      <c r="W567" s="144"/>
      <c r="X567" s="144"/>
      <c r="Y567" s="144"/>
      <c r="Z567" s="144"/>
      <c r="AA567" s="144"/>
      <c r="AB567" s="144"/>
      <c r="AC567" s="144"/>
      <c r="AD567" s="144"/>
      <c r="AE567" s="144"/>
      <c r="AF567" s="144"/>
      <c r="AG567" s="144"/>
      <c r="AH567" s="144"/>
      <c r="AI567" s="144"/>
    </row>
    <row r="568" spans="7:35" hidden="1">
      <c r="G568" s="144"/>
      <c r="H568" s="144"/>
      <c r="I568" s="144"/>
      <c r="J568" s="144"/>
      <c r="K568" s="144"/>
      <c r="L568" s="144"/>
      <c r="M568" s="144"/>
      <c r="N568" s="144"/>
      <c r="O568" s="144"/>
      <c r="P568" s="144"/>
      <c r="Q568" s="144"/>
      <c r="R568" s="144"/>
      <c r="S568" s="144"/>
      <c r="T568" s="144"/>
      <c r="U568" s="144"/>
      <c r="V568" s="144"/>
      <c r="W568" s="144"/>
      <c r="X568" s="144"/>
      <c r="Y568" s="144"/>
      <c r="Z568" s="144"/>
      <c r="AA568" s="144"/>
      <c r="AB568" s="144"/>
      <c r="AC568" s="144"/>
      <c r="AD568" s="144"/>
      <c r="AE568" s="144"/>
      <c r="AF568" s="144"/>
      <c r="AG568" s="144"/>
      <c r="AH568" s="144"/>
      <c r="AI568" s="144"/>
    </row>
    <row r="569" spans="7:35" hidden="1">
      <c r="G569" s="144"/>
      <c r="H569" s="144"/>
      <c r="I569" s="144"/>
      <c r="J569" s="144"/>
      <c r="K569" s="144"/>
      <c r="L569" s="144"/>
      <c r="M569" s="144"/>
      <c r="N569" s="144"/>
      <c r="O569" s="144"/>
      <c r="P569" s="144"/>
      <c r="Q569" s="144"/>
      <c r="R569" s="144"/>
      <c r="S569" s="144"/>
      <c r="T569" s="144"/>
      <c r="U569" s="144"/>
      <c r="V569" s="144"/>
      <c r="W569" s="144"/>
      <c r="X569" s="144"/>
      <c r="Y569" s="144"/>
      <c r="Z569" s="144"/>
      <c r="AA569" s="144"/>
      <c r="AB569" s="144"/>
      <c r="AC569" s="144"/>
      <c r="AD569" s="144"/>
      <c r="AE569" s="144"/>
      <c r="AF569" s="144"/>
      <c r="AG569" s="144"/>
      <c r="AH569" s="144"/>
      <c r="AI569" s="144"/>
    </row>
    <row r="570" spans="7:35" hidden="1">
      <c r="G570" s="144"/>
      <c r="H570" s="144"/>
      <c r="I570" s="144"/>
      <c r="J570" s="144"/>
      <c r="K570" s="144"/>
      <c r="L570" s="144"/>
      <c r="M570" s="144"/>
      <c r="N570" s="144"/>
      <c r="O570" s="144"/>
      <c r="P570" s="144"/>
      <c r="Q570" s="144"/>
      <c r="R570" s="144"/>
      <c r="S570" s="144"/>
      <c r="T570" s="144"/>
      <c r="U570" s="144"/>
      <c r="V570" s="144"/>
      <c r="W570" s="144"/>
      <c r="X570" s="144"/>
      <c r="Y570" s="144"/>
      <c r="Z570" s="144"/>
      <c r="AA570" s="144"/>
      <c r="AB570" s="144"/>
      <c r="AC570" s="144"/>
      <c r="AD570" s="144"/>
      <c r="AE570" s="144"/>
      <c r="AF570" s="144"/>
      <c r="AG570" s="144"/>
      <c r="AH570" s="144"/>
      <c r="AI570" s="144"/>
    </row>
    <row r="571" spans="7:35" hidden="1">
      <c r="G571" s="144"/>
      <c r="H571" s="144"/>
      <c r="I571" s="144"/>
      <c r="J571" s="144"/>
      <c r="K571" s="144"/>
      <c r="L571" s="144"/>
      <c r="M571" s="144"/>
      <c r="N571" s="144"/>
      <c r="O571" s="144"/>
      <c r="P571" s="144"/>
      <c r="Q571" s="144"/>
      <c r="R571" s="144"/>
      <c r="S571" s="144"/>
      <c r="T571" s="144"/>
      <c r="U571" s="144"/>
      <c r="V571" s="144"/>
      <c r="W571" s="144"/>
      <c r="X571" s="144"/>
      <c r="Y571" s="144"/>
      <c r="Z571" s="144"/>
      <c r="AA571" s="144"/>
      <c r="AB571" s="144"/>
      <c r="AC571" s="144"/>
      <c r="AD571" s="144"/>
      <c r="AE571" s="144"/>
      <c r="AF571" s="144"/>
      <c r="AG571" s="144"/>
      <c r="AH571" s="144"/>
      <c r="AI571" s="144"/>
    </row>
    <row r="572" spans="7:35" hidden="1">
      <c r="G572" s="144"/>
      <c r="H572" s="144"/>
      <c r="I572" s="144"/>
      <c r="J572" s="144"/>
      <c r="K572" s="144"/>
      <c r="L572" s="144"/>
      <c r="M572" s="144"/>
      <c r="N572" s="144"/>
      <c r="O572" s="144"/>
      <c r="P572" s="144"/>
      <c r="Q572" s="144"/>
      <c r="R572" s="144"/>
      <c r="S572" s="144"/>
      <c r="T572" s="144"/>
      <c r="U572" s="144"/>
      <c r="V572" s="144"/>
      <c r="W572" s="144"/>
      <c r="X572" s="144"/>
      <c r="Y572" s="144"/>
      <c r="Z572" s="144"/>
      <c r="AA572" s="144"/>
      <c r="AB572" s="144"/>
      <c r="AC572" s="144"/>
      <c r="AD572" s="144"/>
      <c r="AE572" s="144"/>
      <c r="AF572" s="144"/>
      <c r="AG572" s="144"/>
      <c r="AH572" s="144"/>
      <c r="AI572" s="144"/>
    </row>
    <row r="573" spans="7:35" hidden="1">
      <c r="G573" s="144"/>
      <c r="H573" s="144"/>
      <c r="I573" s="144"/>
      <c r="J573" s="144"/>
      <c r="K573" s="144"/>
      <c r="L573" s="144"/>
      <c r="M573" s="144"/>
      <c r="N573" s="144"/>
      <c r="O573" s="144"/>
      <c r="P573" s="144"/>
      <c r="Q573" s="144"/>
      <c r="R573" s="144"/>
      <c r="S573" s="144"/>
      <c r="T573" s="144"/>
      <c r="U573" s="144"/>
      <c r="V573" s="144"/>
      <c r="W573" s="144"/>
      <c r="X573" s="144"/>
      <c r="Y573" s="144"/>
      <c r="Z573" s="144"/>
      <c r="AA573" s="144"/>
      <c r="AB573" s="144"/>
      <c r="AC573" s="144"/>
      <c r="AD573" s="144"/>
      <c r="AE573" s="144"/>
      <c r="AF573" s="144"/>
      <c r="AG573" s="144"/>
      <c r="AH573" s="144"/>
      <c r="AI573" s="144"/>
    </row>
    <row r="574" spans="7:35" hidden="1">
      <c r="G574" s="144"/>
      <c r="H574" s="144"/>
      <c r="I574" s="144"/>
      <c r="J574" s="144"/>
      <c r="K574" s="144"/>
      <c r="L574" s="144"/>
      <c r="M574" s="144"/>
      <c r="N574" s="144"/>
      <c r="O574" s="144"/>
      <c r="P574" s="144"/>
      <c r="Q574" s="144"/>
      <c r="R574" s="144"/>
      <c r="S574" s="144"/>
      <c r="T574" s="144"/>
      <c r="U574" s="144"/>
      <c r="V574" s="144"/>
      <c r="W574" s="144"/>
      <c r="X574" s="144"/>
      <c r="Y574" s="144"/>
      <c r="Z574" s="144"/>
      <c r="AA574" s="144"/>
      <c r="AB574" s="144"/>
      <c r="AC574" s="144"/>
      <c r="AD574" s="144"/>
      <c r="AE574" s="144"/>
      <c r="AF574" s="144"/>
      <c r="AG574" s="144"/>
      <c r="AH574" s="144"/>
      <c r="AI574" s="144"/>
    </row>
    <row r="575" spans="7:35" hidden="1">
      <c r="G575" s="144"/>
      <c r="H575" s="144"/>
      <c r="I575" s="144"/>
      <c r="J575" s="144"/>
      <c r="K575" s="144"/>
      <c r="L575" s="144"/>
      <c r="M575" s="144"/>
      <c r="N575" s="144"/>
      <c r="O575" s="144"/>
      <c r="P575" s="144"/>
      <c r="Q575" s="144"/>
      <c r="R575" s="144"/>
      <c r="S575" s="144"/>
      <c r="T575" s="144"/>
      <c r="U575" s="144"/>
      <c r="V575" s="144"/>
      <c r="W575" s="144"/>
      <c r="X575" s="144"/>
      <c r="Y575" s="144"/>
      <c r="Z575" s="144"/>
      <c r="AA575" s="144"/>
      <c r="AB575" s="144"/>
      <c r="AC575" s="144"/>
      <c r="AD575" s="144"/>
      <c r="AE575" s="144"/>
      <c r="AF575" s="144"/>
      <c r="AG575" s="144"/>
      <c r="AH575" s="144"/>
      <c r="AI575" s="144"/>
    </row>
    <row r="576" spans="7:35" hidden="1">
      <c r="G576" s="144"/>
      <c r="H576" s="144"/>
      <c r="I576" s="144"/>
      <c r="J576" s="144"/>
      <c r="K576" s="144"/>
      <c r="L576" s="144"/>
      <c r="M576" s="144"/>
      <c r="N576" s="144"/>
      <c r="O576" s="144"/>
      <c r="P576" s="144"/>
      <c r="Q576" s="144"/>
      <c r="R576" s="144"/>
      <c r="S576" s="144"/>
      <c r="T576" s="144"/>
      <c r="U576" s="144"/>
      <c r="V576" s="144"/>
      <c r="W576" s="144"/>
      <c r="X576" s="144"/>
      <c r="Y576" s="144"/>
      <c r="Z576" s="144"/>
      <c r="AA576" s="144"/>
      <c r="AB576" s="144"/>
      <c r="AC576" s="144"/>
      <c r="AD576" s="144"/>
      <c r="AE576" s="144"/>
      <c r="AF576" s="144"/>
      <c r="AG576" s="144"/>
      <c r="AH576" s="144"/>
      <c r="AI576" s="144"/>
    </row>
    <row r="577" spans="7:35" hidden="1">
      <c r="G577" s="144"/>
      <c r="H577" s="144"/>
      <c r="I577" s="144"/>
      <c r="J577" s="144"/>
      <c r="K577" s="144"/>
      <c r="L577" s="144"/>
      <c r="M577" s="144"/>
      <c r="N577" s="144"/>
      <c r="O577" s="144"/>
      <c r="P577" s="144"/>
      <c r="Q577" s="144"/>
      <c r="R577" s="144"/>
      <c r="S577" s="144"/>
      <c r="T577" s="144"/>
      <c r="U577" s="144"/>
      <c r="V577" s="144"/>
      <c r="W577" s="144"/>
      <c r="X577" s="144"/>
      <c r="Y577" s="144"/>
      <c r="Z577" s="144"/>
      <c r="AA577" s="144"/>
      <c r="AB577" s="144"/>
      <c r="AC577" s="144"/>
      <c r="AD577" s="144"/>
      <c r="AE577" s="144"/>
      <c r="AF577" s="144"/>
      <c r="AG577" s="144"/>
      <c r="AH577" s="144"/>
      <c r="AI577" s="144"/>
    </row>
    <row r="578" spans="7:35" hidden="1">
      <c r="G578" s="144"/>
      <c r="H578" s="144"/>
      <c r="I578" s="144"/>
      <c r="J578" s="144"/>
      <c r="K578" s="144"/>
      <c r="L578" s="144"/>
      <c r="M578" s="144"/>
      <c r="N578" s="144"/>
      <c r="O578" s="144"/>
      <c r="P578" s="144"/>
      <c r="Q578" s="144"/>
      <c r="R578" s="144"/>
      <c r="S578" s="144"/>
      <c r="T578" s="144"/>
      <c r="U578" s="144"/>
      <c r="V578" s="144"/>
      <c r="W578" s="144"/>
      <c r="X578" s="144"/>
      <c r="Y578" s="144"/>
      <c r="Z578" s="144"/>
      <c r="AA578" s="144"/>
      <c r="AB578" s="144"/>
      <c r="AC578" s="144"/>
      <c r="AD578" s="144"/>
      <c r="AE578" s="144"/>
      <c r="AF578" s="144"/>
      <c r="AG578" s="144"/>
      <c r="AH578" s="144"/>
      <c r="AI578" s="144"/>
    </row>
    <row r="579" spans="7:35" hidden="1">
      <c r="G579" s="144"/>
      <c r="H579" s="144"/>
      <c r="I579" s="144"/>
      <c r="J579" s="144"/>
      <c r="K579" s="144"/>
      <c r="L579" s="144"/>
      <c r="M579" s="144"/>
      <c r="N579" s="144"/>
      <c r="O579" s="144"/>
      <c r="P579" s="144"/>
      <c r="Q579" s="144"/>
      <c r="R579" s="144"/>
      <c r="S579" s="144"/>
      <c r="T579" s="144"/>
      <c r="U579" s="144"/>
      <c r="V579" s="144"/>
      <c r="W579" s="144"/>
      <c r="X579" s="144"/>
      <c r="Y579" s="144"/>
      <c r="Z579" s="144"/>
      <c r="AA579" s="144"/>
      <c r="AB579" s="144"/>
      <c r="AC579" s="144"/>
      <c r="AD579" s="144"/>
      <c r="AE579" s="144"/>
      <c r="AF579" s="144"/>
      <c r="AG579" s="144"/>
      <c r="AH579" s="144"/>
      <c r="AI579" s="144"/>
    </row>
    <row r="580" spans="7:35" hidden="1">
      <c r="G580" s="144"/>
      <c r="H580" s="144"/>
      <c r="I580" s="144"/>
      <c r="J580" s="144"/>
      <c r="K580" s="144"/>
      <c r="L580" s="144"/>
      <c r="M580" s="144"/>
      <c r="N580" s="144"/>
      <c r="O580" s="144"/>
      <c r="P580" s="144"/>
      <c r="Q580" s="144"/>
      <c r="R580" s="144"/>
      <c r="S580" s="144"/>
      <c r="T580" s="144"/>
      <c r="U580" s="144"/>
      <c r="V580" s="144"/>
      <c r="W580" s="144"/>
      <c r="X580" s="144"/>
      <c r="Y580" s="144"/>
      <c r="Z580" s="144"/>
      <c r="AA580" s="144"/>
      <c r="AB580" s="144"/>
      <c r="AC580" s="144"/>
      <c r="AD580" s="144"/>
      <c r="AE580" s="144"/>
      <c r="AF580" s="144"/>
      <c r="AG580" s="144"/>
      <c r="AH580" s="144"/>
      <c r="AI580" s="144"/>
    </row>
    <row r="581" spans="7:35" hidden="1">
      <c r="G581" s="144"/>
      <c r="H581" s="144"/>
      <c r="I581" s="144"/>
      <c r="J581" s="144"/>
      <c r="K581" s="144"/>
      <c r="L581" s="144"/>
      <c r="M581" s="144"/>
      <c r="N581" s="144"/>
      <c r="O581" s="144"/>
      <c r="P581" s="144"/>
      <c r="Q581" s="144"/>
      <c r="R581" s="144"/>
      <c r="S581" s="144"/>
      <c r="T581" s="144"/>
      <c r="U581" s="144"/>
      <c r="V581" s="144"/>
      <c r="W581" s="144"/>
      <c r="X581" s="144"/>
      <c r="Y581" s="144"/>
      <c r="Z581" s="144"/>
      <c r="AA581" s="144"/>
      <c r="AB581" s="144"/>
      <c r="AC581" s="144"/>
      <c r="AD581" s="144"/>
      <c r="AE581" s="144"/>
      <c r="AF581" s="144"/>
      <c r="AG581" s="144"/>
      <c r="AH581" s="144"/>
      <c r="AI581" s="144"/>
    </row>
    <row r="582" spans="7:35" hidden="1">
      <c r="G582" s="144"/>
      <c r="H582" s="144"/>
      <c r="I582" s="144"/>
      <c r="J582" s="144"/>
      <c r="K582" s="144"/>
      <c r="L582" s="144"/>
      <c r="M582" s="144"/>
      <c r="N582" s="144"/>
      <c r="O582" s="144"/>
      <c r="P582" s="144"/>
      <c r="Q582" s="144"/>
      <c r="R582" s="144"/>
      <c r="S582" s="144"/>
      <c r="T582" s="144"/>
      <c r="U582" s="144"/>
      <c r="V582" s="144"/>
      <c r="W582" s="144"/>
      <c r="X582" s="144"/>
      <c r="Y582" s="144"/>
      <c r="Z582" s="144"/>
      <c r="AA582" s="144"/>
      <c r="AB582" s="144"/>
      <c r="AC582" s="144"/>
      <c r="AD582" s="144"/>
      <c r="AE582" s="144"/>
      <c r="AF582" s="144"/>
      <c r="AG582" s="144"/>
      <c r="AH582" s="144"/>
      <c r="AI582" s="144"/>
    </row>
    <row r="583" spans="7:35" hidden="1">
      <c r="G583" s="144"/>
      <c r="H583" s="144"/>
      <c r="I583" s="144"/>
      <c r="J583" s="144"/>
      <c r="K583" s="144"/>
      <c r="L583" s="144"/>
      <c r="M583" s="144"/>
      <c r="N583" s="144"/>
      <c r="O583" s="144"/>
      <c r="P583" s="144"/>
      <c r="Q583" s="144"/>
      <c r="R583" s="144"/>
      <c r="S583" s="144"/>
      <c r="T583" s="144"/>
      <c r="U583" s="144"/>
      <c r="V583" s="144"/>
      <c r="W583" s="144"/>
      <c r="X583" s="144"/>
      <c r="Y583" s="144"/>
      <c r="Z583" s="144"/>
      <c r="AA583" s="144"/>
      <c r="AB583" s="144"/>
      <c r="AC583" s="144"/>
      <c r="AD583" s="144"/>
      <c r="AE583" s="144"/>
      <c r="AF583" s="144"/>
      <c r="AG583" s="144"/>
      <c r="AH583" s="144"/>
      <c r="AI583" s="144"/>
    </row>
    <row r="584" spans="7:35" hidden="1">
      <c r="G584" s="144"/>
      <c r="H584" s="144"/>
      <c r="I584" s="144"/>
      <c r="J584" s="144"/>
      <c r="K584" s="144"/>
      <c r="L584" s="144"/>
      <c r="M584" s="144"/>
      <c r="N584" s="144"/>
      <c r="O584" s="144"/>
      <c r="P584" s="144"/>
      <c r="Q584" s="144"/>
      <c r="R584" s="144"/>
      <c r="S584" s="144"/>
      <c r="T584" s="144"/>
      <c r="U584" s="144"/>
      <c r="V584" s="144"/>
      <c r="W584" s="144"/>
      <c r="X584" s="144"/>
      <c r="Y584" s="144"/>
      <c r="Z584" s="144"/>
      <c r="AA584" s="144"/>
      <c r="AB584" s="144"/>
      <c r="AC584" s="144"/>
      <c r="AD584" s="144"/>
      <c r="AE584" s="144"/>
      <c r="AF584" s="144"/>
      <c r="AG584" s="144"/>
      <c r="AH584" s="144"/>
      <c r="AI584" s="144"/>
    </row>
    <row r="585" spans="7:35" hidden="1">
      <c r="G585" s="144"/>
      <c r="H585" s="144"/>
      <c r="I585" s="144"/>
      <c r="J585" s="144"/>
      <c r="K585" s="144"/>
      <c r="L585" s="144"/>
      <c r="M585" s="144"/>
      <c r="N585" s="144"/>
      <c r="O585" s="144"/>
      <c r="P585" s="144"/>
      <c r="Q585" s="144"/>
      <c r="R585" s="144"/>
      <c r="S585" s="144"/>
      <c r="T585" s="144"/>
      <c r="U585" s="144"/>
      <c r="V585" s="144"/>
      <c r="W585" s="144"/>
      <c r="X585" s="144"/>
      <c r="Y585" s="144"/>
      <c r="Z585" s="144"/>
      <c r="AA585" s="144"/>
      <c r="AB585" s="144"/>
      <c r="AC585" s="144"/>
      <c r="AD585" s="144"/>
      <c r="AE585" s="144"/>
      <c r="AF585" s="144"/>
      <c r="AG585" s="144"/>
      <c r="AH585" s="144"/>
      <c r="AI585" s="144"/>
    </row>
    <row r="586" spans="7:35" hidden="1">
      <c r="G586" s="144"/>
      <c r="H586" s="144"/>
      <c r="I586" s="144"/>
      <c r="J586" s="144"/>
      <c r="K586" s="144"/>
      <c r="L586" s="144"/>
      <c r="M586" s="144"/>
      <c r="N586" s="144"/>
      <c r="O586" s="144"/>
      <c r="P586" s="144"/>
      <c r="Q586" s="144"/>
      <c r="R586" s="144"/>
      <c r="S586" s="144"/>
      <c r="T586" s="144"/>
      <c r="U586" s="144"/>
      <c r="V586" s="144"/>
      <c r="W586" s="144"/>
      <c r="X586" s="144"/>
      <c r="Y586" s="144"/>
      <c r="Z586" s="144"/>
      <c r="AA586" s="144"/>
      <c r="AB586" s="144"/>
      <c r="AC586" s="144"/>
      <c r="AD586" s="144"/>
      <c r="AE586" s="144"/>
      <c r="AF586" s="144"/>
      <c r="AG586" s="144"/>
      <c r="AH586" s="144"/>
      <c r="AI586" s="144"/>
    </row>
    <row r="587" spans="7:35" hidden="1">
      <c r="G587" s="144"/>
      <c r="H587" s="144"/>
      <c r="I587" s="144"/>
      <c r="J587" s="144"/>
      <c r="K587" s="144"/>
      <c r="L587" s="144"/>
      <c r="M587" s="144"/>
      <c r="N587" s="144"/>
      <c r="O587" s="144"/>
      <c r="P587" s="144"/>
      <c r="Q587" s="144"/>
      <c r="R587" s="144"/>
      <c r="S587" s="144"/>
      <c r="T587" s="144"/>
      <c r="U587" s="144"/>
      <c r="V587" s="144"/>
      <c r="W587" s="144"/>
      <c r="X587" s="144"/>
      <c r="Y587" s="144"/>
      <c r="Z587" s="144"/>
      <c r="AA587" s="144"/>
      <c r="AB587" s="144"/>
      <c r="AC587" s="144"/>
      <c r="AD587" s="144"/>
      <c r="AE587" s="144"/>
      <c r="AF587" s="144"/>
      <c r="AG587" s="144"/>
      <c r="AH587" s="144"/>
      <c r="AI587" s="144"/>
    </row>
    <row r="588" spans="7:35" hidden="1">
      <c r="G588" s="144"/>
      <c r="H588" s="144"/>
      <c r="I588" s="144"/>
      <c r="J588" s="144"/>
      <c r="K588" s="144"/>
      <c r="L588" s="144"/>
      <c r="M588" s="144"/>
      <c r="N588" s="144"/>
      <c r="O588" s="144"/>
      <c r="P588" s="144"/>
      <c r="Q588" s="144"/>
      <c r="R588" s="144"/>
      <c r="S588" s="144"/>
      <c r="T588" s="144"/>
      <c r="U588" s="144"/>
      <c r="V588" s="144"/>
      <c r="W588" s="144"/>
      <c r="X588" s="144"/>
      <c r="Y588" s="144"/>
      <c r="Z588" s="144"/>
      <c r="AA588" s="144"/>
      <c r="AB588" s="144"/>
      <c r="AC588" s="144"/>
      <c r="AD588" s="144"/>
      <c r="AE588" s="144"/>
      <c r="AF588" s="144"/>
      <c r="AG588" s="144"/>
      <c r="AH588" s="144"/>
      <c r="AI588" s="144"/>
    </row>
    <row r="589" spans="7:35" hidden="1">
      <c r="G589" s="144"/>
      <c r="H589" s="144"/>
      <c r="I589" s="144"/>
      <c r="J589" s="144"/>
      <c r="K589" s="144"/>
      <c r="L589" s="144"/>
      <c r="M589" s="144"/>
      <c r="N589" s="144"/>
      <c r="O589" s="144"/>
      <c r="P589" s="144"/>
      <c r="Q589" s="144"/>
      <c r="R589" s="144"/>
      <c r="S589" s="144"/>
      <c r="T589" s="144"/>
      <c r="U589" s="144"/>
      <c r="V589" s="144"/>
      <c r="W589" s="144"/>
      <c r="X589" s="144"/>
      <c r="Y589" s="144"/>
      <c r="Z589" s="144"/>
      <c r="AA589" s="144"/>
      <c r="AB589" s="144"/>
      <c r="AC589" s="144"/>
      <c r="AD589" s="144"/>
      <c r="AE589" s="144"/>
      <c r="AF589" s="144"/>
      <c r="AG589" s="144"/>
      <c r="AH589" s="144"/>
      <c r="AI589" s="144"/>
    </row>
    <row r="590" spans="7:35" hidden="1">
      <c r="G590" s="144"/>
      <c r="H590" s="144"/>
      <c r="I590" s="144"/>
      <c r="J590" s="144"/>
      <c r="K590" s="144"/>
      <c r="L590" s="144"/>
      <c r="M590" s="144"/>
      <c r="N590" s="144"/>
      <c r="O590" s="144"/>
      <c r="P590" s="144"/>
      <c r="Q590" s="144"/>
      <c r="R590" s="144"/>
      <c r="S590" s="144"/>
      <c r="T590" s="144"/>
      <c r="U590" s="144"/>
      <c r="V590" s="144"/>
      <c r="W590" s="144"/>
      <c r="X590" s="144"/>
      <c r="Y590" s="144"/>
      <c r="Z590" s="144"/>
      <c r="AA590" s="144"/>
      <c r="AB590" s="144"/>
      <c r="AC590" s="144"/>
      <c r="AD590" s="144"/>
      <c r="AE590" s="144"/>
      <c r="AF590" s="144"/>
      <c r="AG590" s="144"/>
      <c r="AH590" s="144"/>
      <c r="AI590" s="144"/>
    </row>
    <row r="591" spans="7:35" hidden="1">
      <c r="G591" s="144"/>
      <c r="H591" s="144"/>
      <c r="I591" s="144"/>
      <c r="J591" s="144"/>
      <c r="K591" s="144"/>
      <c r="L591" s="144"/>
      <c r="M591" s="144"/>
      <c r="N591" s="144"/>
      <c r="O591" s="144"/>
      <c r="P591" s="144"/>
      <c r="Q591" s="144"/>
      <c r="R591" s="144"/>
      <c r="S591" s="144"/>
      <c r="T591" s="144"/>
      <c r="U591" s="144"/>
      <c r="V591" s="144"/>
      <c r="W591" s="144"/>
      <c r="X591" s="144"/>
      <c r="Y591" s="144"/>
      <c r="Z591" s="144"/>
      <c r="AA591" s="144"/>
      <c r="AB591" s="144"/>
      <c r="AC591" s="144"/>
      <c r="AD591" s="144"/>
      <c r="AE591" s="144"/>
      <c r="AF591" s="144"/>
      <c r="AG591" s="144"/>
      <c r="AH591" s="144"/>
      <c r="AI591" s="144"/>
    </row>
    <row r="592" spans="7:35" hidden="1">
      <c r="G592" s="144"/>
      <c r="H592" s="144"/>
      <c r="I592" s="144"/>
      <c r="J592" s="144"/>
      <c r="K592" s="144"/>
      <c r="L592" s="144"/>
      <c r="M592" s="144"/>
      <c r="N592" s="144"/>
      <c r="O592" s="144"/>
      <c r="P592" s="144"/>
      <c r="Q592" s="144"/>
      <c r="R592" s="144"/>
      <c r="S592" s="144"/>
      <c r="T592" s="144"/>
      <c r="U592" s="144"/>
      <c r="V592" s="144"/>
      <c r="W592" s="144"/>
      <c r="X592" s="144"/>
      <c r="Y592" s="144"/>
      <c r="Z592" s="144"/>
      <c r="AA592" s="144"/>
      <c r="AB592" s="144"/>
      <c r="AC592" s="144"/>
      <c r="AD592" s="144"/>
      <c r="AE592" s="144"/>
      <c r="AF592" s="144"/>
      <c r="AG592" s="144"/>
      <c r="AH592" s="144"/>
      <c r="AI592" s="144"/>
    </row>
    <row r="593" spans="7:35" hidden="1">
      <c r="G593" s="144"/>
      <c r="H593" s="144"/>
      <c r="I593" s="144"/>
      <c r="J593" s="144"/>
      <c r="K593" s="144"/>
      <c r="L593" s="144"/>
      <c r="M593" s="144"/>
      <c r="N593" s="144"/>
      <c r="O593" s="144"/>
      <c r="P593" s="144"/>
      <c r="Q593" s="144"/>
      <c r="R593" s="144"/>
      <c r="S593" s="144"/>
      <c r="T593" s="144"/>
      <c r="U593" s="144"/>
      <c r="V593" s="144"/>
      <c r="W593" s="144"/>
      <c r="X593" s="144"/>
      <c r="Y593" s="144"/>
      <c r="Z593" s="144"/>
      <c r="AA593" s="144"/>
      <c r="AB593" s="144"/>
      <c r="AC593" s="144"/>
      <c r="AD593" s="144"/>
      <c r="AE593" s="144"/>
      <c r="AF593" s="144"/>
      <c r="AG593" s="144"/>
      <c r="AH593" s="144"/>
      <c r="AI593" s="144"/>
    </row>
    <row r="594" spans="7:35" hidden="1">
      <c r="G594" s="144"/>
      <c r="H594" s="144"/>
      <c r="I594" s="144"/>
      <c r="J594" s="144"/>
      <c r="K594" s="144"/>
      <c r="L594" s="144"/>
      <c r="M594" s="144"/>
      <c r="N594" s="144"/>
      <c r="O594" s="144"/>
      <c r="P594" s="144"/>
      <c r="Q594" s="144"/>
      <c r="R594" s="144"/>
      <c r="S594" s="144"/>
      <c r="T594" s="144"/>
      <c r="U594" s="144"/>
      <c r="V594" s="144"/>
      <c r="W594" s="144"/>
      <c r="X594" s="144"/>
      <c r="Y594" s="144"/>
      <c r="Z594" s="144"/>
      <c r="AA594" s="144"/>
      <c r="AB594" s="144"/>
      <c r="AC594" s="144"/>
      <c r="AD594" s="144"/>
      <c r="AE594" s="144"/>
      <c r="AF594" s="144"/>
      <c r="AG594" s="144"/>
      <c r="AH594" s="144"/>
      <c r="AI594" s="144"/>
    </row>
    <row r="595" spans="7:35" hidden="1">
      <c r="G595" s="144"/>
      <c r="H595" s="144"/>
      <c r="I595" s="144"/>
      <c r="J595" s="144"/>
      <c r="K595" s="144"/>
      <c r="L595" s="144"/>
      <c r="M595" s="144"/>
      <c r="N595" s="144"/>
      <c r="O595" s="144"/>
      <c r="P595" s="144"/>
      <c r="Q595" s="144"/>
      <c r="R595" s="144"/>
      <c r="S595" s="144"/>
      <c r="T595" s="144"/>
      <c r="U595" s="144"/>
      <c r="V595" s="144"/>
      <c r="W595" s="144"/>
      <c r="X595" s="144"/>
      <c r="Y595" s="144"/>
      <c r="Z595" s="144"/>
      <c r="AA595" s="144"/>
      <c r="AB595" s="144"/>
      <c r="AC595" s="144"/>
      <c r="AD595" s="144"/>
      <c r="AE595" s="144"/>
      <c r="AF595" s="144"/>
      <c r="AG595" s="144"/>
      <c r="AH595" s="144"/>
      <c r="AI595" s="144"/>
    </row>
    <row r="596" spans="7:35" hidden="1">
      <c r="G596" s="144"/>
      <c r="H596" s="144"/>
      <c r="I596" s="144"/>
      <c r="J596" s="144"/>
      <c r="K596" s="144"/>
      <c r="L596" s="144"/>
      <c r="M596" s="144"/>
      <c r="N596" s="144"/>
      <c r="O596" s="144"/>
      <c r="P596" s="144"/>
      <c r="Q596" s="144"/>
      <c r="R596" s="144"/>
      <c r="S596" s="144"/>
      <c r="T596" s="144"/>
      <c r="U596" s="144"/>
      <c r="V596" s="144"/>
      <c r="W596" s="144"/>
      <c r="X596" s="144"/>
      <c r="Y596" s="144"/>
      <c r="Z596" s="144"/>
      <c r="AA596" s="144"/>
      <c r="AB596" s="144"/>
      <c r="AC596" s="144"/>
      <c r="AD596" s="144"/>
      <c r="AE596" s="144"/>
      <c r="AF596" s="144"/>
      <c r="AG596" s="144"/>
      <c r="AH596" s="144"/>
      <c r="AI596" s="144"/>
    </row>
    <row r="597" spans="7:35" hidden="1">
      <c r="G597" s="144"/>
      <c r="H597" s="144"/>
      <c r="I597" s="144"/>
      <c r="J597" s="144"/>
      <c r="K597" s="144"/>
      <c r="L597" s="144"/>
      <c r="M597" s="144"/>
      <c r="N597" s="144"/>
      <c r="O597" s="144"/>
      <c r="P597" s="144"/>
      <c r="Q597" s="144"/>
      <c r="R597" s="144"/>
      <c r="S597" s="144"/>
      <c r="T597" s="144"/>
      <c r="U597" s="144"/>
      <c r="V597" s="144"/>
      <c r="W597" s="144"/>
      <c r="X597" s="144"/>
      <c r="Y597" s="144"/>
      <c r="Z597" s="144"/>
      <c r="AA597" s="144"/>
      <c r="AB597" s="144"/>
      <c r="AC597" s="144"/>
      <c r="AD597" s="144"/>
      <c r="AE597" s="144"/>
      <c r="AF597" s="144"/>
      <c r="AG597" s="144"/>
      <c r="AH597" s="144"/>
      <c r="AI597" s="144"/>
    </row>
    <row r="598" spans="7:35" hidden="1">
      <c r="G598" s="144"/>
      <c r="H598" s="144"/>
      <c r="I598" s="144"/>
      <c r="J598" s="144"/>
      <c r="K598" s="144"/>
      <c r="L598" s="144"/>
      <c r="M598" s="144"/>
      <c r="N598" s="144"/>
      <c r="O598" s="144"/>
      <c r="P598" s="144"/>
      <c r="Q598" s="144"/>
      <c r="R598" s="144"/>
      <c r="S598" s="144"/>
      <c r="T598" s="144"/>
      <c r="U598" s="144"/>
      <c r="V598" s="144"/>
      <c r="W598" s="144"/>
      <c r="X598" s="144"/>
      <c r="Y598" s="144"/>
      <c r="Z598" s="144"/>
      <c r="AA598" s="144"/>
      <c r="AB598" s="144"/>
      <c r="AC598" s="144"/>
      <c r="AD598" s="144"/>
      <c r="AE598" s="144"/>
      <c r="AF598" s="144"/>
      <c r="AG598" s="144"/>
      <c r="AH598" s="144"/>
      <c r="AI598" s="144"/>
    </row>
    <row r="599" spans="7:35" hidden="1">
      <c r="G599" s="144"/>
      <c r="H599" s="144"/>
      <c r="I599" s="144"/>
      <c r="J599" s="144"/>
      <c r="K599" s="144"/>
      <c r="L599" s="144"/>
      <c r="M599" s="144"/>
      <c r="N599" s="144"/>
      <c r="O599" s="144"/>
      <c r="P599" s="144"/>
      <c r="Q599" s="144"/>
      <c r="R599" s="144"/>
      <c r="S599" s="144"/>
      <c r="T599" s="144"/>
      <c r="U599" s="144"/>
      <c r="V599" s="144"/>
      <c r="W599" s="144"/>
      <c r="X599" s="144"/>
      <c r="Y599" s="144"/>
      <c r="Z599" s="144"/>
      <c r="AA599" s="144"/>
      <c r="AB599" s="144"/>
      <c r="AC599" s="144"/>
      <c r="AD599" s="144"/>
      <c r="AE599" s="144"/>
      <c r="AF599" s="144"/>
      <c r="AG599" s="144"/>
      <c r="AH599" s="144"/>
      <c r="AI599" s="144"/>
    </row>
    <row r="600" spans="7:35" hidden="1">
      <c r="G600" s="144"/>
      <c r="H600" s="144"/>
      <c r="I600" s="144"/>
      <c r="J600" s="144"/>
      <c r="K600" s="144"/>
      <c r="L600" s="144"/>
      <c r="M600" s="144"/>
      <c r="N600" s="144"/>
      <c r="O600" s="144"/>
      <c r="P600" s="144"/>
      <c r="Q600" s="144"/>
      <c r="R600" s="144"/>
      <c r="S600" s="144"/>
      <c r="T600" s="144"/>
      <c r="U600" s="144"/>
      <c r="V600" s="144"/>
      <c r="W600" s="144"/>
      <c r="X600" s="144"/>
      <c r="Y600" s="144"/>
      <c r="Z600" s="144"/>
      <c r="AA600" s="144"/>
      <c r="AB600" s="144"/>
      <c r="AC600" s="144"/>
      <c r="AD600" s="144"/>
      <c r="AE600" s="144"/>
      <c r="AF600" s="144"/>
      <c r="AG600" s="144"/>
      <c r="AH600" s="144"/>
      <c r="AI600" s="144"/>
    </row>
    <row r="601" spans="7:35" hidden="1">
      <c r="G601" s="144"/>
      <c r="H601" s="144"/>
      <c r="I601" s="144"/>
      <c r="J601" s="144"/>
      <c r="K601" s="144"/>
      <c r="L601" s="144"/>
      <c r="M601" s="144"/>
      <c r="N601" s="144"/>
      <c r="O601" s="144"/>
      <c r="P601" s="144"/>
      <c r="Q601" s="144"/>
      <c r="R601" s="144"/>
      <c r="S601" s="144"/>
      <c r="T601" s="144"/>
      <c r="U601" s="144"/>
      <c r="V601" s="144"/>
      <c r="W601" s="144"/>
      <c r="X601" s="144"/>
      <c r="Y601" s="144"/>
      <c r="Z601" s="144"/>
      <c r="AA601" s="144"/>
      <c r="AB601" s="144"/>
      <c r="AC601" s="144"/>
      <c r="AD601" s="144"/>
      <c r="AE601" s="144"/>
      <c r="AF601" s="144"/>
      <c r="AG601" s="144"/>
      <c r="AH601" s="144"/>
      <c r="AI601" s="144"/>
    </row>
    <row r="602" spans="7:35" hidden="1">
      <c r="G602" s="144"/>
      <c r="H602" s="144"/>
      <c r="I602" s="144"/>
      <c r="J602" s="144"/>
      <c r="K602" s="144"/>
      <c r="L602" s="144"/>
      <c r="M602" s="144"/>
      <c r="N602" s="144"/>
      <c r="O602" s="144"/>
      <c r="P602" s="144"/>
      <c r="Q602" s="144"/>
      <c r="R602" s="144"/>
      <c r="S602" s="144"/>
      <c r="T602" s="144"/>
      <c r="U602" s="144"/>
      <c r="V602" s="144"/>
      <c r="W602" s="144"/>
      <c r="X602" s="144"/>
      <c r="Y602" s="144"/>
      <c r="Z602" s="144"/>
      <c r="AA602" s="144"/>
      <c r="AB602" s="144"/>
      <c r="AC602" s="144"/>
      <c r="AD602" s="144"/>
      <c r="AE602" s="144"/>
      <c r="AF602" s="144"/>
      <c r="AG602" s="144"/>
      <c r="AH602" s="144"/>
      <c r="AI602" s="144"/>
    </row>
    <row r="603" spans="7:35" hidden="1">
      <c r="G603" s="144"/>
      <c r="H603" s="144"/>
      <c r="I603" s="144"/>
      <c r="J603" s="144"/>
      <c r="K603" s="144"/>
      <c r="L603" s="144"/>
      <c r="M603" s="144"/>
      <c r="N603" s="144"/>
      <c r="O603" s="144"/>
      <c r="P603" s="144"/>
      <c r="Q603" s="144"/>
      <c r="R603" s="144"/>
      <c r="S603" s="144"/>
      <c r="T603" s="144"/>
      <c r="U603" s="144"/>
      <c r="V603" s="144"/>
      <c r="W603" s="144"/>
      <c r="X603" s="144"/>
      <c r="Y603" s="144"/>
      <c r="Z603" s="144"/>
      <c r="AA603" s="144"/>
      <c r="AB603" s="144"/>
      <c r="AC603" s="144"/>
      <c r="AD603" s="144"/>
      <c r="AE603" s="144"/>
      <c r="AF603" s="144"/>
      <c r="AG603" s="144"/>
      <c r="AH603" s="144"/>
      <c r="AI603" s="144"/>
    </row>
    <row r="604" spans="7:35" hidden="1">
      <c r="G604" s="144"/>
      <c r="H604" s="144"/>
      <c r="I604" s="144"/>
      <c r="J604" s="144"/>
      <c r="K604" s="144"/>
      <c r="L604" s="144"/>
      <c r="M604" s="144"/>
      <c r="N604" s="144"/>
      <c r="O604" s="144"/>
      <c r="P604" s="144"/>
      <c r="Q604" s="144"/>
      <c r="R604" s="144"/>
      <c r="S604" s="144"/>
      <c r="T604" s="144"/>
      <c r="U604" s="144"/>
      <c r="V604" s="144"/>
      <c r="W604" s="144"/>
      <c r="X604" s="144"/>
      <c r="Y604" s="144"/>
      <c r="Z604" s="144"/>
      <c r="AA604" s="144"/>
      <c r="AB604" s="144"/>
      <c r="AC604" s="144"/>
      <c r="AD604" s="144"/>
      <c r="AE604" s="144"/>
      <c r="AF604" s="144"/>
      <c r="AG604" s="144"/>
      <c r="AH604" s="144"/>
      <c r="AI604" s="144"/>
    </row>
    <row r="605" spans="7:35" hidden="1">
      <c r="G605" s="144"/>
      <c r="H605" s="144"/>
      <c r="I605" s="144"/>
      <c r="J605" s="144"/>
      <c r="K605" s="144"/>
      <c r="L605" s="144"/>
      <c r="M605" s="144"/>
      <c r="N605" s="144"/>
      <c r="O605" s="144"/>
      <c r="P605" s="144"/>
      <c r="Q605" s="144"/>
      <c r="R605" s="144"/>
      <c r="S605" s="144"/>
      <c r="T605" s="144"/>
      <c r="U605" s="144"/>
      <c r="V605" s="144"/>
      <c r="W605" s="144"/>
      <c r="X605" s="144"/>
      <c r="Y605" s="144"/>
      <c r="Z605" s="144"/>
      <c r="AA605" s="144"/>
      <c r="AB605" s="144"/>
      <c r="AC605" s="144"/>
      <c r="AD605" s="144"/>
      <c r="AE605" s="144"/>
      <c r="AF605" s="144"/>
      <c r="AG605" s="144"/>
      <c r="AH605" s="144"/>
      <c r="AI605" s="144"/>
    </row>
    <row r="606" spans="7:35" hidden="1">
      <c r="G606" s="144"/>
      <c r="H606" s="144"/>
      <c r="I606" s="144"/>
      <c r="J606" s="144"/>
      <c r="K606" s="144"/>
      <c r="L606" s="144"/>
      <c r="M606" s="144"/>
      <c r="N606" s="144"/>
      <c r="O606" s="144"/>
      <c r="P606" s="144"/>
      <c r="Q606" s="144"/>
      <c r="R606" s="144"/>
      <c r="S606" s="144"/>
      <c r="T606" s="144"/>
      <c r="U606" s="144"/>
      <c r="V606" s="144"/>
      <c r="W606" s="144"/>
      <c r="X606" s="144"/>
      <c r="Y606" s="144"/>
      <c r="Z606" s="144"/>
      <c r="AA606" s="144"/>
      <c r="AB606" s="144"/>
      <c r="AC606" s="144"/>
      <c r="AD606" s="144"/>
      <c r="AE606" s="144"/>
      <c r="AF606" s="144"/>
      <c r="AG606" s="144"/>
      <c r="AH606" s="144"/>
      <c r="AI606" s="144"/>
    </row>
    <row r="607" spans="7:35" hidden="1">
      <c r="G607" s="144"/>
      <c r="H607" s="144"/>
      <c r="I607" s="144"/>
      <c r="J607" s="144"/>
      <c r="K607" s="144"/>
      <c r="L607" s="144"/>
      <c r="M607" s="144"/>
      <c r="N607" s="144"/>
      <c r="O607" s="144"/>
      <c r="P607" s="144"/>
      <c r="Q607" s="144"/>
      <c r="R607" s="144"/>
      <c r="S607" s="144"/>
      <c r="T607" s="144"/>
      <c r="U607" s="144"/>
      <c r="V607" s="144"/>
      <c r="W607" s="144"/>
      <c r="X607" s="144"/>
      <c r="Y607" s="144"/>
      <c r="Z607" s="144"/>
      <c r="AA607" s="144"/>
      <c r="AB607" s="144"/>
      <c r="AC607" s="144"/>
      <c r="AD607" s="144"/>
      <c r="AE607" s="144"/>
      <c r="AF607" s="144"/>
      <c r="AG607" s="144"/>
      <c r="AH607" s="144"/>
      <c r="AI607" s="144"/>
    </row>
    <row r="608" spans="7:35" hidden="1">
      <c r="G608" s="144"/>
      <c r="H608" s="144"/>
      <c r="I608" s="144"/>
      <c r="J608" s="144"/>
      <c r="K608" s="144"/>
      <c r="L608" s="144"/>
      <c r="M608" s="144"/>
      <c r="N608" s="144"/>
      <c r="O608" s="144"/>
      <c r="P608" s="144"/>
      <c r="Q608" s="144"/>
      <c r="R608" s="144"/>
      <c r="S608" s="144"/>
      <c r="T608" s="144"/>
      <c r="U608" s="144"/>
      <c r="V608" s="144"/>
      <c r="W608" s="144"/>
      <c r="X608" s="144"/>
      <c r="Y608" s="144"/>
      <c r="Z608" s="144"/>
      <c r="AA608" s="144"/>
      <c r="AB608" s="144"/>
      <c r="AC608" s="144"/>
      <c r="AD608" s="144"/>
      <c r="AE608" s="144"/>
      <c r="AF608" s="144"/>
      <c r="AG608" s="144"/>
      <c r="AH608" s="144"/>
      <c r="AI608" s="144"/>
    </row>
    <row r="609" spans="7:35" hidden="1">
      <c r="G609" s="144"/>
      <c r="H609" s="144"/>
      <c r="I609" s="144"/>
      <c r="J609" s="144"/>
      <c r="K609" s="144"/>
      <c r="L609" s="144"/>
      <c r="M609" s="144"/>
      <c r="N609" s="144"/>
      <c r="O609" s="144"/>
      <c r="P609" s="144"/>
      <c r="Q609" s="144"/>
      <c r="R609" s="144"/>
      <c r="S609" s="144"/>
      <c r="T609" s="144"/>
      <c r="U609" s="144"/>
      <c r="V609" s="144"/>
      <c r="W609" s="144"/>
      <c r="X609" s="144"/>
      <c r="Y609" s="144"/>
      <c r="Z609" s="144"/>
      <c r="AA609" s="144"/>
      <c r="AB609" s="144"/>
      <c r="AC609" s="144"/>
      <c r="AD609" s="144"/>
      <c r="AE609" s="144"/>
      <c r="AF609" s="144"/>
      <c r="AG609" s="144"/>
      <c r="AH609" s="144"/>
      <c r="AI609" s="144"/>
    </row>
    <row r="610" spans="7:35" hidden="1">
      <c r="G610" s="144"/>
      <c r="H610" s="144"/>
      <c r="I610" s="144"/>
      <c r="J610" s="144"/>
      <c r="K610" s="144"/>
      <c r="L610" s="144"/>
      <c r="M610" s="144"/>
      <c r="N610" s="144"/>
      <c r="O610" s="144"/>
      <c r="P610" s="144"/>
      <c r="Q610" s="144"/>
      <c r="R610" s="144"/>
      <c r="S610" s="144"/>
      <c r="T610" s="144"/>
      <c r="U610" s="144"/>
      <c r="V610" s="144"/>
      <c r="W610" s="144"/>
      <c r="X610" s="144"/>
      <c r="Y610" s="144"/>
      <c r="Z610" s="144"/>
      <c r="AA610" s="144"/>
      <c r="AB610" s="144"/>
      <c r="AC610" s="144"/>
      <c r="AD610" s="144"/>
      <c r="AE610" s="144"/>
      <c r="AF610" s="144"/>
      <c r="AG610" s="144"/>
      <c r="AH610" s="144"/>
      <c r="AI610" s="144"/>
    </row>
    <row r="611" spans="7:35" hidden="1">
      <c r="G611" s="144"/>
      <c r="H611" s="144"/>
      <c r="I611" s="144"/>
      <c r="J611" s="144"/>
      <c r="K611" s="144"/>
      <c r="L611" s="144"/>
      <c r="M611" s="144"/>
      <c r="N611" s="144"/>
      <c r="O611" s="144"/>
      <c r="P611" s="144"/>
      <c r="Q611" s="144"/>
      <c r="R611" s="144"/>
      <c r="S611" s="144"/>
      <c r="T611" s="144"/>
      <c r="U611" s="144"/>
      <c r="V611" s="144"/>
      <c r="W611" s="144"/>
      <c r="X611" s="144"/>
      <c r="Y611" s="144"/>
      <c r="Z611" s="144"/>
      <c r="AA611" s="144"/>
      <c r="AB611" s="144"/>
      <c r="AC611" s="144"/>
      <c r="AD611" s="144"/>
      <c r="AE611" s="144"/>
      <c r="AF611" s="144"/>
      <c r="AG611" s="144"/>
      <c r="AH611" s="144"/>
      <c r="AI611" s="144"/>
    </row>
    <row r="612" spans="7:35" hidden="1">
      <c r="G612" s="144"/>
      <c r="H612" s="144"/>
      <c r="I612" s="144"/>
      <c r="J612" s="144"/>
      <c r="K612" s="144"/>
      <c r="L612" s="144"/>
      <c r="M612" s="144"/>
      <c r="N612" s="144"/>
      <c r="O612" s="144"/>
      <c r="P612" s="144"/>
      <c r="Q612" s="144"/>
      <c r="R612" s="144"/>
      <c r="S612" s="144"/>
      <c r="T612" s="144"/>
      <c r="U612" s="144"/>
      <c r="V612" s="144"/>
      <c r="W612" s="144"/>
      <c r="X612" s="144"/>
      <c r="Y612" s="144"/>
      <c r="Z612" s="144"/>
      <c r="AA612" s="144"/>
      <c r="AB612" s="144"/>
      <c r="AC612" s="144"/>
      <c r="AD612" s="144"/>
      <c r="AE612" s="144"/>
      <c r="AF612" s="144"/>
      <c r="AG612" s="144"/>
      <c r="AH612" s="144"/>
      <c r="AI612" s="144"/>
    </row>
    <row r="613" spans="7:35" hidden="1">
      <c r="G613" s="144"/>
      <c r="H613" s="144"/>
      <c r="I613" s="144"/>
      <c r="J613" s="144"/>
      <c r="K613" s="144"/>
      <c r="L613" s="144"/>
      <c r="M613" s="144"/>
      <c r="N613" s="144"/>
      <c r="O613" s="144"/>
      <c r="P613" s="144"/>
      <c r="Q613" s="144"/>
      <c r="R613" s="144"/>
      <c r="S613" s="144"/>
      <c r="T613" s="144"/>
      <c r="U613" s="144"/>
      <c r="V613" s="144"/>
      <c r="W613" s="144"/>
      <c r="X613" s="144"/>
      <c r="Y613" s="144"/>
      <c r="Z613" s="144"/>
      <c r="AA613" s="144"/>
      <c r="AB613" s="144"/>
      <c r="AC613" s="144"/>
      <c r="AD613" s="144"/>
      <c r="AE613" s="144"/>
      <c r="AF613" s="144"/>
      <c r="AG613" s="144"/>
      <c r="AH613" s="144"/>
      <c r="AI613" s="144"/>
    </row>
    <row r="614" spans="7:35" hidden="1">
      <c r="G614" s="144"/>
      <c r="H614" s="144"/>
      <c r="I614" s="144"/>
      <c r="J614" s="144"/>
      <c r="K614" s="144"/>
      <c r="L614" s="144"/>
      <c r="M614" s="144"/>
      <c r="N614" s="144"/>
      <c r="O614" s="144"/>
      <c r="P614" s="144"/>
      <c r="Q614" s="144"/>
      <c r="R614" s="144"/>
      <c r="S614" s="144"/>
      <c r="T614" s="144"/>
      <c r="U614" s="144"/>
      <c r="V614" s="144"/>
      <c r="W614" s="144"/>
      <c r="X614" s="144"/>
      <c r="Y614" s="144"/>
      <c r="Z614" s="144"/>
      <c r="AA614" s="144"/>
      <c r="AB614" s="144"/>
      <c r="AC614" s="144"/>
      <c r="AD614" s="144"/>
      <c r="AE614" s="144"/>
      <c r="AF614" s="144"/>
      <c r="AG614" s="144"/>
      <c r="AH614" s="144"/>
      <c r="AI614" s="144"/>
    </row>
    <row r="615" spans="7:35" hidden="1">
      <c r="G615" s="144"/>
      <c r="H615" s="144"/>
      <c r="I615" s="144"/>
      <c r="J615" s="144"/>
      <c r="K615" s="144"/>
      <c r="L615" s="144"/>
      <c r="M615" s="144"/>
      <c r="N615" s="144"/>
      <c r="O615" s="144"/>
      <c r="P615" s="144"/>
      <c r="Q615" s="144"/>
      <c r="R615" s="144"/>
      <c r="S615" s="144"/>
      <c r="T615" s="144"/>
      <c r="U615" s="144"/>
      <c r="V615" s="144"/>
      <c r="W615" s="144"/>
      <c r="X615" s="144"/>
      <c r="Y615" s="144"/>
      <c r="Z615" s="144"/>
      <c r="AA615" s="144"/>
      <c r="AB615" s="144"/>
      <c r="AC615" s="144"/>
      <c r="AD615" s="144"/>
      <c r="AE615" s="144"/>
      <c r="AF615" s="144"/>
      <c r="AG615" s="144"/>
      <c r="AH615" s="144"/>
      <c r="AI615" s="144"/>
    </row>
    <row r="616" spans="7:35" hidden="1">
      <c r="G616" s="144"/>
      <c r="H616" s="144"/>
      <c r="I616" s="144"/>
      <c r="J616" s="144"/>
      <c r="K616" s="144"/>
      <c r="L616" s="144"/>
      <c r="M616" s="144"/>
      <c r="N616" s="144"/>
      <c r="O616" s="144"/>
      <c r="P616" s="144"/>
      <c r="Q616" s="144"/>
      <c r="R616" s="144"/>
      <c r="S616" s="144"/>
      <c r="T616" s="144"/>
      <c r="U616" s="144"/>
      <c r="V616" s="144"/>
      <c r="W616" s="144"/>
      <c r="X616" s="144"/>
      <c r="Y616" s="144"/>
      <c r="Z616" s="144"/>
      <c r="AA616" s="144"/>
      <c r="AB616" s="144"/>
      <c r="AC616" s="144"/>
      <c r="AD616" s="144"/>
      <c r="AE616" s="144"/>
      <c r="AF616" s="144"/>
      <c r="AG616" s="144"/>
      <c r="AH616" s="144"/>
      <c r="AI616" s="144"/>
    </row>
    <row r="617" spans="7:35" hidden="1">
      <c r="G617" s="144"/>
      <c r="H617" s="144"/>
      <c r="I617" s="144"/>
      <c r="J617" s="144"/>
      <c r="K617" s="144"/>
      <c r="L617" s="144"/>
      <c r="M617" s="144"/>
      <c r="N617" s="144"/>
      <c r="O617" s="144"/>
      <c r="P617" s="144"/>
      <c r="Q617" s="144"/>
      <c r="R617" s="144"/>
      <c r="S617" s="144"/>
      <c r="T617" s="144"/>
      <c r="U617" s="144"/>
      <c r="V617" s="144"/>
      <c r="W617" s="144"/>
      <c r="X617" s="144"/>
      <c r="Y617" s="144"/>
      <c r="Z617" s="144"/>
      <c r="AA617" s="144"/>
      <c r="AB617" s="144"/>
      <c r="AC617" s="144"/>
      <c r="AD617" s="144"/>
      <c r="AE617" s="144"/>
      <c r="AF617" s="144"/>
      <c r="AG617" s="144"/>
      <c r="AH617" s="144"/>
      <c r="AI617" s="144"/>
    </row>
    <row r="618" spans="7:35" hidden="1">
      <c r="G618" s="144"/>
      <c r="H618" s="144"/>
      <c r="I618" s="144"/>
      <c r="J618" s="144"/>
      <c r="K618" s="144"/>
      <c r="L618" s="144"/>
      <c r="M618" s="144"/>
      <c r="N618" s="144"/>
      <c r="O618" s="144"/>
      <c r="P618" s="144"/>
      <c r="Q618" s="144"/>
      <c r="R618" s="144"/>
      <c r="S618" s="144"/>
      <c r="T618" s="144"/>
      <c r="U618" s="144"/>
      <c r="V618" s="144"/>
      <c r="W618" s="144"/>
      <c r="X618" s="144"/>
      <c r="Y618" s="144"/>
      <c r="Z618" s="144"/>
      <c r="AA618" s="144"/>
      <c r="AB618" s="144"/>
      <c r="AC618" s="144"/>
      <c r="AD618" s="144"/>
      <c r="AE618" s="144"/>
      <c r="AF618" s="144"/>
      <c r="AG618" s="144"/>
      <c r="AH618" s="144"/>
      <c r="AI618" s="144"/>
    </row>
    <row r="619" spans="7:35" hidden="1">
      <c r="G619" s="144"/>
      <c r="H619" s="144"/>
      <c r="I619" s="144"/>
      <c r="J619" s="144"/>
      <c r="K619" s="144"/>
      <c r="L619" s="144"/>
      <c r="M619" s="144"/>
      <c r="N619" s="144"/>
      <c r="O619" s="144"/>
      <c r="P619" s="144"/>
      <c r="Q619" s="144"/>
      <c r="R619" s="144"/>
      <c r="S619" s="144"/>
      <c r="T619" s="144"/>
      <c r="U619" s="144"/>
      <c r="V619" s="144"/>
      <c r="W619" s="144"/>
      <c r="X619" s="144"/>
      <c r="Y619" s="144"/>
      <c r="Z619" s="144"/>
      <c r="AA619" s="144"/>
      <c r="AB619" s="144"/>
      <c r="AC619" s="144"/>
      <c r="AD619" s="144"/>
      <c r="AE619" s="144"/>
      <c r="AF619" s="144"/>
      <c r="AG619" s="144"/>
      <c r="AH619" s="144"/>
      <c r="AI619" s="144"/>
    </row>
    <row r="620" spans="7:35" hidden="1">
      <c r="G620" s="144"/>
      <c r="H620" s="144"/>
      <c r="I620" s="144"/>
      <c r="J620" s="144"/>
      <c r="K620" s="144"/>
      <c r="L620" s="144"/>
      <c r="M620" s="144"/>
      <c r="N620" s="144"/>
      <c r="O620" s="144"/>
      <c r="P620" s="144"/>
      <c r="Q620" s="144"/>
      <c r="R620" s="144"/>
      <c r="S620" s="144"/>
      <c r="T620" s="144"/>
      <c r="U620" s="144"/>
      <c r="V620" s="144"/>
      <c r="W620" s="144"/>
      <c r="X620" s="144"/>
      <c r="Y620" s="144"/>
      <c r="Z620" s="144"/>
      <c r="AA620" s="144"/>
      <c r="AB620" s="144"/>
      <c r="AC620" s="144"/>
      <c r="AD620" s="144"/>
      <c r="AE620" s="144"/>
      <c r="AF620" s="144"/>
      <c r="AG620" s="144"/>
      <c r="AH620" s="144"/>
      <c r="AI620" s="144"/>
    </row>
    <row r="621" spans="7:35" hidden="1">
      <c r="G621" s="144"/>
      <c r="H621" s="144"/>
      <c r="I621" s="144"/>
      <c r="J621" s="144"/>
      <c r="K621" s="144"/>
      <c r="L621" s="144"/>
      <c r="M621" s="144"/>
      <c r="N621" s="144"/>
      <c r="O621" s="144"/>
      <c r="P621" s="144"/>
      <c r="Q621" s="144"/>
      <c r="R621" s="144"/>
      <c r="S621" s="144"/>
      <c r="T621" s="144"/>
      <c r="U621" s="144"/>
      <c r="V621" s="144"/>
      <c r="W621" s="144"/>
      <c r="X621" s="144"/>
      <c r="Y621" s="144"/>
      <c r="Z621" s="144"/>
      <c r="AA621" s="144"/>
      <c r="AB621" s="144"/>
      <c r="AC621" s="144"/>
      <c r="AD621" s="144"/>
      <c r="AE621" s="144"/>
      <c r="AF621" s="144"/>
      <c r="AG621" s="144"/>
      <c r="AH621" s="144"/>
      <c r="AI621" s="144"/>
    </row>
    <row r="622" spans="7:35" hidden="1">
      <c r="G622" s="144"/>
      <c r="H622" s="144"/>
      <c r="I622" s="144"/>
      <c r="J622" s="144"/>
      <c r="K622" s="144"/>
      <c r="L622" s="144"/>
      <c r="M622" s="144"/>
      <c r="N622" s="144"/>
      <c r="O622" s="144"/>
      <c r="P622" s="144"/>
      <c r="Q622" s="144"/>
      <c r="R622" s="144"/>
      <c r="S622" s="144"/>
      <c r="T622" s="144"/>
      <c r="U622" s="144"/>
      <c r="V622" s="144"/>
      <c r="W622" s="144"/>
      <c r="X622" s="144"/>
      <c r="Y622" s="144"/>
      <c r="Z622" s="144"/>
      <c r="AA622" s="144"/>
      <c r="AB622" s="144"/>
      <c r="AC622" s="144"/>
      <c r="AD622" s="144"/>
      <c r="AE622" s="144"/>
      <c r="AF622" s="144"/>
      <c r="AG622" s="144"/>
      <c r="AH622" s="144"/>
      <c r="AI622" s="144"/>
    </row>
    <row r="623" spans="7:35" hidden="1">
      <c r="G623" s="144"/>
      <c r="H623" s="144"/>
      <c r="I623" s="144"/>
      <c r="J623" s="144"/>
      <c r="K623" s="144"/>
      <c r="L623" s="144"/>
      <c r="M623" s="144"/>
      <c r="N623" s="144"/>
      <c r="O623" s="144"/>
      <c r="P623" s="144"/>
      <c r="Q623" s="144"/>
      <c r="R623" s="144"/>
      <c r="S623" s="144"/>
      <c r="T623" s="144"/>
      <c r="U623" s="144"/>
      <c r="V623" s="144"/>
      <c r="W623" s="144"/>
      <c r="X623" s="144"/>
      <c r="Y623" s="144"/>
      <c r="Z623" s="144"/>
      <c r="AA623" s="144"/>
      <c r="AB623" s="144"/>
      <c r="AC623" s="144"/>
      <c r="AD623" s="144"/>
      <c r="AE623" s="144"/>
      <c r="AF623" s="144"/>
      <c r="AG623" s="144"/>
      <c r="AH623" s="144"/>
      <c r="AI623" s="144"/>
    </row>
    <row r="624" spans="7:35" hidden="1">
      <c r="G624" s="144"/>
      <c r="H624" s="144"/>
      <c r="I624" s="144"/>
      <c r="J624" s="144"/>
      <c r="K624" s="144"/>
      <c r="L624" s="144"/>
      <c r="M624" s="144"/>
      <c r="N624" s="144"/>
      <c r="O624" s="144"/>
      <c r="P624" s="144"/>
      <c r="Q624" s="144"/>
      <c r="R624" s="144"/>
      <c r="S624" s="144"/>
      <c r="T624" s="144"/>
      <c r="U624" s="144"/>
      <c r="V624" s="144"/>
      <c r="W624" s="144"/>
      <c r="X624" s="144"/>
      <c r="Y624" s="144"/>
      <c r="Z624" s="144"/>
      <c r="AA624" s="144"/>
      <c r="AB624" s="144"/>
      <c r="AC624" s="144"/>
      <c r="AD624" s="144"/>
      <c r="AE624" s="144"/>
      <c r="AF624" s="144"/>
      <c r="AG624" s="144"/>
      <c r="AH624" s="144"/>
      <c r="AI624" s="144"/>
    </row>
    <row r="625" spans="7:35" hidden="1">
      <c r="G625" s="144"/>
      <c r="H625" s="144"/>
      <c r="I625" s="144"/>
      <c r="J625" s="144"/>
      <c r="K625" s="144"/>
      <c r="L625" s="144"/>
      <c r="M625" s="144"/>
      <c r="N625" s="144"/>
      <c r="O625" s="144"/>
      <c r="P625" s="144"/>
      <c r="Q625" s="144"/>
      <c r="R625" s="144"/>
      <c r="S625" s="144"/>
      <c r="T625" s="144"/>
      <c r="U625" s="144"/>
      <c r="V625" s="144"/>
      <c r="W625" s="144"/>
      <c r="X625" s="144"/>
      <c r="Y625" s="144"/>
      <c r="Z625" s="144"/>
      <c r="AA625" s="144"/>
      <c r="AB625" s="144"/>
      <c r="AC625" s="144"/>
      <c r="AD625" s="144"/>
      <c r="AE625" s="144"/>
      <c r="AF625" s="144"/>
      <c r="AG625" s="144"/>
      <c r="AH625" s="144"/>
      <c r="AI625" s="144"/>
    </row>
    <row r="626" spans="7:35" hidden="1">
      <c r="G626" s="144"/>
      <c r="H626" s="144"/>
      <c r="I626" s="144"/>
      <c r="J626" s="144"/>
      <c r="K626" s="144"/>
      <c r="L626" s="144"/>
      <c r="M626" s="144"/>
      <c r="N626" s="144"/>
      <c r="O626" s="144"/>
      <c r="P626" s="144"/>
      <c r="Q626" s="144"/>
      <c r="R626" s="144"/>
      <c r="S626" s="144"/>
      <c r="T626" s="144"/>
      <c r="U626" s="144"/>
      <c r="V626" s="144"/>
      <c r="W626" s="144"/>
      <c r="X626" s="144"/>
      <c r="Y626" s="144"/>
      <c r="Z626" s="144"/>
      <c r="AA626" s="144"/>
      <c r="AB626" s="144"/>
      <c r="AC626" s="144"/>
      <c r="AD626" s="144"/>
      <c r="AE626" s="144"/>
      <c r="AF626" s="144"/>
      <c r="AG626" s="144"/>
      <c r="AH626" s="144"/>
      <c r="AI626" s="144"/>
    </row>
    <row r="627" spans="7:35" hidden="1">
      <c r="G627" s="144"/>
      <c r="H627" s="144"/>
      <c r="I627" s="144"/>
      <c r="J627" s="144"/>
      <c r="K627" s="144"/>
      <c r="L627" s="144"/>
      <c r="M627" s="144"/>
      <c r="N627" s="144"/>
      <c r="O627" s="144"/>
      <c r="P627" s="144"/>
      <c r="Q627" s="144"/>
      <c r="R627" s="144"/>
      <c r="S627" s="144"/>
      <c r="T627" s="144"/>
      <c r="U627" s="144"/>
      <c r="V627" s="144"/>
      <c r="W627" s="144"/>
      <c r="X627" s="144"/>
      <c r="Y627" s="144"/>
      <c r="Z627" s="144"/>
      <c r="AA627" s="144"/>
      <c r="AB627" s="144"/>
      <c r="AC627" s="144"/>
      <c r="AD627" s="144"/>
      <c r="AE627" s="144"/>
      <c r="AF627" s="144"/>
      <c r="AG627" s="144"/>
      <c r="AH627" s="144"/>
      <c r="AI627" s="144"/>
    </row>
    <row r="628" spans="7:35" hidden="1">
      <c r="G628" s="144"/>
      <c r="H628" s="144"/>
      <c r="I628" s="144"/>
      <c r="J628" s="144"/>
      <c r="K628" s="144"/>
      <c r="L628" s="144"/>
      <c r="M628" s="144"/>
      <c r="N628" s="144"/>
      <c r="O628" s="144"/>
      <c r="P628" s="144"/>
      <c r="Q628" s="144"/>
      <c r="R628" s="144"/>
      <c r="S628" s="144"/>
      <c r="T628" s="144"/>
      <c r="U628" s="144"/>
      <c r="V628" s="144"/>
      <c r="W628" s="144"/>
      <c r="X628" s="144"/>
      <c r="Y628" s="144"/>
      <c r="Z628" s="144"/>
      <c r="AA628" s="144"/>
      <c r="AB628" s="144"/>
      <c r="AC628" s="144"/>
      <c r="AD628" s="144"/>
      <c r="AE628" s="144"/>
      <c r="AF628" s="144"/>
      <c r="AG628" s="144"/>
      <c r="AH628" s="144"/>
      <c r="AI628" s="144"/>
    </row>
    <row r="629" spans="7:35" hidden="1">
      <c r="G629" s="144"/>
      <c r="H629" s="144"/>
      <c r="I629" s="144"/>
      <c r="J629" s="144"/>
      <c r="K629" s="144"/>
      <c r="L629" s="144"/>
      <c r="M629" s="144"/>
      <c r="N629" s="144"/>
      <c r="O629" s="144"/>
      <c r="P629" s="144"/>
      <c r="Q629" s="144"/>
      <c r="R629" s="144"/>
      <c r="S629" s="144"/>
      <c r="T629" s="144"/>
      <c r="U629" s="144"/>
      <c r="V629" s="144"/>
      <c r="W629" s="144"/>
      <c r="X629" s="144"/>
      <c r="Y629" s="144"/>
      <c r="Z629" s="144"/>
      <c r="AA629" s="144"/>
      <c r="AB629" s="144"/>
      <c r="AC629" s="144"/>
      <c r="AD629" s="144"/>
      <c r="AE629" s="144"/>
      <c r="AF629" s="144"/>
      <c r="AG629" s="144"/>
      <c r="AH629" s="144"/>
      <c r="AI629" s="144"/>
    </row>
    <row r="630" spans="7:35" hidden="1">
      <c r="G630" s="144"/>
      <c r="H630" s="144"/>
      <c r="I630" s="144"/>
      <c r="J630" s="144"/>
      <c r="K630" s="144"/>
      <c r="L630" s="144"/>
      <c r="M630" s="144"/>
      <c r="N630" s="144"/>
      <c r="O630" s="144"/>
      <c r="P630" s="144"/>
      <c r="Q630" s="144"/>
      <c r="R630" s="144"/>
      <c r="S630" s="144"/>
      <c r="T630" s="144"/>
      <c r="U630" s="144"/>
      <c r="V630" s="144"/>
      <c r="W630" s="144"/>
      <c r="X630" s="144"/>
      <c r="Y630" s="144"/>
      <c r="Z630" s="144"/>
      <c r="AA630" s="144"/>
      <c r="AB630" s="144"/>
      <c r="AC630" s="144"/>
      <c r="AD630" s="144"/>
      <c r="AE630" s="144"/>
      <c r="AF630" s="144"/>
      <c r="AG630" s="144"/>
      <c r="AH630" s="144"/>
      <c r="AI630" s="144"/>
    </row>
    <row r="631" spans="7:35" hidden="1">
      <c r="G631" s="144"/>
      <c r="H631" s="144"/>
      <c r="I631" s="144"/>
      <c r="J631" s="144"/>
      <c r="K631" s="144"/>
      <c r="L631" s="144"/>
      <c r="M631" s="144"/>
      <c r="N631" s="144"/>
      <c r="O631" s="144"/>
      <c r="P631" s="144"/>
      <c r="Q631" s="144"/>
      <c r="R631" s="144"/>
      <c r="S631" s="144"/>
      <c r="T631" s="144"/>
      <c r="U631" s="144"/>
      <c r="V631" s="144"/>
      <c r="W631" s="144"/>
      <c r="X631" s="144"/>
      <c r="Y631" s="144"/>
      <c r="Z631" s="144"/>
      <c r="AA631" s="144"/>
      <c r="AB631" s="144"/>
      <c r="AC631" s="144"/>
      <c r="AD631" s="144"/>
      <c r="AE631" s="144"/>
      <c r="AF631" s="144"/>
      <c r="AG631" s="144"/>
      <c r="AH631" s="144"/>
      <c r="AI631" s="144"/>
    </row>
    <row r="632" spans="7:35" hidden="1">
      <c r="G632" s="144"/>
      <c r="H632" s="144"/>
      <c r="I632" s="144"/>
      <c r="J632" s="144"/>
      <c r="K632" s="144"/>
      <c r="L632" s="144"/>
      <c r="M632" s="144"/>
      <c r="N632" s="144"/>
      <c r="O632" s="144"/>
      <c r="P632" s="144"/>
      <c r="Q632" s="144"/>
      <c r="R632" s="144"/>
      <c r="S632" s="144"/>
      <c r="T632" s="144"/>
      <c r="U632" s="144"/>
      <c r="V632" s="144"/>
      <c r="W632" s="144"/>
      <c r="X632" s="144"/>
      <c r="Y632" s="144"/>
      <c r="Z632" s="144"/>
      <c r="AA632" s="144"/>
      <c r="AB632" s="144"/>
      <c r="AC632" s="144"/>
      <c r="AD632" s="144"/>
      <c r="AE632" s="144"/>
      <c r="AF632" s="144"/>
      <c r="AG632" s="144"/>
      <c r="AH632" s="144"/>
      <c r="AI632" s="144"/>
    </row>
    <row r="633" spans="7:35" hidden="1">
      <c r="G633" s="144"/>
      <c r="H633" s="144"/>
      <c r="I633" s="144"/>
      <c r="J633" s="144"/>
      <c r="K633" s="144"/>
      <c r="L633" s="144"/>
      <c r="M633" s="144"/>
      <c r="N633" s="144"/>
      <c r="O633" s="144"/>
      <c r="P633" s="144"/>
      <c r="Q633" s="144"/>
      <c r="R633" s="144"/>
      <c r="S633" s="144"/>
      <c r="T633" s="144"/>
      <c r="U633" s="144"/>
      <c r="V633" s="144"/>
      <c r="W633" s="144"/>
      <c r="X633" s="144"/>
      <c r="Y633" s="144"/>
      <c r="Z633" s="144"/>
      <c r="AA633" s="144"/>
      <c r="AB633" s="144"/>
      <c r="AC633" s="144"/>
      <c r="AD633" s="144"/>
      <c r="AE633" s="144"/>
      <c r="AF633" s="144"/>
      <c r="AG633" s="144"/>
      <c r="AH633" s="144"/>
      <c r="AI633" s="144"/>
    </row>
    <row r="634" spans="7:35" hidden="1">
      <c r="G634" s="144"/>
      <c r="H634" s="144"/>
      <c r="I634" s="144"/>
      <c r="J634" s="144"/>
      <c r="K634" s="144"/>
      <c r="L634" s="144"/>
      <c r="M634" s="144"/>
      <c r="N634" s="144"/>
      <c r="O634" s="144"/>
      <c r="P634" s="144"/>
      <c r="Q634" s="144"/>
      <c r="R634" s="144"/>
      <c r="S634" s="144"/>
      <c r="T634" s="144"/>
      <c r="U634" s="144"/>
      <c r="V634" s="144"/>
      <c r="W634" s="144"/>
      <c r="X634" s="144"/>
      <c r="Y634" s="144"/>
      <c r="Z634" s="144"/>
      <c r="AA634" s="144"/>
      <c r="AB634" s="144"/>
      <c r="AC634" s="144"/>
      <c r="AD634" s="144"/>
      <c r="AE634" s="144"/>
      <c r="AF634" s="144"/>
      <c r="AG634" s="144"/>
      <c r="AH634" s="144"/>
      <c r="AI634" s="144"/>
    </row>
    <row r="635" spans="7:35" hidden="1">
      <c r="G635" s="144"/>
      <c r="H635" s="144"/>
      <c r="I635" s="144"/>
      <c r="J635" s="144"/>
      <c r="K635" s="144"/>
      <c r="L635" s="144"/>
      <c r="M635" s="144"/>
      <c r="N635" s="144"/>
      <c r="O635" s="144"/>
      <c r="P635" s="144"/>
      <c r="Q635" s="144"/>
      <c r="R635" s="144"/>
      <c r="S635" s="144"/>
      <c r="T635" s="144"/>
      <c r="U635" s="144"/>
      <c r="V635" s="144"/>
      <c r="W635" s="144"/>
      <c r="X635" s="144"/>
      <c r="Y635" s="144"/>
      <c r="Z635" s="144"/>
      <c r="AA635" s="144"/>
      <c r="AB635" s="144"/>
      <c r="AC635" s="144"/>
      <c r="AD635" s="144"/>
      <c r="AE635" s="144"/>
      <c r="AF635" s="144"/>
      <c r="AG635" s="144"/>
      <c r="AH635" s="144"/>
      <c r="AI635" s="144"/>
    </row>
    <row r="636" spans="7:35" hidden="1">
      <c r="G636" s="144"/>
      <c r="H636" s="144"/>
      <c r="I636" s="144"/>
      <c r="J636" s="144"/>
      <c r="K636" s="144"/>
      <c r="L636" s="144"/>
      <c r="M636" s="144"/>
      <c r="N636" s="144"/>
      <c r="O636" s="144"/>
      <c r="P636" s="144"/>
      <c r="Q636" s="144"/>
      <c r="R636" s="144"/>
      <c r="S636" s="144"/>
      <c r="T636" s="144"/>
      <c r="U636" s="144"/>
      <c r="V636" s="144"/>
      <c r="W636" s="144"/>
      <c r="X636" s="144"/>
      <c r="Y636" s="144"/>
      <c r="Z636" s="144"/>
      <c r="AA636" s="144"/>
      <c r="AB636" s="144"/>
      <c r="AC636" s="144"/>
      <c r="AD636" s="144"/>
      <c r="AE636" s="144"/>
      <c r="AF636" s="144"/>
      <c r="AG636" s="144"/>
      <c r="AH636" s="144"/>
      <c r="AI636" s="144"/>
    </row>
    <row r="637" spans="7:35" hidden="1">
      <c r="G637" s="144"/>
      <c r="H637" s="144"/>
      <c r="I637" s="144"/>
      <c r="J637" s="144"/>
      <c r="K637" s="144"/>
      <c r="L637" s="144"/>
      <c r="M637" s="144"/>
      <c r="N637" s="144"/>
      <c r="O637" s="144"/>
      <c r="P637" s="144"/>
      <c r="Q637" s="144"/>
      <c r="R637" s="144"/>
      <c r="S637" s="144"/>
      <c r="T637" s="144"/>
      <c r="U637" s="144"/>
      <c r="V637" s="144"/>
      <c r="W637" s="144"/>
      <c r="X637" s="144"/>
      <c r="Y637" s="144"/>
      <c r="Z637" s="144"/>
      <c r="AA637" s="144"/>
      <c r="AB637" s="144"/>
      <c r="AC637" s="144"/>
      <c r="AD637" s="144"/>
      <c r="AE637" s="144"/>
      <c r="AF637" s="144"/>
      <c r="AG637" s="144"/>
      <c r="AH637" s="144"/>
      <c r="AI637" s="144"/>
    </row>
    <row r="638" spans="7:35" hidden="1">
      <c r="G638" s="144"/>
      <c r="H638" s="144"/>
      <c r="I638" s="144"/>
      <c r="J638" s="144"/>
      <c r="K638" s="144"/>
      <c r="L638" s="144"/>
      <c r="M638" s="144"/>
      <c r="N638" s="144"/>
      <c r="O638" s="144"/>
      <c r="P638" s="144"/>
      <c r="Q638" s="144"/>
      <c r="R638" s="144"/>
      <c r="S638" s="144"/>
      <c r="T638" s="144"/>
      <c r="U638" s="144"/>
      <c r="V638" s="144"/>
      <c r="W638" s="144"/>
      <c r="X638" s="144"/>
      <c r="Y638" s="144"/>
      <c r="Z638" s="144"/>
      <c r="AA638" s="144"/>
      <c r="AB638" s="144"/>
      <c r="AC638" s="144"/>
      <c r="AD638" s="144"/>
      <c r="AE638" s="144"/>
      <c r="AF638" s="144"/>
      <c r="AG638" s="144"/>
      <c r="AH638" s="144"/>
      <c r="AI638" s="144"/>
    </row>
    <row r="639" spans="7:35" hidden="1">
      <c r="G639" s="144"/>
      <c r="H639" s="144"/>
      <c r="I639" s="144"/>
      <c r="J639" s="144"/>
      <c r="K639" s="144"/>
      <c r="L639" s="144"/>
      <c r="M639" s="144"/>
      <c r="N639" s="144"/>
      <c r="O639" s="144"/>
      <c r="P639" s="144"/>
      <c r="Q639" s="144"/>
      <c r="R639" s="144"/>
      <c r="S639" s="144"/>
      <c r="T639" s="144"/>
      <c r="U639" s="144"/>
      <c r="V639" s="144"/>
      <c r="W639" s="144"/>
      <c r="X639" s="144"/>
      <c r="Y639" s="144"/>
      <c r="Z639" s="144"/>
      <c r="AA639" s="144"/>
      <c r="AB639" s="144"/>
      <c r="AC639" s="144"/>
      <c r="AD639" s="144"/>
      <c r="AE639" s="144"/>
      <c r="AF639" s="144"/>
      <c r="AG639" s="144"/>
      <c r="AH639" s="144"/>
      <c r="AI639" s="144"/>
    </row>
    <row r="640" spans="7:35" hidden="1">
      <c r="G640" s="144"/>
      <c r="H640" s="144"/>
      <c r="I640" s="144"/>
      <c r="J640" s="144"/>
      <c r="K640" s="144"/>
      <c r="L640" s="144"/>
      <c r="M640" s="144"/>
      <c r="N640" s="144"/>
      <c r="O640" s="144"/>
      <c r="P640" s="144"/>
      <c r="Q640" s="144"/>
      <c r="R640" s="144"/>
      <c r="S640" s="144"/>
      <c r="T640" s="144"/>
      <c r="U640" s="144"/>
      <c r="V640" s="144"/>
      <c r="W640" s="144"/>
      <c r="X640" s="144"/>
      <c r="Y640" s="144"/>
      <c r="Z640" s="144"/>
      <c r="AA640" s="144"/>
      <c r="AB640" s="144"/>
      <c r="AC640" s="144"/>
      <c r="AD640" s="144"/>
      <c r="AE640" s="144"/>
      <c r="AF640" s="144"/>
      <c r="AG640" s="144"/>
      <c r="AH640" s="144"/>
      <c r="AI640" s="144"/>
    </row>
    <row r="641" spans="7:35" hidden="1">
      <c r="G641" s="144"/>
      <c r="H641" s="144"/>
      <c r="I641" s="144"/>
      <c r="J641" s="144"/>
      <c r="K641" s="144"/>
      <c r="L641" s="144"/>
      <c r="M641" s="144"/>
      <c r="N641" s="144"/>
      <c r="O641" s="144"/>
      <c r="P641" s="144"/>
      <c r="Q641" s="144"/>
      <c r="R641" s="144"/>
      <c r="S641" s="144"/>
      <c r="T641" s="144"/>
      <c r="U641" s="144"/>
      <c r="V641" s="144"/>
      <c r="W641" s="144"/>
      <c r="X641" s="144"/>
      <c r="Y641" s="144"/>
      <c r="Z641" s="144"/>
      <c r="AA641" s="144"/>
      <c r="AB641" s="144"/>
      <c r="AC641" s="144"/>
      <c r="AD641" s="144"/>
      <c r="AE641" s="144"/>
      <c r="AF641" s="144"/>
      <c r="AG641" s="144"/>
      <c r="AH641" s="144"/>
      <c r="AI641" s="144"/>
    </row>
    <row r="642" spans="7:35" hidden="1">
      <c r="G642" s="144"/>
      <c r="H642" s="144"/>
      <c r="I642" s="144"/>
      <c r="J642" s="144"/>
      <c r="K642" s="144"/>
      <c r="L642" s="144"/>
      <c r="M642" s="144"/>
      <c r="N642" s="144"/>
      <c r="O642" s="144"/>
      <c r="P642" s="144"/>
      <c r="Q642" s="144"/>
      <c r="R642" s="144"/>
      <c r="S642" s="144"/>
      <c r="T642" s="144"/>
      <c r="U642" s="144"/>
      <c r="V642" s="144"/>
      <c r="W642" s="144"/>
      <c r="X642" s="144"/>
      <c r="Y642" s="144"/>
      <c r="Z642" s="144"/>
      <c r="AA642" s="144"/>
      <c r="AB642" s="144"/>
      <c r="AC642" s="144"/>
      <c r="AD642" s="144"/>
      <c r="AE642" s="144"/>
      <c r="AF642" s="144"/>
      <c r="AG642" s="144"/>
      <c r="AH642" s="144"/>
      <c r="AI642" s="144"/>
    </row>
    <row r="643" spans="7:35" hidden="1">
      <c r="G643" s="144"/>
      <c r="H643" s="144"/>
      <c r="I643" s="144"/>
      <c r="J643" s="144"/>
      <c r="K643" s="144"/>
      <c r="L643" s="144"/>
      <c r="M643" s="144"/>
      <c r="N643" s="144"/>
      <c r="O643" s="144"/>
      <c r="P643" s="144"/>
      <c r="Q643" s="144"/>
      <c r="R643" s="144"/>
      <c r="S643" s="144"/>
      <c r="T643" s="144"/>
      <c r="U643" s="144"/>
      <c r="V643" s="144"/>
      <c r="W643" s="144"/>
      <c r="X643" s="144"/>
      <c r="Y643" s="144"/>
      <c r="Z643" s="144"/>
      <c r="AA643" s="144"/>
      <c r="AB643" s="144"/>
      <c r="AC643" s="144"/>
      <c r="AD643" s="144"/>
      <c r="AE643" s="144"/>
      <c r="AF643" s="144"/>
      <c r="AG643" s="144"/>
      <c r="AH643" s="144"/>
      <c r="AI643" s="144"/>
    </row>
    <row r="644" spans="7:35" hidden="1">
      <c r="G644" s="144"/>
      <c r="H644" s="144"/>
      <c r="I644" s="144"/>
      <c r="J644" s="144"/>
      <c r="K644" s="144"/>
      <c r="L644" s="144"/>
      <c r="M644" s="144"/>
      <c r="N644" s="144"/>
      <c r="O644" s="144"/>
      <c r="P644" s="144"/>
      <c r="Q644" s="144"/>
      <c r="R644" s="144"/>
      <c r="S644" s="144"/>
      <c r="T644" s="144"/>
      <c r="U644" s="144"/>
      <c r="V644" s="144"/>
      <c r="W644" s="144"/>
      <c r="X644" s="144"/>
      <c r="Y644" s="144"/>
      <c r="Z644" s="144"/>
      <c r="AA644" s="144"/>
      <c r="AB644" s="144"/>
      <c r="AC644" s="144"/>
      <c r="AD644" s="144"/>
      <c r="AE644" s="144"/>
      <c r="AF644" s="144"/>
      <c r="AG644" s="144"/>
      <c r="AH644" s="144"/>
      <c r="AI644" s="144"/>
    </row>
    <row r="645" spans="7:35" hidden="1">
      <c r="G645" s="144"/>
      <c r="H645" s="144"/>
      <c r="I645" s="144"/>
      <c r="J645" s="144"/>
      <c r="K645" s="144"/>
      <c r="L645" s="144"/>
      <c r="M645" s="144"/>
      <c r="N645" s="144"/>
      <c r="O645" s="144"/>
      <c r="P645" s="144"/>
      <c r="Q645" s="144"/>
      <c r="R645" s="144"/>
      <c r="S645" s="144"/>
      <c r="T645" s="144"/>
      <c r="U645" s="144"/>
      <c r="V645" s="144"/>
      <c r="W645" s="144"/>
      <c r="X645" s="144"/>
      <c r="Y645" s="144"/>
      <c r="Z645" s="144"/>
      <c r="AA645" s="144"/>
      <c r="AB645" s="144"/>
      <c r="AC645" s="144"/>
      <c r="AD645" s="144"/>
      <c r="AE645" s="144"/>
      <c r="AF645" s="144"/>
      <c r="AG645" s="144"/>
      <c r="AH645" s="144"/>
      <c r="AI645" s="144"/>
    </row>
    <row r="646" spans="7:35" hidden="1">
      <c r="G646" s="144"/>
      <c r="H646" s="144"/>
      <c r="I646" s="144"/>
      <c r="J646" s="144"/>
      <c r="K646" s="144"/>
      <c r="L646" s="144"/>
      <c r="M646" s="144"/>
      <c r="N646" s="144"/>
      <c r="O646" s="144"/>
      <c r="P646" s="144"/>
      <c r="Q646" s="144"/>
      <c r="R646" s="144"/>
      <c r="S646" s="144"/>
      <c r="T646" s="144"/>
      <c r="U646" s="144"/>
      <c r="V646" s="144"/>
      <c r="W646" s="144"/>
      <c r="X646" s="144"/>
      <c r="Y646" s="144"/>
      <c r="Z646" s="144"/>
      <c r="AA646" s="144"/>
      <c r="AB646" s="144"/>
      <c r="AC646" s="144"/>
      <c r="AD646" s="144"/>
      <c r="AE646" s="144"/>
      <c r="AF646" s="144"/>
      <c r="AG646" s="144"/>
      <c r="AH646" s="144"/>
      <c r="AI646" s="144"/>
    </row>
    <row r="647" spans="7:35" hidden="1">
      <c r="G647" s="144"/>
      <c r="H647" s="144"/>
      <c r="I647" s="144"/>
      <c r="J647" s="144"/>
      <c r="K647" s="144"/>
      <c r="L647" s="144"/>
      <c r="M647" s="144"/>
      <c r="N647" s="144"/>
      <c r="O647" s="144"/>
      <c r="P647" s="144"/>
      <c r="Q647" s="144"/>
      <c r="R647" s="144"/>
      <c r="S647" s="144"/>
      <c r="T647" s="144"/>
      <c r="U647" s="144"/>
      <c r="V647" s="144"/>
      <c r="W647" s="144"/>
      <c r="X647" s="144"/>
      <c r="Y647" s="144"/>
      <c r="Z647" s="144"/>
      <c r="AA647" s="144"/>
      <c r="AB647" s="144"/>
      <c r="AC647" s="144"/>
      <c r="AD647" s="144"/>
      <c r="AE647" s="144"/>
      <c r="AF647" s="144"/>
      <c r="AG647" s="144"/>
      <c r="AH647" s="144"/>
      <c r="AI647" s="144"/>
    </row>
    <row r="648" spans="7:35" hidden="1">
      <c r="G648" s="144"/>
      <c r="H648" s="144"/>
      <c r="I648" s="144"/>
      <c r="J648" s="144"/>
      <c r="K648" s="144"/>
      <c r="L648" s="144"/>
      <c r="M648" s="144"/>
      <c r="N648" s="144"/>
      <c r="O648" s="144"/>
      <c r="P648" s="144"/>
      <c r="Q648" s="144"/>
      <c r="R648" s="144"/>
      <c r="S648" s="144"/>
      <c r="T648" s="144"/>
      <c r="U648" s="144"/>
      <c r="V648" s="144"/>
      <c r="W648" s="144"/>
      <c r="X648" s="144"/>
      <c r="Y648" s="144"/>
      <c r="Z648" s="144"/>
      <c r="AA648" s="144"/>
      <c r="AB648" s="144"/>
      <c r="AC648" s="144"/>
      <c r="AD648" s="144"/>
      <c r="AE648" s="144"/>
      <c r="AF648" s="144"/>
      <c r="AG648" s="144"/>
      <c r="AH648" s="144"/>
      <c r="AI648" s="144"/>
    </row>
    <row r="649" spans="7:35" hidden="1">
      <c r="G649" s="144"/>
      <c r="H649" s="144"/>
      <c r="I649" s="144"/>
      <c r="J649" s="144"/>
      <c r="K649" s="144"/>
      <c r="L649" s="144"/>
      <c r="M649" s="144"/>
      <c r="N649" s="144"/>
      <c r="O649" s="144"/>
      <c r="P649" s="144"/>
      <c r="Q649" s="144"/>
      <c r="R649" s="144"/>
      <c r="S649" s="144"/>
      <c r="T649" s="144"/>
      <c r="U649" s="144"/>
      <c r="V649" s="144"/>
      <c r="W649" s="144"/>
      <c r="X649" s="144"/>
      <c r="Y649" s="144"/>
      <c r="Z649" s="144"/>
      <c r="AA649" s="144"/>
      <c r="AB649" s="144"/>
      <c r="AC649" s="144"/>
      <c r="AD649" s="144"/>
      <c r="AE649" s="144"/>
      <c r="AF649" s="144"/>
      <c r="AG649" s="144"/>
      <c r="AH649" s="144"/>
      <c r="AI649" s="144"/>
    </row>
    <row r="650" spans="7:35" hidden="1">
      <c r="G650" s="144"/>
      <c r="H650" s="144"/>
      <c r="I650" s="144"/>
      <c r="J650" s="144"/>
      <c r="K650" s="144"/>
      <c r="L650" s="144"/>
      <c r="M650" s="144"/>
      <c r="N650" s="144"/>
      <c r="O650" s="144"/>
      <c r="P650" s="144"/>
      <c r="Q650" s="144"/>
      <c r="R650" s="144"/>
      <c r="S650" s="144"/>
      <c r="T650" s="144"/>
      <c r="U650" s="144"/>
      <c r="V650" s="144"/>
      <c r="W650" s="144"/>
      <c r="X650" s="144"/>
      <c r="Y650" s="144"/>
      <c r="Z650" s="144"/>
      <c r="AA650" s="144"/>
      <c r="AB650" s="144"/>
      <c r="AC650" s="144"/>
      <c r="AD650" s="144"/>
      <c r="AE650" s="144"/>
      <c r="AF650" s="144"/>
      <c r="AG650" s="144"/>
      <c r="AH650" s="144"/>
      <c r="AI650" s="144"/>
    </row>
    <row r="651" spans="7:35" hidden="1">
      <c r="G651" s="144"/>
      <c r="H651" s="144"/>
      <c r="I651" s="144"/>
      <c r="J651" s="144"/>
      <c r="K651" s="144"/>
      <c r="L651" s="144"/>
      <c r="M651" s="144"/>
      <c r="N651" s="144"/>
      <c r="O651" s="144"/>
      <c r="P651" s="144"/>
      <c r="Q651" s="144"/>
      <c r="R651" s="144"/>
      <c r="S651" s="144"/>
      <c r="T651" s="144"/>
      <c r="U651" s="144"/>
      <c r="V651" s="144"/>
      <c r="W651" s="144"/>
      <c r="X651" s="144"/>
      <c r="Y651" s="144"/>
      <c r="Z651" s="144"/>
      <c r="AA651" s="144"/>
      <c r="AB651" s="144"/>
      <c r="AC651" s="144"/>
      <c r="AD651" s="144"/>
      <c r="AE651" s="144"/>
      <c r="AF651" s="144"/>
      <c r="AG651" s="144"/>
      <c r="AH651" s="144"/>
      <c r="AI651" s="144"/>
    </row>
    <row r="652" spans="7:35" hidden="1">
      <c r="G652" s="144"/>
      <c r="H652" s="144"/>
      <c r="I652" s="144"/>
      <c r="J652" s="144"/>
      <c r="K652" s="144"/>
      <c r="L652" s="144"/>
      <c r="M652" s="144"/>
      <c r="N652" s="144"/>
      <c r="O652" s="144"/>
      <c r="P652" s="144"/>
      <c r="Q652" s="144"/>
      <c r="R652" s="144"/>
      <c r="S652" s="144"/>
      <c r="T652" s="144"/>
      <c r="U652" s="144"/>
      <c r="V652" s="144"/>
      <c r="W652" s="144"/>
      <c r="X652" s="144"/>
      <c r="Y652" s="144"/>
      <c r="Z652" s="144"/>
      <c r="AA652" s="144"/>
      <c r="AB652" s="144"/>
      <c r="AC652" s="144"/>
      <c r="AD652" s="144"/>
      <c r="AE652" s="144"/>
      <c r="AF652" s="144"/>
      <c r="AG652" s="144"/>
      <c r="AH652" s="144"/>
      <c r="AI652" s="144"/>
    </row>
    <row r="653" spans="7:35" hidden="1">
      <c r="G653" s="144"/>
      <c r="H653" s="144"/>
      <c r="I653" s="144"/>
      <c r="J653" s="144"/>
      <c r="K653" s="144"/>
      <c r="L653" s="144"/>
      <c r="M653" s="144"/>
      <c r="N653" s="144"/>
      <c r="O653" s="144"/>
      <c r="P653" s="144"/>
      <c r="Q653" s="144"/>
      <c r="R653" s="144"/>
      <c r="S653" s="144"/>
      <c r="T653" s="144"/>
      <c r="U653" s="144"/>
      <c r="V653" s="144"/>
      <c r="W653" s="144"/>
      <c r="X653" s="144"/>
      <c r="Y653" s="144"/>
      <c r="Z653" s="144"/>
      <c r="AA653" s="144"/>
      <c r="AB653" s="144"/>
      <c r="AC653" s="144"/>
      <c r="AD653" s="144"/>
      <c r="AE653" s="144"/>
      <c r="AF653" s="144"/>
      <c r="AG653" s="144"/>
      <c r="AH653" s="144"/>
      <c r="AI653" s="144"/>
    </row>
    <row r="654" spans="7:35" hidden="1">
      <c r="G654" s="144"/>
      <c r="H654" s="144"/>
      <c r="I654" s="144"/>
      <c r="J654" s="144"/>
      <c r="K654" s="144"/>
      <c r="L654" s="144"/>
      <c r="M654" s="144"/>
      <c r="N654" s="144"/>
      <c r="O654" s="144"/>
      <c r="P654" s="144"/>
      <c r="Q654" s="144"/>
      <c r="R654" s="144"/>
      <c r="S654" s="144"/>
      <c r="T654" s="144"/>
      <c r="U654" s="144"/>
      <c r="V654" s="144"/>
      <c r="W654" s="144"/>
      <c r="X654" s="144"/>
      <c r="Y654" s="144"/>
      <c r="Z654" s="144"/>
      <c r="AA654" s="144"/>
      <c r="AB654" s="144"/>
      <c r="AC654" s="144"/>
      <c r="AD654" s="144"/>
      <c r="AE654" s="144"/>
      <c r="AF654" s="144"/>
      <c r="AG654" s="144"/>
      <c r="AH654" s="144"/>
      <c r="AI654" s="144"/>
    </row>
    <row r="655" spans="7:35" hidden="1">
      <c r="G655" s="144"/>
      <c r="H655" s="144"/>
      <c r="I655" s="144"/>
      <c r="J655" s="144"/>
      <c r="K655" s="144"/>
      <c r="L655" s="144"/>
      <c r="M655" s="144"/>
      <c r="N655" s="144"/>
      <c r="O655" s="144"/>
      <c r="P655" s="144"/>
      <c r="Q655" s="144"/>
      <c r="R655" s="144"/>
      <c r="S655" s="144"/>
      <c r="T655" s="144"/>
      <c r="U655" s="144"/>
      <c r="V655" s="144"/>
      <c r="W655" s="144"/>
      <c r="X655" s="144"/>
      <c r="Y655" s="144"/>
      <c r="Z655" s="144"/>
      <c r="AA655" s="144"/>
      <c r="AB655" s="144"/>
      <c r="AC655" s="144"/>
      <c r="AD655" s="144"/>
      <c r="AE655" s="144"/>
      <c r="AF655" s="144"/>
      <c r="AG655" s="144"/>
      <c r="AH655" s="144"/>
      <c r="AI655" s="144"/>
    </row>
    <row r="656" spans="7:35" hidden="1">
      <c r="G656" s="144"/>
      <c r="H656" s="144"/>
      <c r="I656" s="144"/>
      <c r="J656" s="144"/>
      <c r="K656" s="144"/>
      <c r="L656" s="144"/>
      <c r="M656" s="144"/>
      <c r="N656" s="144"/>
      <c r="O656" s="144"/>
      <c r="P656" s="144"/>
      <c r="Q656" s="144"/>
      <c r="R656" s="144"/>
      <c r="S656" s="144"/>
      <c r="T656" s="144"/>
      <c r="U656" s="144"/>
      <c r="V656" s="144"/>
      <c r="W656" s="144"/>
      <c r="X656" s="144"/>
      <c r="Y656" s="144"/>
      <c r="Z656" s="144"/>
      <c r="AA656" s="144"/>
      <c r="AB656" s="144"/>
      <c r="AC656" s="144"/>
      <c r="AD656" s="144"/>
      <c r="AE656" s="144"/>
      <c r="AF656" s="144"/>
      <c r="AG656" s="144"/>
      <c r="AH656" s="144"/>
      <c r="AI656" s="144"/>
    </row>
    <row r="657" spans="7:35" hidden="1">
      <c r="G657" s="144"/>
      <c r="H657" s="144"/>
      <c r="I657" s="144"/>
      <c r="J657" s="144"/>
      <c r="K657" s="144"/>
      <c r="L657" s="144"/>
      <c r="M657" s="144"/>
      <c r="N657" s="144"/>
      <c r="O657" s="144"/>
      <c r="P657" s="144"/>
      <c r="Q657" s="144"/>
      <c r="R657" s="144"/>
      <c r="S657" s="144"/>
      <c r="T657" s="144"/>
      <c r="U657" s="144"/>
      <c r="V657" s="144"/>
      <c r="W657" s="144"/>
      <c r="X657" s="144"/>
      <c r="Y657" s="144"/>
      <c r="Z657" s="144"/>
      <c r="AA657" s="144"/>
      <c r="AB657" s="144"/>
      <c r="AC657" s="144"/>
      <c r="AD657" s="144"/>
      <c r="AE657" s="144"/>
      <c r="AF657" s="144"/>
      <c r="AG657" s="144"/>
      <c r="AH657" s="144"/>
      <c r="AI657" s="144"/>
    </row>
    <row r="658" spans="7:35" hidden="1">
      <c r="G658" s="144"/>
      <c r="H658" s="144"/>
      <c r="I658" s="144"/>
      <c r="J658" s="144"/>
      <c r="K658" s="144"/>
      <c r="L658" s="144"/>
      <c r="M658" s="144"/>
      <c r="N658" s="144"/>
      <c r="O658" s="144"/>
      <c r="P658" s="144"/>
      <c r="Q658" s="144"/>
      <c r="R658" s="144"/>
      <c r="S658" s="144"/>
      <c r="T658" s="144"/>
      <c r="U658" s="144"/>
      <c r="V658" s="144"/>
      <c r="W658" s="144"/>
      <c r="X658" s="144"/>
      <c r="Y658" s="144"/>
      <c r="Z658" s="144"/>
      <c r="AA658" s="144"/>
      <c r="AB658" s="144"/>
      <c r="AC658" s="144"/>
      <c r="AD658" s="144"/>
      <c r="AE658" s="144"/>
      <c r="AF658" s="144"/>
      <c r="AG658" s="144"/>
      <c r="AH658" s="144"/>
      <c r="AI658" s="144"/>
    </row>
    <row r="659" spans="7:35" hidden="1">
      <c r="G659" s="144"/>
      <c r="H659" s="144"/>
      <c r="I659" s="144"/>
      <c r="J659" s="144"/>
      <c r="K659" s="144"/>
      <c r="L659" s="144"/>
      <c r="M659" s="144"/>
      <c r="N659" s="144"/>
      <c r="O659" s="144"/>
      <c r="P659" s="144"/>
      <c r="Q659" s="144"/>
      <c r="R659" s="144"/>
      <c r="S659" s="144"/>
      <c r="T659" s="144"/>
      <c r="U659" s="144"/>
      <c r="V659" s="144"/>
      <c r="W659" s="144"/>
      <c r="X659" s="144"/>
      <c r="Y659" s="144"/>
      <c r="Z659" s="144"/>
      <c r="AA659" s="144"/>
      <c r="AB659" s="144"/>
      <c r="AC659" s="144"/>
      <c r="AD659" s="144"/>
      <c r="AE659" s="144"/>
      <c r="AF659" s="144"/>
      <c r="AG659" s="144"/>
      <c r="AH659" s="144"/>
      <c r="AI659" s="144"/>
    </row>
    <row r="660" spans="7:35" hidden="1">
      <c r="G660" s="144"/>
      <c r="H660" s="144"/>
      <c r="I660" s="144"/>
      <c r="J660" s="144"/>
      <c r="K660" s="144"/>
      <c r="L660" s="144"/>
      <c r="M660" s="144"/>
      <c r="N660" s="144"/>
      <c r="O660" s="144"/>
      <c r="P660" s="144"/>
      <c r="Q660" s="144"/>
      <c r="R660" s="144"/>
      <c r="S660" s="144"/>
      <c r="T660" s="144"/>
      <c r="U660" s="144"/>
      <c r="V660" s="144"/>
      <c r="W660" s="144"/>
      <c r="X660" s="144"/>
      <c r="Y660" s="144"/>
      <c r="Z660" s="144"/>
      <c r="AA660" s="144"/>
      <c r="AB660" s="144"/>
      <c r="AC660" s="144"/>
      <c r="AD660" s="144"/>
      <c r="AE660" s="144"/>
      <c r="AF660" s="144"/>
      <c r="AG660" s="144"/>
      <c r="AH660" s="144"/>
      <c r="AI660" s="144"/>
    </row>
    <row r="661" spans="7:35" hidden="1">
      <c r="G661" s="144"/>
      <c r="H661" s="144"/>
      <c r="I661" s="144"/>
      <c r="J661" s="144"/>
      <c r="K661" s="144"/>
      <c r="L661" s="144"/>
      <c r="M661" s="144"/>
      <c r="N661" s="144"/>
      <c r="O661" s="144"/>
      <c r="P661" s="144"/>
      <c r="Q661" s="144"/>
      <c r="R661" s="144"/>
      <c r="S661" s="144"/>
      <c r="T661" s="144"/>
      <c r="U661" s="144"/>
      <c r="V661" s="144"/>
      <c r="W661" s="144"/>
      <c r="X661" s="144"/>
      <c r="Y661" s="144"/>
      <c r="Z661" s="144"/>
      <c r="AA661" s="144"/>
      <c r="AB661" s="144"/>
      <c r="AC661" s="144"/>
      <c r="AD661" s="144"/>
      <c r="AE661" s="144"/>
      <c r="AF661" s="144"/>
      <c r="AG661" s="144"/>
      <c r="AH661" s="144"/>
      <c r="AI661" s="144"/>
    </row>
    <row r="662" spans="7:35" hidden="1">
      <c r="G662" s="144"/>
      <c r="H662" s="144"/>
      <c r="I662" s="144"/>
      <c r="J662" s="144"/>
      <c r="K662" s="144"/>
      <c r="L662" s="144"/>
      <c r="M662" s="144"/>
      <c r="N662" s="144"/>
      <c r="O662" s="144"/>
      <c r="P662" s="144"/>
      <c r="Q662" s="144"/>
      <c r="R662" s="144"/>
      <c r="S662" s="144"/>
      <c r="T662" s="144"/>
      <c r="U662" s="144"/>
      <c r="V662" s="144"/>
      <c r="W662" s="144"/>
      <c r="X662" s="144"/>
      <c r="Y662" s="144"/>
      <c r="Z662" s="144"/>
      <c r="AA662" s="144"/>
      <c r="AB662" s="144"/>
      <c r="AC662" s="144"/>
      <c r="AD662" s="144"/>
      <c r="AE662" s="144"/>
      <c r="AF662" s="144"/>
      <c r="AG662" s="144"/>
      <c r="AH662" s="144"/>
      <c r="AI662" s="144"/>
    </row>
    <row r="663" spans="7:35" hidden="1">
      <c r="G663" s="144"/>
      <c r="H663" s="144"/>
      <c r="I663" s="144"/>
      <c r="J663" s="144"/>
      <c r="K663" s="144"/>
      <c r="L663" s="144"/>
      <c r="M663" s="144"/>
      <c r="N663" s="144"/>
      <c r="O663" s="144"/>
      <c r="P663" s="144"/>
      <c r="Q663" s="144"/>
      <c r="R663" s="144"/>
      <c r="S663" s="144"/>
      <c r="T663" s="144"/>
      <c r="U663" s="144"/>
      <c r="V663" s="144"/>
      <c r="W663" s="144"/>
      <c r="X663" s="144"/>
      <c r="Y663" s="144"/>
      <c r="Z663" s="144"/>
      <c r="AA663" s="144"/>
      <c r="AB663" s="144"/>
      <c r="AC663" s="144"/>
      <c r="AD663" s="144"/>
      <c r="AE663" s="144"/>
      <c r="AF663" s="144"/>
      <c r="AG663" s="144"/>
      <c r="AH663" s="144"/>
      <c r="AI663" s="144"/>
    </row>
    <row r="664" spans="7:35" hidden="1">
      <c r="G664" s="144"/>
      <c r="H664" s="144"/>
      <c r="I664" s="144"/>
      <c r="J664" s="144"/>
      <c r="K664" s="144"/>
      <c r="L664" s="144"/>
      <c r="M664" s="144"/>
      <c r="N664" s="144"/>
      <c r="O664" s="144"/>
      <c r="P664" s="144"/>
      <c r="Q664" s="144"/>
      <c r="R664" s="144"/>
      <c r="S664" s="144"/>
      <c r="T664" s="144"/>
      <c r="U664" s="144"/>
      <c r="V664" s="144"/>
      <c r="W664" s="144"/>
      <c r="X664" s="144"/>
      <c r="Y664" s="144"/>
      <c r="Z664" s="144"/>
      <c r="AA664" s="144"/>
      <c r="AB664" s="144"/>
      <c r="AC664" s="144"/>
      <c r="AD664" s="144"/>
      <c r="AE664" s="144"/>
      <c r="AF664" s="144"/>
      <c r="AG664" s="144"/>
      <c r="AH664" s="144"/>
      <c r="AI664" s="144"/>
    </row>
    <row r="665" spans="7:35" hidden="1">
      <c r="G665" s="144"/>
      <c r="H665" s="144"/>
      <c r="I665" s="144"/>
      <c r="J665" s="144"/>
      <c r="K665" s="144"/>
      <c r="L665" s="144"/>
      <c r="M665" s="144"/>
      <c r="N665" s="144"/>
      <c r="O665" s="144"/>
      <c r="P665" s="144"/>
      <c r="Q665" s="144"/>
      <c r="R665" s="144"/>
      <c r="S665" s="144"/>
      <c r="T665" s="144"/>
      <c r="U665" s="144"/>
      <c r="V665" s="144"/>
      <c r="W665" s="144"/>
      <c r="X665" s="144"/>
      <c r="Y665" s="144"/>
      <c r="Z665" s="144"/>
      <c r="AA665" s="144"/>
      <c r="AB665" s="144"/>
      <c r="AC665" s="144"/>
      <c r="AD665" s="144"/>
      <c r="AE665" s="144"/>
      <c r="AF665" s="144"/>
      <c r="AG665" s="144"/>
      <c r="AH665" s="144"/>
      <c r="AI665" s="144"/>
    </row>
    <row r="666" spans="7:35" hidden="1">
      <c r="G666" s="144"/>
      <c r="H666" s="144"/>
      <c r="I666" s="144"/>
      <c r="J666" s="144"/>
      <c r="K666" s="144"/>
      <c r="L666" s="144"/>
      <c r="M666" s="144"/>
      <c r="N666" s="144"/>
      <c r="O666" s="144"/>
      <c r="P666" s="144"/>
      <c r="Q666" s="144"/>
      <c r="R666" s="144"/>
      <c r="S666" s="144"/>
      <c r="T666" s="144"/>
      <c r="U666" s="144"/>
      <c r="V666" s="144"/>
      <c r="W666" s="144"/>
      <c r="X666" s="144"/>
      <c r="Y666" s="144"/>
      <c r="Z666" s="144"/>
      <c r="AA666" s="144"/>
      <c r="AB666" s="144"/>
      <c r="AC666" s="144"/>
      <c r="AD666" s="144"/>
      <c r="AE666" s="144"/>
      <c r="AF666" s="144"/>
      <c r="AG666" s="144"/>
      <c r="AH666" s="144"/>
      <c r="AI666" s="144"/>
    </row>
    <row r="667" spans="7:35" hidden="1">
      <c r="G667" s="144"/>
      <c r="H667" s="144"/>
      <c r="I667" s="144"/>
      <c r="J667" s="144"/>
      <c r="K667" s="144"/>
      <c r="L667" s="144"/>
      <c r="M667" s="144"/>
      <c r="N667" s="144"/>
      <c r="O667" s="144"/>
      <c r="P667" s="144"/>
      <c r="Q667" s="144"/>
      <c r="R667" s="144"/>
      <c r="S667" s="144"/>
      <c r="T667" s="144"/>
      <c r="U667" s="144"/>
      <c r="V667" s="144"/>
      <c r="W667" s="144"/>
      <c r="X667" s="144"/>
      <c r="Y667" s="144"/>
      <c r="Z667" s="144"/>
      <c r="AA667" s="144"/>
      <c r="AB667" s="144"/>
      <c r="AC667" s="144"/>
      <c r="AD667" s="144"/>
      <c r="AE667" s="144"/>
      <c r="AF667" s="144"/>
      <c r="AG667" s="144"/>
      <c r="AH667" s="144"/>
      <c r="AI667" s="144"/>
    </row>
    <row r="668" spans="7:35" hidden="1">
      <c r="G668" s="144"/>
      <c r="H668" s="144"/>
      <c r="I668" s="144"/>
      <c r="J668" s="144"/>
      <c r="K668" s="144"/>
      <c r="L668" s="144"/>
      <c r="M668" s="144"/>
      <c r="N668" s="144"/>
      <c r="O668" s="144"/>
      <c r="P668" s="144"/>
      <c r="Q668" s="144"/>
      <c r="R668" s="144"/>
      <c r="S668" s="144"/>
      <c r="T668" s="144"/>
      <c r="U668" s="144"/>
      <c r="V668" s="144"/>
      <c r="W668" s="144"/>
      <c r="X668" s="144"/>
      <c r="Y668" s="144"/>
      <c r="Z668" s="144"/>
      <c r="AA668" s="144"/>
      <c r="AB668" s="144"/>
      <c r="AC668" s="144"/>
      <c r="AD668" s="144"/>
      <c r="AE668" s="144"/>
      <c r="AF668" s="144"/>
      <c r="AG668" s="144"/>
      <c r="AH668" s="144"/>
      <c r="AI668" s="144"/>
    </row>
    <row r="669" spans="7:35" hidden="1">
      <c r="G669" s="144"/>
      <c r="H669" s="144"/>
      <c r="I669" s="144"/>
      <c r="J669" s="144"/>
      <c r="K669" s="144"/>
      <c r="L669" s="144"/>
      <c r="M669" s="144"/>
      <c r="N669" s="144"/>
      <c r="O669" s="144"/>
      <c r="P669" s="144"/>
      <c r="Q669" s="144"/>
      <c r="R669" s="144"/>
      <c r="S669" s="144"/>
      <c r="T669" s="144"/>
      <c r="U669" s="144"/>
      <c r="V669" s="144"/>
      <c r="W669" s="144"/>
      <c r="X669" s="144"/>
      <c r="Y669" s="144"/>
      <c r="Z669" s="144"/>
      <c r="AA669" s="144"/>
      <c r="AB669" s="144"/>
      <c r="AC669" s="144"/>
      <c r="AD669" s="144"/>
      <c r="AE669" s="144"/>
      <c r="AF669" s="144"/>
      <c r="AG669" s="144"/>
      <c r="AH669" s="144"/>
      <c r="AI669" s="144"/>
    </row>
    <row r="670" spans="7:35" hidden="1">
      <c r="G670" s="144"/>
      <c r="H670" s="144"/>
      <c r="I670" s="144"/>
      <c r="J670" s="144"/>
      <c r="K670" s="144"/>
      <c r="L670" s="144"/>
      <c r="M670" s="144"/>
      <c r="N670" s="144"/>
      <c r="O670" s="144"/>
      <c r="P670" s="144"/>
      <c r="Q670" s="144"/>
      <c r="R670" s="144"/>
      <c r="S670" s="144"/>
      <c r="T670" s="144"/>
      <c r="U670" s="144"/>
      <c r="V670" s="144"/>
      <c r="W670" s="144"/>
      <c r="X670" s="144"/>
      <c r="Y670" s="144"/>
      <c r="Z670" s="144"/>
      <c r="AA670" s="144"/>
      <c r="AB670" s="144"/>
      <c r="AC670" s="144"/>
      <c r="AD670" s="144"/>
      <c r="AE670" s="144"/>
      <c r="AF670" s="144"/>
      <c r="AG670" s="144"/>
      <c r="AH670" s="144"/>
      <c r="AI670" s="144"/>
    </row>
    <row r="671" spans="7:35" hidden="1">
      <c r="G671" s="144"/>
      <c r="H671" s="144"/>
      <c r="I671" s="144"/>
      <c r="J671" s="144"/>
      <c r="K671" s="144"/>
      <c r="L671" s="144"/>
      <c r="M671" s="144"/>
      <c r="N671" s="144"/>
      <c r="O671" s="144"/>
      <c r="P671" s="144"/>
      <c r="Q671" s="144"/>
      <c r="R671" s="144"/>
      <c r="S671" s="144"/>
      <c r="T671" s="144"/>
      <c r="U671" s="144"/>
      <c r="V671" s="144"/>
      <c r="W671" s="144"/>
      <c r="X671" s="144"/>
      <c r="Y671" s="144"/>
      <c r="Z671" s="144"/>
      <c r="AA671" s="144"/>
      <c r="AB671" s="144"/>
      <c r="AC671" s="144"/>
      <c r="AD671" s="144"/>
      <c r="AE671" s="144"/>
      <c r="AF671" s="144"/>
      <c r="AG671" s="144"/>
      <c r="AH671" s="144"/>
      <c r="AI671" s="144"/>
    </row>
    <row r="672" spans="7:35" hidden="1">
      <c r="G672" s="144"/>
      <c r="H672" s="144"/>
      <c r="I672" s="144"/>
      <c r="J672" s="144"/>
      <c r="K672" s="144"/>
      <c r="L672" s="144"/>
      <c r="M672" s="144"/>
      <c r="N672" s="144"/>
      <c r="O672" s="144"/>
      <c r="P672" s="144"/>
      <c r="Q672" s="144"/>
      <c r="R672" s="144"/>
      <c r="S672" s="144"/>
      <c r="T672" s="144"/>
      <c r="U672" s="144"/>
      <c r="V672" s="144"/>
      <c r="W672" s="144"/>
      <c r="X672" s="144"/>
      <c r="Y672" s="144"/>
      <c r="Z672" s="144"/>
      <c r="AA672" s="144"/>
      <c r="AB672" s="144"/>
      <c r="AC672" s="144"/>
      <c r="AD672" s="144"/>
      <c r="AE672" s="144"/>
      <c r="AF672" s="144"/>
      <c r="AG672" s="144"/>
      <c r="AH672" s="144"/>
      <c r="AI672" s="144"/>
    </row>
    <row r="673" spans="7:35" hidden="1">
      <c r="G673" s="144"/>
      <c r="H673" s="144"/>
      <c r="I673" s="144"/>
      <c r="J673" s="144"/>
      <c r="K673" s="144"/>
      <c r="L673" s="144"/>
      <c r="M673" s="144"/>
      <c r="N673" s="144"/>
      <c r="O673" s="144"/>
      <c r="P673" s="144"/>
      <c r="Q673" s="144"/>
      <c r="R673" s="144"/>
      <c r="S673" s="144"/>
      <c r="T673" s="144"/>
      <c r="U673" s="144"/>
      <c r="V673" s="144"/>
      <c r="W673" s="144"/>
      <c r="X673" s="144"/>
      <c r="Y673" s="144"/>
      <c r="Z673" s="144"/>
      <c r="AA673" s="144"/>
      <c r="AB673" s="144"/>
      <c r="AC673" s="144"/>
      <c r="AD673" s="144"/>
      <c r="AE673" s="144"/>
      <c r="AF673" s="144"/>
      <c r="AG673" s="144"/>
      <c r="AH673" s="144"/>
      <c r="AI673" s="144"/>
    </row>
    <row r="674" spans="7:35" hidden="1">
      <c r="G674" s="144"/>
      <c r="H674" s="144"/>
      <c r="I674" s="144"/>
      <c r="J674" s="144"/>
      <c r="K674" s="144"/>
      <c r="L674" s="144"/>
      <c r="M674" s="144"/>
      <c r="N674" s="144"/>
      <c r="O674" s="144"/>
      <c r="P674" s="144"/>
      <c r="Q674" s="144"/>
      <c r="R674" s="144"/>
      <c r="S674" s="144"/>
      <c r="T674" s="144"/>
      <c r="U674" s="144"/>
      <c r="V674" s="144"/>
      <c r="W674" s="144"/>
      <c r="X674" s="144"/>
      <c r="Y674" s="144"/>
      <c r="Z674" s="144"/>
      <c r="AA674" s="144"/>
      <c r="AB674" s="144"/>
      <c r="AC674" s="144"/>
      <c r="AD674" s="144"/>
      <c r="AE674" s="144"/>
      <c r="AF674" s="144"/>
      <c r="AG674" s="144"/>
      <c r="AH674" s="144"/>
      <c r="AI674" s="144"/>
    </row>
    <row r="675" spans="7:35" hidden="1">
      <c r="G675" s="144"/>
      <c r="H675" s="144"/>
      <c r="I675" s="144"/>
      <c r="J675" s="144"/>
      <c r="K675" s="144"/>
      <c r="L675" s="144"/>
      <c r="M675" s="144"/>
      <c r="N675" s="144"/>
      <c r="O675" s="144"/>
      <c r="P675" s="144"/>
      <c r="Q675" s="144"/>
      <c r="R675" s="144"/>
      <c r="S675" s="144"/>
      <c r="T675" s="144"/>
      <c r="U675" s="144"/>
      <c r="V675" s="144"/>
      <c r="W675" s="144"/>
      <c r="X675" s="144"/>
      <c r="Y675" s="144"/>
      <c r="Z675" s="144"/>
      <c r="AA675" s="144"/>
      <c r="AB675" s="144"/>
      <c r="AC675" s="144"/>
      <c r="AD675" s="144"/>
      <c r="AE675" s="144"/>
      <c r="AF675" s="144"/>
      <c r="AG675" s="144"/>
      <c r="AH675" s="144"/>
      <c r="AI675" s="144"/>
    </row>
    <row r="676" spans="7:35" hidden="1">
      <c r="G676" s="144"/>
      <c r="H676" s="144"/>
      <c r="I676" s="144"/>
      <c r="J676" s="144"/>
      <c r="K676" s="144"/>
      <c r="L676" s="144"/>
      <c r="M676" s="144"/>
      <c r="N676" s="144"/>
      <c r="O676" s="144"/>
      <c r="P676" s="144"/>
      <c r="Q676" s="144"/>
      <c r="R676" s="144"/>
      <c r="S676" s="144"/>
      <c r="T676" s="144"/>
      <c r="U676" s="144"/>
      <c r="V676" s="144"/>
      <c r="W676" s="144"/>
      <c r="X676" s="144"/>
      <c r="Y676" s="144"/>
      <c r="Z676" s="144"/>
      <c r="AA676" s="144"/>
      <c r="AB676" s="144"/>
      <c r="AC676" s="144"/>
      <c r="AD676" s="144"/>
      <c r="AE676" s="144"/>
      <c r="AF676" s="144"/>
      <c r="AG676" s="144"/>
      <c r="AH676" s="144"/>
      <c r="AI676" s="144"/>
    </row>
    <row r="677" spans="7:35" hidden="1">
      <c r="G677" s="144"/>
      <c r="H677" s="144"/>
      <c r="I677" s="144"/>
      <c r="J677" s="144"/>
      <c r="K677" s="144"/>
      <c r="L677" s="144"/>
      <c r="M677" s="144"/>
      <c r="N677" s="144"/>
      <c r="O677" s="144"/>
      <c r="P677" s="144"/>
      <c r="Q677" s="144"/>
      <c r="R677" s="144"/>
      <c r="S677" s="144"/>
      <c r="T677" s="144"/>
      <c r="U677" s="144"/>
      <c r="V677" s="144"/>
      <c r="W677" s="144"/>
      <c r="X677" s="144"/>
      <c r="Y677" s="144"/>
      <c r="Z677" s="144"/>
      <c r="AA677" s="144"/>
      <c r="AB677" s="144"/>
      <c r="AC677" s="144"/>
      <c r="AD677" s="144"/>
      <c r="AE677" s="144"/>
      <c r="AF677" s="144"/>
      <c r="AG677" s="144"/>
      <c r="AH677" s="144"/>
      <c r="AI677" s="144"/>
    </row>
    <row r="678" spans="7:35" hidden="1">
      <c r="G678" s="144"/>
      <c r="H678" s="144"/>
      <c r="I678" s="144"/>
      <c r="J678" s="144"/>
      <c r="K678" s="144"/>
      <c r="L678" s="144"/>
      <c r="M678" s="144"/>
      <c r="N678" s="144"/>
      <c r="O678" s="144"/>
      <c r="P678" s="144"/>
      <c r="Q678" s="144"/>
      <c r="R678" s="144"/>
      <c r="S678" s="144"/>
      <c r="T678" s="144"/>
      <c r="U678" s="144"/>
      <c r="V678" s="144"/>
      <c r="W678" s="144"/>
      <c r="X678" s="144"/>
      <c r="Y678" s="144"/>
      <c r="Z678" s="144"/>
      <c r="AA678" s="144"/>
      <c r="AB678" s="144"/>
      <c r="AC678" s="144"/>
      <c r="AD678" s="144"/>
      <c r="AE678" s="144"/>
      <c r="AF678" s="144"/>
      <c r="AG678" s="144"/>
      <c r="AH678" s="144"/>
      <c r="AI678" s="144"/>
    </row>
    <row r="679" spans="7:35" hidden="1">
      <c r="G679" s="144"/>
      <c r="H679" s="144"/>
      <c r="I679" s="144"/>
      <c r="J679" s="144"/>
      <c r="K679" s="144"/>
      <c r="L679" s="144"/>
      <c r="M679" s="144"/>
      <c r="N679" s="144"/>
      <c r="O679" s="144"/>
      <c r="P679" s="144"/>
      <c r="Q679" s="144"/>
      <c r="R679" s="144"/>
      <c r="S679" s="144"/>
      <c r="T679" s="144"/>
      <c r="U679" s="144"/>
      <c r="V679" s="144"/>
      <c r="W679" s="144"/>
      <c r="X679" s="144"/>
      <c r="Y679" s="144"/>
      <c r="Z679" s="144"/>
      <c r="AA679" s="144"/>
      <c r="AB679" s="144"/>
      <c r="AC679" s="144"/>
      <c r="AD679" s="144"/>
      <c r="AE679" s="144"/>
      <c r="AF679" s="144"/>
      <c r="AG679" s="144"/>
      <c r="AH679" s="144"/>
      <c r="AI679" s="144"/>
    </row>
    <row r="680" spans="7:35" hidden="1">
      <c r="G680" s="144"/>
      <c r="H680" s="144"/>
      <c r="I680" s="144"/>
      <c r="J680" s="144"/>
      <c r="K680" s="144"/>
      <c r="L680" s="144"/>
      <c r="M680" s="144"/>
      <c r="N680" s="144"/>
      <c r="O680" s="144"/>
      <c r="P680" s="144"/>
      <c r="Q680" s="144"/>
      <c r="R680" s="144"/>
      <c r="S680" s="144"/>
      <c r="T680" s="144"/>
      <c r="U680" s="144"/>
      <c r="V680" s="144"/>
      <c r="W680" s="144"/>
      <c r="X680" s="144"/>
      <c r="Y680" s="144"/>
      <c r="Z680" s="144"/>
      <c r="AA680" s="144"/>
      <c r="AB680" s="144"/>
      <c r="AC680" s="144"/>
      <c r="AD680" s="144"/>
      <c r="AE680" s="144"/>
      <c r="AF680" s="144"/>
      <c r="AG680" s="144"/>
      <c r="AH680" s="144"/>
      <c r="AI680" s="144"/>
    </row>
    <row r="681" spans="7:35" hidden="1">
      <c r="G681" s="144"/>
      <c r="H681" s="144"/>
      <c r="I681" s="144"/>
      <c r="J681" s="144"/>
      <c r="K681" s="144"/>
      <c r="L681" s="144"/>
      <c r="M681" s="144"/>
      <c r="N681" s="144"/>
      <c r="O681" s="144"/>
      <c r="P681" s="144"/>
      <c r="Q681" s="144"/>
      <c r="R681" s="144"/>
      <c r="S681" s="144"/>
      <c r="T681" s="144"/>
      <c r="U681" s="144"/>
      <c r="V681" s="144"/>
      <c r="W681" s="144"/>
      <c r="X681" s="144"/>
      <c r="Y681" s="144"/>
      <c r="Z681" s="144"/>
      <c r="AA681" s="144"/>
      <c r="AB681" s="144"/>
      <c r="AC681" s="144"/>
      <c r="AD681" s="144"/>
      <c r="AE681" s="144"/>
      <c r="AF681" s="144"/>
      <c r="AG681" s="144"/>
      <c r="AH681" s="144"/>
      <c r="AI681" s="144"/>
    </row>
    <row r="682" spans="7:35" hidden="1">
      <c r="G682" s="144"/>
      <c r="H682" s="144"/>
      <c r="I682" s="144"/>
      <c r="J682" s="144"/>
      <c r="K682" s="144"/>
      <c r="L682" s="144"/>
      <c r="M682" s="144"/>
      <c r="N682" s="144"/>
      <c r="O682" s="144"/>
      <c r="P682" s="144"/>
      <c r="Q682" s="144"/>
      <c r="R682" s="144"/>
      <c r="S682" s="144"/>
      <c r="T682" s="144"/>
      <c r="U682" s="144"/>
      <c r="V682" s="144"/>
      <c r="W682" s="144"/>
      <c r="X682" s="144"/>
      <c r="Y682" s="144"/>
      <c r="Z682" s="144"/>
      <c r="AA682" s="144"/>
      <c r="AB682" s="144"/>
      <c r="AC682" s="144"/>
      <c r="AD682" s="144"/>
      <c r="AE682" s="144"/>
      <c r="AF682" s="144"/>
      <c r="AG682" s="144"/>
      <c r="AH682" s="144"/>
      <c r="AI682" s="144"/>
    </row>
    <row r="683" spans="7:35" hidden="1">
      <c r="G683" s="144"/>
      <c r="H683" s="144"/>
      <c r="I683" s="144"/>
      <c r="J683" s="144"/>
      <c r="K683" s="144"/>
      <c r="L683" s="144"/>
      <c r="M683" s="144"/>
      <c r="N683" s="144"/>
      <c r="O683" s="144"/>
      <c r="P683" s="144"/>
      <c r="Q683" s="144"/>
      <c r="R683" s="144"/>
      <c r="S683" s="144"/>
      <c r="T683" s="144"/>
      <c r="U683" s="144"/>
      <c r="V683" s="144"/>
      <c r="W683" s="144"/>
      <c r="X683" s="144"/>
      <c r="Y683" s="144"/>
      <c r="Z683" s="144"/>
      <c r="AA683" s="144"/>
      <c r="AB683" s="144"/>
      <c r="AC683" s="144"/>
      <c r="AD683" s="144"/>
      <c r="AE683" s="144"/>
      <c r="AF683" s="144"/>
      <c r="AG683" s="144"/>
      <c r="AH683" s="144"/>
      <c r="AI683" s="144"/>
    </row>
    <row r="684" spans="7:35" hidden="1">
      <c r="G684" s="144"/>
      <c r="H684" s="144"/>
      <c r="I684" s="144"/>
      <c r="J684" s="144"/>
      <c r="K684" s="144"/>
      <c r="L684" s="144"/>
      <c r="M684" s="144"/>
      <c r="N684" s="144"/>
      <c r="O684" s="144"/>
      <c r="P684" s="144"/>
      <c r="Q684" s="144"/>
      <c r="R684" s="144"/>
      <c r="S684" s="144"/>
      <c r="T684" s="144"/>
      <c r="U684" s="144"/>
      <c r="V684" s="144"/>
      <c r="W684" s="144"/>
      <c r="X684" s="144"/>
      <c r="Y684" s="144"/>
      <c r="Z684" s="144"/>
      <c r="AA684" s="144"/>
      <c r="AB684" s="144"/>
      <c r="AC684" s="144"/>
      <c r="AD684" s="144"/>
      <c r="AE684" s="144"/>
      <c r="AF684" s="144"/>
      <c r="AG684" s="144"/>
      <c r="AH684" s="144"/>
      <c r="AI684" s="144"/>
    </row>
    <row r="685" spans="7:35" hidden="1">
      <c r="G685" s="144"/>
      <c r="H685" s="144"/>
      <c r="I685" s="144"/>
      <c r="J685" s="144"/>
      <c r="K685" s="144"/>
      <c r="L685" s="144"/>
      <c r="M685" s="144"/>
      <c r="N685" s="144"/>
      <c r="O685" s="144"/>
      <c r="P685" s="144"/>
      <c r="Q685" s="144"/>
      <c r="R685" s="144"/>
      <c r="S685" s="144"/>
      <c r="T685" s="144"/>
      <c r="U685" s="144"/>
      <c r="V685" s="144"/>
      <c r="W685" s="144"/>
      <c r="X685" s="144"/>
      <c r="Y685" s="144"/>
      <c r="Z685" s="144"/>
      <c r="AA685" s="144"/>
      <c r="AB685" s="144"/>
      <c r="AC685" s="144"/>
      <c r="AD685" s="144"/>
      <c r="AE685" s="144"/>
      <c r="AF685" s="144"/>
      <c r="AG685" s="144"/>
      <c r="AH685" s="144"/>
      <c r="AI685" s="144"/>
    </row>
    <row r="686" spans="7:35" hidden="1">
      <c r="G686" s="144"/>
      <c r="H686" s="144"/>
      <c r="I686" s="144"/>
      <c r="J686" s="144"/>
      <c r="K686" s="144"/>
      <c r="L686" s="144"/>
      <c r="M686" s="144"/>
      <c r="N686" s="144"/>
      <c r="O686" s="144"/>
      <c r="P686" s="144"/>
      <c r="Q686" s="144"/>
      <c r="R686" s="144"/>
      <c r="S686" s="144"/>
      <c r="T686" s="144"/>
      <c r="U686" s="144"/>
      <c r="V686" s="144"/>
      <c r="W686" s="144"/>
      <c r="X686" s="144"/>
      <c r="Y686" s="144"/>
      <c r="Z686" s="144"/>
      <c r="AA686" s="144"/>
      <c r="AB686" s="144"/>
      <c r="AC686" s="144"/>
      <c r="AD686" s="144"/>
      <c r="AE686" s="144"/>
      <c r="AF686" s="144"/>
      <c r="AG686" s="144"/>
      <c r="AH686" s="144"/>
      <c r="AI686" s="144"/>
    </row>
    <row r="687" spans="7:35" hidden="1">
      <c r="G687" s="144"/>
      <c r="H687" s="144"/>
      <c r="I687" s="144"/>
      <c r="J687" s="144"/>
      <c r="K687" s="144"/>
      <c r="L687" s="144"/>
      <c r="M687" s="144"/>
      <c r="N687" s="144"/>
      <c r="O687" s="144"/>
      <c r="P687" s="144"/>
      <c r="Q687" s="144"/>
      <c r="R687" s="144"/>
      <c r="S687" s="144"/>
      <c r="T687" s="144"/>
      <c r="U687" s="144"/>
      <c r="V687" s="144"/>
      <c r="W687" s="144"/>
      <c r="X687" s="144"/>
      <c r="Y687" s="144"/>
      <c r="Z687" s="144"/>
      <c r="AA687" s="144"/>
      <c r="AB687" s="144"/>
      <c r="AC687" s="144"/>
      <c r="AD687" s="144"/>
      <c r="AE687" s="144"/>
      <c r="AF687" s="144"/>
      <c r="AG687" s="144"/>
      <c r="AH687" s="144"/>
      <c r="AI687" s="144"/>
    </row>
    <row r="688" spans="7:35" hidden="1">
      <c r="G688" s="144"/>
      <c r="H688" s="144"/>
      <c r="I688" s="144"/>
      <c r="J688" s="144"/>
      <c r="K688" s="144"/>
      <c r="L688" s="144"/>
      <c r="M688" s="144"/>
      <c r="N688" s="144"/>
      <c r="O688" s="144"/>
      <c r="P688" s="144"/>
      <c r="Q688" s="144"/>
      <c r="R688" s="144"/>
      <c r="S688" s="144"/>
      <c r="T688" s="144"/>
      <c r="U688" s="144"/>
      <c r="V688" s="144"/>
      <c r="W688" s="144"/>
      <c r="X688" s="144"/>
      <c r="Y688" s="144"/>
      <c r="Z688" s="144"/>
      <c r="AA688" s="144"/>
      <c r="AB688" s="144"/>
      <c r="AC688" s="144"/>
      <c r="AD688" s="144"/>
      <c r="AE688" s="144"/>
      <c r="AF688" s="144"/>
      <c r="AG688" s="144"/>
      <c r="AH688" s="144"/>
      <c r="AI688" s="144"/>
    </row>
    <row r="689" spans="7:35" hidden="1">
      <c r="G689" s="144"/>
      <c r="H689" s="144"/>
      <c r="I689" s="144"/>
      <c r="J689" s="144"/>
      <c r="K689" s="144"/>
      <c r="L689" s="144"/>
      <c r="M689" s="144"/>
      <c r="N689" s="144"/>
      <c r="O689" s="144"/>
      <c r="P689" s="144"/>
      <c r="Q689" s="144"/>
      <c r="R689" s="144"/>
      <c r="S689" s="144"/>
      <c r="T689" s="144"/>
      <c r="U689" s="144"/>
      <c r="V689" s="144"/>
      <c r="W689" s="144"/>
      <c r="X689" s="144"/>
      <c r="Y689" s="144"/>
      <c r="Z689" s="144"/>
      <c r="AA689" s="144"/>
      <c r="AB689" s="144"/>
      <c r="AC689" s="144"/>
      <c r="AD689" s="144"/>
      <c r="AE689" s="144"/>
      <c r="AF689" s="144"/>
      <c r="AG689" s="144"/>
      <c r="AH689" s="144"/>
      <c r="AI689" s="144"/>
    </row>
    <row r="690" spans="7:35" hidden="1">
      <c r="G690" s="144"/>
      <c r="H690" s="144"/>
      <c r="I690" s="144"/>
      <c r="J690" s="144"/>
      <c r="K690" s="144"/>
      <c r="L690" s="144"/>
      <c r="M690" s="144"/>
      <c r="N690" s="144"/>
      <c r="O690" s="144"/>
      <c r="P690" s="144"/>
      <c r="Q690" s="144"/>
      <c r="R690" s="144"/>
      <c r="S690" s="144"/>
      <c r="T690" s="144"/>
      <c r="U690" s="144"/>
      <c r="V690" s="144"/>
      <c r="W690" s="144"/>
      <c r="X690" s="144"/>
      <c r="Y690" s="144"/>
      <c r="Z690" s="144"/>
      <c r="AA690" s="144"/>
      <c r="AB690" s="144"/>
      <c r="AC690" s="144"/>
      <c r="AD690" s="144"/>
      <c r="AE690" s="144"/>
      <c r="AF690" s="144"/>
      <c r="AG690" s="144"/>
      <c r="AH690" s="144"/>
      <c r="AI690" s="144"/>
    </row>
    <row r="691" spans="7:35" hidden="1">
      <c r="G691" s="144"/>
      <c r="H691" s="144"/>
      <c r="I691" s="144"/>
      <c r="J691" s="144"/>
      <c r="K691" s="144"/>
      <c r="L691" s="144"/>
      <c r="M691" s="144"/>
      <c r="N691" s="144"/>
      <c r="O691" s="144"/>
      <c r="P691" s="144"/>
      <c r="Q691" s="144"/>
      <c r="R691" s="144"/>
      <c r="S691" s="144"/>
      <c r="T691" s="144"/>
      <c r="U691" s="144"/>
      <c r="V691" s="144"/>
      <c r="W691" s="144"/>
      <c r="X691" s="144"/>
      <c r="Y691" s="144"/>
      <c r="Z691" s="144"/>
      <c r="AA691" s="144"/>
      <c r="AB691" s="144"/>
      <c r="AC691" s="144"/>
      <c r="AD691" s="144"/>
      <c r="AE691" s="144"/>
      <c r="AF691" s="144"/>
      <c r="AG691" s="144"/>
      <c r="AH691" s="144"/>
      <c r="AI691" s="144"/>
    </row>
    <row r="692" spans="7:35" hidden="1">
      <c r="G692" s="144"/>
      <c r="H692" s="144"/>
      <c r="I692" s="144"/>
      <c r="J692" s="144"/>
      <c r="K692" s="144"/>
      <c r="L692" s="144"/>
      <c r="M692" s="144"/>
      <c r="N692" s="144"/>
      <c r="O692" s="144"/>
      <c r="P692" s="144"/>
      <c r="Q692" s="144"/>
      <c r="R692" s="144"/>
      <c r="S692" s="144"/>
      <c r="T692" s="144"/>
      <c r="U692" s="144"/>
      <c r="V692" s="144"/>
      <c r="W692" s="144"/>
      <c r="X692" s="144"/>
      <c r="Y692" s="144"/>
      <c r="Z692" s="144"/>
      <c r="AA692" s="144"/>
      <c r="AB692" s="144"/>
      <c r="AC692" s="144"/>
      <c r="AD692" s="144"/>
      <c r="AE692" s="144"/>
      <c r="AF692" s="144"/>
      <c r="AG692" s="144"/>
      <c r="AH692" s="144"/>
      <c r="AI692" s="144"/>
    </row>
    <row r="693" spans="7:35" hidden="1">
      <c r="G693" s="144"/>
      <c r="H693" s="144"/>
      <c r="I693" s="144"/>
      <c r="J693" s="144"/>
      <c r="K693" s="144"/>
      <c r="L693" s="144"/>
      <c r="M693" s="144"/>
      <c r="N693" s="144"/>
      <c r="O693" s="144"/>
      <c r="P693" s="144"/>
      <c r="Q693" s="144"/>
      <c r="R693" s="144"/>
      <c r="S693" s="144"/>
      <c r="T693" s="144"/>
      <c r="U693" s="144"/>
      <c r="V693" s="144"/>
      <c r="W693" s="144"/>
      <c r="X693" s="144"/>
      <c r="Y693" s="144"/>
      <c r="Z693" s="144"/>
      <c r="AA693" s="144"/>
      <c r="AB693" s="144"/>
      <c r="AC693" s="144"/>
      <c r="AD693" s="144"/>
      <c r="AE693" s="144"/>
      <c r="AF693" s="144"/>
      <c r="AG693" s="144"/>
      <c r="AH693" s="144"/>
      <c r="AI693" s="144"/>
    </row>
    <row r="694" spans="7:35" hidden="1">
      <c r="G694" s="144"/>
      <c r="H694" s="144"/>
      <c r="I694" s="144"/>
      <c r="J694" s="144"/>
      <c r="K694" s="144"/>
      <c r="L694" s="144"/>
      <c r="M694" s="144"/>
      <c r="N694" s="144"/>
      <c r="O694" s="144"/>
      <c r="P694" s="144"/>
      <c r="Q694" s="144"/>
      <c r="R694" s="144"/>
      <c r="S694" s="144"/>
      <c r="T694" s="144"/>
      <c r="U694" s="144"/>
      <c r="V694" s="144"/>
      <c r="W694" s="144"/>
      <c r="X694" s="144"/>
      <c r="Y694" s="144"/>
      <c r="Z694" s="144"/>
      <c r="AA694" s="144"/>
      <c r="AB694" s="144"/>
      <c r="AC694" s="144"/>
      <c r="AD694" s="144"/>
      <c r="AE694" s="144"/>
      <c r="AF694" s="144"/>
      <c r="AG694" s="144"/>
      <c r="AH694" s="144"/>
      <c r="AI694" s="144"/>
    </row>
    <row r="695" spans="7:35" hidden="1">
      <c r="G695" s="144"/>
      <c r="H695" s="144"/>
      <c r="I695" s="144"/>
      <c r="J695" s="144"/>
      <c r="K695" s="144"/>
      <c r="L695" s="144"/>
      <c r="M695" s="144"/>
      <c r="N695" s="144"/>
      <c r="O695" s="144"/>
      <c r="P695" s="144"/>
      <c r="Q695" s="144"/>
      <c r="R695" s="144"/>
      <c r="S695" s="144"/>
      <c r="T695" s="144"/>
      <c r="U695" s="144"/>
      <c r="V695" s="144"/>
      <c r="W695" s="144"/>
      <c r="X695" s="144"/>
      <c r="Y695" s="144"/>
      <c r="Z695" s="144"/>
      <c r="AA695" s="144"/>
      <c r="AB695" s="144"/>
      <c r="AC695" s="144"/>
      <c r="AD695" s="144"/>
      <c r="AE695" s="144"/>
      <c r="AF695" s="144"/>
      <c r="AG695" s="144"/>
      <c r="AH695" s="144"/>
      <c r="AI695" s="144"/>
    </row>
    <row r="696" spans="7:35" hidden="1">
      <c r="G696" s="144"/>
      <c r="H696" s="144"/>
      <c r="I696" s="144"/>
      <c r="J696" s="144"/>
      <c r="K696" s="144"/>
      <c r="L696" s="144"/>
      <c r="M696" s="144"/>
      <c r="N696" s="144"/>
      <c r="O696" s="144"/>
      <c r="P696" s="144"/>
      <c r="Q696" s="144"/>
      <c r="R696" s="144"/>
      <c r="S696" s="144"/>
      <c r="T696" s="144"/>
      <c r="U696" s="144"/>
      <c r="V696" s="144"/>
      <c r="W696" s="144"/>
      <c r="X696" s="144"/>
      <c r="Y696" s="144"/>
      <c r="Z696" s="144"/>
      <c r="AA696" s="144"/>
      <c r="AB696" s="144"/>
      <c r="AC696" s="144"/>
      <c r="AD696" s="144"/>
      <c r="AE696" s="144"/>
      <c r="AF696" s="144"/>
      <c r="AG696" s="144"/>
      <c r="AH696" s="144"/>
      <c r="AI696" s="144"/>
    </row>
    <row r="697" spans="7:35" hidden="1">
      <c r="G697" s="144"/>
      <c r="H697" s="144"/>
      <c r="I697" s="144"/>
      <c r="J697" s="144"/>
      <c r="K697" s="144"/>
      <c r="L697" s="144"/>
      <c r="M697" s="144"/>
      <c r="N697" s="144"/>
      <c r="O697" s="144"/>
      <c r="P697" s="144"/>
      <c r="Q697" s="144"/>
      <c r="R697" s="144"/>
      <c r="S697" s="144"/>
      <c r="T697" s="144"/>
      <c r="U697" s="144"/>
      <c r="V697" s="144"/>
      <c r="W697" s="144"/>
      <c r="X697" s="144"/>
      <c r="Y697" s="144"/>
      <c r="Z697" s="144"/>
      <c r="AA697" s="144"/>
      <c r="AB697" s="144"/>
      <c r="AC697" s="144"/>
      <c r="AD697" s="144"/>
      <c r="AE697" s="144"/>
      <c r="AF697" s="144"/>
      <c r="AG697" s="144"/>
      <c r="AH697" s="144"/>
      <c r="AI697" s="144"/>
    </row>
    <row r="698" spans="7:35" hidden="1">
      <c r="G698" s="144"/>
      <c r="H698" s="144"/>
      <c r="I698" s="144"/>
      <c r="J698" s="144"/>
      <c r="K698" s="144"/>
      <c r="L698" s="144"/>
      <c r="M698" s="144"/>
      <c r="N698" s="144"/>
      <c r="O698" s="144"/>
      <c r="P698" s="144"/>
      <c r="Q698" s="144"/>
      <c r="R698" s="144"/>
      <c r="S698" s="144"/>
      <c r="T698" s="144"/>
      <c r="U698" s="144"/>
      <c r="V698" s="144"/>
      <c r="W698" s="144"/>
      <c r="X698" s="144"/>
      <c r="Y698" s="144"/>
      <c r="Z698" s="144"/>
      <c r="AA698" s="144"/>
      <c r="AB698" s="144"/>
      <c r="AC698" s="144"/>
      <c r="AD698" s="144"/>
      <c r="AE698" s="144"/>
      <c r="AF698" s="144"/>
      <c r="AG698" s="144"/>
      <c r="AH698" s="144"/>
      <c r="AI698" s="144"/>
    </row>
    <row r="699" spans="7:35" hidden="1">
      <c r="G699" s="144"/>
      <c r="H699" s="144"/>
      <c r="I699" s="144"/>
      <c r="J699" s="144"/>
      <c r="K699" s="144"/>
      <c r="L699" s="144"/>
      <c r="M699" s="144"/>
      <c r="N699" s="144"/>
      <c r="O699" s="144"/>
      <c r="P699" s="144"/>
      <c r="Q699" s="144"/>
      <c r="R699" s="144"/>
      <c r="S699" s="144"/>
      <c r="T699" s="144"/>
      <c r="U699" s="144"/>
      <c r="V699" s="144"/>
      <c r="W699" s="144"/>
      <c r="X699" s="144"/>
      <c r="Y699" s="144"/>
      <c r="Z699" s="144"/>
      <c r="AA699" s="144"/>
      <c r="AB699" s="144"/>
      <c r="AC699" s="144"/>
      <c r="AD699" s="144"/>
      <c r="AE699" s="144"/>
      <c r="AF699" s="144"/>
      <c r="AG699" s="144"/>
      <c r="AH699" s="144"/>
      <c r="AI699" s="144"/>
    </row>
    <row r="700" spans="7:35" hidden="1">
      <c r="G700" s="144"/>
      <c r="H700" s="144"/>
      <c r="I700" s="144"/>
      <c r="J700" s="144"/>
      <c r="K700" s="144"/>
      <c r="L700" s="144"/>
      <c r="M700" s="144"/>
      <c r="N700" s="144"/>
      <c r="O700" s="144"/>
      <c r="P700" s="144"/>
      <c r="Q700" s="144"/>
      <c r="R700" s="144"/>
      <c r="S700" s="144"/>
      <c r="T700" s="144"/>
      <c r="U700" s="144"/>
      <c r="V700" s="144"/>
      <c r="W700" s="144"/>
      <c r="X700" s="144"/>
      <c r="Y700" s="144"/>
      <c r="Z700" s="144"/>
      <c r="AA700" s="144"/>
      <c r="AB700" s="144"/>
      <c r="AC700" s="144"/>
      <c r="AD700" s="144"/>
      <c r="AE700" s="144"/>
      <c r="AF700" s="144"/>
      <c r="AG700" s="144"/>
      <c r="AH700" s="144"/>
      <c r="AI700" s="144"/>
    </row>
    <row r="701" spans="7:35" hidden="1">
      <c r="G701" s="144"/>
      <c r="H701" s="144"/>
      <c r="I701" s="144"/>
      <c r="J701" s="144"/>
      <c r="K701" s="144"/>
      <c r="L701" s="144"/>
      <c r="M701" s="144"/>
      <c r="N701" s="144"/>
      <c r="O701" s="144"/>
      <c r="P701" s="144"/>
      <c r="Q701" s="144"/>
      <c r="R701" s="144"/>
      <c r="S701" s="144"/>
      <c r="T701" s="144"/>
      <c r="U701" s="144"/>
      <c r="V701" s="144"/>
      <c r="W701" s="144"/>
      <c r="X701" s="144"/>
      <c r="Y701" s="144"/>
      <c r="Z701" s="144"/>
      <c r="AA701" s="144"/>
      <c r="AB701" s="144"/>
      <c r="AC701" s="144"/>
      <c r="AD701" s="144"/>
      <c r="AE701" s="144"/>
      <c r="AF701" s="144"/>
      <c r="AG701" s="144"/>
      <c r="AH701" s="144"/>
      <c r="AI701" s="144"/>
    </row>
    <row r="702" spans="7:35" hidden="1">
      <c r="G702" s="144"/>
      <c r="H702" s="144"/>
      <c r="I702" s="144"/>
      <c r="J702" s="144"/>
      <c r="K702" s="144"/>
      <c r="L702" s="144"/>
      <c r="M702" s="144"/>
      <c r="N702" s="144"/>
      <c r="O702" s="144"/>
      <c r="P702" s="144"/>
      <c r="Q702" s="144"/>
      <c r="R702" s="144"/>
      <c r="S702" s="144"/>
      <c r="T702" s="144"/>
      <c r="U702" s="144"/>
      <c r="V702" s="144"/>
      <c r="W702" s="144"/>
      <c r="X702" s="144"/>
      <c r="Y702" s="144"/>
      <c r="Z702" s="144"/>
      <c r="AA702" s="144"/>
      <c r="AB702" s="144"/>
      <c r="AC702" s="144"/>
      <c r="AD702" s="144"/>
      <c r="AE702" s="144"/>
      <c r="AF702" s="144"/>
      <c r="AG702" s="144"/>
      <c r="AH702" s="144"/>
      <c r="AI702" s="144"/>
    </row>
    <row r="703" spans="7:35" hidden="1">
      <c r="G703" s="144"/>
      <c r="H703" s="144"/>
      <c r="I703" s="144"/>
      <c r="J703" s="144"/>
      <c r="K703" s="144"/>
      <c r="L703" s="144"/>
      <c r="M703" s="144"/>
      <c r="N703" s="144"/>
      <c r="O703" s="144"/>
      <c r="P703" s="144"/>
      <c r="Q703" s="144"/>
      <c r="R703" s="144"/>
      <c r="S703" s="144"/>
      <c r="T703" s="144"/>
      <c r="U703" s="144"/>
      <c r="V703" s="144"/>
      <c r="W703" s="144"/>
      <c r="X703" s="144"/>
      <c r="Y703" s="144"/>
      <c r="Z703" s="144"/>
      <c r="AA703" s="144"/>
      <c r="AB703" s="144"/>
      <c r="AC703" s="144"/>
      <c r="AD703" s="144"/>
      <c r="AE703" s="144"/>
      <c r="AF703" s="144"/>
      <c r="AG703" s="144"/>
      <c r="AH703" s="144"/>
      <c r="AI703" s="144"/>
    </row>
    <row r="704" spans="7:35" hidden="1">
      <c r="G704" s="144"/>
      <c r="H704" s="144"/>
      <c r="I704" s="144"/>
      <c r="J704" s="144"/>
      <c r="K704" s="144"/>
      <c r="L704" s="144"/>
      <c r="M704" s="144"/>
      <c r="N704" s="144"/>
      <c r="O704" s="144"/>
      <c r="P704" s="144"/>
      <c r="Q704" s="144"/>
      <c r="R704" s="144"/>
      <c r="S704" s="144"/>
      <c r="T704" s="144"/>
      <c r="U704" s="144"/>
      <c r="V704" s="144"/>
      <c r="W704" s="144"/>
      <c r="X704" s="144"/>
      <c r="Y704" s="144"/>
      <c r="Z704" s="144"/>
      <c r="AA704" s="144"/>
      <c r="AB704" s="144"/>
      <c r="AC704" s="144"/>
      <c r="AD704" s="144"/>
      <c r="AE704" s="144"/>
      <c r="AF704" s="144"/>
      <c r="AG704" s="144"/>
      <c r="AH704" s="144"/>
      <c r="AI704" s="144"/>
    </row>
    <row r="705" spans="7:35" hidden="1">
      <c r="G705" s="144"/>
      <c r="H705" s="144"/>
      <c r="I705" s="144"/>
      <c r="J705" s="144"/>
      <c r="K705" s="144"/>
      <c r="L705" s="144"/>
      <c r="M705" s="144"/>
      <c r="N705" s="144"/>
      <c r="O705" s="144"/>
      <c r="P705" s="144"/>
      <c r="Q705" s="144"/>
      <c r="R705" s="144"/>
      <c r="S705" s="144"/>
      <c r="T705" s="144"/>
      <c r="U705" s="144"/>
      <c r="V705" s="144"/>
      <c r="W705" s="144"/>
      <c r="X705" s="144"/>
      <c r="Y705" s="144"/>
      <c r="Z705" s="144"/>
      <c r="AA705" s="144"/>
      <c r="AB705" s="144"/>
      <c r="AC705" s="144"/>
      <c r="AD705" s="144"/>
      <c r="AE705" s="144"/>
      <c r="AF705" s="144"/>
      <c r="AG705" s="144"/>
      <c r="AH705" s="144"/>
      <c r="AI705" s="144"/>
    </row>
    <row r="706" spans="7:35" hidden="1">
      <c r="G706" s="144"/>
      <c r="H706" s="144"/>
      <c r="I706" s="144"/>
      <c r="J706" s="144"/>
      <c r="K706" s="144"/>
      <c r="L706" s="144"/>
      <c r="M706" s="144"/>
      <c r="N706" s="144"/>
      <c r="O706" s="144"/>
      <c r="P706" s="144"/>
      <c r="Q706" s="144"/>
      <c r="R706" s="144"/>
      <c r="S706" s="144"/>
      <c r="T706" s="144"/>
      <c r="U706" s="144"/>
      <c r="V706" s="144"/>
      <c r="W706" s="144"/>
      <c r="X706" s="144"/>
      <c r="Y706" s="144"/>
      <c r="Z706" s="144"/>
      <c r="AA706" s="144"/>
      <c r="AB706" s="144"/>
      <c r="AC706" s="144"/>
      <c r="AD706" s="144"/>
      <c r="AE706" s="144"/>
      <c r="AF706" s="144"/>
      <c r="AG706" s="144"/>
      <c r="AH706" s="144"/>
      <c r="AI706" s="144"/>
    </row>
    <row r="707" spans="7:35" hidden="1">
      <c r="G707" s="144"/>
      <c r="H707" s="144"/>
      <c r="I707" s="144"/>
      <c r="J707" s="144"/>
      <c r="K707" s="144"/>
      <c r="L707" s="144"/>
      <c r="M707" s="144"/>
      <c r="N707" s="144"/>
      <c r="O707" s="144"/>
      <c r="P707" s="144"/>
      <c r="Q707" s="144"/>
      <c r="R707" s="144"/>
      <c r="S707" s="144"/>
      <c r="T707" s="144"/>
      <c r="U707" s="144"/>
      <c r="V707" s="144"/>
      <c r="W707" s="144"/>
      <c r="X707" s="144"/>
      <c r="Y707" s="144"/>
      <c r="Z707" s="144"/>
      <c r="AA707" s="144"/>
      <c r="AB707" s="144"/>
      <c r="AC707" s="144"/>
      <c r="AD707" s="144"/>
      <c r="AE707" s="144"/>
      <c r="AF707" s="144"/>
      <c r="AG707" s="144"/>
      <c r="AH707" s="144"/>
      <c r="AI707" s="144"/>
    </row>
    <row r="708" spans="7:35" hidden="1">
      <c r="G708" s="144"/>
      <c r="H708" s="144"/>
      <c r="I708" s="144"/>
      <c r="J708" s="144"/>
      <c r="K708" s="144"/>
      <c r="L708" s="144"/>
      <c r="M708" s="144"/>
      <c r="N708" s="144"/>
      <c r="O708" s="144"/>
      <c r="P708" s="144"/>
      <c r="Q708" s="144"/>
      <c r="R708" s="144"/>
      <c r="S708" s="144"/>
      <c r="T708" s="144"/>
      <c r="U708" s="144"/>
      <c r="V708" s="144"/>
      <c r="W708" s="144"/>
      <c r="X708" s="144"/>
      <c r="Y708" s="144"/>
      <c r="Z708" s="144"/>
      <c r="AA708" s="144"/>
      <c r="AB708" s="144"/>
      <c r="AC708" s="144"/>
      <c r="AD708" s="144"/>
      <c r="AE708" s="144"/>
      <c r="AF708" s="144"/>
      <c r="AG708" s="144"/>
      <c r="AH708" s="144"/>
      <c r="AI708" s="144"/>
    </row>
    <row r="709" spans="7:35" hidden="1">
      <c r="G709" s="144"/>
      <c r="H709" s="144"/>
      <c r="I709" s="144"/>
      <c r="J709" s="144"/>
      <c r="K709" s="144"/>
      <c r="L709" s="144"/>
      <c r="M709" s="144"/>
      <c r="N709" s="144"/>
      <c r="O709" s="144"/>
      <c r="P709" s="144"/>
      <c r="Q709" s="144"/>
      <c r="R709" s="144"/>
      <c r="S709" s="144"/>
      <c r="T709" s="144"/>
      <c r="U709" s="144"/>
      <c r="V709" s="144"/>
      <c r="W709" s="144"/>
      <c r="X709" s="144"/>
      <c r="Y709" s="144"/>
      <c r="Z709" s="144"/>
      <c r="AA709" s="144"/>
      <c r="AB709" s="144"/>
      <c r="AC709" s="144"/>
      <c r="AD709" s="144"/>
      <c r="AE709" s="144"/>
      <c r="AF709" s="144"/>
      <c r="AG709" s="144"/>
      <c r="AH709" s="144"/>
      <c r="AI709" s="144"/>
    </row>
    <row r="710" spans="7:35" hidden="1">
      <c r="G710" s="144"/>
      <c r="H710" s="144"/>
      <c r="I710" s="144"/>
      <c r="J710" s="144"/>
      <c r="K710" s="144"/>
      <c r="L710" s="144"/>
      <c r="M710" s="144"/>
      <c r="N710" s="144"/>
      <c r="O710" s="144"/>
      <c r="P710" s="144"/>
      <c r="Q710" s="144"/>
      <c r="R710" s="144"/>
      <c r="S710" s="144"/>
      <c r="T710" s="144"/>
      <c r="U710" s="144"/>
      <c r="V710" s="144"/>
      <c r="W710" s="144"/>
      <c r="X710" s="144"/>
      <c r="Y710" s="144"/>
      <c r="Z710" s="144"/>
      <c r="AA710" s="144"/>
      <c r="AB710" s="144"/>
      <c r="AC710" s="144"/>
      <c r="AD710" s="144"/>
      <c r="AE710" s="144"/>
      <c r="AF710" s="144"/>
      <c r="AG710" s="144"/>
      <c r="AH710" s="144"/>
      <c r="AI710" s="144"/>
    </row>
    <row r="711" spans="7:35" hidden="1">
      <c r="G711" s="144"/>
      <c r="H711" s="144"/>
      <c r="I711" s="144"/>
      <c r="J711" s="144"/>
      <c r="K711" s="144"/>
      <c r="L711" s="144"/>
      <c r="M711" s="144"/>
      <c r="N711" s="144"/>
      <c r="O711" s="144"/>
      <c r="P711" s="144"/>
      <c r="Q711" s="144"/>
      <c r="R711" s="144"/>
      <c r="S711" s="144"/>
      <c r="T711" s="144"/>
      <c r="U711" s="144"/>
      <c r="V711" s="144"/>
      <c r="W711" s="144"/>
      <c r="X711" s="144"/>
      <c r="Y711" s="144"/>
      <c r="Z711" s="144"/>
      <c r="AA711" s="144"/>
      <c r="AB711" s="144"/>
      <c r="AC711" s="144"/>
      <c r="AD711" s="144"/>
      <c r="AE711" s="144"/>
      <c r="AF711" s="144"/>
      <c r="AG711" s="144"/>
      <c r="AH711" s="144"/>
      <c r="AI711" s="144"/>
    </row>
    <row r="712" spans="7:35" hidden="1">
      <c r="G712" s="144"/>
      <c r="H712" s="144"/>
      <c r="I712" s="144"/>
      <c r="J712" s="144"/>
      <c r="K712" s="144"/>
      <c r="L712" s="144"/>
      <c r="M712" s="144"/>
      <c r="N712" s="144"/>
      <c r="O712" s="144"/>
      <c r="P712" s="144"/>
      <c r="Q712" s="144"/>
      <c r="R712" s="144"/>
      <c r="S712" s="144"/>
      <c r="T712" s="144"/>
      <c r="U712" s="144"/>
      <c r="V712" s="144"/>
      <c r="W712" s="144"/>
      <c r="X712" s="144"/>
      <c r="Y712" s="144"/>
      <c r="Z712" s="144"/>
      <c r="AA712" s="144"/>
      <c r="AB712" s="144"/>
      <c r="AC712" s="144"/>
      <c r="AD712" s="144"/>
      <c r="AE712" s="144"/>
      <c r="AF712" s="144"/>
      <c r="AG712" s="144"/>
      <c r="AH712" s="144"/>
      <c r="AI712" s="144"/>
    </row>
    <row r="713" spans="7:35" hidden="1">
      <c r="G713" s="144"/>
      <c r="H713" s="144"/>
      <c r="I713" s="144"/>
      <c r="J713" s="144"/>
      <c r="K713" s="144"/>
      <c r="L713" s="144"/>
      <c r="M713" s="144"/>
      <c r="N713" s="144"/>
      <c r="O713" s="144"/>
      <c r="P713" s="144"/>
      <c r="Q713" s="144"/>
      <c r="R713" s="144"/>
      <c r="S713" s="144"/>
      <c r="T713" s="144"/>
      <c r="U713" s="144"/>
      <c r="V713" s="144"/>
      <c r="W713" s="144"/>
      <c r="X713" s="144"/>
      <c r="Y713" s="144"/>
      <c r="Z713" s="144"/>
      <c r="AA713" s="144"/>
      <c r="AB713" s="144"/>
      <c r="AC713" s="144"/>
      <c r="AD713" s="144"/>
      <c r="AE713" s="144"/>
      <c r="AF713" s="144"/>
      <c r="AG713" s="144"/>
      <c r="AH713" s="144"/>
      <c r="AI713" s="144"/>
    </row>
    <row r="714" spans="7:35" hidden="1">
      <c r="G714" s="144"/>
      <c r="H714" s="144"/>
      <c r="I714" s="144"/>
      <c r="J714" s="144"/>
      <c r="K714" s="144"/>
      <c r="L714" s="144"/>
      <c r="M714" s="144"/>
      <c r="N714" s="144"/>
      <c r="O714" s="144"/>
      <c r="P714" s="144"/>
      <c r="Q714" s="144"/>
      <c r="R714" s="144"/>
      <c r="S714" s="144"/>
      <c r="T714" s="144"/>
      <c r="U714" s="144"/>
      <c r="V714" s="144"/>
      <c r="W714" s="144"/>
      <c r="X714" s="144"/>
      <c r="Y714" s="144"/>
      <c r="Z714" s="144"/>
      <c r="AA714" s="144"/>
      <c r="AB714" s="144"/>
      <c r="AC714" s="144"/>
      <c r="AD714" s="144"/>
      <c r="AE714" s="144"/>
      <c r="AF714" s="144"/>
      <c r="AG714" s="144"/>
      <c r="AH714" s="144"/>
      <c r="AI714" s="144"/>
    </row>
    <row r="715" spans="7:35" hidden="1">
      <c r="G715" s="144"/>
      <c r="H715" s="144"/>
      <c r="I715" s="144"/>
      <c r="J715" s="144"/>
      <c r="K715" s="144"/>
      <c r="L715" s="144"/>
      <c r="M715" s="144"/>
      <c r="N715" s="144"/>
      <c r="O715" s="144"/>
      <c r="P715" s="144"/>
      <c r="Q715" s="144"/>
      <c r="R715" s="144"/>
      <c r="S715" s="144"/>
      <c r="T715" s="144"/>
      <c r="U715" s="144"/>
      <c r="V715" s="144"/>
      <c r="W715" s="144"/>
      <c r="X715" s="144"/>
      <c r="Y715" s="144"/>
      <c r="Z715" s="144"/>
      <c r="AA715" s="144"/>
      <c r="AB715" s="144"/>
      <c r="AC715" s="144"/>
      <c r="AD715" s="144"/>
      <c r="AE715" s="144"/>
      <c r="AF715" s="144"/>
      <c r="AG715" s="144"/>
      <c r="AH715" s="144"/>
      <c r="AI715" s="144"/>
    </row>
    <row r="716" spans="7:35" hidden="1">
      <c r="G716" s="144"/>
      <c r="H716" s="144"/>
      <c r="I716" s="144"/>
      <c r="J716" s="144"/>
      <c r="K716" s="144"/>
      <c r="L716" s="144"/>
      <c r="M716" s="144"/>
      <c r="N716" s="144"/>
      <c r="O716" s="144"/>
      <c r="P716" s="144"/>
      <c r="Q716" s="144"/>
      <c r="R716" s="144"/>
      <c r="S716" s="144"/>
      <c r="T716" s="144"/>
      <c r="U716" s="144"/>
      <c r="V716" s="144"/>
      <c r="W716" s="144"/>
      <c r="X716" s="144"/>
      <c r="Y716" s="144"/>
      <c r="Z716" s="144"/>
      <c r="AA716" s="144"/>
      <c r="AB716" s="144"/>
      <c r="AC716" s="144"/>
      <c r="AD716" s="144"/>
      <c r="AE716" s="144"/>
      <c r="AF716" s="144"/>
      <c r="AG716" s="144"/>
      <c r="AH716" s="144"/>
      <c r="AI716" s="144"/>
    </row>
    <row r="717" spans="7:35" hidden="1">
      <c r="G717" s="144"/>
      <c r="H717" s="144"/>
      <c r="I717" s="144"/>
      <c r="J717" s="144"/>
      <c r="K717" s="144"/>
      <c r="L717" s="144"/>
      <c r="M717" s="144"/>
      <c r="N717" s="144"/>
      <c r="O717" s="144"/>
      <c r="P717" s="144"/>
      <c r="Q717" s="144"/>
      <c r="R717" s="144"/>
      <c r="S717" s="144"/>
      <c r="T717" s="144"/>
      <c r="U717" s="144"/>
      <c r="V717" s="144"/>
      <c r="W717" s="144"/>
      <c r="X717" s="144"/>
      <c r="Y717" s="144"/>
      <c r="Z717" s="144"/>
      <c r="AA717" s="144"/>
      <c r="AB717" s="144"/>
      <c r="AC717" s="144"/>
      <c r="AD717" s="144"/>
      <c r="AE717" s="144"/>
      <c r="AF717" s="144"/>
      <c r="AG717" s="144"/>
      <c r="AH717" s="144"/>
      <c r="AI717" s="144"/>
    </row>
    <row r="718" spans="7:35" hidden="1">
      <c r="G718" s="144"/>
      <c r="H718" s="144"/>
      <c r="I718" s="144"/>
      <c r="J718" s="144"/>
      <c r="K718" s="144"/>
      <c r="L718" s="144"/>
      <c r="M718" s="144"/>
      <c r="N718" s="144"/>
      <c r="O718" s="144"/>
      <c r="P718" s="144"/>
      <c r="Q718" s="144"/>
      <c r="R718" s="144"/>
      <c r="S718" s="144"/>
      <c r="T718" s="144"/>
      <c r="U718" s="144"/>
      <c r="V718" s="144"/>
      <c r="W718" s="144"/>
      <c r="X718" s="144"/>
      <c r="Y718" s="144"/>
      <c r="Z718" s="144"/>
      <c r="AA718" s="144"/>
      <c r="AB718" s="144"/>
      <c r="AC718" s="144"/>
      <c r="AD718" s="144"/>
      <c r="AE718" s="144"/>
      <c r="AF718" s="144"/>
      <c r="AG718" s="144"/>
      <c r="AH718" s="144"/>
      <c r="AI718" s="144"/>
    </row>
    <row r="719" spans="7:35" hidden="1">
      <c r="G719" s="144"/>
      <c r="H719" s="144"/>
      <c r="I719" s="144"/>
      <c r="J719" s="144"/>
      <c r="K719" s="144"/>
      <c r="L719" s="144"/>
      <c r="M719" s="144"/>
      <c r="N719" s="144"/>
      <c r="O719" s="144"/>
      <c r="P719" s="144"/>
      <c r="Q719" s="144"/>
      <c r="R719" s="144"/>
      <c r="S719" s="144"/>
      <c r="T719" s="144"/>
      <c r="U719" s="144"/>
      <c r="V719" s="144"/>
      <c r="W719" s="144"/>
      <c r="X719" s="144"/>
      <c r="Y719" s="144"/>
      <c r="Z719" s="144"/>
      <c r="AA719" s="144"/>
      <c r="AB719" s="144"/>
      <c r="AC719" s="144"/>
      <c r="AD719" s="144"/>
      <c r="AE719" s="144"/>
      <c r="AF719" s="144"/>
      <c r="AG719" s="144"/>
      <c r="AH719" s="144"/>
      <c r="AI719" s="144"/>
    </row>
    <row r="720" spans="7:35" hidden="1">
      <c r="G720" s="144"/>
      <c r="H720" s="144"/>
      <c r="I720" s="144"/>
      <c r="J720" s="144"/>
      <c r="K720" s="144"/>
      <c r="L720" s="144"/>
      <c r="M720" s="144"/>
      <c r="N720" s="144"/>
      <c r="O720" s="144"/>
      <c r="P720" s="144"/>
      <c r="Q720" s="144"/>
      <c r="R720" s="144"/>
      <c r="S720" s="144"/>
      <c r="T720" s="144"/>
      <c r="U720" s="144"/>
      <c r="V720" s="144"/>
      <c r="W720" s="144"/>
      <c r="X720" s="144"/>
      <c r="Y720" s="144"/>
      <c r="Z720" s="144"/>
      <c r="AA720" s="144"/>
      <c r="AB720" s="144"/>
      <c r="AC720" s="144"/>
      <c r="AD720" s="144"/>
      <c r="AE720" s="144"/>
      <c r="AF720" s="144"/>
      <c r="AG720" s="144"/>
      <c r="AH720" s="144"/>
      <c r="AI720" s="144"/>
    </row>
    <row r="721" spans="7:35" hidden="1">
      <c r="G721" s="144"/>
      <c r="H721" s="144"/>
      <c r="I721" s="144"/>
      <c r="J721" s="144"/>
      <c r="K721" s="144"/>
      <c r="L721" s="144"/>
      <c r="M721" s="144"/>
      <c r="N721" s="144"/>
      <c r="O721" s="144"/>
      <c r="P721" s="144"/>
      <c r="Q721" s="144"/>
      <c r="R721" s="144"/>
      <c r="S721" s="144"/>
      <c r="T721" s="144"/>
      <c r="U721" s="144"/>
      <c r="V721" s="144"/>
      <c r="W721" s="144"/>
      <c r="X721" s="144"/>
      <c r="Y721" s="144"/>
      <c r="Z721" s="144"/>
      <c r="AA721" s="144"/>
      <c r="AB721" s="144"/>
      <c r="AC721" s="144"/>
      <c r="AD721" s="144"/>
      <c r="AE721" s="144"/>
      <c r="AF721" s="144"/>
      <c r="AG721" s="144"/>
      <c r="AH721" s="144"/>
      <c r="AI721" s="144"/>
    </row>
    <row r="722" spans="7:35" hidden="1">
      <c r="G722" s="144"/>
      <c r="H722" s="144"/>
      <c r="I722" s="144"/>
      <c r="J722" s="144"/>
      <c r="K722" s="144"/>
      <c r="L722" s="144"/>
      <c r="M722" s="144"/>
      <c r="N722" s="144"/>
      <c r="O722" s="144"/>
      <c r="P722" s="144"/>
      <c r="Q722" s="144"/>
      <c r="R722" s="144"/>
      <c r="S722" s="144"/>
      <c r="T722" s="144"/>
      <c r="U722" s="144"/>
      <c r="V722" s="144"/>
      <c r="W722" s="144"/>
      <c r="X722" s="144"/>
      <c r="Y722" s="144"/>
      <c r="Z722" s="144"/>
      <c r="AA722" s="144"/>
      <c r="AB722" s="144"/>
      <c r="AC722" s="144"/>
      <c r="AD722" s="144"/>
      <c r="AE722" s="144"/>
      <c r="AF722" s="144"/>
      <c r="AG722" s="144"/>
      <c r="AH722" s="144"/>
      <c r="AI722" s="144"/>
    </row>
    <row r="723" spans="7:35" hidden="1">
      <c r="G723" s="144"/>
      <c r="H723" s="144"/>
      <c r="I723" s="144"/>
      <c r="J723" s="144"/>
      <c r="K723" s="144"/>
      <c r="L723" s="144"/>
      <c r="M723" s="144"/>
      <c r="N723" s="144"/>
      <c r="O723" s="144"/>
      <c r="P723" s="144"/>
      <c r="Q723" s="144"/>
      <c r="R723" s="144"/>
      <c r="S723" s="144"/>
      <c r="T723" s="144"/>
      <c r="U723" s="144"/>
      <c r="V723" s="144"/>
      <c r="W723" s="144"/>
      <c r="X723" s="144"/>
      <c r="Y723" s="144"/>
      <c r="Z723" s="144"/>
      <c r="AA723" s="144"/>
      <c r="AB723" s="144"/>
      <c r="AC723" s="144"/>
      <c r="AD723" s="144"/>
      <c r="AE723" s="144"/>
      <c r="AF723" s="144"/>
      <c r="AG723" s="144"/>
      <c r="AH723" s="144"/>
      <c r="AI723" s="144"/>
    </row>
    <row r="724" spans="7:35" hidden="1">
      <c r="G724" s="144"/>
      <c r="H724" s="144"/>
      <c r="I724" s="144"/>
      <c r="J724" s="144"/>
      <c r="K724" s="144"/>
      <c r="L724" s="144"/>
      <c r="M724" s="144"/>
      <c r="N724" s="144"/>
      <c r="O724" s="144"/>
      <c r="P724" s="144"/>
      <c r="Q724" s="144"/>
      <c r="R724" s="144"/>
      <c r="S724" s="144"/>
      <c r="T724" s="144"/>
      <c r="U724" s="144"/>
      <c r="V724" s="144"/>
      <c r="W724" s="144"/>
      <c r="X724" s="144"/>
      <c r="Y724" s="144"/>
      <c r="Z724" s="144"/>
      <c r="AA724" s="144"/>
      <c r="AB724" s="144"/>
      <c r="AC724" s="144"/>
      <c r="AD724" s="144"/>
      <c r="AE724" s="144"/>
      <c r="AF724" s="144"/>
      <c r="AG724" s="144"/>
      <c r="AH724" s="144"/>
      <c r="AI724" s="144"/>
    </row>
    <row r="725" spans="7:35" hidden="1">
      <c r="G725" s="144"/>
      <c r="H725" s="144"/>
      <c r="I725" s="144"/>
      <c r="J725" s="144"/>
      <c r="K725" s="144"/>
      <c r="L725" s="144"/>
      <c r="M725" s="144"/>
      <c r="N725" s="144"/>
      <c r="O725" s="144"/>
      <c r="P725" s="144"/>
      <c r="Q725" s="144"/>
      <c r="R725" s="144"/>
      <c r="S725" s="144"/>
      <c r="T725" s="144"/>
      <c r="U725" s="144"/>
      <c r="V725" s="144"/>
      <c r="W725" s="144"/>
      <c r="X725" s="144"/>
      <c r="Y725" s="144"/>
      <c r="Z725" s="144"/>
      <c r="AA725" s="144"/>
      <c r="AB725" s="144"/>
      <c r="AC725" s="144"/>
      <c r="AD725" s="144"/>
      <c r="AE725" s="144"/>
      <c r="AF725" s="144"/>
      <c r="AG725" s="144"/>
      <c r="AH725" s="144"/>
      <c r="AI725" s="144"/>
    </row>
    <row r="726" spans="7:35" hidden="1">
      <c r="G726" s="144"/>
      <c r="H726" s="144"/>
      <c r="I726" s="144"/>
      <c r="J726" s="144"/>
      <c r="K726" s="144"/>
      <c r="L726" s="144"/>
      <c r="M726" s="144"/>
      <c r="N726" s="144"/>
      <c r="O726" s="144"/>
      <c r="P726" s="144"/>
      <c r="Q726" s="144"/>
      <c r="R726" s="144"/>
      <c r="S726" s="144"/>
      <c r="T726" s="144"/>
      <c r="U726" s="144"/>
      <c r="V726" s="144"/>
      <c r="W726" s="144"/>
      <c r="X726" s="144"/>
      <c r="Y726" s="144"/>
      <c r="Z726" s="144"/>
      <c r="AA726" s="144"/>
      <c r="AB726" s="144"/>
      <c r="AC726" s="144"/>
      <c r="AD726" s="144"/>
      <c r="AE726" s="144"/>
      <c r="AF726" s="144"/>
      <c r="AG726" s="144"/>
      <c r="AH726" s="144"/>
      <c r="AI726" s="144"/>
    </row>
    <row r="727" spans="7:35" hidden="1">
      <c r="G727" s="144"/>
      <c r="H727" s="144"/>
      <c r="I727" s="144"/>
      <c r="J727" s="144"/>
      <c r="K727" s="144"/>
      <c r="L727" s="144"/>
      <c r="M727" s="144"/>
      <c r="N727" s="144"/>
      <c r="O727" s="144"/>
      <c r="P727" s="144"/>
      <c r="Q727" s="144"/>
      <c r="R727" s="144"/>
      <c r="S727" s="144"/>
      <c r="T727" s="144"/>
      <c r="U727" s="144"/>
      <c r="V727" s="144"/>
      <c r="W727" s="144"/>
      <c r="X727" s="144"/>
      <c r="Y727" s="144"/>
      <c r="Z727" s="144"/>
      <c r="AA727" s="144"/>
      <c r="AB727" s="144"/>
      <c r="AC727" s="144"/>
      <c r="AD727" s="144"/>
      <c r="AE727" s="144"/>
      <c r="AF727" s="144"/>
      <c r="AG727" s="144"/>
      <c r="AH727" s="144"/>
      <c r="AI727" s="144"/>
    </row>
    <row r="728" spans="7:35" hidden="1">
      <c r="G728" s="144"/>
      <c r="H728" s="144"/>
      <c r="I728" s="144"/>
      <c r="J728" s="144"/>
      <c r="K728" s="144"/>
      <c r="L728" s="144"/>
      <c r="M728" s="144"/>
      <c r="N728" s="144"/>
      <c r="O728" s="144"/>
      <c r="P728" s="144"/>
      <c r="Q728" s="144"/>
      <c r="R728" s="144"/>
      <c r="S728" s="144"/>
      <c r="T728" s="144"/>
      <c r="U728" s="144"/>
      <c r="V728" s="144"/>
      <c r="W728" s="144"/>
      <c r="X728" s="144"/>
      <c r="Y728" s="144"/>
      <c r="Z728" s="144"/>
      <c r="AA728" s="144"/>
      <c r="AB728" s="144"/>
      <c r="AC728" s="144"/>
      <c r="AD728" s="144"/>
      <c r="AE728" s="144"/>
      <c r="AF728" s="144"/>
      <c r="AG728" s="144"/>
      <c r="AH728" s="144"/>
      <c r="AI728" s="144"/>
    </row>
    <row r="729" spans="7:35" hidden="1">
      <c r="G729" s="144"/>
      <c r="H729" s="144"/>
      <c r="I729" s="144"/>
      <c r="J729" s="144"/>
      <c r="K729" s="144"/>
      <c r="L729" s="144"/>
      <c r="M729" s="144"/>
      <c r="N729" s="144"/>
      <c r="O729" s="144"/>
      <c r="P729" s="144"/>
      <c r="Q729" s="144"/>
      <c r="R729" s="144"/>
      <c r="S729" s="144"/>
      <c r="T729" s="144"/>
      <c r="U729" s="144"/>
      <c r="V729" s="144"/>
      <c r="W729" s="144"/>
      <c r="X729" s="144"/>
      <c r="Y729" s="144"/>
      <c r="Z729" s="144"/>
      <c r="AA729" s="144"/>
      <c r="AB729" s="144"/>
      <c r="AC729" s="144"/>
      <c r="AD729" s="144"/>
      <c r="AE729" s="144"/>
      <c r="AF729" s="144"/>
      <c r="AG729" s="144"/>
      <c r="AH729" s="144"/>
      <c r="AI729" s="144"/>
    </row>
    <row r="730" spans="7:35" hidden="1">
      <c r="G730" s="144"/>
      <c r="H730" s="144"/>
      <c r="I730" s="144"/>
      <c r="J730" s="144"/>
      <c r="K730" s="144"/>
      <c r="L730" s="144"/>
      <c r="M730" s="144"/>
      <c r="N730" s="144"/>
      <c r="O730" s="144"/>
      <c r="P730" s="144"/>
      <c r="Q730" s="144"/>
      <c r="R730" s="144"/>
      <c r="S730" s="144"/>
      <c r="T730" s="144"/>
      <c r="U730" s="144"/>
      <c r="V730" s="144"/>
      <c r="W730" s="144"/>
      <c r="X730" s="144"/>
      <c r="Y730" s="144"/>
      <c r="Z730" s="144"/>
      <c r="AA730" s="144"/>
      <c r="AB730" s="144"/>
      <c r="AC730" s="144"/>
      <c r="AD730" s="144"/>
      <c r="AE730" s="144"/>
      <c r="AF730" s="144"/>
      <c r="AG730" s="144"/>
      <c r="AH730" s="144"/>
      <c r="AI730" s="144"/>
    </row>
    <row r="731" spans="7:35" hidden="1">
      <c r="G731" s="144"/>
      <c r="H731" s="144"/>
      <c r="I731" s="144"/>
      <c r="J731" s="144"/>
      <c r="K731" s="144"/>
      <c r="L731" s="144"/>
      <c r="M731" s="144"/>
      <c r="N731" s="144"/>
      <c r="O731" s="144"/>
      <c r="P731" s="144"/>
      <c r="Q731" s="144"/>
      <c r="R731" s="144"/>
      <c r="S731" s="144"/>
      <c r="T731" s="144"/>
      <c r="U731" s="144"/>
      <c r="V731" s="144"/>
      <c r="W731" s="144"/>
      <c r="X731" s="144"/>
      <c r="Y731" s="144"/>
      <c r="Z731" s="144"/>
      <c r="AA731" s="144"/>
      <c r="AB731" s="144"/>
      <c r="AC731" s="144"/>
      <c r="AD731" s="144"/>
      <c r="AE731" s="144"/>
      <c r="AF731" s="144"/>
      <c r="AG731" s="144"/>
      <c r="AH731" s="144"/>
      <c r="AI731" s="144"/>
    </row>
    <row r="732" spans="7:35" hidden="1">
      <c r="G732" s="144"/>
      <c r="H732" s="144"/>
      <c r="I732" s="144"/>
      <c r="J732" s="144"/>
      <c r="K732" s="144"/>
      <c r="L732" s="144"/>
      <c r="M732" s="144"/>
      <c r="N732" s="144"/>
      <c r="O732" s="144"/>
      <c r="P732" s="144"/>
      <c r="Q732" s="144"/>
      <c r="R732" s="144"/>
      <c r="S732" s="144"/>
      <c r="T732" s="144"/>
      <c r="U732" s="144"/>
      <c r="V732" s="144"/>
      <c r="W732" s="144"/>
      <c r="X732" s="144"/>
      <c r="Y732" s="144"/>
      <c r="Z732" s="144"/>
      <c r="AA732" s="144"/>
      <c r="AB732" s="144"/>
      <c r="AC732" s="144"/>
      <c r="AD732" s="144"/>
      <c r="AE732" s="144"/>
      <c r="AF732" s="144"/>
      <c r="AG732" s="144"/>
      <c r="AH732" s="144"/>
      <c r="AI732" s="144"/>
    </row>
    <row r="733" spans="7:35" hidden="1">
      <c r="G733" s="144"/>
      <c r="H733" s="144"/>
      <c r="I733" s="144"/>
      <c r="J733" s="144"/>
      <c r="K733" s="144"/>
      <c r="L733" s="144"/>
      <c r="M733" s="144"/>
      <c r="N733" s="144"/>
      <c r="O733" s="144"/>
      <c r="P733" s="144"/>
      <c r="Q733" s="144"/>
      <c r="R733" s="144"/>
      <c r="S733" s="144"/>
      <c r="T733" s="144"/>
      <c r="U733" s="144"/>
      <c r="V733" s="144"/>
      <c r="W733" s="144"/>
      <c r="X733" s="144"/>
      <c r="Y733" s="144"/>
      <c r="Z733" s="144"/>
      <c r="AA733" s="144"/>
      <c r="AB733" s="144"/>
      <c r="AC733" s="144"/>
      <c r="AD733" s="144"/>
      <c r="AE733" s="144"/>
      <c r="AF733" s="144"/>
      <c r="AG733" s="144"/>
      <c r="AH733" s="144"/>
      <c r="AI733" s="144"/>
    </row>
    <row r="734" spans="7:35" hidden="1">
      <c r="G734" s="144"/>
      <c r="H734" s="144"/>
      <c r="I734" s="144"/>
      <c r="J734" s="144"/>
      <c r="K734" s="144"/>
      <c r="L734" s="144"/>
      <c r="M734" s="144"/>
      <c r="N734" s="144"/>
      <c r="O734" s="144"/>
      <c r="P734" s="144"/>
      <c r="Q734" s="144"/>
      <c r="R734" s="144"/>
      <c r="S734" s="144"/>
      <c r="T734" s="144"/>
      <c r="U734" s="144"/>
      <c r="V734" s="144"/>
      <c r="W734" s="144"/>
      <c r="X734" s="144"/>
      <c r="Y734" s="144"/>
      <c r="Z734" s="144"/>
      <c r="AA734" s="144"/>
      <c r="AB734" s="144"/>
      <c r="AC734" s="144"/>
      <c r="AD734" s="144"/>
      <c r="AE734" s="144"/>
      <c r="AF734" s="144"/>
      <c r="AG734" s="144"/>
      <c r="AH734" s="144"/>
      <c r="AI734" s="144"/>
    </row>
    <row r="735" spans="7:35" hidden="1">
      <c r="G735" s="144"/>
      <c r="H735" s="144"/>
      <c r="I735" s="144"/>
      <c r="J735" s="144"/>
      <c r="K735" s="144"/>
      <c r="L735" s="144"/>
      <c r="M735" s="144"/>
      <c r="N735" s="144"/>
      <c r="O735" s="144"/>
      <c r="P735" s="144"/>
      <c r="Q735" s="144"/>
      <c r="R735" s="144"/>
      <c r="S735" s="144"/>
      <c r="T735" s="144"/>
      <c r="U735" s="144"/>
      <c r="V735" s="144"/>
      <c r="W735" s="144"/>
      <c r="X735" s="144"/>
      <c r="Y735" s="144"/>
      <c r="Z735" s="144"/>
      <c r="AA735" s="144"/>
      <c r="AB735" s="144"/>
      <c r="AC735" s="144"/>
      <c r="AD735" s="144"/>
      <c r="AE735" s="144"/>
      <c r="AF735" s="144"/>
      <c r="AG735" s="144"/>
      <c r="AH735" s="144"/>
      <c r="AI735" s="144"/>
    </row>
    <row r="736" spans="7:35" hidden="1">
      <c r="G736" s="144"/>
      <c r="H736" s="144"/>
      <c r="I736" s="144"/>
      <c r="J736" s="144"/>
      <c r="K736" s="144"/>
      <c r="L736" s="144"/>
      <c r="M736" s="144"/>
      <c r="N736" s="144"/>
      <c r="O736" s="144"/>
      <c r="P736" s="144"/>
      <c r="Q736" s="144"/>
      <c r="R736" s="144"/>
      <c r="S736" s="144"/>
      <c r="T736" s="144"/>
      <c r="U736" s="144"/>
      <c r="V736" s="144"/>
      <c r="W736" s="144"/>
      <c r="X736" s="144"/>
      <c r="Y736" s="144"/>
      <c r="Z736" s="144"/>
      <c r="AA736" s="144"/>
      <c r="AB736" s="144"/>
      <c r="AC736" s="144"/>
      <c r="AD736" s="144"/>
      <c r="AE736" s="144"/>
      <c r="AF736" s="144"/>
      <c r="AG736" s="144"/>
      <c r="AH736" s="144"/>
      <c r="AI736" s="144"/>
    </row>
    <row r="737" spans="7:35" hidden="1">
      <c r="G737" s="144"/>
      <c r="H737" s="144"/>
      <c r="I737" s="144"/>
      <c r="J737" s="144"/>
      <c r="K737" s="144"/>
      <c r="L737" s="144"/>
      <c r="M737" s="144"/>
      <c r="N737" s="144"/>
      <c r="O737" s="144"/>
      <c r="P737" s="144"/>
      <c r="Q737" s="144"/>
      <c r="R737" s="144"/>
      <c r="S737" s="144"/>
      <c r="T737" s="144"/>
      <c r="U737" s="144"/>
      <c r="V737" s="144"/>
      <c r="W737" s="144"/>
      <c r="X737" s="144"/>
      <c r="Y737" s="144"/>
      <c r="Z737" s="144"/>
      <c r="AA737" s="144"/>
      <c r="AB737" s="144"/>
      <c r="AC737" s="144"/>
      <c r="AD737" s="144"/>
      <c r="AE737" s="144"/>
      <c r="AF737" s="144"/>
      <c r="AG737" s="144"/>
      <c r="AH737" s="144"/>
      <c r="AI737" s="144"/>
    </row>
    <row r="738" spans="7:35" hidden="1">
      <c r="G738" s="144"/>
      <c r="H738" s="144"/>
      <c r="I738" s="144"/>
      <c r="J738" s="144"/>
      <c r="K738" s="144"/>
      <c r="L738" s="144"/>
      <c r="M738" s="144"/>
      <c r="N738" s="144"/>
      <c r="O738" s="144"/>
      <c r="P738" s="144"/>
      <c r="Q738" s="144"/>
      <c r="R738" s="144"/>
      <c r="S738" s="144"/>
      <c r="T738" s="144"/>
      <c r="U738" s="144"/>
      <c r="V738" s="144"/>
      <c r="W738" s="144"/>
      <c r="X738" s="144"/>
      <c r="Y738" s="144"/>
      <c r="Z738" s="144"/>
      <c r="AA738" s="144"/>
      <c r="AB738" s="144"/>
      <c r="AC738" s="144"/>
      <c r="AD738" s="144"/>
      <c r="AE738" s="144"/>
      <c r="AF738" s="144"/>
      <c r="AG738" s="144"/>
      <c r="AH738" s="144"/>
      <c r="AI738" s="144"/>
    </row>
    <row r="739" spans="7:35" hidden="1">
      <c r="G739" s="144"/>
      <c r="H739" s="144"/>
      <c r="I739" s="144"/>
      <c r="J739" s="144"/>
      <c r="K739" s="144"/>
      <c r="L739" s="144"/>
      <c r="M739" s="144"/>
      <c r="N739" s="144"/>
      <c r="O739" s="144"/>
      <c r="P739" s="144"/>
      <c r="Q739" s="144"/>
      <c r="R739" s="144"/>
      <c r="S739" s="144"/>
      <c r="T739" s="144"/>
      <c r="U739" s="144"/>
      <c r="V739" s="144"/>
      <c r="W739" s="144"/>
      <c r="X739" s="144"/>
      <c r="Y739" s="144"/>
      <c r="Z739" s="144"/>
      <c r="AA739" s="144"/>
      <c r="AB739" s="144"/>
      <c r="AC739" s="144"/>
      <c r="AD739" s="144"/>
      <c r="AE739" s="144"/>
      <c r="AF739" s="144"/>
      <c r="AG739" s="144"/>
      <c r="AH739" s="144"/>
      <c r="AI739" s="144"/>
    </row>
    <row r="740" spans="7:35" hidden="1">
      <c r="G740" s="144"/>
      <c r="H740" s="144"/>
      <c r="I740" s="144"/>
      <c r="J740" s="144"/>
      <c r="K740" s="144"/>
      <c r="L740" s="144"/>
      <c r="M740" s="144"/>
      <c r="N740" s="144"/>
      <c r="O740" s="144"/>
      <c r="P740" s="144"/>
      <c r="Q740" s="144"/>
      <c r="R740" s="144"/>
      <c r="S740" s="144"/>
      <c r="T740" s="144"/>
      <c r="U740" s="144"/>
      <c r="V740" s="144"/>
      <c r="W740" s="144"/>
      <c r="X740" s="144"/>
      <c r="Y740" s="144"/>
      <c r="Z740" s="144"/>
      <c r="AA740" s="144"/>
      <c r="AB740" s="144"/>
      <c r="AC740" s="144"/>
      <c r="AD740" s="144"/>
      <c r="AE740" s="144"/>
      <c r="AF740" s="144"/>
      <c r="AG740" s="144"/>
      <c r="AH740" s="144"/>
      <c r="AI740" s="144"/>
    </row>
    <row r="741" spans="7:35" hidden="1">
      <c r="G741" s="144"/>
      <c r="H741" s="144"/>
      <c r="I741" s="144"/>
      <c r="J741" s="144"/>
      <c r="K741" s="144"/>
      <c r="L741" s="144"/>
      <c r="M741" s="144"/>
      <c r="N741" s="144"/>
      <c r="O741" s="144"/>
      <c r="P741" s="144"/>
      <c r="Q741" s="144"/>
      <c r="R741" s="144"/>
      <c r="S741" s="144"/>
      <c r="T741" s="144"/>
      <c r="U741" s="144"/>
      <c r="V741" s="144"/>
      <c r="W741" s="144"/>
      <c r="X741" s="144"/>
      <c r="Y741" s="144"/>
      <c r="Z741" s="144"/>
      <c r="AA741" s="144"/>
      <c r="AB741" s="144"/>
      <c r="AC741" s="144"/>
      <c r="AD741" s="144"/>
      <c r="AE741" s="144"/>
      <c r="AF741" s="144"/>
      <c r="AG741" s="144"/>
      <c r="AH741" s="144"/>
      <c r="AI741" s="144"/>
    </row>
    <row r="742" spans="7:35" hidden="1">
      <c r="G742" s="144"/>
      <c r="H742" s="144"/>
      <c r="I742" s="144"/>
      <c r="J742" s="144"/>
      <c r="K742" s="144"/>
      <c r="L742" s="144"/>
      <c r="M742" s="144"/>
      <c r="N742" s="144"/>
      <c r="O742" s="144"/>
      <c r="P742" s="144"/>
      <c r="Q742" s="144"/>
      <c r="R742" s="144"/>
      <c r="S742" s="144"/>
      <c r="T742" s="144"/>
      <c r="U742" s="144"/>
      <c r="V742" s="144"/>
      <c r="W742" s="144"/>
      <c r="X742" s="144"/>
      <c r="Y742" s="144"/>
      <c r="Z742" s="144"/>
      <c r="AA742" s="144"/>
      <c r="AB742" s="144"/>
      <c r="AC742" s="144"/>
      <c r="AD742" s="144"/>
      <c r="AE742" s="144"/>
      <c r="AF742" s="144"/>
      <c r="AG742" s="144"/>
      <c r="AH742" s="144"/>
      <c r="AI742" s="144"/>
    </row>
    <row r="743" spans="7:35" hidden="1">
      <c r="G743" s="144"/>
      <c r="H743" s="144"/>
      <c r="I743" s="144"/>
      <c r="J743" s="144"/>
      <c r="K743" s="144"/>
      <c r="L743" s="144"/>
      <c r="M743" s="144"/>
      <c r="N743" s="144"/>
      <c r="O743" s="144"/>
      <c r="P743" s="144"/>
      <c r="Q743" s="144"/>
      <c r="R743" s="144"/>
      <c r="S743" s="144"/>
      <c r="T743" s="144"/>
      <c r="U743" s="144"/>
      <c r="V743" s="144"/>
      <c r="W743" s="144"/>
      <c r="X743" s="144"/>
      <c r="Y743" s="144"/>
      <c r="Z743" s="144"/>
      <c r="AA743" s="144"/>
      <c r="AB743" s="144"/>
      <c r="AC743" s="144"/>
      <c r="AD743" s="144"/>
      <c r="AE743" s="144"/>
      <c r="AF743" s="144"/>
      <c r="AG743" s="144"/>
      <c r="AH743" s="144"/>
      <c r="AI743" s="144"/>
    </row>
    <row r="744" spans="7:35" hidden="1">
      <c r="G744" s="144"/>
      <c r="H744" s="144"/>
      <c r="I744" s="144"/>
      <c r="J744" s="144"/>
      <c r="K744" s="144"/>
      <c r="L744" s="144"/>
      <c r="M744" s="144"/>
      <c r="N744" s="144"/>
      <c r="O744" s="144"/>
      <c r="P744" s="144"/>
      <c r="Q744" s="144"/>
      <c r="R744" s="144"/>
      <c r="S744" s="144"/>
      <c r="T744" s="144"/>
      <c r="U744" s="144"/>
      <c r="V744" s="144"/>
      <c r="W744" s="144"/>
      <c r="X744" s="144"/>
      <c r="Y744" s="144"/>
      <c r="Z744" s="144"/>
      <c r="AA744" s="144"/>
      <c r="AB744" s="144"/>
      <c r="AC744" s="144"/>
      <c r="AD744" s="144"/>
      <c r="AE744" s="144"/>
      <c r="AF744" s="144"/>
      <c r="AG744" s="144"/>
      <c r="AH744" s="144"/>
      <c r="AI744" s="144"/>
    </row>
    <row r="745" spans="7:35" hidden="1">
      <c r="G745" s="144"/>
      <c r="H745" s="144"/>
      <c r="I745" s="144"/>
      <c r="J745" s="144"/>
      <c r="K745" s="144"/>
      <c r="L745" s="144"/>
      <c r="M745" s="144"/>
      <c r="N745" s="144"/>
      <c r="O745" s="144"/>
      <c r="P745" s="144"/>
      <c r="Q745" s="144"/>
      <c r="R745" s="144"/>
      <c r="S745" s="144"/>
      <c r="T745" s="144"/>
      <c r="U745" s="144"/>
      <c r="V745" s="144"/>
      <c r="W745" s="144"/>
      <c r="X745" s="144"/>
      <c r="Y745" s="144"/>
      <c r="Z745" s="144"/>
      <c r="AA745" s="144"/>
      <c r="AB745" s="144"/>
      <c r="AC745" s="144"/>
      <c r="AD745" s="144"/>
      <c r="AE745" s="144"/>
      <c r="AF745" s="144"/>
      <c r="AG745" s="144"/>
      <c r="AH745" s="144"/>
      <c r="AI745" s="144"/>
    </row>
    <row r="746" spans="7:35" hidden="1">
      <c r="G746" s="144"/>
      <c r="H746" s="144"/>
      <c r="I746" s="144"/>
      <c r="J746" s="144"/>
      <c r="K746" s="144"/>
      <c r="L746" s="144"/>
      <c r="M746" s="144"/>
      <c r="N746" s="144"/>
      <c r="O746" s="144"/>
      <c r="P746" s="144"/>
      <c r="Q746" s="144"/>
      <c r="R746" s="144"/>
      <c r="S746" s="144"/>
      <c r="T746" s="144"/>
      <c r="U746" s="144"/>
      <c r="V746" s="144"/>
      <c r="W746" s="144"/>
      <c r="X746" s="144"/>
      <c r="Y746" s="144"/>
      <c r="Z746" s="144"/>
      <c r="AA746" s="144"/>
      <c r="AB746" s="144"/>
      <c r="AC746" s="144"/>
      <c r="AD746" s="144"/>
      <c r="AE746" s="144"/>
      <c r="AF746" s="144"/>
      <c r="AG746" s="144"/>
      <c r="AH746" s="144"/>
      <c r="AI746" s="144"/>
    </row>
    <row r="747" spans="7:35" hidden="1">
      <c r="G747" s="144"/>
      <c r="H747" s="144"/>
      <c r="I747" s="144"/>
      <c r="J747" s="144"/>
      <c r="K747" s="144"/>
      <c r="L747" s="144"/>
      <c r="M747" s="144"/>
      <c r="N747" s="144"/>
      <c r="O747" s="144"/>
      <c r="P747" s="144"/>
      <c r="Q747" s="144"/>
      <c r="R747" s="144"/>
      <c r="S747" s="144"/>
      <c r="T747" s="144"/>
      <c r="U747" s="144"/>
      <c r="V747" s="144"/>
      <c r="W747" s="144"/>
      <c r="X747" s="144"/>
      <c r="Y747" s="144"/>
      <c r="Z747" s="144"/>
      <c r="AA747" s="144"/>
      <c r="AB747" s="144"/>
      <c r="AC747" s="144"/>
      <c r="AD747" s="144"/>
      <c r="AE747" s="144"/>
      <c r="AF747" s="144"/>
      <c r="AG747" s="144"/>
      <c r="AH747" s="144"/>
      <c r="AI747" s="144"/>
    </row>
    <row r="748" spans="7:35" hidden="1">
      <c r="G748" s="144"/>
      <c r="H748" s="144"/>
      <c r="I748" s="144"/>
      <c r="J748" s="144"/>
      <c r="K748" s="144"/>
      <c r="L748" s="144"/>
      <c r="M748" s="144"/>
      <c r="N748" s="144"/>
      <c r="O748" s="144"/>
      <c r="P748" s="144"/>
      <c r="Q748" s="144"/>
      <c r="R748" s="144"/>
      <c r="S748" s="144"/>
      <c r="T748" s="144"/>
      <c r="U748" s="144"/>
      <c r="V748" s="144"/>
      <c r="W748" s="144"/>
      <c r="X748" s="144"/>
      <c r="Y748" s="144"/>
      <c r="Z748" s="144"/>
      <c r="AA748" s="144"/>
      <c r="AB748" s="144"/>
      <c r="AC748" s="144"/>
      <c r="AD748" s="144"/>
      <c r="AE748" s="144"/>
      <c r="AF748" s="144"/>
      <c r="AG748" s="144"/>
      <c r="AH748" s="144"/>
      <c r="AI748" s="144"/>
    </row>
    <row r="749" spans="7:35" hidden="1">
      <c r="G749" s="144"/>
      <c r="H749" s="144"/>
      <c r="I749" s="144"/>
      <c r="J749" s="144"/>
      <c r="K749" s="144"/>
      <c r="L749" s="144"/>
      <c r="M749" s="144"/>
      <c r="N749" s="144"/>
      <c r="O749" s="144"/>
      <c r="P749" s="144"/>
      <c r="Q749" s="144"/>
      <c r="R749" s="144"/>
      <c r="S749" s="144"/>
      <c r="T749" s="144"/>
      <c r="U749" s="144"/>
      <c r="V749" s="144"/>
      <c r="W749" s="144"/>
      <c r="X749" s="144"/>
      <c r="Y749" s="144"/>
      <c r="Z749" s="144"/>
      <c r="AA749" s="144"/>
      <c r="AB749" s="144"/>
      <c r="AC749" s="144"/>
      <c r="AD749" s="144"/>
      <c r="AE749" s="144"/>
      <c r="AF749" s="144"/>
      <c r="AG749" s="144"/>
      <c r="AH749" s="144"/>
      <c r="AI749" s="144"/>
    </row>
    <row r="750" spans="7:35" hidden="1">
      <c r="G750" s="144"/>
      <c r="H750" s="144"/>
      <c r="I750" s="144"/>
      <c r="J750" s="144"/>
      <c r="K750" s="144"/>
      <c r="L750" s="144"/>
      <c r="M750" s="144"/>
      <c r="N750" s="144"/>
      <c r="O750" s="144"/>
      <c r="P750" s="144"/>
      <c r="Q750" s="144"/>
      <c r="R750" s="144"/>
      <c r="S750" s="144"/>
      <c r="T750" s="144"/>
      <c r="U750" s="144"/>
      <c r="V750" s="144"/>
      <c r="W750" s="144"/>
      <c r="X750" s="144"/>
      <c r="Y750" s="144"/>
      <c r="Z750" s="144"/>
      <c r="AA750" s="144"/>
      <c r="AB750" s="144"/>
      <c r="AC750" s="144"/>
      <c r="AD750" s="144"/>
      <c r="AE750" s="144"/>
      <c r="AF750" s="144"/>
      <c r="AG750" s="144"/>
      <c r="AH750" s="144"/>
      <c r="AI750" s="144"/>
    </row>
    <row r="751" spans="7:35" hidden="1">
      <c r="G751" s="144"/>
      <c r="H751" s="144"/>
      <c r="I751" s="144"/>
      <c r="J751" s="144"/>
      <c r="K751" s="144"/>
      <c r="L751" s="144"/>
      <c r="M751" s="144"/>
      <c r="N751" s="144"/>
      <c r="O751" s="144"/>
      <c r="P751" s="144"/>
      <c r="Q751" s="144"/>
      <c r="R751" s="144"/>
      <c r="S751" s="144"/>
      <c r="T751" s="144"/>
      <c r="U751" s="144"/>
      <c r="V751" s="144"/>
      <c r="W751" s="144"/>
      <c r="X751" s="144"/>
      <c r="Y751" s="144"/>
      <c r="Z751" s="144"/>
      <c r="AA751" s="144"/>
      <c r="AB751" s="144"/>
      <c r="AC751" s="144"/>
      <c r="AD751" s="144"/>
      <c r="AE751" s="144"/>
      <c r="AF751" s="144"/>
      <c r="AG751" s="144"/>
      <c r="AH751" s="144"/>
      <c r="AI751" s="144"/>
    </row>
    <row r="752" spans="7:35" hidden="1">
      <c r="G752" s="144"/>
      <c r="H752" s="144"/>
      <c r="I752" s="144"/>
      <c r="J752" s="144"/>
      <c r="K752" s="144"/>
      <c r="L752" s="144"/>
      <c r="M752" s="144"/>
      <c r="N752" s="144"/>
      <c r="O752" s="144"/>
      <c r="P752" s="144"/>
      <c r="Q752" s="144"/>
      <c r="R752" s="144"/>
      <c r="S752" s="144"/>
      <c r="T752" s="144"/>
      <c r="U752" s="144"/>
      <c r="V752" s="144"/>
      <c r="W752" s="144"/>
      <c r="X752" s="144"/>
      <c r="Y752" s="144"/>
      <c r="Z752" s="144"/>
      <c r="AA752" s="144"/>
      <c r="AB752" s="144"/>
      <c r="AC752" s="144"/>
      <c r="AD752" s="144"/>
      <c r="AE752" s="144"/>
      <c r="AF752" s="144"/>
      <c r="AG752" s="144"/>
      <c r="AH752" s="144"/>
      <c r="AI752" s="144"/>
    </row>
    <row r="753" spans="7:35" hidden="1">
      <c r="G753" s="144"/>
      <c r="H753" s="144"/>
      <c r="I753" s="144"/>
      <c r="J753" s="144"/>
      <c r="K753" s="144"/>
      <c r="L753" s="144"/>
      <c r="M753" s="144"/>
      <c r="N753" s="144"/>
      <c r="O753" s="144"/>
      <c r="P753" s="144"/>
      <c r="Q753" s="144"/>
      <c r="R753" s="144"/>
      <c r="S753" s="144"/>
      <c r="T753" s="144"/>
      <c r="U753" s="144"/>
      <c r="V753" s="144"/>
      <c r="W753" s="144"/>
      <c r="X753" s="144"/>
      <c r="Y753" s="144"/>
      <c r="Z753" s="144"/>
      <c r="AA753" s="144"/>
      <c r="AB753" s="144"/>
      <c r="AC753" s="144"/>
      <c r="AD753" s="144"/>
      <c r="AE753" s="144"/>
      <c r="AF753" s="144"/>
      <c r="AG753" s="144"/>
      <c r="AH753" s="144"/>
      <c r="AI753" s="144"/>
    </row>
    <row r="754" spans="7:35" hidden="1">
      <c r="G754" s="144"/>
      <c r="H754" s="144"/>
      <c r="I754" s="144"/>
      <c r="J754" s="144"/>
      <c r="K754" s="144"/>
      <c r="L754" s="144"/>
      <c r="M754" s="144"/>
      <c r="N754" s="144"/>
      <c r="O754" s="144"/>
      <c r="P754" s="144"/>
      <c r="Q754" s="144"/>
      <c r="R754" s="144"/>
      <c r="S754" s="144"/>
      <c r="T754" s="144"/>
      <c r="U754" s="144"/>
      <c r="V754" s="144"/>
      <c r="W754" s="144"/>
      <c r="X754" s="144"/>
      <c r="Y754" s="144"/>
      <c r="Z754" s="144"/>
      <c r="AA754" s="144"/>
      <c r="AB754" s="144"/>
      <c r="AC754" s="144"/>
      <c r="AD754" s="144"/>
      <c r="AE754" s="144"/>
      <c r="AF754" s="144"/>
      <c r="AG754" s="144"/>
      <c r="AH754" s="144"/>
      <c r="AI754" s="144"/>
    </row>
    <row r="755" spans="7:35" hidden="1">
      <c r="G755" s="144"/>
      <c r="H755" s="144"/>
      <c r="I755" s="144"/>
      <c r="J755" s="144"/>
      <c r="K755" s="144"/>
      <c r="L755" s="144"/>
      <c r="M755" s="144"/>
      <c r="N755" s="144"/>
      <c r="O755" s="144"/>
      <c r="P755" s="144"/>
      <c r="Q755" s="144"/>
      <c r="R755" s="144"/>
      <c r="S755" s="144"/>
      <c r="T755" s="144"/>
      <c r="U755" s="144"/>
      <c r="V755" s="144"/>
      <c r="W755" s="144"/>
      <c r="X755" s="144"/>
      <c r="Y755" s="144"/>
      <c r="Z755" s="144"/>
      <c r="AA755" s="144"/>
      <c r="AB755" s="144"/>
      <c r="AC755" s="144"/>
      <c r="AD755" s="144"/>
      <c r="AE755" s="144"/>
      <c r="AF755" s="144"/>
      <c r="AG755" s="144"/>
      <c r="AH755" s="144"/>
      <c r="AI755" s="144"/>
    </row>
    <row r="756" spans="7:35" hidden="1">
      <c r="G756" s="144"/>
      <c r="H756" s="144"/>
      <c r="I756" s="144"/>
      <c r="J756" s="144"/>
      <c r="K756" s="144"/>
      <c r="L756" s="144"/>
      <c r="M756" s="144"/>
      <c r="N756" s="144"/>
      <c r="O756" s="144"/>
      <c r="P756" s="144"/>
      <c r="Q756" s="144"/>
      <c r="R756" s="144"/>
      <c r="S756" s="144"/>
      <c r="T756" s="144"/>
      <c r="U756" s="144"/>
      <c r="V756" s="144"/>
      <c r="W756" s="144"/>
      <c r="X756" s="144"/>
      <c r="Y756" s="144"/>
      <c r="Z756" s="144"/>
      <c r="AA756" s="144"/>
      <c r="AB756" s="144"/>
      <c r="AC756" s="144"/>
      <c r="AD756" s="144"/>
      <c r="AE756" s="144"/>
      <c r="AF756" s="144"/>
      <c r="AG756" s="144"/>
      <c r="AH756" s="144"/>
      <c r="AI756" s="144"/>
    </row>
    <row r="757" spans="7:35" hidden="1">
      <c r="G757" s="144"/>
      <c r="H757" s="144"/>
      <c r="I757" s="144"/>
      <c r="J757" s="144"/>
      <c r="K757" s="144"/>
      <c r="L757" s="144"/>
      <c r="M757" s="144"/>
      <c r="N757" s="144"/>
      <c r="O757" s="144"/>
      <c r="P757" s="144"/>
      <c r="Q757" s="144"/>
      <c r="R757" s="144"/>
      <c r="S757" s="144"/>
      <c r="T757" s="144"/>
      <c r="U757" s="144"/>
      <c r="V757" s="144"/>
      <c r="W757" s="144"/>
      <c r="X757" s="144"/>
      <c r="Y757" s="144"/>
      <c r="Z757" s="144"/>
      <c r="AA757" s="144"/>
      <c r="AB757" s="144"/>
      <c r="AC757" s="144"/>
      <c r="AD757" s="144"/>
      <c r="AE757" s="144"/>
      <c r="AF757" s="144"/>
      <c r="AG757" s="144"/>
      <c r="AH757" s="144"/>
      <c r="AI757" s="144"/>
    </row>
    <row r="758" spans="7:35" hidden="1">
      <c r="G758" s="144"/>
      <c r="H758" s="144"/>
      <c r="I758" s="144"/>
      <c r="J758" s="144"/>
      <c r="K758" s="144"/>
      <c r="L758" s="144"/>
      <c r="M758" s="144"/>
      <c r="N758" s="144"/>
      <c r="O758" s="144"/>
      <c r="P758" s="144"/>
      <c r="Q758" s="144"/>
      <c r="R758" s="144"/>
      <c r="S758" s="144"/>
      <c r="T758" s="144"/>
      <c r="U758" s="144"/>
      <c r="V758" s="144"/>
      <c r="W758" s="144"/>
      <c r="X758" s="144"/>
      <c r="Y758" s="144"/>
      <c r="Z758" s="144"/>
      <c r="AA758" s="144"/>
      <c r="AB758" s="144"/>
      <c r="AC758" s="144"/>
      <c r="AD758" s="144"/>
      <c r="AE758" s="144"/>
      <c r="AF758" s="144"/>
      <c r="AG758" s="144"/>
      <c r="AH758" s="144"/>
      <c r="AI758" s="144"/>
    </row>
    <row r="759" spans="7:35" hidden="1">
      <c r="G759" s="144"/>
      <c r="H759" s="144"/>
      <c r="I759" s="144"/>
      <c r="J759" s="144"/>
      <c r="K759" s="144"/>
      <c r="L759" s="144"/>
      <c r="M759" s="144"/>
      <c r="N759" s="144"/>
      <c r="O759" s="144"/>
      <c r="P759" s="144"/>
      <c r="Q759" s="144"/>
      <c r="R759" s="144"/>
      <c r="S759" s="144"/>
      <c r="T759" s="144"/>
      <c r="U759" s="144"/>
      <c r="V759" s="144"/>
      <c r="W759" s="144"/>
      <c r="X759" s="144"/>
      <c r="Y759" s="144"/>
      <c r="Z759" s="144"/>
      <c r="AA759" s="144"/>
      <c r="AB759" s="144"/>
      <c r="AC759" s="144"/>
      <c r="AD759" s="144"/>
      <c r="AE759" s="144"/>
      <c r="AF759" s="144"/>
      <c r="AG759" s="144"/>
      <c r="AH759" s="144"/>
      <c r="AI759" s="144"/>
    </row>
    <row r="760" spans="7:35" hidden="1">
      <c r="G760" s="144"/>
      <c r="H760" s="144"/>
      <c r="I760" s="144"/>
      <c r="J760" s="144"/>
      <c r="K760" s="144"/>
      <c r="L760" s="144"/>
      <c r="M760" s="144"/>
      <c r="N760" s="144"/>
      <c r="O760" s="144"/>
      <c r="P760" s="144"/>
      <c r="Q760" s="144"/>
      <c r="R760" s="144"/>
      <c r="S760" s="144"/>
      <c r="T760" s="144"/>
      <c r="U760" s="144"/>
      <c r="V760" s="144"/>
      <c r="W760" s="144"/>
      <c r="X760" s="144"/>
      <c r="Y760" s="144"/>
      <c r="Z760" s="144"/>
      <c r="AA760" s="144"/>
      <c r="AB760" s="144"/>
      <c r="AC760" s="144"/>
      <c r="AD760" s="144"/>
      <c r="AE760" s="144"/>
      <c r="AF760" s="144"/>
      <c r="AG760" s="144"/>
      <c r="AH760" s="144"/>
      <c r="AI760" s="144"/>
    </row>
    <row r="761" spans="7:35" hidden="1">
      <c r="G761" s="144"/>
      <c r="H761" s="144"/>
      <c r="I761" s="144"/>
      <c r="J761" s="144"/>
      <c r="K761" s="144"/>
      <c r="L761" s="144"/>
      <c r="M761" s="144"/>
      <c r="N761" s="144"/>
      <c r="O761" s="144"/>
      <c r="P761" s="144"/>
      <c r="Q761" s="144"/>
      <c r="R761" s="144"/>
      <c r="S761" s="144"/>
      <c r="T761" s="144"/>
      <c r="U761" s="144"/>
      <c r="V761" s="144"/>
      <c r="W761" s="144"/>
      <c r="X761" s="144"/>
      <c r="Y761" s="144"/>
      <c r="Z761" s="144"/>
      <c r="AA761" s="144"/>
      <c r="AB761" s="144"/>
      <c r="AC761" s="144"/>
      <c r="AD761" s="144"/>
      <c r="AE761" s="144"/>
      <c r="AF761" s="144"/>
      <c r="AG761" s="144"/>
      <c r="AH761" s="144"/>
      <c r="AI761" s="144"/>
    </row>
    <row r="762" spans="7:35" hidden="1">
      <c r="G762" s="144"/>
      <c r="H762" s="144"/>
      <c r="I762" s="144"/>
      <c r="J762" s="144"/>
      <c r="K762" s="144"/>
      <c r="L762" s="144"/>
      <c r="M762" s="144"/>
      <c r="N762" s="144"/>
      <c r="O762" s="144"/>
      <c r="P762" s="144"/>
      <c r="Q762" s="144"/>
      <c r="R762" s="144"/>
      <c r="S762" s="144"/>
      <c r="T762" s="144"/>
      <c r="U762" s="144"/>
      <c r="V762" s="144"/>
      <c r="W762" s="144"/>
      <c r="X762" s="144"/>
      <c r="Y762" s="144"/>
      <c r="Z762" s="144"/>
      <c r="AA762" s="144"/>
      <c r="AB762" s="144"/>
      <c r="AC762" s="144"/>
      <c r="AD762" s="144"/>
      <c r="AE762" s="144"/>
      <c r="AF762" s="144"/>
      <c r="AG762" s="144"/>
      <c r="AH762" s="144"/>
      <c r="AI762" s="144"/>
    </row>
    <row r="763" spans="7:35" hidden="1">
      <c r="G763" s="144"/>
      <c r="H763" s="144"/>
      <c r="I763" s="144"/>
      <c r="J763" s="144"/>
      <c r="K763" s="144"/>
      <c r="L763" s="144"/>
      <c r="M763" s="144"/>
      <c r="N763" s="144"/>
      <c r="O763" s="144"/>
      <c r="P763" s="144"/>
      <c r="Q763" s="144"/>
      <c r="R763" s="144"/>
      <c r="S763" s="144"/>
      <c r="T763" s="144"/>
      <c r="U763" s="144"/>
      <c r="V763" s="144"/>
      <c r="W763" s="144"/>
      <c r="X763" s="144"/>
      <c r="Y763" s="144"/>
      <c r="Z763" s="144"/>
      <c r="AA763" s="144"/>
      <c r="AB763" s="144"/>
      <c r="AC763" s="144"/>
      <c r="AD763" s="144"/>
      <c r="AE763" s="144"/>
      <c r="AF763" s="144"/>
      <c r="AG763" s="144"/>
      <c r="AH763" s="144"/>
      <c r="AI763" s="144"/>
    </row>
    <row r="764" spans="7:35" hidden="1">
      <c r="G764" s="144"/>
      <c r="H764" s="144"/>
      <c r="I764" s="144"/>
      <c r="J764" s="144"/>
      <c r="K764" s="144"/>
      <c r="L764" s="144"/>
      <c r="M764" s="144"/>
      <c r="N764" s="144"/>
      <c r="O764" s="144"/>
      <c r="P764" s="144"/>
      <c r="Q764" s="144"/>
      <c r="R764" s="144"/>
      <c r="S764" s="144"/>
      <c r="T764" s="144"/>
      <c r="U764" s="144"/>
      <c r="V764" s="144"/>
      <c r="W764" s="144"/>
      <c r="X764" s="144"/>
      <c r="Y764" s="144"/>
      <c r="Z764" s="144"/>
      <c r="AA764" s="144"/>
      <c r="AB764" s="144"/>
      <c r="AC764" s="144"/>
      <c r="AD764" s="144"/>
      <c r="AE764" s="144"/>
      <c r="AF764" s="144"/>
      <c r="AG764" s="144"/>
      <c r="AH764" s="144"/>
      <c r="AI764" s="144"/>
    </row>
    <row r="765" spans="7:35" hidden="1">
      <c r="G765" s="144"/>
      <c r="H765" s="144"/>
      <c r="I765" s="144"/>
      <c r="J765" s="144"/>
      <c r="K765" s="144"/>
      <c r="L765" s="144"/>
      <c r="M765" s="144"/>
      <c r="N765" s="144"/>
      <c r="O765" s="144"/>
      <c r="P765" s="144"/>
      <c r="Q765" s="144"/>
      <c r="R765" s="144"/>
      <c r="S765" s="144"/>
      <c r="T765" s="144"/>
      <c r="U765" s="144"/>
      <c r="V765" s="144"/>
      <c r="W765" s="144"/>
      <c r="X765" s="144"/>
      <c r="Y765" s="144"/>
      <c r="Z765" s="144"/>
      <c r="AA765" s="144"/>
      <c r="AB765" s="144"/>
      <c r="AC765" s="144"/>
      <c r="AD765" s="144"/>
      <c r="AE765" s="144"/>
      <c r="AF765" s="144"/>
      <c r="AG765" s="144"/>
      <c r="AH765" s="144"/>
      <c r="AI765" s="144"/>
    </row>
    <row r="766" spans="7:35" hidden="1">
      <c r="G766" s="144"/>
      <c r="H766" s="144"/>
      <c r="I766" s="144"/>
      <c r="J766" s="144"/>
      <c r="K766" s="144"/>
      <c r="L766" s="144"/>
      <c r="M766" s="144"/>
      <c r="N766" s="144"/>
      <c r="O766" s="144"/>
      <c r="P766" s="144"/>
      <c r="Q766" s="144"/>
      <c r="R766" s="144"/>
      <c r="S766" s="144"/>
      <c r="T766" s="144"/>
      <c r="U766" s="144"/>
      <c r="V766" s="144"/>
      <c r="W766" s="144"/>
      <c r="X766" s="144"/>
      <c r="Y766" s="144"/>
      <c r="Z766" s="144"/>
      <c r="AA766" s="144"/>
      <c r="AB766" s="144"/>
      <c r="AC766" s="144"/>
      <c r="AD766" s="144"/>
      <c r="AE766" s="144"/>
      <c r="AF766" s="144"/>
      <c r="AG766" s="144"/>
      <c r="AH766" s="144"/>
      <c r="AI766" s="144"/>
    </row>
    <row r="767" spans="7:35" hidden="1">
      <c r="G767" s="144"/>
      <c r="H767" s="144"/>
      <c r="I767" s="144"/>
      <c r="J767" s="144"/>
      <c r="K767" s="144"/>
      <c r="L767" s="144"/>
      <c r="M767" s="144"/>
      <c r="N767" s="144"/>
      <c r="O767" s="144"/>
      <c r="P767" s="144"/>
      <c r="Q767" s="144"/>
      <c r="R767" s="144"/>
      <c r="S767" s="144"/>
      <c r="T767" s="144"/>
      <c r="U767" s="144"/>
      <c r="V767" s="144"/>
      <c r="W767" s="144"/>
      <c r="X767" s="144"/>
      <c r="Y767" s="144"/>
      <c r="Z767" s="144"/>
      <c r="AA767" s="144"/>
      <c r="AB767" s="144"/>
      <c r="AC767" s="144"/>
      <c r="AD767" s="144"/>
      <c r="AE767" s="144"/>
      <c r="AF767" s="144"/>
      <c r="AG767" s="144"/>
      <c r="AH767" s="144"/>
      <c r="AI767" s="144"/>
    </row>
    <row r="768" spans="7:35" hidden="1">
      <c r="G768" s="144"/>
      <c r="H768" s="144"/>
      <c r="I768" s="144"/>
      <c r="J768" s="144"/>
      <c r="K768" s="144"/>
      <c r="L768" s="144"/>
      <c r="M768" s="144"/>
      <c r="N768" s="144"/>
      <c r="O768" s="144"/>
      <c r="P768" s="144"/>
      <c r="Q768" s="144"/>
      <c r="R768" s="144"/>
      <c r="S768" s="144"/>
      <c r="T768" s="144"/>
      <c r="U768" s="144"/>
      <c r="V768" s="144"/>
      <c r="W768" s="144"/>
      <c r="X768" s="144"/>
      <c r="Y768" s="144"/>
      <c r="Z768" s="144"/>
      <c r="AA768" s="144"/>
      <c r="AB768" s="144"/>
      <c r="AC768" s="144"/>
      <c r="AD768" s="144"/>
      <c r="AE768" s="144"/>
      <c r="AF768" s="144"/>
      <c r="AG768" s="144"/>
      <c r="AH768" s="144"/>
      <c r="AI768" s="144"/>
    </row>
    <row r="769" spans="7:35" hidden="1">
      <c r="G769" s="144"/>
      <c r="H769" s="144"/>
      <c r="I769" s="144"/>
      <c r="J769" s="144"/>
      <c r="K769" s="144"/>
      <c r="L769" s="144"/>
      <c r="M769" s="144"/>
      <c r="N769" s="144"/>
      <c r="O769" s="144"/>
      <c r="P769" s="144"/>
      <c r="Q769" s="144"/>
      <c r="R769" s="144"/>
      <c r="S769" s="144"/>
      <c r="T769" s="144"/>
      <c r="U769" s="144"/>
      <c r="V769" s="144"/>
      <c r="W769" s="144"/>
      <c r="X769" s="144"/>
      <c r="Y769" s="144"/>
      <c r="Z769" s="144"/>
      <c r="AA769" s="144"/>
      <c r="AB769" s="144"/>
      <c r="AC769" s="144"/>
      <c r="AD769" s="144"/>
      <c r="AE769" s="144"/>
      <c r="AF769" s="144"/>
      <c r="AG769" s="144"/>
      <c r="AH769" s="144"/>
      <c r="AI769" s="144"/>
    </row>
    <row r="770" spans="7:35" hidden="1">
      <c r="G770" s="144"/>
      <c r="H770" s="144"/>
      <c r="I770" s="144"/>
      <c r="J770" s="144"/>
      <c r="K770" s="144"/>
      <c r="L770" s="144"/>
      <c r="M770" s="144"/>
      <c r="N770" s="144"/>
      <c r="O770" s="144"/>
      <c r="P770" s="144"/>
      <c r="Q770" s="144"/>
      <c r="R770" s="144"/>
      <c r="S770" s="144"/>
      <c r="T770" s="144"/>
      <c r="U770" s="144"/>
      <c r="V770" s="144"/>
      <c r="W770" s="144"/>
      <c r="X770" s="144"/>
      <c r="Y770" s="144"/>
      <c r="Z770" s="144"/>
      <c r="AA770" s="144"/>
      <c r="AB770" s="144"/>
      <c r="AC770" s="144"/>
      <c r="AD770" s="144"/>
      <c r="AE770" s="144"/>
      <c r="AF770" s="144"/>
      <c r="AG770" s="144"/>
      <c r="AH770" s="144"/>
      <c r="AI770" s="144"/>
    </row>
    <row r="771" spans="7:35" hidden="1">
      <c r="G771" s="144"/>
      <c r="H771" s="144"/>
      <c r="I771" s="144"/>
      <c r="J771" s="144"/>
      <c r="K771" s="144"/>
      <c r="L771" s="144"/>
      <c r="M771" s="144"/>
      <c r="N771" s="144"/>
      <c r="O771" s="144"/>
      <c r="P771" s="144"/>
      <c r="Q771" s="144"/>
      <c r="R771" s="144"/>
      <c r="S771" s="144"/>
      <c r="T771" s="144"/>
      <c r="U771" s="144"/>
      <c r="V771" s="144"/>
      <c r="W771" s="144"/>
      <c r="X771" s="144"/>
      <c r="Y771" s="144"/>
      <c r="Z771" s="144"/>
      <c r="AA771" s="144"/>
      <c r="AB771" s="144"/>
      <c r="AC771" s="144"/>
      <c r="AD771" s="144"/>
      <c r="AE771" s="144"/>
      <c r="AF771" s="144"/>
      <c r="AG771" s="144"/>
      <c r="AH771" s="144"/>
      <c r="AI771" s="144"/>
    </row>
    <row r="772" spans="7:35" hidden="1">
      <c r="G772" s="144"/>
      <c r="H772" s="144"/>
      <c r="I772" s="144"/>
      <c r="J772" s="144"/>
      <c r="K772" s="144"/>
      <c r="L772" s="144"/>
      <c r="M772" s="144"/>
      <c r="N772" s="144"/>
      <c r="O772" s="144"/>
      <c r="P772" s="144"/>
      <c r="Q772" s="144"/>
      <c r="R772" s="144"/>
      <c r="S772" s="144"/>
      <c r="T772" s="144"/>
      <c r="U772" s="144"/>
      <c r="V772" s="144"/>
      <c r="W772" s="144"/>
      <c r="X772" s="144"/>
      <c r="Y772" s="144"/>
      <c r="Z772" s="144"/>
      <c r="AA772" s="144"/>
      <c r="AB772" s="144"/>
      <c r="AC772" s="144"/>
      <c r="AD772" s="144"/>
      <c r="AE772" s="144"/>
      <c r="AF772" s="144"/>
      <c r="AG772" s="144"/>
      <c r="AH772" s="144"/>
      <c r="AI772" s="144"/>
    </row>
    <row r="773" spans="7:35" hidden="1">
      <c r="G773" s="144"/>
      <c r="H773" s="144"/>
      <c r="I773" s="144"/>
      <c r="J773" s="144"/>
      <c r="K773" s="144"/>
      <c r="L773" s="144"/>
      <c r="M773" s="144"/>
      <c r="N773" s="144"/>
      <c r="O773" s="144"/>
      <c r="P773" s="144"/>
      <c r="Q773" s="144"/>
      <c r="R773" s="144"/>
      <c r="S773" s="144"/>
      <c r="T773" s="144"/>
      <c r="U773" s="144"/>
      <c r="V773" s="144"/>
      <c r="W773" s="144"/>
      <c r="X773" s="144"/>
      <c r="Y773" s="144"/>
      <c r="Z773" s="144"/>
      <c r="AA773" s="144"/>
      <c r="AB773" s="144"/>
      <c r="AC773" s="144"/>
      <c r="AD773" s="144"/>
      <c r="AE773" s="144"/>
      <c r="AF773" s="144"/>
      <c r="AG773" s="144"/>
      <c r="AH773" s="144"/>
      <c r="AI773" s="144"/>
    </row>
    <row r="774" spans="7:35" hidden="1">
      <c r="G774" s="144"/>
      <c r="H774" s="144"/>
      <c r="I774" s="144"/>
      <c r="J774" s="144"/>
      <c r="K774" s="144"/>
      <c r="L774" s="144"/>
      <c r="M774" s="144"/>
      <c r="N774" s="144"/>
      <c r="O774" s="144"/>
      <c r="P774" s="144"/>
      <c r="Q774" s="144"/>
      <c r="R774" s="144"/>
      <c r="S774" s="144"/>
      <c r="T774" s="144"/>
      <c r="U774" s="144"/>
      <c r="V774" s="144"/>
      <c r="W774" s="144"/>
      <c r="X774" s="144"/>
      <c r="Y774" s="144"/>
      <c r="Z774" s="144"/>
      <c r="AA774" s="144"/>
      <c r="AB774" s="144"/>
      <c r="AC774" s="144"/>
      <c r="AD774" s="144"/>
      <c r="AE774" s="144"/>
      <c r="AF774" s="144"/>
      <c r="AG774" s="144"/>
      <c r="AH774" s="144"/>
      <c r="AI774" s="144"/>
    </row>
    <row r="775" spans="7:35" hidden="1">
      <c r="G775" s="144"/>
      <c r="H775" s="144"/>
      <c r="I775" s="144"/>
      <c r="J775" s="144"/>
      <c r="K775" s="144"/>
      <c r="L775" s="144"/>
      <c r="M775" s="144"/>
      <c r="N775" s="144"/>
      <c r="O775" s="144"/>
      <c r="P775" s="144"/>
      <c r="Q775" s="144"/>
      <c r="R775" s="144"/>
      <c r="S775" s="144"/>
      <c r="T775" s="144"/>
      <c r="U775" s="144"/>
      <c r="V775" s="144"/>
      <c r="W775" s="144"/>
      <c r="X775" s="144"/>
      <c r="Y775" s="144"/>
      <c r="Z775" s="144"/>
      <c r="AA775" s="144"/>
      <c r="AB775" s="144"/>
      <c r="AC775" s="144"/>
      <c r="AD775" s="144"/>
      <c r="AE775" s="144"/>
      <c r="AF775" s="144"/>
      <c r="AG775" s="144"/>
      <c r="AH775" s="144"/>
      <c r="AI775" s="144"/>
    </row>
    <row r="776" spans="7:35" hidden="1">
      <c r="G776" s="144"/>
      <c r="H776" s="144"/>
      <c r="I776" s="144"/>
      <c r="J776" s="144"/>
      <c r="K776" s="144"/>
      <c r="L776" s="144"/>
      <c r="M776" s="144"/>
      <c r="N776" s="144"/>
      <c r="O776" s="144"/>
      <c r="P776" s="144"/>
      <c r="Q776" s="144"/>
      <c r="R776" s="144"/>
      <c r="S776" s="144"/>
      <c r="T776" s="144"/>
      <c r="U776" s="144"/>
      <c r="V776" s="144"/>
      <c r="W776" s="144"/>
      <c r="X776" s="144"/>
      <c r="Y776" s="144"/>
      <c r="Z776" s="144"/>
      <c r="AA776" s="144"/>
      <c r="AB776" s="144"/>
      <c r="AC776" s="144"/>
      <c r="AD776" s="144"/>
      <c r="AE776" s="144"/>
      <c r="AF776" s="144"/>
      <c r="AG776" s="144"/>
      <c r="AH776" s="144"/>
      <c r="AI776" s="144"/>
    </row>
    <row r="777" spans="7:35" hidden="1">
      <c r="G777" s="144"/>
      <c r="H777" s="144"/>
      <c r="I777" s="144"/>
      <c r="J777" s="144"/>
      <c r="K777" s="144"/>
      <c r="L777" s="144"/>
      <c r="M777" s="144"/>
      <c r="N777" s="144"/>
      <c r="O777" s="144"/>
      <c r="P777" s="144"/>
      <c r="Q777" s="144"/>
      <c r="R777" s="144"/>
      <c r="S777" s="144"/>
      <c r="T777" s="144"/>
      <c r="U777" s="144"/>
      <c r="V777" s="144"/>
      <c r="W777" s="144"/>
      <c r="X777" s="144"/>
      <c r="Y777" s="144"/>
      <c r="Z777" s="144"/>
      <c r="AA777" s="144"/>
      <c r="AB777" s="144"/>
      <c r="AC777" s="144"/>
      <c r="AD777" s="144"/>
      <c r="AE777" s="144"/>
      <c r="AF777" s="144"/>
      <c r="AG777" s="144"/>
      <c r="AH777" s="144"/>
      <c r="AI777" s="144"/>
    </row>
    <row r="778" spans="7:35" hidden="1">
      <c r="G778" s="144"/>
      <c r="H778" s="144"/>
      <c r="I778" s="144"/>
      <c r="J778" s="144"/>
      <c r="K778" s="144"/>
      <c r="L778" s="144"/>
      <c r="M778" s="144"/>
      <c r="N778" s="144"/>
      <c r="O778" s="144"/>
      <c r="P778" s="144"/>
      <c r="Q778" s="144"/>
      <c r="R778" s="144"/>
      <c r="S778" s="144"/>
      <c r="T778" s="144"/>
      <c r="U778" s="144"/>
      <c r="V778" s="144"/>
      <c r="W778" s="144"/>
      <c r="X778" s="144"/>
      <c r="Y778" s="144"/>
      <c r="Z778" s="144"/>
      <c r="AA778" s="144"/>
      <c r="AB778" s="144"/>
      <c r="AC778" s="144"/>
      <c r="AD778" s="144"/>
      <c r="AE778" s="144"/>
      <c r="AF778" s="144"/>
      <c r="AG778" s="144"/>
      <c r="AH778" s="144"/>
      <c r="AI778" s="144"/>
    </row>
    <row r="779" spans="7:35" hidden="1">
      <c r="G779" s="144"/>
      <c r="H779" s="144"/>
      <c r="I779" s="144"/>
      <c r="J779" s="144"/>
      <c r="K779" s="144"/>
      <c r="L779" s="144"/>
      <c r="M779" s="144"/>
      <c r="N779" s="144"/>
      <c r="O779" s="144"/>
      <c r="P779" s="144"/>
      <c r="Q779" s="144"/>
      <c r="R779" s="144"/>
      <c r="S779" s="144"/>
      <c r="T779" s="144"/>
      <c r="U779" s="144"/>
      <c r="V779" s="144"/>
      <c r="W779" s="144"/>
      <c r="X779" s="144"/>
      <c r="Y779" s="144"/>
      <c r="Z779" s="144"/>
      <c r="AA779" s="144"/>
      <c r="AB779" s="144"/>
      <c r="AC779" s="144"/>
      <c r="AD779" s="144"/>
      <c r="AE779" s="144"/>
      <c r="AF779" s="144"/>
      <c r="AG779" s="144"/>
      <c r="AH779" s="144"/>
      <c r="AI779" s="144"/>
    </row>
    <row r="780" spans="7:35" hidden="1">
      <c r="G780" s="144"/>
      <c r="H780" s="144"/>
      <c r="I780" s="144"/>
      <c r="J780" s="144"/>
      <c r="K780" s="144"/>
      <c r="L780" s="144"/>
      <c r="M780" s="144"/>
      <c r="N780" s="144"/>
      <c r="O780" s="144"/>
      <c r="P780" s="144"/>
      <c r="Q780" s="144"/>
      <c r="R780" s="144"/>
      <c r="S780" s="144"/>
      <c r="T780" s="144"/>
      <c r="U780" s="144"/>
      <c r="V780" s="144"/>
      <c r="W780" s="144"/>
      <c r="X780" s="144"/>
      <c r="Y780" s="144"/>
      <c r="Z780" s="144"/>
      <c r="AA780" s="144"/>
      <c r="AB780" s="144"/>
      <c r="AC780" s="144"/>
      <c r="AD780" s="144"/>
      <c r="AE780" s="144"/>
      <c r="AF780" s="144"/>
      <c r="AG780" s="144"/>
      <c r="AH780" s="144"/>
      <c r="AI780" s="144"/>
    </row>
    <row r="781" spans="7:35" hidden="1">
      <c r="G781" s="144"/>
      <c r="H781" s="144"/>
      <c r="I781" s="144"/>
      <c r="J781" s="144"/>
      <c r="K781" s="144"/>
      <c r="L781" s="144"/>
      <c r="M781" s="144"/>
      <c r="N781" s="144"/>
      <c r="O781" s="144"/>
      <c r="P781" s="144"/>
      <c r="Q781" s="144"/>
      <c r="R781" s="144"/>
      <c r="S781" s="144"/>
      <c r="T781" s="144"/>
      <c r="U781" s="144"/>
      <c r="V781" s="144"/>
      <c r="W781" s="144"/>
      <c r="X781" s="144"/>
      <c r="Y781" s="144"/>
      <c r="Z781" s="144"/>
      <c r="AA781" s="144"/>
      <c r="AB781" s="144"/>
      <c r="AC781" s="144"/>
      <c r="AD781" s="144"/>
      <c r="AE781" s="144"/>
      <c r="AF781" s="144"/>
      <c r="AG781" s="144"/>
      <c r="AH781" s="144"/>
      <c r="AI781" s="144"/>
    </row>
    <row r="782" spans="7:35" hidden="1">
      <c r="G782" s="144"/>
      <c r="H782" s="144"/>
      <c r="I782" s="144"/>
      <c r="J782" s="144"/>
      <c r="K782" s="144"/>
      <c r="L782" s="144"/>
      <c r="M782" s="144"/>
      <c r="N782" s="144"/>
      <c r="O782" s="144"/>
      <c r="P782" s="144"/>
      <c r="Q782" s="144"/>
      <c r="R782" s="144"/>
      <c r="S782" s="144"/>
      <c r="T782" s="144"/>
      <c r="U782" s="144"/>
      <c r="V782" s="144"/>
      <c r="W782" s="144"/>
      <c r="X782" s="144"/>
      <c r="Y782" s="144"/>
      <c r="Z782" s="144"/>
      <c r="AA782" s="144"/>
      <c r="AB782" s="144"/>
      <c r="AC782" s="144"/>
      <c r="AD782" s="144"/>
      <c r="AE782" s="144"/>
      <c r="AF782" s="144"/>
      <c r="AG782" s="144"/>
      <c r="AH782" s="144"/>
      <c r="AI782" s="144"/>
    </row>
    <row r="783" spans="7:35" hidden="1">
      <c r="G783" s="144"/>
      <c r="H783" s="144"/>
      <c r="I783" s="144"/>
      <c r="J783" s="144"/>
      <c r="K783" s="144"/>
      <c r="L783" s="144"/>
      <c r="M783" s="144"/>
      <c r="N783" s="144"/>
      <c r="O783" s="144"/>
      <c r="P783" s="144"/>
      <c r="Q783" s="144"/>
      <c r="R783" s="144"/>
      <c r="S783" s="144"/>
      <c r="T783" s="144"/>
      <c r="U783" s="144"/>
      <c r="V783" s="144"/>
      <c r="W783" s="144"/>
      <c r="X783" s="144"/>
      <c r="Y783" s="144"/>
      <c r="Z783" s="144"/>
      <c r="AA783" s="144"/>
      <c r="AB783" s="144"/>
      <c r="AC783" s="144"/>
      <c r="AD783" s="144"/>
      <c r="AE783" s="144"/>
      <c r="AF783" s="144"/>
      <c r="AG783" s="144"/>
      <c r="AH783" s="144"/>
      <c r="AI783" s="144"/>
    </row>
    <row r="784" spans="7:35" hidden="1">
      <c r="G784" s="144"/>
      <c r="H784" s="144"/>
      <c r="I784" s="144"/>
      <c r="J784" s="144"/>
      <c r="K784" s="144"/>
      <c r="L784" s="144"/>
      <c r="M784" s="144"/>
      <c r="N784" s="144"/>
      <c r="O784" s="144"/>
      <c r="P784" s="144"/>
      <c r="Q784" s="144"/>
      <c r="R784" s="144"/>
      <c r="S784" s="144"/>
      <c r="T784" s="144"/>
      <c r="U784" s="144"/>
      <c r="V784" s="144"/>
      <c r="W784" s="144"/>
      <c r="X784" s="144"/>
      <c r="Y784" s="144"/>
      <c r="Z784" s="144"/>
      <c r="AA784" s="144"/>
      <c r="AB784" s="144"/>
      <c r="AC784" s="144"/>
      <c r="AD784" s="144"/>
      <c r="AE784" s="144"/>
      <c r="AF784" s="144"/>
      <c r="AG784" s="144"/>
      <c r="AH784" s="144"/>
      <c r="AI784" s="144"/>
    </row>
    <row r="785" spans="7:35" hidden="1">
      <c r="G785" s="144"/>
      <c r="H785" s="144"/>
      <c r="I785" s="144"/>
      <c r="J785" s="144"/>
      <c r="K785" s="144"/>
      <c r="L785" s="144"/>
      <c r="M785" s="144"/>
      <c r="N785" s="144"/>
      <c r="O785" s="144"/>
      <c r="P785" s="144"/>
      <c r="Q785" s="144"/>
      <c r="R785" s="144"/>
      <c r="S785" s="144"/>
      <c r="T785" s="144"/>
      <c r="U785" s="144"/>
      <c r="V785" s="144"/>
      <c r="W785" s="144"/>
      <c r="X785" s="144"/>
      <c r="Y785" s="144"/>
      <c r="Z785" s="144"/>
      <c r="AA785" s="144"/>
      <c r="AB785" s="144"/>
      <c r="AC785" s="144"/>
      <c r="AD785" s="144"/>
      <c r="AE785" s="144"/>
      <c r="AF785" s="144"/>
      <c r="AG785" s="144"/>
      <c r="AH785" s="144"/>
      <c r="AI785" s="144"/>
    </row>
    <row r="786" spans="7:35" hidden="1">
      <c r="G786" s="144"/>
      <c r="H786" s="144"/>
      <c r="I786" s="144"/>
      <c r="J786" s="144"/>
      <c r="K786" s="144"/>
      <c r="L786" s="144"/>
      <c r="M786" s="144"/>
      <c r="N786" s="144"/>
      <c r="O786" s="144"/>
      <c r="P786" s="144"/>
      <c r="Q786" s="144"/>
      <c r="R786" s="144"/>
      <c r="S786" s="144"/>
      <c r="T786" s="144"/>
      <c r="U786" s="144"/>
      <c r="V786" s="144"/>
      <c r="W786" s="144"/>
      <c r="X786" s="144"/>
      <c r="Y786" s="144"/>
      <c r="Z786" s="144"/>
      <c r="AA786" s="144"/>
      <c r="AB786" s="144"/>
      <c r="AC786" s="144"/>
      <c r="AD786" s="144"/>
      <c r="AE786" s="144"/>
      <c r="AF786" s="144"/>
      <c r="AG786" s="144"/>
      <c r="AH786" s="144"/>
      <c r="AI786" s="144"/>
    </row>
    <row r="787" spans="7:35" hidden="1">
      <c r="G787" s="144"/>
      <c r="H787" s="144"/>
      <c r="I787" s="144"/>
      <c r="J787" s="144"/>
      <c r="K787" s="144"/>
      <c r="L787" s="144"/>
      <c r="M787" s="144"/>
      <c r="N787" s="144"/>
      <c r="O787" s="144"/>
      <c r="P787" s="144"/>
      <c r="Q787" s="144"/>
      <c r="R787" s="144"/>
      <c r="S787" s="144"/>
      <c r="T787" s="144"/>
      <c r="U787" s="144"/>
      <c r="V787" s="144"/>
      <c r="W787" s="144"/>
      <c r="X787" s="144"/>
      <c r="Y787" s="144"/>
      <c r="Z787" s="144"/>
      <c r="AA787" s="144"/>
      <c r="AB787" s="144"/>
      <c r="AC787" s="144"/>
      <c r="AD787" s="144"/>
      <c r="AE787" s="144"/>
      <c r="AF787" s="144"/>
      <c r="AG787" s="144"/>
      <c r="AH787" s="144"/>
      <c r="AI787" s="144"/>
    </row>
    <row r="788" spans="7:35" hidden="1">
      <c r="G788" s="144"/>
      <c r="H788" s="144"/>
      <c r="I788" s="144"/>
      <c r="J788" s="144"/>
      <c r="K788" s="144"/>
      <c r="L788" s="144"/>
      <c r="M788" s="144"/>
      <c r="N788" s="144"/>
      <c r="O788" s="144"/>
      <c r="P788" s="144"/>
      <c r="Q788" s="144"/>
      <c r="R788" s="144"/>
      <c r="S788" s="144"/>
      <c r="T788" s="144"/>
      <c r="U788" s="144"/>
      <c r="V788" s="144"/>
      <c r="W788" s="144"/>
      <c r="X788" s="144"/>
      <c r="Y788" s="144"/>
      <c r="Z788" s="144"/>
      <c r="AA788" s="144"/>
      <c r="AB788" s="144"/>
      <c r="AC788" s="144"/>
      <c r="AD788" s="144"/>
      <c r="AE788" s="144"/>
      <c r="AF788" s="144"/>
      <c r="AG788" s="144"/>
      <c r="AH788" s="144"/>
      <c r="AI788" s="144"/>
    </row>
    <row r="789" spans="7:35" hidden="1">
      <c r="G789" s="144"/>
      <c r="H789" s="144"/>
      <c r="I789" s="144"/>
      <c r="J789" s="144"/>
      <c r="K789" s="144"/>
      <c r="L789" s="144"/>
      <c r="M789" s="144"/>
      <c r="N789" s="144"/>
      <c r="O789" s="144"/>
      <c r="P789" s="144"/>
      <c r="Q789" s="144"/>
      <c r="R789" s="144"/>
      <c r="S789" s="144"/>
      <c r="T789" s="144"/>
      <c r="U789" s="144"/>
      <c r="V789" s="144"/>
      <c r="W789" s="144"/>
      <c r="X789" s="144"/>
      <c r="Y789" s="144"/>
      <c r="Z789" s="144"/>
      <c r="AA789" s="144"/>
      <c r="AB789" s="144"/>
      <c r="AC789" s="144"/>
      <c r="AD789" s="144"/>
      <c r="AE789" s="144"/>
      <c r="AF789" s="144"/>
      <c r="AG789" s="144"/>
      <c r="AH789" s="144"/>
      <c r="AI789" s="144"/>
    </row>
    <row r="790" spans="7:35" hidden="1">
      <c r="G790" s="144"/>
      <c r="H790" s="144"/>
      <c r="I790" s="144"/>
      <c r="J790" s="144"/>
      <c r="K790" s="144"/>
      <c r="L790" s="144"/>
      <c r="M790" s="144"/>
      <c r="N790" s="144"/>
      <c r="O790" s="144"/>
      <c r="P790" s="144"/>
      <c r="Q790" s="144"/>
      <c r="R790" s="144"/>
      <c r="S790" s="144"/>
      <c r="T790" s="144"/>
      <c r="U790" s="144"/>
      <c r="V790" s="144"/>
      <c r="W790" s="144"/>
      <c r="X790" s="144"/>
      <c r="Y790" s="144"/>
      <c r="Z790" s="144"/>
      <c r="AA790" s="144"/>
      <c r="AB790" s="144"/>
      <c r="AC790" s="144"/>
      <c r="AD790" s="144"/>
      <c r="AE790" s="144"/>
      <c r="AF790" s="144"/>
      <c r="AG790" s="144"/>
      <c r="AH790" s="144"/>
      <c r="AI790" s="144"/>
    </row>
    <row r="791" spans="7:35" hidden="1">
      <c r="G791" s="144"/>
      <c r="H791" s="144"/>
      <c r="I791" s="144"/>
      <c r="J791" s="144"/>
      <c r="K791" s="144"/>
      <c r="L791" s="144"/>
      <c r="M791" s="144"/>
      <c r="N791" s="144"/>
      <c r="O791" s="144"/>
      <c r="P791" s="144"/>
      <c r="Q791" s="144"/>
      <c r="R791" s="144"/>
      <c r="S791" s="144"/>
      <c r="T791" s="144"/>
      <c r="U791" s="144"/>
      <c r="V791" s="144"/>
      <c r="W791" s="144"/>
      <c r="X791" s="144"/>
      <c r="Y791" s="144"/>
      <c r="Z791" s="144"/>
      <c r="AA791" s="144"/>
      <c r="AB791" s="144"/>
      <c r="AC791" s="144"/>
      <c r="AD791" s="144"/>
      <c r="AE791" s="144"/>
      <c r="AF791" s="144"/>
      <c r="AG791" s="144"/>
      <c r="AH791" s="144"/>
      <c r="AI791" s="144"/>
    </row>
    <row r="792" spans="7:35" hidden="1">
      <c r="G792" s="144"/>
      <c r="H792" s="144"/>
      <c r="I792" s="144"/>
      <c r="J792" s="144"/>
      <c r="K792" s="144"/>
      <c r="L792" s="144"/>
      <c r="M792" s="144"/>
      <c r="N792" s="144"/>
      <c r="O792" s="144"/>
      <c r="P792" s="144"/>
      <c r="Q792" s="144"/>
      <c r="R792" s="144"/>
      <c r="S792" s="144"/>
      <c r="T792" s="144"/>
      <c r="U792" s="144"/>
      <c r="V792" s="144"/>
      <c r="W792" s="144"/>
      <c r="X792" s="144"/>
      <c r="Y792" s="144"/>
      <c r="Z792" s="144"/>
      <c r="AA792" s="144"/>
      <c r="AB792" s="144"/>
      <c r="AC792" s="144"/>
      <c r="AD792" s="144"/>
      <c r="AE792" s="144"/>
      <c r="AF792" s="144"/>
      <c r="AG792" s="144"/>
      <c r="AH792" s="144"/>
      <c r="AI792" s="144"/>
    </row>
    <row r="793" spans="7:35" hidden="1">
      <c r="G793" s="144"/>
      <c r="H793" s="144"/>
      <c r="I793" s="144"/>
      <c r="J793" s="144"/>
      <c r="K793" s="144"/>
      <c r="L793" s="144"/>
      <c r="M793" s="144"/>
      <c r="N793" s="144"/>
      <c r="O793" s="144"/>
      <c r="P793" s="144"/>
      <c r="Q793" s="144"/>
      <c r="R793" s="144"/>
      <c r="S793" s="144"/>
      <c r="T793" s="144"/>
      <c r="U793" s="144"/>
      <c r="V793" s="144"/>
      <c r="W793" s="144"/>
      <c r="X793" s="144"/>
      <c r="Y793" s="144"/>
      <c r="Z793" s="144"/>
      <c r="AA793" s="144"/>
      <c r="AB793" s="144"/>
      <c r="AC793" s="144"/>
      <c r="AD793" s="144"/>
      <c r="AE793" s="144"/>
      <c r="AF793" s="144"/>
      <c r="AG793" s="144"/>
      <c r="AH793" s="144"/>
      <c r="AI793" s="144"/>
    </row>
    <row r="794" spans="7:35" hidden="1">
      <c r="G794" s="144"/>
      <c r="H794" s="144"/>
      <c r="I794" s="144"/>
      <c r="J794" s="144"/>
      <c r="K794" s="144"/>
      <c r="L794" s="144"/>
      <c r="M794" s="144"/>
      <c r="N794" s="144"/>
      <c r="O794" s="144"/>
      <c r="P794" s="144"/>
      <c r="Q794" s="144"/>
      <c r="R794" s="144"/>
      <c r="S794" s="144"/>
      <c r="T794" s="144"/>
      <c r="U794" s="144"/>
      <c r="V794" s="144"/>
      <c r="W794" s="144"/>
      <c r="X794" s="144"/>
      <c r="Y794" s="144"/>
      <c r="Z794" s="144"/>
      <c r="AA794" s="144"/>
      <c r="AB794" s="144"/>
      <c r="AC794" s="144"/>
      <c r="AD794" s="144"/>
      <c r="AE794" s="144"/>
      <c r="AF794" s="144"/>
      <c r="AG794" s="144"/>
      <c r="AH794" s="144"/>
      <c r="AI794" s="144"/>
    </row>
    <row r="795" spans="7:35" hidden="1">
      <c r="G795" s="144"/>
      <c r="H795" s="144"/>
      <c r="I795" s="144"/>
      <c r="J795" s="144"/>
      <c r="K795" s="144"/>
      <c r="L795" s="144"/>
      <c r="M795" s="144"/>
      <c r="N795" s="144"/>
      <c r="O795" s="144"/>
      <c r="P795" s="144"/>
      <c r="Q795" s="144"/>
      <c r="R795" s="144"/>
      <c r="S795" s="144"/>
      <c r="T795" s="144"/>
      <c r="U795" s="144"/>
      <c r="V795" s="144"/>
      <c r="W795" s="144"/>
      <c r="X795" s="144"/>
      <c r="Y795" s="144"/>
      <c r="Z795" s="144"/>
      <c r="AA795" s="144"/>
      <c r="AB795" s="144"/>
      <c r="AC795" s="144"/>
      <c r="AD795" s="144"/>
      <c r="AE795" s="144"/>
      <c r="AF795" s="144"/>
      <c r="AG795" s="144"/>
      <c r="AH795" s="144"/>
      <c r="AI795" s="144"/>
    </row>
    <row r="796" spans="7:35" hidden="1">
      <c r="G796" s="144"/>
      <c r="H796" s="144"/>
      <c r="I796" s="144"/>
      <c r="J796" s="144"/>
      <c r="K796" s="144"/>
      <c r="L796" s="144"/>
      <c r="M796" s="144"/>
      <c r="N796" s="144"/>
      <c r="O796" s="144"/>
      <c r="P796" s="144"/>
      <c r="Q796" s="144"/>
      <c r="R796" s="144"/>
      <c r="S796" s="144"/>
      <c r="T796" s="144"/>
      <c r="U796" s="144"/>
      <c r="V796" s="144"/>
      <c r="W796" s="144"/>
      <c r="X796" s="144"/>
      <c r="Y796" s="144"/>
      <c r="Z796" s="144"/>
      <c r="AA796" s="144"/>
      <c r="AB796" s="144"/>
      <c r="AC796" s="144"/>
      <c r="AD796" s="144"/>
      <c r="AE796" s="144"/>
      <c r="AF796" s="144"/>
      <c r="AG796" s="144"/>
      <c r="AH796" s="144"/>
      <c r="AI796" s="144"/>
    </row>
    <row r="797" spans="7:35" hidden="1">
      <c r="G797" s="144"/>
      <c r="H797" s="144"/>
      <c r="I797" s="144"/>
      <c r="J797" s="144"/>
      <c r="K797" s="144"/>
      <c r="L797" s="144"/>
      <c r="M797" s="144"/>
      <c r="N797" s="144"/>
      <c r="O797" s="144"/>
      <c r="P797" s="144"/>
      <c r="Q797" s="144"/>
      <c r="R797" s="144"/>
      <c r="S797" s="144"/>
      <c r="T797" s="144"/>
      <c r="U797" s="144"/>
      <c r="V797" s="144"/>
      <c r="W797" s="144"/>
      <c r="X797" s="144"/>
      <c r="Y797" s="144"/>
      <c r="Z797" s="144"/>
      <c r="AA797" s="144"/>
      <c r="AB797" s="144"/>
      <c r="AC797" s="144"/>
      <c r="AD797" s="144"/>
      <c r="AE797" s="144"/>
      <c r="AF797" s="144"/>
      <c r="AG797" s="144"/>
      <c r="AH797" s="144"/>
      <c r="AI797" s="144"/>
    </row>
    <row r="798" spans="7:35" hidden="1">
      <c r="G798" s="144"/>
      <c r="H798" s="144"/>
      <c r="I798" s="144"/>
      <c r="J798" s="144"/>
      <c r="K798" s="144"/>
      <c r="L798" s="144"/>
      <c r="M798" s="144"/>
      <c r="N798" s="144"/>
      <c r="O798" s="144"/>
      <c r="P798" s="144"/>
      <c r="Q798" s="144"/>
      <c r="R798" s="144"/>
      <c r="S798" s="144"/>
      <c r="T798" s="144"/>
      <c r="U798" s="144"/>
      <c r="V798" s="144"/>
      <c r="W798" s="144"/>
      <c r="X798" s="144"/>
      <c r="Y798" s="144"/>
      <c r="Z798" s="144"/>
      <c r="AA798" s="144"/>
      <c r="AB798" s="144"/>
      <c r="AC798" s="144"/>
      <c r="AD798" s="144"/>
      <c r="AE798" s="144"/>
      <c r="AF798" s="144"/>
      <c r="AG798" s="144"/>
      <c r="AH798" s="144"/>
      <c r="AI798" s="144"/>
    </row>
    <row r="799" spans="7:35" hidden="1">
      <c r="G799" s="144"/>
      <c r="H799" s="144"/>
      <c r="I799" s="144"/>
      <c r="J799" s="144"/>
      <c r="K799" s="144"/>
      <c r="L799" s="144"/>
      <c r="M799" s="144"/>
      <c r="N799" s="144"/>
      <c r="O799" s="144"/>
      <c r="P799" s="144"/>
      <c r="Q799" s="144"/>
      <c r="R799" s="144"/>
      <c r="S799" s="144"/>
      <c r="T799" s="144"/>
      <c r="U799" s="144"/>
      <c r="V799" s="144"/>
      <c r="W799" s="144"/>
      <c r="X799" s="144"/>
      <c r="Y799" s="144"/>
      <c r="Z799" s="144"/>
      <c r="AA799" s="144"/>
      <c r="AB799" s="144"/>
      <c r="AC799" s="144"/>
      <c r="AD799" s="144"/>
      <c r="AE799" s="144"/>
      <c r="AF799" s="144"/>
      <c r="AG799" s="144"/>
      <c r="AH799" s="144"/>
      <c r="AI799" s="144"/>
    </row>
    <row r="800" spans="7:35" hidden="1">
      <c r="G800" s="144"/>
      <c r="H800" s="144"/>
      <c r="I800" s="144"/>
      <c r="J800" s="144"/>
      <c r="K800" s="144"/>
      <c r="L800" s="144"/>
      <c r="M800" s="144"/>
      <c r="N800" s="144"/>
      <c r="O800" s="144"/>
      <c r="P800" s="144"/>
      <c r="Q800" s="144"/>
      <c r="R800" s="144"/>
      <c r="S800" s="144"/>
      <c r="T800" s="144"/>
      <c r="U800" s="144"/>
      <c r="V800" s="144"/>
      <c r="W800" s="144"/>
      <c r="X800" s="144"/>
      <c r="Y800" s="144"/>
      <c r="Z800" s="144"/>
      <c r="AA800" s="144"/>
      <c r="AB800" s="144"/>
      <c r="AC800" s="144"/>
      <c r="AD800" s="144"/>
      <c r="AE800" s="144"/>
      <c r="AF800" s="144"/>
      <c r="AG800" s="144"/>
      <c r="AH800" s="144"/>
      <c r="AI800" s="144"/>
    </row>
    <row r="801" spans="7:35" hidden="1">
      <c r="G801" s="144"/>
      <c r="H801" s="144"/>
      <c r="I801" s="144"/>
      <c r="J801" s="144"/>
      <c r="K801" s="144"/>
      <c r="L801" s="144"/>
      <c r="M801" s="144"/>
      <c r="N801" s="144"/>
      <c r="O801" s="144"/>
      <c r="P801" s="144"/>
      <c r="Q801" s="144"/>
      <c r="R801" s="144"/>
      <c r="S801" s="144"/>
      <c r="T801" s="144"/>
      <c r="U801" s="144"/>
      <c r="V801" s="144"/>
      <c r="W801" s="144"/>
      <c r="X801" s="144"/>
      <c r="Y801" s="144"/>
      <c r="Z801" s="144"/>
      <c r="AA801" s="144"/>
      <c r="AB801" s="144"/>
      <c r="AC801" s="144"/>
      <c r="AD801" s="144"/>
      <c r="AE801" s="144"/>
      <c r="AF801" s="144"/>
      <c r="AG801" s="144"/>
      <c r="AH801" s="144"/>
      <c r="AI801" s="144"/>
    </row>
    <row r="802" spans="7:35" hidden="1">
      <c r="G802" s="144"/>
      <c r="H802" s="144"/>
      <c r="I802" s="144"/>
      <c r="J802" s="144"/>
      <c r="K802" s="144"/>
      <c r="L802" s="144"/>
      <c r="M802" s="144"/>
      <c r="N802" s="144"/>
      <c r="O802" s="144"/>
      <c r="P802" s="144"/>
      <c r="Q802" s="144"/>
      <c r="R802" s="144"/>
      <c r="S802" s="144"/>
      <c r="T802" s="144"/>
      <c r="U802" s="144"/>
      <c r="V802" s="144"/>
      <c r="W802" s="144"/>
      <c r="X802" s="144"/>
      <c r="Y802" s="144"/>
      <c r="Z802" s="144"/>
      <c r="AA802" s="144"/>
      <c r="AB802" s="144"/>
      <c r="AC802" s="144"/>
      <c r="AD802" s="144"/>
      <c r="AE802" s="144"/>
      <c r="AF802" s="144"/>
      <c r="AG802" s="144"/>
      <c r="AH802" s="144"/>
      <c r="AI802" s="144"/>
    </row>
    <row r="803" spans="7:35" hidden="1">
      <c r="G803" s="144"/>
      <c r="H803" s="144"/>
      <c r="I803" s="144"/>
      <c r="J803" s="144"/>
      <c r="K803" s="144"/>
      <c r="L803" s="144"/>
      <c r="M803" s="144"/>
      <c r="N803" s="144"/>
      <c r="O803" s="144"/>
      <c r="P803" s="144"/>
      <c r="Q803" s="144"/>
      <c r="R803" s="144"/>
      <c r="S803" s="144"/>
      <c r="T803" s="144"/>
      <c r="U803" s="144"/>
      <c r="V803" s="144"/>
      <c r="W803" s="144"/>
      <c r="X803" s="144"/>
      <c r="Y803" s="144"/>
      <c r="Z803" s="144"/>
      <c r="AA803" s="144"/>
      <c r="AB803" s="144"/>
      <c r="AC803" s="144"/>
      <c r="AD803" s="144"/>
      <c r="AE803" s="144"/>
      <c r="AF803" s="144"/>
      <c r="AG803" s="144"/>
      <c r="AH803" s="144"/>
      <c r="AI803" s="144"/>
    </row>
    <row r="804" spans="7:35" hidden="1">
      <c r="G804" s="144"/>
      <c r="H804" s="144"/>
      <c r="I804" s="144"/>
      <c r="J804" s="144"/>
      <c r="K804" s="144"/>
      <c r="L804" s="144"/>
      <c r="M804" s="144"/>
      <c r="N804" s="144"/>
      <c r="O804" s="144"/>
      <c r="P804" s="144"/>
      <c r="Q804" s="144"/>
      <c r="R804" s="144"/>
      <c r="S804" s="144"/>
      <c r="T804" s="144"/>
      <c r="U804" s="144"/>
      <c r="V804" s="144"/>
      <c r="W804" s="144"/>
      <c r="X804" s="144"/>
      <c r="Y804" s="144"/>
      <c r="Z804" s="144"/>
      <c r="AA804" s="144"/>
      <c r="AB804" s="144"/>
      <c r="AC804" s="144"/>
      <c r="AD804" s="144"/>
      <c r="AE804" s="144"/>
      <c r="AF804" s="144"/>
      <c r="AG804" s="144"/>
      <c r="AH804" s="144"/>
      <c r="AI804" s="144"/>
    </row>
    <row r="805" spans="7:35" hidden="1">
      <c r="G805" s="144"/>
      <c r="H805" s="144"/>
      <c r="I805" s="144"/>
      <c r="J805" s="144"/>
      <c r="K805" s="144"/>
      <c r="L805" s="144"/>
      <c r="M805" s="144"/>
      <c r="N805" s="144"/>
      <c r="O805" s="144"/>
      <c r="P805" s="144"/>
      <c r="Q805" s="144"/>
      <c r="R805" s="144"/>
      <c r="S805" s="144"/>
      <c r="T805" s="144"/>
      <c r="U805" s="144"/>
      <c r="V805" s="144"/>
      <c r="W805" s="144"/>
      <c r="X805" s="144"/>
      <c r="Y805" s="144"/>
      <c r="Z805" s="144"/>
      <c r="AA805" s="144"/>
      <c r="AB805" s="144"/>
      <c r="AC805" s="144"/>
      <c r="AD805" s="144"/>
      <c r="AE805" s="144"/>
      <c r="AF805" s="144"/>
      <c r="AG805" s="144"/>
      <c r="AH805" s="144"/>
      <c r="AI805" s="144"/>
    </row>
    <row r="806" spans="7:35" hidden="1">
      <c r="G806" s="144"/>
      <c r="H806" s="144"/>
      <c r="I806" s="144"/>
      <c r="J806" s="144"/>
      <c r="K806" s="144"/>
      <c r="L806" s="144"/>
      <c r="M806" s="144"/>
      <c r="N806" s="144"/>
      <c r="O806" s="144"/>
      <c r="P806" s="144"/>
      <c r="Q806" s="144"/>
      <c r="R806" s="144"/>
      <c r="S806" s="144"/>
      <c r="T806" s="144"/>
      <c r="U806" s="144"/>
      <c r="V806" s="144"/>
      <c r="W806" s="144"/>
      <c r="X806" s="144"/>
      <c r="Y806" s="144"/>
      <c r="Z806" s="144"/>
      <c r="AA806" s="144"/>
      <c r="AB806" s="144"/>
      <c r="AC806" s="144"/>
      <c r="AD806" s="144"/>
      <c r="AE806" s="144"/>
      <c r="AF806" s="144"/>
      <c r="AG806" s="144"/>
      <c r="AH806" s="144"/>
      <c r="AI806" s="144"/>
    </row>
    <row r="807" spans="7:35" hidden="1">
      <c r="G807" s="144"/>
      <c r="H807" s="144"/>
      <c r="I807" s="144"/>
      <c r="J807" s="144"/>
      <c r="K807" s="144"/>
      <c r="L807" s="144"/>
      <c r="M807" s="144"/>
      <c r="N807" s="144"/>
      <c r="O807" s="144"/>
      <c r="P807" s="144"/>
      <c r="Q807" s="144"/>
      <c r="R807" s="144"/>
      <c r="S807" s="144"/>
      <c r="T807" s="144"/>
      <c r="U807" s="144"/>
      <c r="V807" s="144"/>
      <c r="W807" s="144"/>
      <c r="X807" s="144"/>
      <c r="Y807" s="144"/>
      <c r="Z807" s="144"/>
      <c r="AA807" s="144"/>
      <c r="AB807" s="144"/>
      <c r="AC807" s="144"/>
      <c r="AD807" s="144"/>
      <c r="AE807" s="144"/>
      <c r="AF807" s="144"/>
      <c r="AG807" s="144"/>
      <c r="AH807" s="144"/>
      <c r="AI807" s="144"/>
    </row>
    <row r="808" spans="7:35" hidden="1">
      <c r="G808" s="144"/>
      <c r="H808" s="144"/>
      <c r="I808" s="144"/>
      <c r="J808" s="144"/>
      <c r="K808" s="144"/>
      <c r="L808" s="144"/>
      <c r="M808" s="144"/>
      <c r="N808" s="144"/>
      <c r="O808" s="144"/>
      <c r="P808" s="144"/>
      <c r="Q808" s="144"/>
      <c r="R808" s="144"/>
      <c r="S808" s="144"/>
      <c r="T808" s="144"/>
      <c r="U808" s="144"/>
      <c r="V808" s="144"/>
      <c r="W808" s="144"/>
      <c r="X808" s="144"/>
      <c r="Y808" s="144"/>
      <c r="Z808" s="144"/>
      <c r="AA808" s="144"/>
      <c r="AB808" s="144"/>
      <c r="AC808" s="144"/>
      <c r="AD808" s="144"/>
      <c r="AE808" s="144"/>
      <c r="AF808" s="144"/>
      <c r="AG808" s="144"/>
      <c r="AH808" s="144"/>
      <c r="AI808" s="144"/>
    </row>
    <row r="809" spans="7:35" hidden="1">
      <c r="G809" s="144"/>
      <c r="H809" s="144"/>
      <c r="I809" s="144"/>
      <c r="J809" s="144"/>
      <c r="K809" s="144"/>
      <c r="L809" s="144"/>
      <c r="M809" s="144"/>
      <c r="N809" s="144"/>
      <c r="O809" s="144"/>
      <c r="P809" s="144"/>
      <c r="Q809" s="144"/>
      <c r="R809" s="144"/>
      <c r="S809" s="144"/>
      <c r="T809" s="144"/>
      <c r="U809" s="144"/>
      <c r="V809" s="144"/>
      <c r="W809" s="144"/>
      <c r="X809" s="144"/>
      <c r="Y809" s="144"/>
      <c r="Z809" s="144"/>
      <c r="AA809" s="144"/>
      <c r="AB809" s="144"/>
      <c r="AC809" s="144"/>
      <c r="AD809" s="144"/>
      <c r="AE809" s="144"/>
      <c r="AF809" s="144"/>
      <c r="AG809" s="144"/>
      <c r="AH809" s="144"/>
      <c r="AI809" s="144"/>
    </row>
    <row r="810" spans="7:35" hidden="1">
      <c r="G810" s="144"/>
      <c r="H810" s="144"/>
      <c r="I810" s="144"/>
      <c r="J810" s="144"/>
      <c r="K810" s="144"/>
      <c r="L810" s="144"/>
      <c r="M810" s="144"/>
      <c r="N810" s="144"/>
      <c r="O810" s="144"/>
      <c r="P810" s="144"/>
      <c r="Q810" s="144"/>
      <c r="R810" s="144"/>
      <c r="S810" s="144"/>
      <c r="T810" s="144"/>
      <c r="U810" s="144"/>
      <c r="V810" s="144"/>
      <c r="W810" s="144"/>
      <c r="X810" s="144"/>
      <c r="Y810" s="144"/>
      <c r="Z810" s="144"/>
      <c r="AA810" s="144"/>
      <c r="AB810" s="144"/>
      <c r="AC810" s="144"/>
      <c r="AD810" s="144"/>
      <c r="AE810" s="144"/>
      <c r="AF810" s="144"/>
      <c r="AG810" s="144"/>
      <c r="AH810" s="144"/>
      <c r="AI810" s="144"/>
    </row>
    <row r="811" spans="7:35" hidden="1">
      <c r="G811" s="144"/>
      <c r="H811" s="144"/>
      <c r="I811" s="144"/>
      <c r="J811" s="144"/>
      <c r="K811" s="144"/>
      <c r="L811" s="144"/>
      <c r="M811" s="144"/>
      <c r="N811" s="144"/>
      <c r="O811" s="144"/>
      <c r="P811" s="144"/>
      <c r="Q811" s="144"/>
      <c r="R811" s="144"/>
      <c r="S811" s="144"/>
      <c r="T811" s="144"/>
      <c r="U811" s="144"/>
      <c r="V811" s="144"/>
      <c r="W811" s="144"/>
      <c r="X811" s="144"/>
      <c r="Y811" s="144"/>
      <c r="Z811" s="144"/>
      <c r="AA811" s="144"/>
      <c r="AB811" s="144"/>
      <c r="AC811" s="144"/>
      <c r="AD811" s="144"/>
      <c r="AE811" s="144"/>
      <c r="AF811" s="144"/>
      <c r="AG811" s="144"/>
      <c r="AH811" s="144"/>
      <c r="AI811" s="144"/>
    </row>
    <row r="812" spans="7:35" hidden="1">
      <c r="G812" s="144"/>
      <c r="H812" s="144"/>
      <c r="I812" s="144"/>
      <c r="J812" s="144"/>
      <c r="K812" s="144"/>
      <c r="L812" s="144"/>
      <c r="M812" s="144"/>
      <c r="N812" s="144"/>
      <c r="O812" s="144"/>
      <c r="P812" s="144"/>
      <c r="Q812" s="144"/>
      <c r="R812" s="144"/>
      <c r="S812" s="144"/>
      <c r="T812" s="144"/>
      <c r="U812" s="144"/>
      <c r="V812" s="144"/>
      <c r="W812" s="144"/>
      <c r="X812" s="144"/>
      <c r="Y812" s="144"/>
      <c r="Z812" s="144"/>
      <c r="AA812" s="144"/>
      <c r="AB812" s="144"/>
      <c r="AC812" s="144"/>
      <c r="AD812" s="144"/>
      <c r="AE812" s="144"/>
      <c r="AF812" s="144"/>
      <c r="AG812" s="144"/>
      <c r="AH812" s="144"/>
      <c r="AI812" s="144"/>
    </row>
    <row r="813" spans="7:35" hidden="1">
      <c r="G813" s="144"/>
      <c r="H813" s="144"/>
      <c r="I813" s="144"/>
      <c r="J813" s="144"/>
      <c r="K813" s="144"/>
      <c r="L813" s="144"/>
      <c r="M813" s="144"/>
      <c r="N813" s="144"/>
      <c r="O813" s="144"/>
      <c r="P813" s="144"/>
      <c r="Q813" s="144"/>
      <c r="R813" s="144"/>
      <c r="S813" s="144"/>
      <c r="T813" s="144"/>
      <c r="U813" s="144"/>
      <c r="V813" s="144"/>
      <c r="W813" s="144"/>
      <c r="X813" s="144"/>
      <c r="Y813" s="144"/>
      <c r="Z813" s="144"/>
      <c r="AA813" s="144"/>
      <c r="AB813" s="144"/>
      <c r="AC813" s="144"/>
      <c r="AD813" s="144"/>
      <c r="AE813" s="144"/>
      <c r="AF813" s="144"/>
      <c r="AG813" s="144"/>
      <c r="AH813" s="144"/>
      <c r="AI813" s="144"/>
    </row>
    <row r="814" spans="7:35" hidden="1">
      <c r="G814" s="144"/>
      <c r="H814" s="144"/>
      <c r="I814" s="144"/>
      <c r="J814" s="144"/>
      <c r="K814" s="144"/>
      <c r="L814" s="144"/>
      <c r="M814" s="144"/>
      <c r="N814" s="144"/>
      <c r="O814" s="144"/>
      <c r="P814" s="144"/>
      <c r="Q814" s="144"/>
      <c r="R814" s="144"/>
      <c r="S814" s="144"/>
      <c r="T814" s="144"/>
      <c r="U814" s="144"/>
      <c r="V814" s="144"/>
      <c r="W814" s="144"/>
      <c r="X814" s="144"/>
      <c r="Y814" s="144"/>
      <c r="Z814" s="144"/>
      <c r="AA814" s="144"/>
      <c r="AB814" s="144"/>
      <c r="AC814" s="144"/>
      <c r="AD814" s="144"/>
      <c r="AE814" s="144"/>
      <c r="AF814" s="144"/>
      <c r="AG814" s="144"/>
      <c r="AH814" s="144"/>
      <c r="AI814" s="144"/>
    </row>
    <row r="815" spans="7:35" hidden="1">
      <c r="G815" s="144"/>
      <c r="H815" s="144"/>
      <c r="I815" s="144"/>
      <c r="J815" s="144"/>
      <c r="K815" s="144"/>
      <c r="L815" s="144"/>
      <c r="M815" s="144"/>
      <c r="N815" s="144"/>
      <c r="O815" s="144"/>
      <c r="P815" s="144"/>
      <c r="Q815" s="144"/>
      <c r="R815" s="144"/>
      <c r="S815" s="144"/>
      <c r="T815" s="144"/>
      <c r="U815" s="144"/>
      <c r="V815" s="144"/>
      <c r="W815" s="144"/>
      <c r="X815" s="144"/>
      <c r="Y815" s="144"/>
      <c r="Z815" s="144"/>
      <c r="AA815" s="144"/>
      <c r="AB815" s="144"/>
      <c r="AC815" s="144"/>
      <c r="AD815" s="144"/>
      <c r="AE815" s="144"/>
      <c r="AF815" s="144"/>
      <c r="AG815" s="144"/>
      <c r="AH815" s="144"/>
      <c r="AI815" s="144"/>
    </row>
    <row r="816" spans="7:35" hidden="1">
      <c r="G816" s="144"/>
      <c r="H816" s="144"/>
      <c r="I816" s="144"/>
      <c r="J816" s="144"/>
      <c r="K816" s="144"/>
      <c r="L816" s="144"/>
      <c r="M816" s="144"/>
      <c r="N816" s="144"/>
      <c r="O816" s="144"/>
      <c r="P816" s="144"/>
      <c r="Q816" s="144"/>
      <c r="R816" s="144"/>
      <c r="S816" s="144"/>
      <c r="T816" s="144"/>
      <c r="U816" s="144"/>
      <c r="V816" s="144"/>
      <c r="W816" s="144"/>
      <c r="X816" s="144"/>
      <c r="Y816" s="144"/>
      <c r="Z816" s="144"/>
      <c r="AA816" s="144"/>
      <c r="AB816" s="144"/>
      <c r="AC816" s="144"/>
      <c r="AD816" s="144"/>
      <c r="AE816" s="144"/>
      <c r="AF816" s="144"/>
      <c r="AG816" s="144"/>
      <c r="AH816" s="144"/>
      <c r="AI816" s="144"/>
    </row>
    <row r="817" spans="7:35" hidden="1">
      <c r="G817" s="144"/>
      <c r="H817" s="144"/>
      <c r="I817" s="144"/>
      <c r="J817" s="144"/>
      <c r="K817" s="144"/>
      <c r="L817" s="144"/>
      <c r="M817" s="144"/>
      <c r="N817" s="144"/>
      <c r="O817" s="144"/>
      <c r="P817" s="144"/>
      <c r="Q817" s="144"/>
      <c r="R817" s="144"/>
      <c r="S817" s="144"/>
      <c r="T817" s="144"/>
      <c r="U817" s="144"/>
      <c r="V817" s="144"/>
      <c r="W817" s="144"/>
      <c r="X817" s="144"/>
      <c r="Y817" s="144"/>
      <c r="Z817" s="144"/>
      <c r="AA817" s="144"/>
      <c r="AB817" s="144"/>
      <c r="AC817" s="144"/>
      <c r="AD817" s="144"/>
      <c r="AE817" s="144"/>
      <c r="AF817" s="144"/>
      <c r="AG817" s="144"/>
      <c r="AH817" s="144"/>
      <c r="AI817" s="144"/>
    </row>
    <row r="818" spans="7:35" hidden="1">
      <c r="G818" s="144"/>
      <c r="H818" s="144"/>
      <c r="I818" s="144"/>
      <c r="J818" s="144"/>
      <c r="K818" s="144"/>
      <c r="L818" s="144"/>
      <c r="M818" s="144"/>
      <c r="N818" s="144"/>
      <c r="O818" s="144"/>
      <c r="P818" s="144"/>
      <c r="Q818" s="144"/>
      <c r="R818" s="144"/>
      <c r="S818" s="144"/>
      <c r="T818" s="144"/>
      <c r="U818" s="144"/>
      <c r="V818" s="144"/>
      <c r="W818" s="144"/>
      <c r="X818" s="144"/>
      <c r="Y818" s="144"/>
      <c r="Z818" s="144"/>
      <c r="AA818" s="144"/>
      <c r="AB818" s="144"/>
      <c r="AC818" s="144"/>
      <c r="AD818" s="144"/>
      <c r="AE818" s="144"/>
      <c r="AF818" s="144"/>
      <c r="AG818" s="144"/>
      <c r="AH818" s="144"/>
      <c r="AI818" s="144"/>
    </row>
    <row r="819" spans="7:35" hidden="1">
      <c r="G819" s="144"/>
      <c r="H819" s="144"/>
      <c r="I819" s="144"/>
      <c r="J819" s="144"/>
      <c r="K819" s="144"/>
      <c r="L819" s="144"/>
      <c r="M819" s="144"/>
      <c r="N819" s="144"/>
      <c r="O819" s="144"/>
      <c r="P819" s="144"/>
      <c r="Q819" s="144"/>
      <c r="R819" s="144"/>
      <c r="S819" s="144"/>
      <c r="T819" s="144"/>
      <c r="U819" s="144"/>
      <c r="V819" s="144"/>
      <c r="W819" s="144"/>
      <c r="X819" s="144"/>
      <c r="Y819" s="144"/>
      <c r="Z819" s="144"/>
      <c r="AA819" s="144"/>
      <c r="AB819" s="144"/>
      <c r="AC819" s="144"/>
      <c r="AD819" s="144"/>
      <c r="AE819" s="144"/>
      <c r="AF819" s="144"/>
      <c r="AG819" s="144"/>
      <c r="AH819" s="144"/>
      <c r="AI819" s="144"/>
    </row>
    <row r="820" spans="7:35" hidden="1">
      <c r="G820" s="144"/>
      <c r="H820" s="144"/>
      <c r="I820" s="144"/>
      <c r="J820" s="144"/>
      <c r="K820" s="144"/>
      <c r="L820" s="144"/>
      <c r="M820" s="144"/>
      <c r="N820" s="144"/>
      <c r="O820" s="144"/>
      <c r="P820" s="144"/>
      <c r="Q820" s="144"/>
      <c r="R820" s="144"/>
      <c r="S820" s="144"/>
      <c r="T820" s="144"/>
      <c r="U820" s="144"/>
      <c r="V820" s="144"/>
      <c r="W820" s="144"/>
      <c r="X820" s="144"/>
      <c r="Y820" s="144"/>
      <c r="Z820" s="144"/>
      <c r="AA820" s="144"/>
      <c r="AB820" s="144"/>
      <c r="AC820" s="144"/>
      <c r="AD820" s="144"/>
      <c r="AE820" s="144"/>
      <c r="AF820" s="144"/>
      <c r="AG820" s="144"/>
      <c r="AH820" s="144"/>
      <c r="AI820" s="144"/>
    </row>
    <row r="821" spans="7:35" hidden="1">
      <c r="G821" s="144"/>
      <c r="H821" s="144"/>
      <c r="I821" s="144"/>
      <c r="J821" s="144"/>
      <c r="K821" s="144"/>
      <c r="L821" s="144"/>
      <c r="M821" s="144"/>
      <c r="N821" s="144"/>
      <c r="O821" s="144"/>
      <c r="P821" s="144"/>
      <c r="Q821" s="144"/>
      <c r="R821" s="144"/>
      <c r="S821" s="144"/>
      <c r="T821" s="144"/>
      <c r="U821" s="144"/>
      <c r="V821" s="144"/>
      <c r="W821" s="144"/>
      <c r="X821" s="144"/>
      <c r="Y821" s="144"/>
      <c r="Z821" s="144"/>
      <c r="AA821" s="144"/>
      <c r="AB821" s="144"/>
      <c r="AC821" s="144"/>
      <c r="AD821" s="144"/>
      <c r="AE821" s="144"/>
      <c r="AF821" s="144"/>
      <c r="AG821" s="144"/>
      <c r="AH821" s="144"/>
      <c r="AI821" s="144"/>
    </row>
    <row r="822" spans="7:35" hidden="1">
      <c r="G822" s="144"/>
      <c r="H822" s="144"/>
      <c r="I822" s="144"/>
      <c r="J822" s="144"/>
      <c r="K822" s="144"/>
      <c r="L822" s="144"/>
      <c r="M822" s="144"/>
      <c r="N822" s="144"/>
      <c r="O822" s="144"/>
      <c r="P822" s="144"/>
      <c r="Q822" s="144"/>
      <c r="R822" s="144"/>
      <c r="S822" s="144"/>
      <c r="T822" s="144"/>
      <c r="U822" s="144"/>
      <c r="V822" s="144"/>
      <c r="W822" s="144"/>
      <c r="X822" s="144"/>
      <c r="Y822" s="144"/>
      <c r="Z822" s="144"/>
      <c r="AA822" s="144"/>
      <c r="AB822" s="144"/>
      <c r="AC822" s="144"/>
      <c r="AD822" s="144"/>
      <c r="AE822" s="144"/>
      <c r="AF822" s="144"/>
      <c r="AG822" s="144"/>
      <c r="AH822" s="144"/>
      <c r="AI822" s="144"/>
    </row>
    <row r="823" spans="7:35" hidden="1">
      <c r="G823" s="144"/>
      <c r="H823" s="144"/>
      <c r="I823" s="144"/>
      <c r="J823" s="144"/>
      <c r="K823" s="144"/>
      <c r="L823" s="144"/>
      <c r="M823" s="144"/>
      <c r="N823" s="144"/>
      <c r="O823" s="144"/>
      <c r="P823" s="144"/>
      <c r="Q823" s="144"/>
      <c r="R823" s="144"/>
      <c r="S823" s="144"/>
      <c r="T823" s="144"/>
      <c r="U823" s="144"/>
      <c r="V823" s="144"/>
      <c r="W823" s="144"/>
      <c r="X823" s="144"/>
      <c r="Y823" s="144"/>
      <c r="Z823" s="144"/>
      <c r="AA823" s="144"/>
      <c r="AB823" s="144"/>
      <c r="AC823" s="144"/>
      <c r="AD823" s="144"/>
      <c r="AE823" s="144"/>
      <c r="AF823" s="144"/>
      <c r="AG823" s="144"/>
      <c r="AH823" s="144"/>
      <c r="AI823" s="144"/>
    </row>
    <row r="824" spans="7:35" hidden="1">
      <c r="G824" s="144"/>
      <c r="H824" s="144"/>
      <c r="I824" s="144"/>
      <c r="J824" s="144"/>
      <c r="K824" s="144"/>
      <c r="L824" s="144"/>
      <c r="M824" s="144"/>
      <c r="N824" s="144"/>
      <c r="O824" s="144"/>
      <c r="P824" s="144"/>
      <c r="Q824" s="144"/>
      <c r="R824" s="144"/>
      <c r="S824" s="144"/>
      <c r="T824" s="144"/>
      <c r="U824" s="144"/>
      <c r="V824" s="144"/>
      <c r="W824" s="144"/>
      <c r="X824" s="144"/>
      <c r="Y824" s="144"/>
      <c r="Z824" s="144"/>
      <c r="AA824" s="144"/>
      <c r="AB824" s="144"/>
      <c r="AC824" s="144"/>
      <c r="AD824" s="144"/>
      <c r="AE824" s="144"/>
      <c r="AF824" s="144"/>
      <c r="AG824" s="144"/>
      <c r="AH824" s="144"/>
      <c r="AI824" s="144"/>
    </row>
    <row r="825" spans="7:35" hidden="1">
      <c r="G825" s="144"/>
      <c r="H825" s="144"/>
      <c r="I825" s="144"/>
      <c r="J825" s="144"/>
      <c r="K825" s="144"/>
      <c r="L825" s="144"/>
      <c r="M825" s="144"/>
      <c r="N825" s="144"/>
      <c r="O825" s="144"/>
      <c r="P825" s="144"/>
      <c r="Q825" s="144"/>
      <c r="R825" s="144"/>
      <c r="S825" s="144"/>
      <c r="T825" s="144"/>
      <c r="U825" s="144"/>
      <c r="V825" s="144"/>
      <c r="W825" s="144"/>
      <c r="X825" s="144"/>
      <c r="Y825" s="144"/>
      <c r="Z825" s="144"/>
      <c r="AA825" s="144"/>
      <c r="AB825" s="144"/>
      <c r="AC825" s="144"/>
      <c r="AD825" s="144"/>
      <c r="AE825" s="144"/>
      <c r="AF825" s="144"/>
      <c r="AG825" s="144"/>
      <c r="AH825" s="144"/>
      <c r="AI825" s="144"/>
    </row>
    <row r="826" spans="7:35" hidden="1">
      <c r="G826" s="144"/>
      <c r="H826" s="144"/>
      <c r="I826" s="144"/>
      <c r="J826" s="144"/>
      <c r="K826" s="144"/>
      <c r="L826" s="144"/>
      <c r="M826" s="144"/>
      <c r="N826" s="144"/>
      <c r="O826" s="144"/>
      <c r="P826" s="144"/>
      <c r="Q826" s="144"/>
      <c r="R826" s="144"/>
      <c r="S826" s="144"/>
      <c r="T826" s="144"/>
      <c r="U826" s="144"/>
      <c r="V826" s="144"/>
      <c r="W826" s="144"/>
      <c r="X826" s="144"/>
      <c r="Y826" s="144"/>
      <c r="Z826" s="144"/>
      <c r="AA826" s="144"/>
      <c r="AB826" s="144"/>
      <c r="AC826" s="144"/>
      <c r="AD826" s="144"/>
      <c r="AE826" s="144"/>
      <c r="AF826" s="144"/>
      <c r="AG826" s="144"/>
      <c r="AH826" s="144"/>
      <c r="AI826" s="144"/>
    </row>
    <row r="827" spans="7:35" hidden="1">
      <c r="G827" s="144"/>
      <c r="H827" s="144"/>
      <c r="I827" s="144"/>
      <c r="J827" s="144"/>
      <c r="K827" s="144"/>
      <c r="L827" s="144"/>
      <c r="M827" s="144"/>
      <c r="N827" s="144"/>
      <c r="O827" s="144"/>
      <c r="P827" s="144"/>
      <c r="Q827" s="144"/>
      <c r="R827" s="144"/>
      <c r="S827" s="144"/>
      <c r="T827" s="144"/>
      <c r="U827" s="144"/>
      <c r="V827" s="144"/>
      <c r="W827" s="144"/>
      <c r="X827" s="144"/>
      <c r="Y827" s="144"/>
      <c r="Z827" s="144"/>
      <c r="AA827" s="144"/>
      <c r="AB827" s="144"/>
      <c r="AC827" s="144"/>
      <c r="AD827" s="144"/>
      <c r="AE827" s="144"/>
      <c r="AF827" s="144"/>
      <c r="AG827" s="144"/>
      <c r="AH827" s="144"/>
      <c r="AI827" s="144"/>
    </row>
    <row r="828" spans="7:35" hidden="1">
      <c r="G828" s="144"/>
      <c r="H828" s="144"/>
      <c r="I828" s="144"/>
      <c r="J828" s="144"/>
      <c r="K828" s="144"/>
      <c r="L828" s="144"/>
      <c r="M828" s="144"/>
      <c r="N828" s="144"/>
      <c r="O828" s="144"/>
      <c r="P828" s="144"/>
      <c r="Q828" s="144"/>
      <c r="R828" s="144"/>
      <c r="S828" s="144"/>
      <c r="T828" s="144"/>
      <c r="U828" s="144"/>
      <c r="V828" s="144"/>
      <c r="W828" s="144"/>
      <c r="X828" s="144"/>
      <c r="Y828" s="144"/>
      <c r="Z828" s="144"/>
      <c r="AA828" s="144"/>
      <c r="AB828" s="144"/>
      <c r="AC828" s="144"/>
      <c r="AD828" s="144"/>
      <c r="AE828" s="144"/>
      <c r="AF828" s="144"/>
      <c r="AG828" s="144"/>
      <c r="AH828" s="144"/>
      <c r="AI828" s="144"/>
    </row>
    <row r="829" spans="7:35" hidden="1">
      <c r="G829" s="144"/>
      <c r="H829" s="144"/>
      <c r="I829" s="144"/>
      <c r="J829" s="144"/>
      <c r="K829" s="144"/>
      <c r="L829" s="144"/>
      <c r="M829" s="144"/>
      <c r="N829" s="144"/>
      <c r="O829" s="144"/>
      <c r="P829" s="144"/>
      <c r="Q829" s="144"/>
      <c r="R829" s="144"/>
      <c r="S829" s="144"/>
      <c r="T829" s="144"/>
      <c r="U829" s="144"/>
      <c r="V829" s="144"/>
      <c r="W829" s="144"/>
      <c r="X829" s="144"/>
      <c r="Y829" s="144"/>
      <c r="Z829" s="144"/>
      <c r="AA829" s="144"/>
      <c r="AB829" s="144"/>
      <c r="AC829" s="144"/>
      <c r="AD829" s="144"/>
      <c r="AE829" s="144"/>
      <c r="AF829" s="144"/>
      <c r="AG829" s="144"/>
      <c r="AH829" s="144"/>
      <c r="AI829" s="144"/>
    </row>
    <row r="830" spans="7:35" hidden="1">
      <c r="G830" s="144"/>
      <c r="H830" s="144"/>
      <c r="I830" s="144"/>
      <c r="J830" s="144"/>
      <c r="K830" s="144"/>
      <c r="L830" s="144"/>
      <c r="M830" s="144"/>
      <c r="N830" s="144"/>
      <c r="O830" s="144"/>
      <c r="P830" s="144"/>
      <c r="Q830" s="144"/>
      <c r="R830" s="144"/>
      <c r="S830" s="144"/>
      <c r="T830" s="144"/>
      <c r="U830" s="144"/>
      <c r="V830" s="144"/>
      <c r="W830" s="144"/>
      <c r="X830" s="144"/>
      <c r="Y830" s="144"/>
      <c r="Z830" s="144"/>
      <c r="AA830" s="144"/>
      <c r="AB830" s="144"/>
      <c r="AC830" s="144"/>
      <c r="AD830" s="144"/>
      <c r="AE830" s="144"/>
      <c r="AF830" s="144"/>
      <c r="AG830" s="144"/>
      <c r="AH830" s="144"/>
      <c r="AI830" s="144"/>
    </row>
    <row r="831" spans="7:35" hidden="1">
      <c r="G831" s="144"/>
      <c r="H831" s="144"/>
      <c r="I831" s="144"/>
      <c r="J831" s="144"/>
      <c r="K831" s="144"/>
      <c r="L831" s="144"/>
      <c r="M831" s="144"/>
      <c r="N831" s="144"/>
      <c r="O831" s="144"/>
      <c r="P831" s="144"/>
      <c r="Q831" s="144"/>
      <c r="R831" s="144"/>
      <c r="S831" s="144"/>
      <c r="T831" s="144"/>
      <c r="U831" s="144"/>
      <c r="V831" s="144"/>
      <c r="W831" s="144"/>
      <c r="X831" s="144"/>
      <c r="Y831" s="144"/>
      <c r="Z831" s="144"/>
      <c r="AA831" s="144"/>
      <c r="AB831" s="144"/>
      <c r="AC831" s="144"/>
      <c r="AD831" s="144"/>
      <c r="AE831" s="144"/>
      <c r="AF831" s="144"/>
      <c r="AG831" s="144"/>
      <c r="AH831" s="144"/>
      <c r="AI831" s="144"/>
    </row>
    <row r="832" spans="7:35" hidden="1">
      <c r="G832" s="144"/>
      <c r="H832" s="144"/>
      <c r="I832" s="144"/>
      <c r="J832" s="144"/>
      <c r="K832" s="144"/>
      <c r="L832" s="144"/>
      <c r="M832" s="144"/>
      <c r="N832" s="144"/>
      <c r="O832" s="144"/>
      <c r="P832" s="144"/>
      <c r="Q832" s="144"/>
      <c r="R832" s="144"/>
      <c r="S832" s="144"/>
      <c r="T832" s="144"/>
      <c r="U832" s="144"/>
      <c r="V832" s="144"/>
      <c r="W832" s="144"/>
      <c r="X832" s="144"/>
      <c r="Y832" s="144"/>
      <c r="Z832" s="144"/>
      <c r="AA832" s="144"/>
      <c r="AB832" s="144"/>
      <c r="AC832" s="144"/>
      <c r="AD832" s="144"/>
      <c r="AE832" s="144"/>
      <c r="AF832" s="144"/>
      <c r="AG832" s="144"/>
      <c r="AH832" s="144"/>
      <c r="AI832" s="144"/>
    </row>
    <row r="833" spans="7:35" hidden="1">
      <c r="G833" s="144"/>
      <c r="H833" s="144"/>
      <c r="I833" s="144"/>
      <c r="J833" s="144"/>
      <c r="K833" s="144"/>
      <c r="L833" s="144"/>
      <c r="M833" s="144"/>
      <c r="N833" s="144"/>
      <c r="O833" s="144"/>
      <c r="P833" s="144"/>
      <c r="Q833" s="144"/>
      <c r="R833" s="144"/>
      <c r="S833" s="144"/>
      <c r="T833" s="144"/>
      <c r="U833" s="144"/>
      <c r="V833" s="144"/>
      <c r="W833" s="144"/>
      <c r="X833" s="144"/>
      <c r="Y833" s="144"/>
      <c r="Z833" s="144"/>
      <c r="AA833" s="144"/>
      <c r="AB833" s="144"/>
      <c r="AC833" s="144"/>
      <c r="AD833" s="144"/>
      <c r="AE833" s="144"/>
      <c r="AF833" s="144"/>
      <c r="AG833" s="144"/>
      <c r="AH833" s="144"/>
      <c r="AI833" s="144"/>
    </row>
    <row r="834" spans="7:35" hidden="1">
      <c r="G834" s="144"/>
      <c r="H834" s="144"/>
      <c r="I834" s="144"/>
      <c r="J834" s="144"/>
      <c r="K834" s="144"/>
      <c r="L834" s="144"/>
      <c r="M834" s="144"/>
      <c r="N834" s="144"/>
      <c r="O834" s="144"/>
      <c r="P834" s="144"/>
      <c r="Q834" s="144"/>
      <c r="R834" s="144"/>
      <c r="S834" s="144"/>
      <c r="T834" s="144"/>
      <c r="U834" s="144"/>
      <c r="V834" s="144"/>
      <c r="W834" s="144"/>
      <c r="X834" s="144"/>
      <c r="Y834" s="144"/>
      <c r="Z834" s="144"/>
      <c r="AA834" s="144"/>
      <c r="AB834" s="144"/>
      <c r="AC834" s="144"/>
      <c r="AD834" s="144"/>
      <c r="AE834" s="144"/>
      <c r="AF834" s="144"/>
      <c r="AG834" s="144"/>
      <c r="AH834" s="144"/>
      <c r="AI834" s="144"/>
    </row>
    <row r="835" spans="7:35" hidden="1">
      <c r="G835" s="144"/>
      <c r="H835" s="144"/>
      <c r="I835" s="144"/>
      <c r="J835" s="144"/>
      <c r="K835" s="144"/>
      <c r="L835" s="144"/>
      <c r="M835" s="144"/>
      <c r="N835" s="144"/>
      <c r="O835" s="144"/>
      <c r="P835" s="144"/>
      <c r="Q835" s="144"/>
      <c r="R835" s="144"/>
      <c r="S835" s="144"/>
      <c r="T835" s="144"/>
      <c r="U835" s="144"/>
      <c r="V835" s="144"/>
      <c r="W835" s="144"/>
      <c r="X835" s="144"/>
      <c r="Y835" s="144"/>
      <c r="Z835" s="144"/>
      <c r="AA835" s="144"/>
      <c r="AB835" s="144"/>
      <c r="AC835" s="144"/>
      <c r="AD835" s="144"/>
      <c r="AE835" s="144"/>
      <c r="AF835" s="144"/>
      <c r="AG835" s="144"/>
      <c r="AH835" s="144"/>
      <c r="AI835" s="144"/>
    </row>
    <row r="836" spans="7:35" hidden="1">
      <c r="G836" s="144"/>
      <c r="H836" s="144"/>
      <c r="I836" s="144"/>
      <c r="J836" s="144"/>
      <c r="K836" s="144"/>
      <c r="L836" s="144"/>
      <c r="M836" s="144"/>
      <c r="N836" s="144"/>
      <c r="O836" s="144"/>
      <c r="P836" s="144"/>
      <c r="Q836" s="144"/>
      <c r="R836" s="144"/>
      <c r="S836" s="144"/>
      <c r="T836" s="144"/>
      <c r="U836" s="144"/>
      <c r="V836" s="144"/>
      <c r="W836" s="144"/>
      <c r="X836" s="144"/>
      <c r="Y836" s="144"/>
      <c r="Z836" s="144"/>
      <c r="AA836" s="144"/>
      <c r="AB836" s="144"/>
      <c r="AC836" s="144"/>
      <c r="AD836" s="144"/>
      <c r="AE836" s="144"/>
      <c r="AF836" s="144"/>
      <c r="AG836" s="144"/>
      <c r="AH836" s="144"/>
      <c r="AI836" s="144"/>
    </row>
    <row r="837" spans="7:35" hidden="1">
      <c r="G837" s="144"/>
      <c r="H837" s="144"/>
      <c r="I837" s="144"/>
      <c r="J837" s="144"/>
      <c r="K837" s="144"/>
      <c r="L837" s="144"/>
      <c r="M837" s="144"/>
      <c r="N837" s="144"/>
      <c r="O837" s="144"/>
      <c r="P837" s="144"/>
      <c r="Q837" s="144"/>
      <c r="R837" s="144"/>
      <c r="S837" s="144"/>
      <c r="T837" s="144"/>
      <c r="U837" s="144"/>
      <c r="V837" s="144"/>
      <c r="W837" s="144"/>
      <c r="X837" s="144"/>
      <c r="Y837" s="144"/>
      <c r="Z837" s="144"/>
      <c r="AA837" s="144"/>
      <c r="AB837" s="144"/>
      <c r="AC837" s="144"/>
      <c r="AD837" s="144"/>
      <c r="AE837" s="144"/>
      <c r="AF837" s="144"/>
      <c r="AG837" s="144"/>
      <c r="AH837" s="144"/>
      <c r="AI837" s="144"/>
    </row>
    <row r="838" spans="7:35" hidden="1">
      <c r="G838" s="144"/>
      <c r="H838" s="144"/>
      <c r="I838" s="144"/>
      <c r="J838" s="144"/>
      <c r="K838" s="144"/>
      <c r="L838" s="144"/>
      <c r="M838" s="144"/>
      <c r="N838" s="144"/>
      <c r="O838" s="144"/>
      <c r="P838" s="144"/>
      <c r="Q838" s="144"/>
      <c r="R838" s="144"/>
      <c r="S838" s="144"/>
      <c r="T838" s="144"/>
      <c r="U838" s="144"/>
      <c r="V838" s="144"/>
      <c r="W838" s="144"/>
      <c r="X838" s="144"/>
      <c r="Y838" s="144"/>
      <c r="Z838" s="144"/>
      <c r="AA838" s="144"/>
      <c r="AB838" s="144"/>
      <c r="AC838" s="144"/>
      <c r="AD838" s="144"/>
      <c r="AE838" s="144"/>
      <c r="AF838" s="144"/>
      <c r="AG838" s="144"/>
      <c r="AH838" s="144"/>
      <c r="AI838" s="144"/>
    </row>
    <row r="839" spans="7:35" hidden="1">
      <c r="G839" s="144"/>
      <c r="H839" s="144"/>
      <c r="I839" s="144"/>
      <c r="J839" s="144"/>
      <c r="K839" s="144"/>
      <c r="L839" s="144"/>
      <c r="M839" s="144"/>
      <c r="N839" s="144"/>
      <c r="O839" s="144"/>
      <c r="P839" s="144"/>
      <c r="Q839" s="144"/>
      <c r="R839" s="144"/>
      <c r="S839" s="144"/>
      <c r="T839" s="144"/>
      <c r="U839" s="144"/>
      <c r="V839" s="144"/>
      <c r="W839" s="144"/>
      <c r="X839" s="144"/>
      <c r="Y839" s="144"/>
      <c r="Z839" s="144"/>
      <c r="AA839" s="144"/>
      <c r="AB839" s="144"/>
      <c r="AC839" s="144"/>
      <c r="AD839" s="144"/>
      <c r="AE839" s="144"/>
      <c r="AF839" s="144"/>
      <c r="AG839" s="144"/>
      <c r="AH839" s="144"/>
      <c r="AI839" s="144"/>
    </row>
    <row r="840" spans="7:35" hidden="1">
      <c r="G840" s="144"/>
      <c r="H840" s="144"/>
      <c r="I840" s="144"/>
      <c r="J840" s="144"/>
      <c r="K840" s="144"/>
      <c r="L840" s="144"/>
      <c r="M840" s="144"/>
      <c r="N840" s="144"/>
      <c r="O840" s="144"/>
      <c r="P840" s="144"/>
      <c r="Q840" s="144"/>
      <c r="R840" s="144"/>
      <c r="S840" s="144"/>
      <c r="T840" s="144"/>
      <c r="U840" s="144"/>
      <c r="V840" s="144"/>
      <c r="W840" s="144"/>
      <c r="X840" s="144"/>
      <c r="Y840" s="144"/>
      <c r="Z840" s="144"/>
      <c r="AA840" s="144"/>
      <c r="AB840" s="144"/>
      <c r="AC840" s="144"/>
      <c r="AD840" s="144"/>
      <c r="AE840" s="144"/>
      <c r="AF840" s="144"/>
      <c r="AG840" s="144"/>
      <c r="AH840" s="144"/>
      <c r="AI840" s="144"/>
    </row>
    <row r="841" spans="7:35" hidden="1">
      <c r="G841" s="144"/>
      <c r="H841" s="144"/>
      <c r="I841" s="144"/>
      <c r="J841" s="144"/>
      <c r="K841" s="144"/>
      <c r="L841" s="144"/>
      <c r="M841" s="144"/>
      <c r="N841" s="144"/>
      <c r="O841" s="144"/>
      <c r="P841" s="144"/>
      <c r="Q841" s="144"/>
      <c r="R841" s="144"/>
      <c r="S841" s="144"/>
      <c r="T841" s="144"/>
      <c r="U841" s="144"/>
      <c r="V841" s="144"/>
      <c r="W841" s="144"/>
      <c r="X841" s="144"/>
      <c r="Y841" s="144"/>
      <c r="Z841" s="144"/>
      <c r="AA841" s="144"/>
      <c r="AB841" s="144"/>
      <c r="AC841" s="144"/>
      <c r="AD841" s="144"/>
      <c r="AE841" s="144"/>
      <c r="AF841" s="144"/>
      <c r="AG841" s="144"/>
      <c r="AH841" s="144"/>
      <c r="AI841" s="144"/>
    </row>
    <row r="842" spans="7:35" hidden="1">
      <c r="G842" s="144"/>
      <c r="H842" s="144"/>
      <c r="I842" s="144"/>
      <c r="J842" s="144"/>
      <c r="K842" s="144"/>
      <c r="L842" s="144"/>
      <c r="M842" s="144"/>
      <c r="N842" s="144"/>
      <c r="O842" s="144"/>
      <c r="P842" s="144"/>
      <c r="Q842" s="144"/>
      <c r="R842" s="144"/>
      <c r="S842" s="144"/>
      <c r="T842" s="144"/>
      <c r="U842" s="144"/>
      <c r="V842" s="144"/>
      <c r="W842" s="144"/>
      <c r="X842" s="144"/>
      <c r="Y842" s="144"/>
      <c r="Z842" s="144"/>
      <c r="AA842" s="144"/>
      <c r="AB842" s="144"/>
      <c r="AC842" s="144"/>
      <c r="AD842" s="144"/>
      <c r="AE842" s="144"/>
      <c r="AF842" s="144"/>
      <c r="AG842" s="144"/>
      <c r="AH842" s="144"/>
      <c r="AI842" s="144"/>
    </row>
    <row r="843" spans="7:35" hidden="1">
      <c r="G843" s="144"/>
      <c r="H843" s="144"/>
      <c r="I843" s="144"/>
      <c r="J843" s="144"/>
      <c r="K843" s="144"/>
      <c r="L843" s="144"/>
      <c r="M843" s="144"/>
      <c r="N843" s="144"/>
      <c r="O843" s="144"/>
      <c r="P843" s="144"/>
      <c r="Q843" s="144"/>
      <c r="R843" s="144"/>
      <c r="S843" s="144"/>
      <c r="T843" s="144"/>
      <c r="U843" s="144"/>
      <c r="V843" s="144"/>
      <c r="W843" s="144"/>
      <c r="X843" s="144"/>
      <c r="Y843" s="144"/>
      <c r="Z843" s="144"/>
      <c r="AA843" s="144"/>
      <c r="AB843" s="144"/>
      <c r="AC843" s="144"/>
      <c r="AD843" s="144"/>
      <c r="AE843" s="144"/>
      <c r="AF843" s="144"/>
      <c r="AG843" s="144"/>
      <c r="AH843" s="144"/>
      <c r="AI843" s="144"/>
    </row>
    <row r="844" spans="7:35" hidden="1">
      <c r="G844" s="144"/>
      <c r="H844" s="144"/>
      <c r="I844" s="144"/>
      <c r="J844" s="144"/>
      <c r="K844" s="144"/>
      <c r="L844" s="144"/>
      <c r="M844" s="144"/>
      <c r="N844" s="144"/>
      <c r="O844" s="144"/>
      <c r="P844" s="144"/>
      <c r="Q844" s="144"/>
      <c r="R844" s="144"/>
      <c r="S844" s="144"/>
      <c r="T844" s="144"/>
      <c r="U844" s="144"/>
      <c r="V844" s="144"/>
      <c r="W844" s="144"/>
      <c r="X844" s="144"/>
      <c r="Y844" s="144"/>
      <c r="Z844" s="144"/>
      <c r="AA844" s="144"/>
      <c r="AB844" s="144"/>
      <c r="AC844" s="144"/>
      <c r="AD844" s="144"/>
      <c r="AE844" s="144"/>
      <c r="AF844" s="144"/>
      <c r="AG844" s="144"/>
      <c r="AH844" s="144"/>
      <c r="AI844" s="144"/>
    </row>
    <row r="845" spans="7:35" hidden="1">
      <c r="G845" s="144"/>
      <c r="H845" s="144"/>
      <c r="I845" s="144"/>
      <c r="J845" s="144"/>
      <c r="K845" s="144"/>
      <c r="L845" s="144"/>
      <c r="M845" s="144"/>
      <c r="N845" s="144"/>
      <c r="O845" s="144"/>
      <c r="P845" s="144"/>
      <c r="Q845" s="144"/>
      <c r="R845" s="144"/>
      <c r="S845" s="144"/>
      <c r="T845" s="144"/>
      <c r="U845" s="144"/>
      <c r="V845" s="144"/>
      <c r="W845" s="144"/>
      <c r="X845" s="144"/>
      <c r="Y845" s="144"/>
      <c r="Z845" s="144"/>
      <c r="AA845" s="144"/>
      <c r="AB845" s="144"/>
      <c r="AC845" s="144"/>
      <c r="AD845" s="144"/>
      <c r="AE845" s="144"/>
      <c r="AF845" s="144"/>
      <c r="AG845" s="144"/>
      <c r="AH845" s="144"/>
      <c r="AI845" s="144"/>
    </row>
    <row r="846" spans="7:35" hidden="1">
      <c r="G846" s="144"/>
      <c r="H846" s="144"/>
      <c r="I846" s="144"/>
      <c r="J846" s="144"/>
      <c r="K846" s="144"/>
      <c r="L846" s="144"/>
      <c r="M846" s="144"/>
      <c r="N846" s="144"/>
      <c r="O846" s="144"/>
      <c r="P846" s="144"/>
      <c r="Q846" s="144"/>
      <c r="R846" s="144"/>
      <c r="S846" s="144"/>
      <c r="T846" s="144"/>
      <c r="U846" s="144"/>
      <c r="V846" s="144"/>
      <c r="W846" s="144"/>
      <c r="X846" s="144"/>
      <c r="Y846" s="144"/>
      <c r="Z846" s="144"/>
      <c r="AA846" s="144"/>
      <c r="AB846" s="144"/>
      <c r="AC846" s="144"/>
      <c r="AD846" s="144"/>
      <c r="AE846" s="144"/>
      <c r="AF846" s="144"/>
      <c r="AG846" s="144"/>
      <c r="AH846" s="144"/>
      <c r="AI846" s="144"/>
    </row>
    <row r="847" spans="7:35" hidden="1">
      <c r="G847" s="144"/>
      <c r="H847" s="144"/>
      <c r="I847" s="144"/>
      <c r="J847" s="144"/>
      <c r="K847" s="144"/>
      <c r="L847" s="144"/>
      <c r="M847" s="144"/>
      <c r="N847" s="144"/>
      <c r="O847" s="144"/>
      <c r="P847" s="144"/>
      <c r="Q847" s="144"/>
      <c r="R847" s="144"/>
      <c r="S847" s="144"/>
      <c r="T847" s="144"/>
      <c r="U847" s="144"/>
      <c r="V847" s="144"/>
      <c r="W847" s="144"/>
      <c r="X847" s="144"/>
      <c r="Y847" s="144"/>
      <c r="Z847" s="144"/>
      <c r="AA847" s="144"/>
      <c r="AB847" s="144"/>
      <c r="AC847" s="144"/>
      <c r="AD847" s="144"/>
      <c r="AE847" s="144"/>
      <c r="AF847" s="144"/>
      <c r="AG847" s="144"/>
      <c r="AH847" s="144"/>
      <c r="AI847" s="144"/>
    </row>
    <row r="848" spans="7:35" hidden="1">
      <c r="G848" s="144"/>
      <c r="H848" s="144"/>
      <c r="I848" s="144"/>
      <c r="J848" s="144"/>
      <c r="K848" s="144"/>
      <c r="L848" s="144"/>
      <c r="M848" s="144"/>
      <c r="N848" s="144"/>
      <c r="O848" s="144"/>
      <c r="P848" s="144"/>
      <c r="Q848" s="144"/>
      <c r="R848" s="144"/>
      <c r="S848" s="144"/>
      <c r="T848" s="144"/>
      <c r="U848" s="144"/>
      <c r="V848" s="144"/>
      <c r="W848" s="144"/>
      <c r="X848" s="144"/>
      <c r="Y848" s="144"/>
      <c r="Z848" s="144"/>
      <c r="AA848" s="144"/>
      <c r="AB848" s="144"/>
      <c r="AC848" s="144"/>
      <c r="AD848" s="144"/>
      <c r="AE848" s="144"/>
      <c r="AF848" s="144"/>
      <c r="AG848" s="144"/>
      <c r="AH848" s="144"/>
      <c r="AI848" s="144"/>
    </row>
    <row r="849" spans="7:35" hidden="1">
      <c r="G849" s="144"/>
      <c r="H849" s="144"/>
      <c r="I849" s="144"/>
      <c r="J849" s="144"/>
      <c r="K849" s="144"/>
      <c r="L849" s="144"/>
      <c r="M849" s="144"/>
      <c r="N849" s="144"/>
      <c r="O849" s="144"/>
      <c r="P849" s="144"/>
      <c r="Q849" s="144"/>
      <c r="R849" s="144"/>
      <c r="S849" s="144"/>
      <c r="T849" s="144"/>
      <c r="U849" s="144"/>
      <c r="V849" s="144"/>
      <c r="W849" s="144"/>
      <c r="X849" s="144"/>
      <c r="Y849" s="144"/>
      <c r="Z849" s="144"/>
      <c r="AA849" s="144"/>
      <c r="AB849" s="144"/>
      <c r="AC849" s="144"/>
      <c r="AD849" s="144"/>
      <c r="AE849" s="144"/>
      <c r="AF849" s="144"/>
      <c r="AG849" s="144"/>
      <c r="AH849" s="144"/>
      <c r="AI849" s="144"/>
    </row>
    <row r="850" spans="7:35" hidden="1">
      <c r="G850" s="144"/>
      <c r="H850" s="144"/>
      <c r="I850" s="144"/>
      <c r="J850" s="144"/>
      <c r="K850" s="144"/>
      <c r="L850" s="144"/>
      <c r="M850" s="144"/>
      <c r="N850" s="144"/>
      <c r="O850" s="144"/>
      <c r="P850" s="144"/>
      <c r="Q850" s="144"/>
      <c r="R850" s="144"/>
      <c r="S850" s="144"/>
      <c r="T850" s="144"/>
      <c r="U850" s="144"/>
      <c r="V850" s="144"/>
      <c r="W850" s="144"/>
      <c r="X850" s="144"/>
      <c r="Y850" s="144"/>
      <c r="Z850" s="144"/>
      <c r="AA850" s="144"/>
      <c r="AB850" s="144"/>
      <c r="AC850" s="144"/>
      <c r="AD850" s="144"/>
      <c r="AE850" s="144"/>
      <c r="AF850" s="144"/>
      <c r="AG850" s="144"/>
      <c r="AH850" s="144"/>
      <c r="AI850" s="144"/>
    </row>
    <row r="851" spans="7:35" hidden="1">
      <c r="G851" s="144"/>
      <c r="H851" s="144"/>
      <c r="I851" s="144"/>
      <c r="J851" s="144"/>
      <c r="K851" s="144"/>
      <c r="L851" s="144"/>
      <c r="M851" s="144"/>
      <c r="N851" s="144"/>
      <c r="O851" s="144"/>
      <c r="P851" s="144"/>
      <c r="Q851" s="144"/>
      <c r="R851" s="144"/>
      <c r="S851" s="144"/>
      <c r="T851" s="144"/>
      <c r="U851" s="144"/>
      <c r="V851" s="144"/>
      <c r="W851" s="144"/>
      <c r="X851" s="144"/>
      <c r="Y851" s="144"/>
      <c r="Z851" s="144"/>
      <c r="AA851" s="144"/>
      <c r="AB851" s="144"/>
      <c r="AC851" s="144"/>
      <c r="AD851" s="144"/>
      <c r="AE851" s="144"/>
      <c r="AF851" s="144"/>
      <c r="AG851" s="144"/>
      <c r="AH851" s="144"/>
      <c r="AI851" s="144"/>
    </row>
    <row r="852" spans="7:35" hidden="1">
      <c r="G852" s="144"/>
      <c r="H852" s="144"/>
      <c r="I852" s="144"/>
      <c r="J852" s="144"/>
      <c r="K852" s="144"/>
      <c r="L852" s="144"/>
      <c r="M852" s="144"/>
      <c r="N852" s="144"/>
      <c r="O852" s="144"/>
      <c r="P852" s="144"/>
      <c r="Q852" s="144"/>
      <c r="R852" s="144"/>
      <c r="S852" s="144"/>
      <c r="T852" s="144"/>
      <c r="U852" s="144"/>
      <c r="V852" s="144"/>
      <c r="W852" s="144"/>
      <c r="X852" s="144"/>
      <c r="Y852" s="144"/>
      <c r="Z852" s="144"/>
      <c r="AA852" s="144"/>
      <c r="AB852" s="144"/>
      <c r="AC852" s="144"/>
      <c r="AD852" s="144"/>
      <c r="AE852" s="144"/>
      <c r="AF852" s="144"/>
      <c r="AG852" s="144"/>
      <c r="AH852" s="144"/>
      <c r="AI852" s="144"/>
    </row>
    <row r="853" spans="7:35" hidden="1">
      <c r="G853" s="144"/>
      <c r="H853" s="144"/>
      <c r="I853" s="144"/>
      <c r="J853" s="144"/>
      <c r="K853" s="144"/>
      <c r="L853" s="144"/>
      <c r="M853" s="144"/>
      <c r="N853" s="144"/>
      <c r="O853" s="144"/>
      <c r="P853" s="144"/>
      <c r="Q853" s="144"/>
      <c r="R853" s="144"/>
      <c r="S853" s="144"/>
      <c r="T853" s="144"/>
      <c r="U853" s="144"/>
      <c r="V853" s="144"/>
      <c r="W853" s="144"/>
      <c r="X853" s="144"/>
      <c r="Y853" s="144"/>
      <c r="Z853" s="144"/>
      <c r="AA853" s="144"/>
      <c r="AB853" s="144"/>
      <c r="AC853" s="144"/>
      <c r="AD853" s="144"/>
      <c r="AE853" s="144"/>
      <c r="AF853" s="144"/>
      <c r="AG853" s="144"/>
      <c r="AH853" s="144"/>
      <c r="AI853" s="144"/>
    </row>
    <row r="854" spans="7:35" hidden="1">
      <c r="G854" s="144"/>
      <c r="H854" s="144"/>
      <c r="I854" s="144"/>
      <c r="J854" s="144"/>
      <c r="K854" s="144"/>
      <c r="L854" s="144"/>
      <c r="M854" s="144"/>
      <c r="N854" s="144"/>
      <c r="O854" s="144"/>
      <c r="P854" s="144"/>
      <c r="Q854" s="144"/>
      <c r="R854" s="144"/>
      <c r="S854" s="144"/>
      <c r="T854" s="144"/>
      <c r="U854" s="144"/>
      <c r="V854" s="144"/>
      <c r="W854" s="144"/>
      <c r="X854" s="144"/>
      <c r="Y854" s="144"/>
      <c r="Z854" s="144"/>
      <c r="AA854" s="144"/>
      <c r="AB854" s="144"/>
      <c r="AC854" s="144"/>
      <c r="AD854" s="144"/>
      <c r="AE854" s="144"/>
      <c r="AF854" s="144"/>
      <c r="AG854" s="144"/>
      <c r="AH854" s="144"/>
      <c r="AI854" s="144"/>
    </row>
    <row r="855" spans="7:35" hidden="1">
      <c r="G855" s="144"/>
      <c r="H855" s="144"/>
      <c r="I855" s="144"/>
      <c r="J855" s="144"/>
      <c r="K855" s="144"/>
      <c r="L855" s="144"/>
      <c r="M855" s="144"/>
      <c r="N855" s="144"/>
      <c r="O855" s="144"/>
      <c r="P855" s="144"/>
      <c r="Q855" s="144"/>
      <c r="R855" s="144"/>
      <c r="S855" s="144"/>
      <c r="T855" s="144"/>
      <c r="U855" s="144"/>
      <c r="V855" s="144"/>
      <c r="W855" s="144"/>
      <c r="X855" s="144"/>
      <c r="Y855" s="144"/>
      <c r="Z855" s="144"/>
      <c r="AA855" s="144"/>
      <c r="AB855" s="144"/>
      <c r="AC855" s="144"/>
      <c r="AD855" s="144"/>
      <c r="AE855" s="144"/>
      <c r="AF855" s="144"/>
      <c r="AG855" s="144"/>
      <c r="AH855" s="144"/>
      <c r="AI855" s="144"/>
    </row>
    <row r="856" spans="7:35" hidden="1">
      <c r="G856" s="144"/>
      <c r="H856" s="144"/>
      <c r="I856" s="144"/>
      <c r="J856" s="144"/>
      <c r="K856" s="144"/>
      <c r="L856" s="144"/>
      <c r="M856" s="144"/>
      <c r="N856" s="144"/>
      <c r="O856" s="144"/>
      <c r="P856" s="144"/>
      <c r="Q856" s="144"/>
      <c r="R856" s="144"/>
      <c r="S856" s="144"/>
      <c r="T856" s="144"/>
      <c r="U856" s="144"/>
      <c r="V856" s="144"/>
      <c r="W856" s="144"/>
      <c r="X856" s="144"/>
      <c r="Y856" s="144"/>
      <c r="Z856" s="144"/>
      <c r="AA856" s="144"/>
      <c r="AB856" s="144"/>
      <c r="AC856" s="144"/>
      <c r="AD856" s="144"/>
      <c r="AE856" s="144"/>
      <c r="AF856" s="144"/>
      <c r="AG856" s="144"/>
      <c r="AH856" s="144"/>
      <c r="AI856" s="144"/>
    </row>
    <row r="857" spans="7:35" hidden="1">
      <c r="G857" s="144"/>
      <c r="H857" s="144"/>
      <c r="I857" s="144"/>
      <c r="J857" s="144"/>
      <c r="K857" s="144"/>
      <c r="L857" s="144"/>
      <c r="M857" s="144"/>
      <c r="N857" s="144"/>
      <c r="O857" s="144"/>
      <c r="P857" s="144"/>
      <c r="Q857" s="144"/>
      <c r="R857" s="144"/>
      <c r="S857" s="144"/>
      <c r="T857" s="144"/>
      <c r="U857" s="144"/>
      <c r="V857" s="144"/>
      <c r="W857" s="144"/>
      <c r="X857" s="144"/>
      <c r="Y857" s="144"/>
      <c r="Z857" s="144"/>
      <c r="AA857" s="144"/>
      <c r="AB857" s="144"/>
      <c r="AC857" s="144"/>
      <c r="AD857" s="144"/>
      <c r="AE857" s="144"/>
      <c r="AF857" s="144"/>
      <c r="AG857" s="144"/>
      <c r="AH857" s="144"/>
      <c r="AI857" s="144"/>
    </row>
    <row r="858" spans="7:35" hidden="1">
      <c r="G858" s="144"/>
      <c r="H858" s="144"/>
      <c r="I858" s="144"/>
      <c r="J858" s="144"/>
      <c r="K858" s="144"/>
      <c r="L858" s="144"/>
      <c r="M858" s="144"/>
      <c r="N858" s="144"/>
      <c r="O858" s="144"/>
      <c r="P858" s="144"/>
      <c r="Q858" s="144"/>
      <c r="R858" s="144"/>
      <c r="S858" s="144"/>
      <c r="T858" s="144"/>
      <c r="U858" s="144"/>
      <c r="V858" s="144"/>
      <c r="W858" s="144"/>
      <c r="X858" s="144"/>
      <c r="Y858" s="144"/>
      <c r="Z858" s="144"/>
      <c r="AA858" s="144"/>
      <c r="AB858" s="144"/>
      <c r="AC858" s="144"/>
      <c r="AD858" s="144"/>
      <c r="AE858" s="144"/>
      <c r="AF858" s="144"/>
      <c r="AG858" s="144"/>
      <c r="AH858" s="144"/>
      <c r="AI858" s="144"/>
    </row>
    <row r="859" spans="7:35" hidden="1">
      <c r="G859" s="144"/>
      <c r="H859" s="144"/>
      <c r="I859" s="144"/>
      <c r="J859" s="144"/>
      <c r="K859" s="144"/>
      <c r="L859" s="144"/>
      <c r="M859" s="144"/>
      <c r="N859" s="144"/>
      <c r="O859" s="144"/>
      <c r="P859" s="144"/>
      <c r="Q859" s="144"/>
      <c r="R859" s="144"/>
      <c r="S859" s="144"/>
      <c r="T859" s="144"/>
      <c r="U859" s="144"/>
      <c r="V859" s="144"/>
      <c r="W859" s="144"/>
      <c r="X859" s="144"/>
      <c r="Y859" s="144"/>
      <c r="Z859" s="144"/>
      <c r="AA859" s="144"/>
      <c r="AB859" s="144"/>
      <c r="AC859" s="144"/>
      <c r="AD859" s="144"/>
      <c r="AE859" s="144"/>
      <c r="AF859" s="144"/>
      <c r="AG859" s="144"/>
      <c r="AH859" s="144"/>
      <c r="AI859" s="144"/>
    </row>
    <row r="860" spans="7:35" hidden="1">
      <c r="G860" s="144"/>
      <c r="H860" s="144"/>
      <c r="I860" s="144"/>
      <c r="J860" s="144"/>
      <c r="K860" s="144"/>
      <c r="L860" s="144"/>
      <c r="M860" s="144"/>
      <c r="N860" s="144"/>
      <c r="O860" s="144"/>
      <c r="P860" s="144"/>
      <c r="Q860" s="144"/>
      <c r="R860" s="144"/>
      <c r="S860" s="144"/>
      <c r="T860" s="144"/>
      <c r="U860" s="144"/>
      <c r="V860" s="144"/>
      <c r="W860" s="144"/>
      <c r="X860" s="144"/>
      <c r="Y860" s="144"/>
      <c r="Z860" s="144"/>
      <c r="AA860" s="144"/>
      <c r="AB860" s="144"/>
      <c r="AC860" s="144"/>
      <c r="AD860" s="144"/>
      <c r="AE860" s="144"/>
      <c r="AF860" s="144"/>
      <c r="AG860" s="144"/>
      <c r="AH860" s="144"/>
      <c r="AI860" s="144"/>
    </row>
    <row r="861" spans="7:35" hidden="1">
      <c r="G861" s="144"/>
      <c r="H861" s="144"/>
      <c r="I861" s="144"/>
      <c r="J861" s="144"/>
      <c r="K861" s="144"/>
      <c r="L861" s="144"/>
      <c r="M861" s="144"/>
      <c r="N861" s="144"/>
      <c r="O861" s="144"/>
      <c r="P861" s="144"/>
      <c r="Q861" s="144"/>
      <c r="R861" s="144"/>
      <c r="S861" s="144"/>
      <c r="T861" s="144"/>
      <c r="U861" s="144"/>
      <c r="V861" s="144"/>
      <c r="W861" s="144"/>
      <c r="X861" s="144"/>
      <c r="Y861" s="144"/>
      <c r="Z861" s="144"/>
      <c r="AA861" s="144"/>
      <c r="AB861" s="144"/>
      <c r="AC861" s="144"/>
      <c r="AD861" s="144"/>
      <c r="AE861" s="144"/>
      <c r="AF861" s="144"/>
      <c r="AG861" s="144"/>
      <c r="AH861" s="144"/>
      <c r="AI861" s="144"/>
    </row>
    <row r="862" spans="7:35" hidden="1">
      <c r="G862" s="144"/>
      <c r="H862" s="144"/>
      <c r="I862" s="144"/>
      <c r="J862" s="144"/>
      <c r="K862" s="144"/>
      <c r="L862" s="144"/>
      <c r="M862" s="144"/>
      <c r="N862" s="144"/>
      <c r="O862" s="144"/>
      <c r="P862" s="144"/>
      <c r="Q862" s="144"/>
      <c r="R862" s="144"/>
      <c r="S862" s="144"/>
      <c r="T862" s="144"/>
      <c r="U862" s="144"/>
      <c r="V862" s="144"/>
      <c r="W862" s="144"/>
      <c r="X862" s="144"/>
      <c r="Y862" s="144"/>
      <c r="Z862" s="144"/>
      <c r="AA862" s="144"/>
      <c r="AB862" s="144"/>
      <c r="AC862" s="144"/>
      <c r="AD862" s="144"/>
      <c r="AE862" s="144"/>
      <c r="AF862" s="144"/>
      <c r="AG862" s="144"/>
      <c r="AH862" s="144"/>
      <c r="AI862" s="144"/>
    </row>
    <row r="863" spans="7:35" hidden="1">
      <c r="G863" s="144"/>
      <c r="H863" s="144"/>
      <c r="I863" s="144"/>
      <c r="J863" s="144"/>
      <c r="K863" s="144"/>
      <c r="L863" s="144"/>
      <c r="M863" s="144"/>
      <c r="N863" s="144"/>
      <c r="O863" s="144"/>
      <c r="P863" s="144"/>
      <c r="Q863" s="144"/>
      <c r="R863" s="144"/>
      <c r="S863" s="144"/>
      <c r="T863" s="144"/>
      <c r="U863" s="144"/>
      <c r="V863" s="144"/>
      <c r="W863" s="144"/>
      <c r="X863" s="144"/>
      <c r="Y863" s="144"/>
      <c r="Z863" s="144"/>
      <c r="AA863" s="144"/>
      <c r="AB863" s="144"/>
      <c r="AC863" s="144"/>
      <c r="AD863" s="144"/>
      <c r="AE863" s="144"/>
      <c r="AF863" s="144"/>
      <c r="AG863" s="144"/>
      <c r="AH863" s="144"/>
      <c r="AI863" s="144"/>
    </row>
    <row r="864" spans="7:35" hidden="1">
      <c r="G864" s="144"/>
      <c r="H864" s="144"/>
      <c r="I864" s="144"/>
      <c r="J864" s="144"/>
      <c r="K864" s="144"/>
      <c r="L864" s="144"/>
      <c r="M864" s="144"/>
      <c r="N864" s="144"/>
      <c r="O864" s="144"/>
      <c r="P864" s="144"/>
      <c r="Q864" s="144"/>
      <c r="R864" s="144"/>
      <c r="S864" s="144"/>
      <c r="T864" s="144"/>
      <c r="U864" s="144"/>
      <c r="V864" s="144"/>
      <c r="W864" s="144"/>
      <c r="X864" s="144"/>
      <c r="Y864" s="144"/>
      <c r="Z864" s="144"/>
      <c r="AA864" s="144"/>
      <c r="AB864" s="144"/>
      <c r="AC864" s="144"/>
      <c r="AD864" s="144"/>
      <c r="AE864" s="144"/>
      <c r="AF864" s="144"/>
      <c r="AG864" s="144"/>
      <c r="AH864" s="144"/>
      <c r="AI864" s="144"/>
    </row>
    <row r="865" spans="7:35" hidden="1">
      <c r="G865" s="144"/>
      <c r="H865" s="144"/>
      <c r="I865" s="144"/>
      <c r="J865" s="144"/>
      <c r="K865" s="144"/>
      <c r="L865" s="144"/>
      <c r="M865" s="144"/>
      <c r="N865" s="144"/>
      <c r="O865" s="144"/>
      <c r="P865" s="144"/>
      <c r="Q865" s="144"/>
      <c r="R865" s="144"/>
      <c r="S865" s="144"/>
      <c r="T865" s="144"/>
      <c r="U865" s="144"/>
      <c r="V865" s="144"/>
      <c r="W865" s="144"/>
      <c r="X865" s="144"/>
      <c r="Y865" s="144"/>
      <c r="Z865" s="144"/>
      <c r="AA865" s="144"/>
      <c r="AB865" s="144"/>
      <c r="AC865" s="144"/>
      <c r="AD865" s="144"/>
      <c r="AE865" s="144"/>
      <c r="AF865" s="144"/>
      <c r="AG865" s="144"/>
      <c r="AH865" s="144"/>
      <c r="AI865" s="144"/>
    </row>
    <row r="866" spans="7:35" hidden="1">
      <c r="G866" s="144"/>
      <c r="H866" s="144"/>
      <c r="I866" s="144"/>
      <c r="J866" s="144"/>
      <c r="K866" s="144"/>
      <c r="L866" s="144"/>
      <c r="M866" s="144"/>
      <c r="N866" s="144"/>
      <c r="O866" s="144"/>
      <c r="P866" s="144"/>
      <c r="Q866" s="144"/>
      <c r="R866" s="144"/>
      <c r="S866" s="144"/>
      <c r="T866" s="144"/>
      <c r="U866" s="144"/>
      <c r="V866" s="144"/>
      <c r="W866" s="144"/>
      <c r="X866" s="144"/>
      <c r="Y866" s="144"/>
      <c r="Z866" s="144"/>
      <c r="AA866" s="144"/>
      <c r="AB866" s="144"/>
      <c r="AC866" s="144"/>
      <c r="AD866" s="144"/>
      <c r="AE866" s="144"/>
      <c r="AF866" s="144"/>
      <c r="AG866" s="144"/>
      <c r="AH866" s="144"/>
      <c r="AI866" s="144"/>
    </row>
    <row r="867" spans="7:35" hidden="1">
      <c r="G867" s="144"/>
      <c r="H867" s="144"/>
      <c r="I867" s="144"/>
      <c r="J867" s="144"/>
      <c r="K867" s="144"/>
      <c r="L867" s="144"/>
      <c r="M867" s="144"/>
      <c r="N867" s="144"/>
      <c r="O867" s="144"/>
      <c r="P867" s="144"/>
      <c r="Q867" s="144"/>
      <c r="R867" s="144"/>
      <c r="S867" s="144"/>
      <c r="T867" s="144"/>
      <c r="U867" s="144"/>
      <c r="V867" s="144"/>
      <c r="W867" s="144"/>
      <c r="X867" s="144"/>
      <c r="Y867" s="144"/>
      <c r="Z867" s="144"/>
      <c r="AA867" s="144"/>
      <c r="AB867" s="144"/>
      <c r="AC867" s="144"/>
      <c r="AD867" s="144"/>
      <c r="AE867" s="144"/>
      <c r="AF867" s="144"/>
      <c r="AG867" s="144"/>
      <c r="AH867" s="144"/>
      <c r="AI867" s="144"/>
    </row>
    <row r="868" spans="7:35" hidden="1">
      <c r="G868" s="144"/>
      <c r="H868" s="144"/>
      <c r="I868" s="144"/>
      <c r="J868" s="144"/>
      <c r="K868" s="144"/>
      <c r="L868" s="144"/>
      <c r="M868" s="144"/>
      <c r="N868" s="144"/>
      <c r="O868" s="144"/>
      <c r="P868" s="144"/>
      <c r="Q868" s="144"/>
      <c r="R868" s="144"/>
      <c r="S868" s="144"/>
      <c r="T868" s="144"/>
      <c r="U868" s="144"/>
      <c r="V868" s="144"/>
      <c r="W868" s="144"/>
      <c r="X868" s="144"/>
      <c r="Y868" s="144"/>
      <c r="Z868" s="144"/>
      <c r="AA868" s="144"/>
      <c r="AB868" s="144"/>
      <c r="AC868" s="144"/>
      <c r="AD868" s="144"/>
      <c r="AE868" s="144"/>
      <c r="AF868" s="144"/>
      <c r="AG868" s="144"/>
      <c r="AH868" s="144"/>
      <c r="AI868" s="144"/>
    </row>
    <row r="869" spans="7:35" hidden="1">
      <c r="G869" s="144"/>
      <c r="H869" s="144"/>
      <c r="I869" s="144"/>
      <c r="J869" s="144"/>
      <c r="K869" s="144"/>
      <c r="L869" s="144"/>
      <c r="M869" s="144"/>
      <c r="N869" s="144"/>
      <c r="O869" s="144"/>
      <c r="P869" s="144"/>
      <c r="Q869" s="144"/>
      <c r="R869" s="144"/>
      <c r="S869" s="144"/>
      <c r="T869" s="144"/>
      <c r="U869" s="144"/>
      <c r="V869" s="144"/>
      <c r="W869" s="144"/>
      <c r="X869" s="144"/>
      <c r="Y869" s="144"/>
      <c r="Z869" s="144"/>
      <c r="AA869" s="144"/>
      <c r="AB869" s="144"/>
      <c r="AC869" s="144"/>
      <c r="AD869" s="144"/>
      <c r="AE869" s="144"/>
      <c r="AF869" s="144"/>
      <c r="AG869" s="144"/>
      <c r="AH869" s="144"/>
      <c r="AI869" s="144"/>
    </row>
    <row r="870" spans="7:35" hidden="1">
      <c r="G870" s="144"/>
      <c r="H870" s="144"/>
      <c r="I870" s="144"/>
      <c r="J870" s="144"/>
      <c r="K870" s="144"/>
      <c r="L870" s="144"/>
      <c r="M870" s="144"/>
      <c r="N870" s="144"/>
      <c r="O870" s="144"/>
      <c r="P870" s="144"/>
      <c r="Q870" s="144"/>
      <c r="R870" s="144"/>
      <c r="S870" s="144"/>
      <c r="T870" s="144"/>
      <c r="U870" s="144"/>
      <c r="V870" s="144"/>
      <c r="W870" s="144"/>
      <c r="X870" s="144"/>
      <c r="Y870" s="144"/>
      <c r="Z870" s="144"/>
      <c r="AA870" s="144"/>
      <c r="AB870" s="144"/>
      <c r="AC870" s="144"/>
      <c r="AD870" s="144"/>
      <c r="AE870" s="144"/>
      <c r="AF870" s="144"/>
      <c r="AG870" s="144"/>
      <c r="AH870" s="144"/>
      <c r="AI870" s="144"/>
    </row>
    <row r="871" spans="7:35" hidden="1">
      <c r="G871" s="144"/>
      <c r="H871" s="144"/>
      <c r="I871" s="144"/>
      <c r="J871" s="144"/>
      <c r="K871" s="144"/>
      <c r="L871" s="144"/>
      <c r="M871" s="144"/>
      <c r="N871" s="144"/>
      <c r="O871" s="144"/>
      <c r="P871" s="144"/>
      <c r="Q871" s="144"/>
      <c r="R871" s="144"/>
      <c r="S871" s="144"/>
      <c r="T871" s="144"/>
      <c r="U871" s="144"/>
      <c r="V871" s="144"/>
      <c r="W871" s="144"/>
      <c r="X871" s="144"/>
      <c r="Y871" s="144"/>
      <c r="Z871" s="144"/>
      <c r="AA871" s="144"/>
      <c r="AB871" s="144"/>
      <c r="AC871" s="144"/>
      <c r="AD871" s="144"/>
      <c r="AE871" s="144"/>
      <c r="AF871" s="144"/>
      <c r="AG871" s="144"/>
      <c r="AH871" s="144"/>
      <c r="AI871" s="144"/>
    </row>
    <row r="872" spans="7:35" hidden="1">
      <c r="G872" s="144"/>
      <c r="H872" s="144"/>
      <c r="I872" s="144"/>
      <c r="J872" s="144"/>
      <c r="K872" s="144"/>
      <c r="L872" s="144"/>
      <c r="M872" s="144"/>
      <c r="N872" s="144"/>
      <c r="O872" s="144"/>
      <c r="P872" s="144"/>
      <c r="Q872" s="144"/>
      <c r="R872" s="144"/>
      <c r="S872" s="144"/>
      <c r="T872" s="144"/>
      <c r="U872" s="144"/>
      <c r="V872" s="144"/>
      <c r="W872" s="144"/>
      <c r="X872" s="144"/>
      <c r="Y872" s="144"/>
      <c r="Z872" s="144"/>
      <c r="AA872" s="144"/>
      <c r="AB872" s="144"/>
      <c r="AC872" s="144"/>
      <c r="AD872" s="144"/>
      <c r="AE872" s="144"/>
      <c r="AF872" s="144"/>
      <c r="AG872" s="144"/>
      <c r="AH872" s="144"/>
      <c r="AI872" s="144"/>
    </row>
    <row r="873" spans="7:35" hidden="1">
      <c r="G873" s="144"/>
      <c r="H873" s="144"/>
      <c r="I873" s="144"/>
      <c r="J873" s="144"/>
      <c r="K873" s="144"/>
      <c r="L873" s="144"/>
      <c r="M873" s="144"/>
      <c r="N873" s="144"/>
      <c r="O873" s="144"/>
      <c r="P873" s="144"/>
      <c r="Q873" s="144"/>
      <c r="R873" s="144"/>
      <c r="S873" s="144"/>
      <c r="T873" s="144"/>
      <c r="U873" s="144"/>
      <c r="V873" s="144"/>
      <c r="W873" s="144"/>
      <c r="X873" s="144"/>
      <c r="Y873" s="144"/>
      <c r="Z873" s="144"/>
      <c r="AA873" s="144"/>
      <c r="AB873" s="144"/>
      <c r="AC873" s="144"/>
      <c r="AD873" s="144"/>
      <c r="AE873" s="144"/>
      <c r="AF873" s="144"/>
      <c r="AG873" s="144"/>
      <c r="AH873" s="144"/>
      <c r="AI873" s="144"/>
    </row>
    <row r="874" spans="7:35" hidden="1">
      <c r="G874" s="144"/>
      <c r="H874" s="144"/>
      <c r="I874" s="144"/>
      <c r="J874" s="144"/>
      <c r="K874" s="144"/>
      <c r="L874" s="144"/>
      <c r="M874" s="144"/>
      <c r="N874" s="144"/>
      <c r="O874" s="144"/>
      <c r="P874" s="144"/>
      <c r="Q874" s="144"/>
      <c r="R874" s="144"/>
      <c r="S874" s="144"/>
      <c r="T874" s="144"/>
      <c r="U874" s="144"/>
      <c r="V874" s="144"/>
      <c r="W874" s="144"/>
      <c r="X874" s="144"/>
      <c r="Y874" s="144"/>
      <c r="Z874" s="144"/>
      <c r="AA874" s="144"/>
      <c r="AB874" s="144"/>
      <c r="AC874" s="144"/>
      <c r="AD874" s="144"/>
      <c r="AE874" s="144"/>
      <c r="AF874" s="144"/>
      <c r="AG874" s="144"/>
      <c r="AH874" s="144"/>
      <c r="AI874" s="144"/>
    </row>
    <row r="875" spans="7:35" hidden="1">
      <c r="G875" s="144"/>
      <c r="H875" s="144"/>
      <c r="I875" s="144"/>
      <c r="J875" s="144"/>
      <c r="K875" s="144"/>
      <c r="L875" s="144"/>
      <c r="M875" s="144"/>
      <c r="N875" s="144"/>
      <c r="O875" s="144"/>
      <c r="P875" s="144"/>
      <c r="Q875" s="144"/>
      <c r="R875" s="144"/>
      <c r="S875" s="144"/>
      <c r="T875" s="144"/>
      <c r="U875" s="144"/>
      <c r="V875" s="144"/>
      <c r="W875" s="144"/>
      <c r="X875" s="144"/>
      <c r="Y875" s="144"/>
      <c r="Z875" s="144"/>
      <c r="AA875" s="144"/>
      <c r="AB875" s="144"/>
      <c r="AC875" s="144"/>
      <c r="AD875" s="144"/>
      <c r="AE875" s="144"/>
      <c r="AF875" s="144"/>
      <c r="AG875" s="144"/>
      <c r="AH875" s="144"/>
      <c r="AI875" s="144"/>
    </row>
    <row r="876" spans="7:35" hidden="1">
      <c r="G876" s="144"/>
      <c r="H876" s="144"/>
      <c r="I876" s="144"/>
      <c r="J876" s="144"/>
      <c r="K876" s="144"/>
      <c r="L876" s="144"/>
      <c r="M876" s="144"/>
      <c r="N876" s="144"/>
      <c r="O876" s="144"/>
      <c r="P876" s="144"/>
      <c r="Q876" s="144"/>
      <c r="R876" s="144"/>
      <c r="S876" s="144"/>
      <c r="T876" s="144"/>
      <c r="U876" s="144"/>
      <c r="V876" s="144"/>
      <c r="W876" s="144"/>
      <c r="X876" s="144"/>
      <c r="Y876" s="144"/>
      <c r="Z876" s="144"/>
      <c r="AA876" s="144"/>
      <c r="AB876" s="144"/>
      <c r="AC876" s="144"/>
      <c r="AD876" s="144"/>
      <c r="AE876" s="144"/>
      <c r="AF876" s="144"/>
      <c r="AG876" s="144"/>
      <c r="AH876" s="144"/>
      <c r="AI876" s="144"/>
    </row>
    <row r="877" spans="7:35" hidden="1">
      <c r="G877" s="144"/>
      <c r="H877" s="144"/>
      <c r="I877" s="144"/>
      <c r="J877" s="144"/>
      <c r="K877" s="144"/>
      <c r="L877" s="144"/>
      <c r="M877" s="144"/>
      <c r="N877" s="144"/>
      <c r="O877" s="144"/>
      <c r="P877" s="144"/>
      <c r="Q877" s="144"/>
      <c r="R877" s="144"/>
      <c r="S877" s="144"/>
      <c r="T877" s="144"/>
      <c r="U877" s="144"/>
      <c r="V877" s="144"/>
      <c r="W877" s="144"/>
      <c r="X877" s="144"/>
      <c r="Y877" s="144"/>
      <c r="Z877" s="144"/>
      <c r="AA877" s="144"/>
      <c r="AB877" s="144"/>
      <c r="AC877" s="144"/>
      <c r="AD877" s="144"/>
      <c r="AE877" s="144"/>
      <c r="AF877" s="144"/>
      <c r="AG877" s="144"/>
      <c r="AH877" s="144"/>
      <c r="AI877" s="144"/>
    </row>
    <row r="878" spans="7:35" hidden="1">
      <c r="G878" s="144"/>
      <c r="H878" s="144"/>
      <c r="I878" s="144"/>
      <c r="J878" s="144"/>
      <c r="K878" s="144"/>
      <c r="L878" s="144"/>
      <c r="M878" s="144"/>
      <c r="N878" s="144"/>
      <c r="O878" s="144"/>
      <c r="P878" s="144"/>
      <c r="Q878" s="144"/>
      <c r="R878" s="144"/>
      <c r="S878" s="144"/>
      <c r="T878" s="144"/>
      <c r="U878" s="144"/>
      <c r="V878" s="144"/>
      <c r="W878" s="144"/>
      <c r="X878" s="144"/>
      <c r="Y878" s="144"/>
      <c r="Z878" s="144"/>
      <c r="AA878" s="144"/>
      <c r="AB878" s="144"/>
      <c r="AC878" s="144"/>
      <c r="AD878" s="144"/>
      <c r="AE878" s="144"/>
      <c r="AF878" s="144"/>
      <c r="AG878" s="144"/>
      <c r="AH878" s="144"/>
      <c r="AI878" s="144"/>
    </row>
    <row r="879" spans="7:35" hidden="1">
      <c r="G879" s="144"/>
      <c r="H879" s="144"/>
      <c r="I879" s="144"/>
      <c r="J879" s="144"/>
      <c r="K879" s="144"/>
      <c r="L879" s="144"/>
      <c r="M879" s="144"/>
      <c r="N879" s="144"/>
      <c r="O879" s="144"/>
      <c r="P879" s="144"/>
      <c r="Q879" s="144"/>
      <c r="R879" s="144"/>
      <c r="S879" s="144"/>
      <c r="T879" s="144"/>
      <c r="U879" s="144"/>
      <c r="V879" s="144"/>
      <c r="W879" s="144"/>
      <c r="X879" s="144"/>
      <c r="Y879" s="144"/>
      <c r="Z879" s="144"/>
      <c r="AA879" s="144"/>
      <c r="AB879" s="144"/>
      <c r="AC879" s="144"/>
      <c r="AD879" s="144"/>
      <c r="AE879" s="144"/>
      <c r="AF879" s="144"/>
      <c r="AG879" s="144"/>
      <c r="AH879" s="144"/>
      <c r="AI879" s="144"/>
    </row>
    <row r="880" spans="7:35" hidden="1">
      <c r="G880" s="144"/>
      <c r="H880" s="144"/>
      <c r="I880" s="144"/>
      <c r="J880" s="144"/>
      <c r="K880" s="144"/>
      <c r="L880" s="144"/>
      <c r="M880" s="144"/>
      <c r="N880" s="144"/>
      <c r="O880" s="144"/>
      <c r="P880" s="144"/>
      <c r="Q880" s="144"/>
      <c r="R880" s="144"/>
      <c r="S880" s="144"/>
      <c r="T880" s="144"/>
      <c r="U880" s="144"/>
      <c r="V880" s="144"/>
      <c r="W880" s="144"/>
      <c r="X880" s="144"/>
      <c r="Y880" s="144"/>
      <c r="Z880" s="144"/>
      <c r="AA880" s="144"/>
      <c r="AB880" s="144"/>
      <c r="AC880" s="144"/>
      <c r="AD880" s="144"/>
      <c r="AE880" s="144"/>
      <c r="AF880" s="144"/>
      <c r="AG880" s="144"/>
      <c r="AH880" s="144"/>
      <c r="AI880" s="144"/>
    </row>
    <row r="881" spans="7:35" hidden="1">
      <c r="G881" s="144"/>
      <c r="H881" s="144"/>
      <c r="I881" s="144"/>
      <c r="J881" s="144"/>
      <c r="K881" s="144"/>
      <c r="L881" s="144"/>
      <c r="M881" s="144"/>
      <c r="N881" s="144"/>
      <c r="O881" s="144"/>
      <c r="P881" s="144"/>
      <c r="Q881" s="144"/>
      <c r="R881" s="144"/>
      <c r="S881" s="144"/>
      <c r="T881" s="144"/>
      <c r="U881" s="144"/>
      <c r="V881" s="144"/>
      <c r="W881" s="144"/>
      <c r="X881" s="144"/>
      <c r="Y881" s="144"/>
      <c r="Z881" s="144"/>
      <c r="AA881" s="144"/>
      <c r="AB881" s="144"/>
      <c r="AC881" s="144"/>
      <c r="AD881" s="144"/>
      <c r="AE881" s="144"/>
      <c r="AF881" s="144"/>
      <c r="AG881" s="144"/>
      <c r="AH881" s="144"/>
      <c r="AI881" s="144"/>
    </row>
    <row r="882" spans="7:35" hidden="1">
      <c r="G882" s="144"/>
      <c r="H882" s="144"/>
      <c r="I882" s="144"/>
      <c r="J882" s="144"/>
      <c r="K882" s="144"/>
      <c r="L882" s="144"/>
      <c r="M882" s="144"/>
      <c r="N882" s="144"/>
      <c r="O882" s="144"/>
      <c r="P882" s="144"/>
      <c r="Q882" s="144"/>
      <c r="R882" s="144"/>
      <c r="S882" s="144"/>
      <c r="T882" s="144"/>
      <c r="U882" s="144"/>
      <c r="V882" s="144"/>
      <c r="W882" s="144"/>
      <c r="X882" s="144"/>
      <c r="Y882" s="144"/>
      <c r="Z882" s="144"/>
      <c r="AA882" s="144"/>
      <c r="AB882" s="144"/>
      <c r="AC882" s="144"/>
      <c r="AD882" s="144"/>
      <c r="AE882" s="144"/>
      <c r="AF882" s="144"/>
      <c r="AG882" s="144"/>
      <c r="AH882" s="144"/>
      <c r="AI882" s="144"/>
    </row>
    <row r="883" spans="7:35" hidden="1">
      <c r="G883" s="144"/>
      <c r="H883" s="144"/>
      <c r="I883" s="144"/>
      <c r="J883" s="144"/>
      <c r="K883" s="144"/>
      <c r="L883" s="144"/>
      <c r="M883" s="144"/>
      <c r="N883" s="144"/>
      <c r="O883" s="144"/>
      <c r="P883" s="144"/>
      <c r="Q883" s="144"/>
      <c r="R883" s="144"/>
      <c r="S883" s="144"/>
      <c r="T883" s="144"/>
      <c r="U883" s="144"/>
      <c r="V883" s="144"/>
      <c r="W883" s="144"/>
      <c r="X883" s="144"/>
      <c r="Y883" s="144"/>
      <c r="Z883" s="144"/>
      <c r="AA883" s="144"/>
      <c r="AB883" s="144"/>
      <c r="AC883" s="144"/>
      <c r="AD883" s="144"/>
      <c r="AE883" s="144"/>
      <c r="AF883" s="144"/>
      <c r="AG883" s="144"/>
      <c r="AH883" s="144"/>
      <c r="AI883" s="144"/>
    </row>
    <row r="884" spans="7:35" hidden="1">
      <c r="G884" s="144"/>
      <c r="H884" s="144"/>
      <c r="I884" s="144"/>
      <c r="J884" s="144"/>
      <c r="K884" s="144"/>
      <c r="L884" s="144"/>
      <c r="M884" s="144"/>
      <c r="N884" s="144"/>
      <c r="O884" s="144"/>
      <c r="P884" s="144"/>
      <c r="Q884" s="144"/>
      <c r="R884" s="144"/>
      <c r="S884" s="144"/>
      <c r="T884" s="144"/>
      <c r="U884" s="144"/>
      <c r="V884" s="144"/>
      <c r="W884" s="144"/>
      <c r="X884" s="144"/>
      <c r="Y884" s="144"/>
      <c r="Z884" s="144"/>
      <c r="AA884" s="144"/>
      <c r="AB884" s="144"/>
      <c r="AC884" s="144"/>
      <c r="AD884" s="144"/>
      <c r="AE884" s="144"/>
      <c r="AF884" s="144"/>
      <c r="AG884" s="144"/>
      <c r="AH884" s="144"/>
      <c r="AI884" s="144"/>
    </row>
    <row r="885" spans="7:35" hidden="1">
      <c r="G885" s="144"/>
      <c r="H885" s="144"/>
      <c r="I885" s="144"/>
      <c r="J885" s="144"/>
      <c r="K885" s="144"/>
      <c r="L885" s="144"/>
      <c r="M885" s="144"/>
      <c r="N885" s="144"/>
      <c r="O885" s="144"/>
      <c r="P885" s="144"/>
      <c r="Q885" s="144"/>
      <c r="R885" s="144"/>
      <c r="S885" s="144"/>
      <c r="T885" s="144"/>
      <c r="U885" s="144"/>
      <c r="V885" s="144"/>
      <c r="W885" s="144"/>
      <c r="X885" s="144"/>
      <c r="Y885" s="144"/>
      <c r="Z885" s="144"/>
      <c r="AA885" s="144"/>
      <c r="AB885" s="144"/>
      <c r="AC885" s="144"/>
      <c r="AD885" s="144"/>
      <c r="AE885" s="144"/>
      <c r="AF885" s="144"/>
      <c r="AG885" s="144"/>
      <c r="AH885" s="144"/>
      <c r="AI885" s="144"/>
    </row>
    <row r="886" spans="7:35" hidden="1">
      <c r="G886" s="144"/>
      <c r="H886" s="144"/>
      <c r="I886" s="144"/>
      <c r="J886" s="144"/>
      <c r="K886" s="144"/>
      <c r="L886" s="144"/>
      <c r="M886" s="144"/>
      <c r="N886" s="144"/>
      <c r="O886" s="144"/>
      <c r="P886" s="144"/>
      <c r="Q886" s="144"/>
      <c r="R886" s="144"/>
      <c r="S886" s="144"/>
      <c r="T886" s="144"/>
      <c r="U886" s="144"/>
      <c r="V886" s="144"/>
      <c r="W886" s="144"/>
      <c r="X886" s="144"/>
      <c r="Y886" s="144"/>
      <c r="Z886" s="144"/>
      <c r="AA886" s="144"/>
      <c r="AB886" s="144"/>
      <c r="AC886" s="144"/>
      <c r="AD886" s="144"/>
      <c r="AE886" s="144"/>
      <c r="AF886" s="144"/>
      <c r="AG886" s="144"/>
      <c r="AH886" s="144"/>
      <c r="AI886" s="144"/>
    </row>
    <row r="887" spans="7:35" hidden="1">
      <c r="G887" s="144"/>
      <c r="H887" s="144"/>
      <c r="I887" s="144"/>
      <c r="J887" s="144"/>
      <c r="K887" s="144"/>
      <c r="L887" s="144"/>
      <c r="M887" s="144"/>
      <c r="N887" s="144"/>
      <c r="O887" s="144"/>
      <c r="P887" s="144"/>
      <c r="Q887" s="144"/>
      <c r="R887" s="144"/>
      <c r="S887" s="144"/>
      <c r="T887" s="144"/>
      <c r="U887" s="144"/>
      <c r="V887" s="144"/>
      <c r="W887" s="144"/>
      <c r="X887" s="144"/>
      <c r="Y887" s="144"/>
      <c r="Z887" s="144"/>
      <c r="AA887" s="144"/>
      <c r="AB887" s="144"/>
      <c r="AC887" s="144"/>
      <c r="AD887" s="144"/>
      <c r="AE887" s="144"/>
      <c r="AF887" s="144"/>
      <c r="AG887" s="144"/>
      <c r="AH887" s="144"/>
      <c r="AI887" s="144"/>
    </row>
    <row r="888" spans="7:35" hidden="1">
      <c r="G888" s="144"/>
      <c r="H888" s="144"/>
      <c r="I888" s="144"/>
      <c r="J888" s="144"/>
      <c r="K888" s="144"/>
      <c r="L888" s="144"/>
      <c r="M888" s="144"/>
      <c r="N888" s="144"/>
      <c r="O888" s="144"/>
      <c r="P888" s="144"/>
      <c r="Q888" s="144"/>
      <c r="R888" s="144"/>
      <c r="S888" s="144"/>
      <c r="T888" s="144"/>
      <c r="U888" s="144"/>
      <c r="V888" s="144"/>
      <c r="W888" s="144"/>
      <c r="X888" s="144"/>
      <c r="Y888" s="144"/>
      <c r="Z888" s="144"/>
      <c r="AA888" s="144"/>
      <c r="AB888" s="144"/>
      <c r="AC888" s="144"/>
      <c r="AD888" s="144"/>
      <c r="AE888" s="144"/>
      <c r="AF888" s="144"/>
      <c r="AG888" s="144"/>
      <c r="AH888" s="144"/>
      <c r="AI888" s="144"/>
    </row>
    <row r="889" spans="7:35" hidden="1">
      <c r="G889" s="144"/>
      <c r="H889" s="144"/>
      <c r="I889" s="144"/>
      <c r="J889" s="144"/>
      <c r="K889" s="144"/>
      <c r="L889" s="144"/>
      <c r="M889" s="144"/>
      <c r="N889" s="144"/>
      <c r="O889" s="144"/>
      <c r="P889" s="144"/>
      <c r="Q889" s="144"/>
      <c r="R889" s="144"/>
      <c r="S889" s="144"/>
      <c r="T889" s="144"/>
      <c r="U889" s="144"/>
      <c r="V889" s="144"/>
      <c r="W889" s="144"/>
      <c r="X889" s="144"/>
      <c r="Y889" s="144"/>
      <c r="Z889" s="144"/>
      <c r="AA889" s="144"/>
      <c r="AB889" s="144"/>
      <c r="AC889" s="144"/>
      <c r="AD889" s="144"/>
      <c r="AE889" s="144"/>
      <c r="AF889" s="144"/>
      <c r="AG889" s="144"/>
      <c r="AH889" s="144"/>
      <c r="AI889" s="144"/>
    </row>
    <row r="890" spans="7:35" hidden="1">
      <c r="G890" s="144"/>
      <c r="H890" s="144"/>
      <c r="I890" s="144"/>
      <c r="J890" s="144"/>
      <c r="K890" s="144"/>
      <c r="L890" s="144"/>
      <c r="M890" s="144"/>
      <c r="N890" s="144"/>
      <c r="O890" s="144"/>
      <c r="P890" s="144"/>
      <c r="Q890" s="144"/>
      <c r="R890" s="144"/>
      <c r="S890" s="144"/>
      <c r="T890" s="144"/>
      <c r="U890" s="144"/>
      <c r="V890" s="144"/>
      <c r="W890" s="144"/>
      <c r="X890" s="144"/>
      <c r="Y890" s="144"/>
      <c r="Z890" s="144"/>
      <c r="AA890" s="144"/>
      <c r="AB890" s="144"/>
      <c r="AC890" s="144"/>
      <c r="AD890" s="144"/>
      <c r="AE890" s="144"/>
      <c r="AF890" s="144"/>
      <c r="AG890" s="144"/>
      <c r="AH890" s="144"/>
      <c r="AI890" s="144"/>
    </row>
    <row r="891" spans="7:35" hidden="1">
      <c r="G891" s="144"/>
      <c r="H891" s="144"/>
      <c r="I891" s="144"/>
      <c r="J891" s="144"/>
      <c r="K891" s="144"/>
      <c r="L891" s="144"/>
      <c r="M891" s="144"/>
      <c r="N891" s="144"/>
      <c r="O891" s="144"/>
      <c r="P891" s="144"/>
      <c r="Q891" s="144"/>
      <c r="R891" s="144"/>
      <c r="S891" s="144"/>
      <c r="T891" s="144"/>
      <c r="U891" s="144"/>
      <c r="V891" s="144"/>
      <c r="W891" s="144"/>
      <c r="X891" s="144"/>
      <c r="Y891" s="144"/>
      <c r="Z891" s="144"/>
      <c r="AA891" s="144"/>
      <c r="AB891" s="144"/>
      <c r="AC891" s="144"/>
      <c r="AD891" s="144"/>
      <c r="AE891" s="144"/>
      <c r="AF891" s="144"/>
      <c r="AG891" s="144"/>
      <c r="AH891" s="144"/>
      <c r="AI891" s="144"/>
    </row>
    <row r="892" spans="7:35" hidden="1">
      <c r="G892" s="144"/>
      <c r="H892" s="144"/>
      <c r="I892" s="144"/>
      <c r="J892" s="144"/>
      <c r="K892" s="144"/>
      <c r="L892" s="144"/>
      <c r="M892" s="144"/>
      <c r="N892" s="144"/>
      <c r="O892" s="144"/>
      <c r="P892" s="144"/>
      <c r="Q892" s="144"/>
      <c r="R892" s="144"/>
      <c r="S892" s="144"/>
      <c r="T892" s="144"/>
      <c r="U892" s="144"/>
      <c r="V892" s="144"/>
      <c r="W892" s="144"/>
      <c r="X892" s="144"/>
      <c r="Y892" s="144"/>
      <c r="Z892" s="144"/>
      <c r="AA892" s="144"/>
      <c r="AB892" s="144"/>
      <c r="AC892" s="144"/>
      <c r="AD892" s="144"/>
      <c r="AE892" s="144"/>
      <c r="AF892" s="144"/>
      <c r="AG892" s="144"/>
      <c r="AH892" s="144"/>
      <c r="AI892" s="144"/>
    </row>
    <row r="893" spans="7:35" hidden="1">
      <c r="G893" s="144"/>
      <c r="H893" s="144"/>
      <c r="I893" s="144"/>
      <c r="J893" s="144"/>
      <c r="K893" s="144"/>
      <c r="L893" s="144"/>
      <c r="M893" s="144"/>
      <c r="N893" s="144"/>
      <c r="O893" s="144"/>
      <c r="P893" s="144"/>
      <c r="Q893" s="144"/>
      <c r="R893" s="144"/>
      <c r="S893" s="144"/>
      <c r="T893" s="144"/>
      <c r="U893" s="144"/>
      <c r="V893" s="144"/>
      <c r="W893" s="144"/>
      <c r="X893" s="144"/>
      <c r="Y893" s="144"/>
      <c r="Z893" s="144"/>
      <c r="AA893" s="144"/>
      <c r="AB893" s="144"/>
      <c r="AC893" s="144"/>
      <c r="AD893" s="144"/>
      <c r="AE893" s="144"/>
      <c r="AF893" s="144"/>
      <c r="AG893" s="144"/>
      <c r="AH893" s="144"/>
      <c r="AI893" s="144"/>
    </row>
    <row r="894" spans="7:35" hidden="1">
      <c r="G894" s="144"/>
      <c r="H894" s="144"/>
      <c r="I894" s="144"/>
      <c r="J894" s="144"/>
      <c r="K894" s="144"/>
      <c r="L894" s="144"/>
      <c r="M894" s="144"/>
      <c r="N894" s="144"/>
      <c r="O894" s="144"/>
      <c r="P894" s="144"/>
      <c r="Q894" s="144"/>
      <c r="R894" s="144"/>
      <c r="S894" s="144"/>
      <c r="T894" s="144"/>
      <c r="U894" s="144"/>
      <c r="V894" s="144"/>
      <c r="W894" s="144"/>
      <c r="X894" s="144"/>
      <c r="Y894" s="144"/>
      <c r="Z894" s="144"/>
      <c r="AA894" s="144"/>
      <c r="AB894" s="144"/>
      <c r="AC894" s="144"/>
      <c r="AD894" s="144"/>
      <c r="AE894" s="144"/>
      <c r="AF894" s="144"/>
      <c r="AG894" s="144"/>
      <c r="AH894" s="144"/>
      <c r="AI894" s="144"/>
    </row>
    <row r="895" spans="7:35" hidden="1">
      <c r="G895" s="144"/>
      <c r="H895" s="144"/>
      <c r="I895" s="144"/>
      <c r="J895" s="144"/>
      <c r="K895" s="144"/>
      <c r="L895" s="144"/>
      <c r="M895" s="144"/>
      <c r="N895" s="144"/>
      <c r="O895" s="144"/>
      <c r="P895" s="144"/>
      <c r="Q895" s="144"/>
      <c r="R895" s="144"/>
      <c r="S895" s="144"/>
      <c r="T895" s="144"/>
      <c r="U895" s="144"/>
      <c r="V895" s="144"/>
      <c r="W895" s="144"/>
      <c r="X895" s="144"/>
      <c r="Y895" s="144"/>
      <c r="Z895" s="144"/>
      <c r="AA895" s="144"/>
      <c r="AB895" s="144"/>
      <c r="AC895" s="144"/>
      <c r="AD895" s="144"/>
      <c r="AE895" s="144"/>
      <c r="AF895" s="144"/>
      <c r="AG895" s="144"/>
      <c r="AH895" s="144"/>
      <c r="AI895" s="144"/>
    </row>
    <row r="896" spans="7:35" hidden="1">
      <c r="G896" s="144"/>
      <c r="H896" s="144"/>
      <c r="I896" s="144"/>
      <c r="J896" s="144"/>
      <c r="K896" s="144"/>
      <c r="L896" s="144"/>
      <c r="M896" s="144"/>
      <c r="N896" s="144"/>
      <c r="O896" s="144"/>
      <c r="P896" s="144"/>
      <c r="Q896" s="144"/>
      <c r="R896" s="144"/>
      <c r="S896" s="144"/>
      <c r="T896" s="144"/>
      <c r="U896" s="144"/>
      <c r="V896" s="144"/>
      <c r="W896" s="144"/>
      <c r="X896" s="144"/>
      <c r="Y896" s="144"/>
      <c r="Z896" s="144"/>
      <c r="AA896" s="144"/>
      <c r="AB896" s="144"/>
      <c r="AC896" s="144"/>
      <c r="AD896" s="144"/>
      <c r="AE896" s="144"/>
      <c r="AF896" s="144"/>
      <c r="AG896" s="144"/>
      <c r="AH896" s="144"/>
      <c r="AI896" s="144"/>
    </row>
    <row r="897" spans="7:35" hidden="1">
      <c r="G897" s="144"/>
      <c r="H897" s="144"/>
      <c r="I897" s="144"/>
      <c r="J897" s="144"/>
      <c r="K897" s="144"/>
      <c r="L897" s="144"/>
      <c r="M897" s="144"/>
      <c r="N897" s="144"/>
      <c r="O897" s="144"/>
      <c r="P897" s="144"/>
      <c r="Q897" s="144"/>
      <c r="R897" s="144"/>
      <c r="S897" s="144"/>
      <c r="T897" s="144"/>
      <c r="U897" s="144"/>
      <c r="V897" s="144"/>
      <c r="W897" s="144"/>
      <c r="X897" s="144"/>
      <c r="Y897" s="144"/>
      <c r="Z897" s="144"/>
      <c r="AA897" s="144"/>
      <c r="AB897" s="144"/>
      <c r="AC897" s="144"/>
      <c r="AD897" s="144"/>
      <c r="AE897" s="144"/>
      <c r="AF897" s="144"/>
      <c r="AG897" s="144"/>
      <c r="AH897" s="144"/>
      <c r="AI897" s="144"/>
    </row>
    <row r="898" spans="7:35" hidden="1">
      <c r="G898" s="144"/>
      <c r="H898" s="144"/>
      <c r="I898" s="144"/>
      <c r="J898" s="144"/>
      <c r="K898" s="144"/>
      <c r="L898" s="144"/>
      <c r="M898" s="144"/>
      <c r="N898" s="144"/>
      <c r="O898" s="144"/>
      <c r="P898" s="144"/>
      <c r="Q898" s="144"/>
      <c r="R898" s="144"/>
      <c r="S898" s="144"/>
      <c r="T898" s="144"/>
      <c r="U898" s="144"/>
      <c r="V898" s="144"/>
      <c r="W898" s="144"/>
      <c r="X898" s="144"/>
      <c r="Y898" s="144"/>
      <c r="Z898" s="144"/>
      <c r="AA898" s="144"/>
      <c r="AB898" s="144"/>
      <c r="AC898" s="144"/>
      <c r="AD898" s="144"/>
      <c r="AE898" s="144"/>
      <c r="AF898" s="144"/>
      <c r="AG898" s="144"/>
      <c r="AH898" s="144"/>
      <c r="AI898" s="144"/>
    </row>
    <row r="899" spans="7:35" hidden="1">
      <c r="G899" s="144"/>
      <c r="H899" s="144"/>
      <c r="I899" s="144"/>
      <c r="J899" s="144"/>
      <c r="K899" s="144"/>
      <c r="L899" s="144"/>
      <c r="M899" s="144"/>
      <c r="N899" s="144"/>
      <c r="O899" s="144"/>
      <c r="P899" s="144"/>
      <c r="Q899" s="144"/>
      <c r="R899" s="144"/>
      <c r="S899" s="144"/>
      <c r="T899" s="144"/>
      <c r="U899" s="144"/>
      <c r="V899" s="144"/>
      <c r="W899" s="144"/>
      <c r="X899" s="144"/>
      <c r="Y899" s="144"/>
      <c r="Z899" s="144"/>
      <c r="AA899" s="144"/>
      <c r="AB899" s="144"/>
      <c r="AC899" s="144"/>
      <c r="AD899" s="144"/>
      <c r="AE899" s="144"/>
      <c r="AF899" s="144"/>
      <c r="AG899" s="144"/>
      <c r="AH899" s="144"/>
      <c r="AI899" s="144"/>
    </row>
    <row r="900" spans="7:35" hidden="1">
      <c r="G900" s="144"/>
      <c r="H900" s="144"/>
      <c r="I900" s="144"/>
      <c r="J900" s="144"/>
      <c r="K900" s="144"/>
      <c r="L900" s="144"/>
      <c r="M900" s="144"/>
      <c r="N900" s="144"/>
      <c r="O900" s="144"/>
      <c r="P900" s="144"/>
      <c r="Q900" s="144"/>
      <c r="R900" s="144"/>
      <c r="S900" s="144"/>
      <c r="T900" s="144"/>
      <c r="U900" s="144"/>
      <c r="V900" s="144"/>
      <c r="W900" s="144"/>
      <c r="X900" s="144"/>
      <c r="Y900" s="144"/>
      <c r="Z900" s="144"/>
      <c r="AA900" s="144"/>
      <c r="AB900" s="144"/>
      <c r="AC900" s="144"/>
      <c r="AD900" s="144"/>
      <c r="AE900" s="144"/>
      <c r="AF900" s="144"/>
      <c r="AG900" s="144"/>
      <c r="AH900" s="144"/>
      <c r="AI900" s="144"/>
    </row>
    <row r="901" spans="7:35" hidden="1">
      <c r="G901" s="144"/>
      <c r="H901" s="144"/>
      <c r="I901" s="144"/>
      <c r="J901" s="144"/>
      <c r="K901" s="144"/>
      <c r="L901" s="144"/>
      <c r="M901" s="144"/>
      <c r="N901" s="144"/>
      <c r="O901" s="144"/>
      <c r="P901" s="144"/>
      <c r="Q901" s="144"/>
      <c r="R901" s="144"/>
      <c r="S901" s="144"/>
      <c r="T901" s="144"/>
      <c r="U901" s="144"/>
      <c r="V901" s="144"/>
      <c r="W901" s="144"/>
      <c r="X901" s="144"/>
      <c r="Y901" s="144"/>
      <c r="Z901" s="144"/>
      <c r="AA901" s="144"/>
      <c r="AB901" s="144"/>
      <c r="AC901" s="144"/>
      <c r="AD901" s="144"/>
      <c r="AE901" s="144"/>
      <c r="AF901" s="144"/>
      <c r="AG901" s="144"/>
      <c r="AH901" s="144"/>
      <c r="AI901" s="144"/>
    </row>
    <row r="902" spans="7:35" hidden="1">
      <c r="G902" s="144"/>
      <c r="H902" s="144"/>
      <c r="I902" s="144"/>
      <c r="J902" s="144"/>
      <c r="K902" s="144"/>
      <c r="L902" s="144"/>
      <c r="M902" s="144"/>
      <c r="N902" s="144"/>
      <c r="O902" s="144"/>
      <c r="P902" s="144"/>
      <c r="Q902" s="144"/>
      <c r="R902" s="144"/>
      <c r="S902" s="144"/>
      <c r="T902" s="144"/>
      <c r="U902" s="144"/>
      <c r="V902" s="144"/>
      <c r="W902" s="144"/>
      <c r="X902" s="144"/>
      <c r="Y902" s="144"/>
      <c r="Z902" s="144"/>
      <c r="AA902" s="144"/>
      <c r="AB902" s="144"/>
      <c r="AC902" s="144"/>
      <c r="AD902" s="144"/>
      <c r="AE902" s="144"/>
      <c r="AF902" s="144"/>
      <c r="AG902" s="144"/>
      <c r="AH902" s="144"/>
      <c r="AI902" s="144"/>
    </row>
    <row r="903" spans="7:35" hidden="1">
      <c r="G903" s="144"/>
      <c r="H903" s="144"/>
      <c r="I903" s="144"/>
      <c r="J903" s="144"/>
      <c r="K903" s="144"/>
      <c r="L903" s="144"/>
      <c r="M903" s="144"/>
      <c r="N903" s="144"/>
      <c r="O903" s="144"/>
      <c r="P903" s="144"/>
      <c r="Q903" s="144"/>
      <c r="R903" s="144"/>
      <c r="S903" s="144"/>
      <c r="T903" s="144"/>
      <c r="U903" s="144"/>
      <c r="V903" s="144"/>
      <c r="W903" s="144"/>
      <c r="X903" s="144"/>
      <c r="Y903" s="144"/>
      <c r="Z903" s="144"/>
      <c r="AA903" s="144"/>
      <c r="AB903" s="144"/>
      <c r="AC903" s="144"/>
      <c r="AD903" s="144"/>
      <c r="AE903" s="144"/>
      <c r="AF903" s="144"/>
      <c r="AG903" s="144"/>
      <c r="AH903" s="144"/>
      <c r="AI903" s="144"/>
    </row>
    <row r="904" spans="7:35" hidden="1">
      <c r="G904" s="144"/>
      <c r="H904" s="144"/>
      <c r="I904" s="144"/>
      <c r="J904" s="144"/>
      <c r="K904" s="144"/>
      <c r="L904" s="144"/>
      <c r="M904" s="144"/>
      <c r="N904" s="144"/>
      <c r="O904" s="144"/>
      <c r="P904" s="144"/>
      <c r="Q904" s="144"/>
      <c r="R904" s="144"/>
      <c r="S904" s="144"/>
      <c r="T904" s="144"/>
      <c r="U904" s="144"/>
      <c r="V904" s="144"/>
      <c r="W904" s="144"/>
      <c r="X904" s="144"/>
      <c r="Y904" s="144"/>
      <c r="Z904" s="144"/>
      <c r="AA904" s="144"/>
      <c r="AB904" s="144"/>
      <c r="AC904" s="144"/>
      <c r="AD904" s="144"/>
      <c r="AE904" s="144"/>
      <c r="AF904" s="144"/>
      <c r="AG904" s="144"/>
      <c r="AH904" s="144"/>
      <c r="AI904" s="144"/>
    </row>
    <row r="905" spans="7:35" hidden="1">
      <c r="G905" s="144"/>
      <c r="H905" s="144"/>
      <c r="I905" s="144"/>
      <c r="J905" s="144"/>
      <c r="K905" s="144"/>
      <c r="L905" s="144"/>
      <c r="M905" s="144"/>
      <c r="N905" s="144"/>
      <c r="O905" s="144"/>
      <c r="P905" s="144"/>
      <c r="Q905" s="144"/>
      <c r="R905" s="144"/>
      <c r="S905" s="144"/>
      <c r="T905" s="144"/>
      <c r="U905" s="144"/>
      <c r="V905" s="144"/>
      <c r="W905" s="144"/>
      <c r="X905" s="144"/>
      <c r="Y905" s="144"/>
      <c r="Z905" s="144"/>
      <c r="AA905" s="144"/>
      <c r="AB905" s="144"/>
      <c r="AC905" s="144"/>
      <c r="AD905" s="144"/>
      <c r="AE905" s="144"/>
      <c r="AF905" s="144"/>
      <c r="AG905" s="144"/>
      <c r="AH905" s="144"/>
      <c r="AI905" s="144"/>
    </row>
    <row r="906" spans="7:35" hidden="1">
      <c r="G906" s="144"/>
      <c r="H906" s="144"/>
      <c r="I906" s="144"/>
      <c r="J906" s="144"/>
      <c r="K906" s="144"/>
      <c r="L906" s="144"/>
      <c r="M906" s="144"/>
      <c r="N906" s="144"/>
      <c r="O906" s="144"/>
      <c r="P906" s="144"/>
      <c r="Q906" s="144"/>
      <c r="R906" s="144"/>
      <c r="S906" s="144"/>
      <c r="T906" s="144"/>
      <c r="U906" s="144"/>
      <c r="V906" s="144"/>
      <c r="W906" s="144"/>
      <c r="X906" s="144"/>
      <c r="Y906" s="144"/>
      <c r="Z906" s="144"/>
      <c r="AA906" s="144"/>
      <c r="AB906" s="144"/>
      <c r="AC906" s="144"/>
      <c r="AD906" s="144"/>
      <c r="AE906" s="144"/>
      <c r="AF906" s="144"/>
      <c r="AG906" s="144"/>
      <c r="AH906" s="144"/>
      <c r="AI906" s="144"/>
    </row>
    <row r="907" spans="7:35" hidden="1">
      <c r="G907" s="144"/>
      <c r="H907" s="144"/>
      <c r="I907" s="144"/>
      <c r="J907" s="144"/>
      <c r="K907" s="144"/>
      <c r="L907" s="144"/>
      <c r="M907" s="144"/>
      <c r="N907" s="144"/>
      <c r="O907" s="144"/>
      <c r="P907" s="144"/>
      <c r="Q907" s="144"/>
      <c r="R907" s="144"/>
      <c r="S907" s="144"/>
      <c r="T907" s="144"/>
      <c r="U907" s="144"/>
      <c r="V907" s="144"/>
      <c r="W907" s="144"/>
      <c r="X907" s="144"/>
      <c r="Y907" s="144"/>
      <c r="Z907" s="144"/>
      <c r="AA907" s="144"/>
      <c r="AB907" s="144"/>
      <c r="AC907" s="144"/>
      <c r="AD907" s="144"/>
      <c r="AE907" s="144"/>
      <c r="AF907" s="144"/>
      <c r="AG907" s="144"/>
      <c r="AH907" s="144"/>
      <c r="AI907" s="144"/>
    </row>
    <row r="908" spans="7:35" hidden="1">
      <c r="G908" s="144"/>
      <c r="H908" s="144"/>
      <c r="I908" s="144"/>
      <c r="J908" s="144"/>
      <c r="K908" s="144"/>
      <c r="L908" s="144"/>
      <c r="M908" s="144"/>
      <c r="N908" s="144"/>
      <c r="O908" s="144"/>
      <c r="P908" s="144"/>
      <c r="Q908" s="144"/>
      <c r="R908" s="144"/>
      <c r="S908" s="144"/>
      <c r="T908" s="144"/>
      <c r="U908" s="144"/>
      <c r="V908" s="144"/>
      <c r="W908" s="144"/>
      <c r="X908" s="144"/>
      <c r="Y908" s="144"/>
      <c r="Z908" s="144"/>
      <c r="AA908" s="144"/>
      <c r="AB908" s="144"/>
      <c r="AC908" s="144"/>
      <c r="AD908" s="144"/>
      <c r="AE908" s="144"/>
      <c r="AF908" s="144"/>
      <c r="AG908" s="144"/>
      <c r="AH908" s="144"/>
      <c r="AI908" s="144"/>
    </row>
    <row r="909" spans="7:35" hidden="1">
      <c r="G909" s="144"/>
      <c r="H909" s="144"/>
      <c r="I909" s="144"/>
      <c r="J909" s="144"/>
      <c r="K909" s="144"/>
      <c r="L909" s="144"/>
      <c r="M909" s="144"/>
      <c r="N909" s="144"/>
      <c r="O909" s="144"/>
      <c r="P909" s="144"/>
      <c r="Q909" s="144"/>
      <c r="R909" s="144"/>
      <c r="S909" s="144"/>
      <c r="T909" s="144"/>
      <c r="U909" s="144"/>
      <c r="V909" s="144"/>
      <c r="W909" s="144"/>
      <c r="X909" s="144"/>
      <c r="Y909" s="144"/>
      <c r="Z909" s="144"/>
      <c r="AA909" s="144"/>
      <c r="AB909" s="144"/>
      <c r="AC909" s="144"/>
      <c r="AD909" s="144"/>
      <c r="AE909" s="144"/>
      <c r="AF909" s="144"/>
      <c r="AG909" s="144"/>
      <c r="AH909" s="144"/>
      <c r="AI909" s="144"/>
    </row>
    <row r="910" spans="7:35" hidden="1">
      <c r="G910" s="144"/>
      <c r="H910" s="144"/>
      <c r="I910" s="144"/>
      <c r="J910" s="144"/>
      <c r="K910" s="144"/>
      <c r="L910" s="144"/>
      <c r="M910" s="144"/>
      <c r="N910" s="144"/>
      <c r="O910" s="144"/>
      <c r="P910" s="144"/>
      <c r="Q910" s="144"/>
      <c r="R910" s="144"/>
      <c r="S910" s="144"/>
      <c r="T910" s="144"/>
      <c r="U910" s="144"/>
      <c r="V910" s="144"/>
      <c r="W910" s="144"/>
      <c r="X910" s="144"/>
      <c r="Y910" s="144"/>
      <c r="Z910" s="144"/>
      <c r="AA910" s="144"/>
      <c r="AB910" s="144"/>
      <c r="AC910" s="144"/>
      <c r="AD910" s="144"/>
      <c r="AE910" s="144"/>
      <c r="AF910" s="144"/>
      <c r="AG910" s="144"/>
      <c r="AH910" s="144"/>
      <c r="AI910" s="144"/>
    </row>
    <row r="911" spans="7:35" hidden="1">
      <c r="G911" s="144"/>
      <c r="H911" s="144"/>
      <c r="I911" s="144"/>
      <c r="J911" s="144"/>
      <c r="K911" s="144"/>
      <c r="L911" s="144"/>
      <c r="M911" s="144"/>
      <c r="N911" s="144"/>
      <c r="O911" s="144"/>
      <c r="P911" s="144"/>
      <c r="Q911" s="144"/>
      <c r="R911" s="144"/>
      <c r="S911" s="144"/>
      <c r="T911" s="144"/>
      <c r="U911" s="144"/>
      <c r="V911" s="144"/>
      <c r="W911" s="144"/>
      <c r="X911" s="144"/>
      <c r="Y911" s="144"/>
      <c r="Z911" s="144"/>
      <c r="AA911" s="144"/>
      <c r="AB911" s="144"/>
      <c r="AC911" s="144"/>
      <c r="AD911" s="144"/>
      <c r="AE911" s="144"/>
      <c r="AF911" s="144"/>
      <c r="AG911" s="144"/>
      <c r="AH911" s="144"/>
      <c r="AI911" s="144"/>
    </row>
    <row r="912" spans="7:35" hidden="1">
      <c r="G912" s="144"/>
      <c r="H912" s="144"/>
      <c r="I912" s="144"/>
      <c r="J912" s="144"/>
      <c r="K912" s="144"/>
      <c r="L912" s="144"/>
      <c r="M912" s="144"/>
      <c r="N912" s="144"/>
      <c r="O912" s="144"/>
      <c r="P912" s="144"/>
      <c r="Q912" s="144"/>
      <c r="R912" s="144"/>
      <c r="S912" s="144"/>
      <c r="T912" s="144"/>
      <c r="U912" s="144"/>
      <c r="V912" s="144"/>
      <c r="W912" s="144"/>
      <c r="X912" s="144"/>
      <c r="Y912" s="144"/>
      <c r="Z912" s="144"/>
      <c r="AA912" s="144"/>
      <c r="AB912" s="144"/>
      <c r="AC912" s="144"/>
      <c r="AD912" s="144"/>
      <c r="AE912" s="144"/>
      <c r="AF912" s="144"/>
      <c r="AG912" s="144"/>
      <c r="AH912" s="144"/>
      <c r="AI912" s="144"/>
    </row>
    <row r="913" spans="7:35" hidden="1">
      <c r="G913" s="144"/>
      <c r="H913" s="144"/>
      <c r="I913" s="144"/>
      <c r="J913" s="144"/>
      <c r="K913" s="144"/>
      <c r="L913" s="144"/>
      <c r="M913" s="144"/>
      <c r="N913" s="144"/>
      <c r="O913" s="144"/>
      <c r="P913" s="144"/>
      <c r="Q913" s="144"/>
      <c r="R913" s="144"/>
      <c r="S913" s="144"/>
      <c r="T913" s="144"/>
      <c r="U913" s="144"/>
      <c r="V913" s="144"/>
      <c r="W913" s="144"/>
      <c r="X913" s="144"/>
      <c r="Y913" s="144"/>
      <c r="Z913" s="144"/>
      <c r="AA913" s="144"/>
      <c r="AB913" s="144"/>
      <c r="AC913" s="144"/>
      <c r="AD913" s="144"/>
      <c r="AE913" s="144"/>
      <c r="AF913" s="144"/>
      <c r="AG913" s="144"/>
      <c r="AH913" s="144"/>
      <c r="AI913" s="144"/>
    </row>
    <row r="914" spans="7:35" hidden="1">
      <c r="G914" s="144"/>
      <c r="H914" s="144"/>
      <c r="I914" s="144"/>
      <c r="J914" s="144"/>
      <c r="K914" s="144"/>
      <c r="L914" s="144"/>
      <c r="M914" s="144"/>
      <c r="N914" s="144"/>
      <c r="O914" s="144"/>
      <c r="P914" s="144"/>
      <c r="Q914" s="144"/>
      <c r="R914" s="144"/>
      <c r="S914" s="144"/>
      <c r="T914" s="144"/>
      <c r="U914" s="144"/>
      <c r="V914" s="144"/>
      <c r="W914" s="144"/>
      <c r="X914" s="144"/>
      <c r="Y914" s="144"/>
      <c r="Z914" s="144"/>
      <c r="AA914" s="144"/>
      <c r="AB914" s="144"/>
      <c r="AC914" s="144"/>
      <c r="AD914" s="144"/>
      <c r="AE914" s="144"/>
      <c r="AF914" s="144"/>
      <c r="AG914" s="144"/>
      <c r="AH914" s="144"/>
      <c r="AI914" s="144"/>
    </row>
    <row r="915" spans="7:35" hidden="1">
      <c r="G915" s="144"/>
      <c r="H915" s="144"/>
      <c r="I915" s="144"/>
      <c r="J915" s="144"/>
      <c r="K915" s="144"/>
      <c r="L915" s="144"/>
      <c r="M915" s="144"/>
      <c r="N915" s="144"/>
      <c r="O915" s="144"/>
      <c r="P915" s="144"/>
      <c r="Q915" s="144"/>
      <c r="R915" s="144"/>
      <c r="S915" s="144"/>
      <c r="T915" s="144"/>
      <c r="U915" s="144"/>
      <c r="V915" s="144"/>
      <c r="W915" s="144"/>
      <c r="X915" s="144"/>
      <c r="Y915" s="144"/>
      <c r="Z915" s="144"/>
      <c r="AA915" s="144"/>
      <c r="AB915" s="144"/>
      <c r="AC915" s="144"/>
      <c r="AD915" s="144"/>
      <c r="AE915" s="144"/>
      <c r="AF915" s="144"/>
      <c r="AG915" s="144"/>
      <c r="AH915" s="144"/>
      <c r="AI915" s="144"/>
    </row>
    <row r="916" spans="7:35" hidden="1">
      <c r="G916" s="144"/>
      <c r="H916" s="144"/>
      <c r="I916" s="144"/>
      <c r="J916" s="144"/>
      <c r="K916" s="144"/>
      <c r="L916" s="144"/>
      <c r="M916" s="144"/>
      <c r="N916" s="144"/>
      <c r="O916" s="144"/>
      <c r="P916" s="144"/>
      <c r="Q916" s="144"/>
      <c r="R916" s="144"/>
      <c r="S916" s="144"/>
      <c r="T916" s="144"/>
      <c r="U916" s="144"/>
      <c r="V916" s="144"/>
      <c r="W916" s="144"/>
      <c r="X916" s="144"/>
      <c r="Y916" s="144"/>
      <c r="Z916" s="144"/>
      <c r="AA916" s="144"/>
      <c r="AB916" s="144"/>
      <c r="AC916" s="144"/>
      <c r="AD916" s="144"/>
      <c r="AE916" s="144"/>
      <c r="AF916" s="144"/>
      <c r="AG916" s="144"/>
      <c r="AH916" s="144"/>
      <c r="AI916" s="144"/>
    </row>
    <row r="917" spans="7:35" hidden="1">
      <c r="G917" s="144"/>
      <c r="H917" s="144"/>
      <c r="I917" s="144"/>
      <c r="J917" s="144"/>
      <c r="K917" s="144"/>
      <c r="L917" s="144"/>
      <c r="M917" s="144"/>
      <c r="N917" s="144"/>
      <c r="O917" s="144"/>
      <c r="P917" s="144"/>
      <c r="Q917" s="144"/>
      <c r="R917" s="144"/>
      <c r="S917" s="144"/>
      <c r="T917" s="144"/>
      <c r="U917" s="144"/>
      <c r="V917" s="144"/>
      <c r="W917" s="144"/>
      <c r="X917" s="144"/>
      <c r="Y917" s="144"/>
      <c r="Z917" s="144"/>
      <c r="AA917" s="144"/>
      <c r="AB917" s="144"/>
      <c r="AC917" s="144"/>
      <c r="AD917" s="144"/>
      <c r="AE917" s="144"/>
      <c r="AF917" s="144"/>
      <c r="AG917" s="144"/>
      <c r="AH917" s="144"/>
      <c r="AI917" s="144"/>
    </row>
    <row r="918" spans="7:35" hidden="1">
      <c r="G918" s="144"/>
      <c r="H918" s="144"/>
      <c r="I918" s="144"/>
      <c r="J918" s="144"/>
      <c r="K918" s="144"/>
      <c r="L918" s="144"/>
      <c r="M918" s="144"/>
      <c r="N918" s="144"/>
      <c r="O918" s="144"/>
      <c r="P918" s="144"/>
      <c r="Q918" s="144"/>
      <c r="R918" s="144"/>
      <c r="S918" s="144"/>
      <c r="T918" s="144"/>
      <c r="U918" s="144"/>
      <c r="V918" s="144"/>
      <c r="W918" s="144"/>
      <c r="X918" s="144"/>
      <c r="Y918" s="144"/>
      <c r="Z918" s="144"/>
      <c r="AA918" s="144"/>
      <c r="AB918" s="144"/>
      <c r="AC918" s="144"/>
      <c r="AD918" s="144"/>
      <c r="AE918" s="144"/>
      <c r="AF918" s="144"/>
      <c r="AG918" s="144"/>
      <c r="AH918" s="144"/>
      <c r="AI918" s="144"/>
    </row>
    <row r="919" spans="7:35" hidden="1">
      <c r="G919" s="144"/>
      <c r="H919" s="144"/>
      <c r="I919" s="144"/>
      <c r="J919" s="144"/>
      <c r="K919" s="144"/>
      <c r="L919" s="144"/>
      <c r="M919" s="144"/>
      <c r="N919" s="144"/>
      <c r="O919" s="144"/>
      <c r="P919" s="144"/>
      <c r="Q919" s="144"/>
      <c r="R919" s="144"/>
      <c r="S919" s="144"/>
      <c r="T919" s="144"/>
      <c r="U919" s="144"/>
      <c r="V919" s="144"/>
      <c r="W919" s="144"/>
      <c r="X919" s="144"/>
      <c r="Y919" s="144"/>
      <c r="Z919" s="144"/>
      <c r="AA919" s="144"/>
      <c r="AB919" s="144"/>
      <c r="AC919" s="144"/>
      <c r="AD919" s="144"/>
      <c r="AE919" s="144"/>
      <c r="AF919" s="144"/>
      <c r="AG919" s="144"/>
      <c r="AH919" s="144"/>
      <c r="AI919" s="144"/>
    </row>
    <row r="920" spans="7:35" hidden="1">
      <c r="G920" s="144"/>
      <c r="H920" s="144"/>
      <c r="I920" s="144"/>
      <c r="J920" s="144"/>
      <c r="K920" s="144"/>
      <c r="L920" s="144"/>
      <c r="M920" s="144"/>
      <c r="N920" s="144"/>
      <c r="O920" s="144"/>
      <c r="P920" s="144"/>
      <c r="Q920" s="144"/>
      <c r="R920" s="144"/>
      <c r="S920" s="144"/>
      <c r="T920" s="144"/>
      <c r="U920" s="144"/>
      <c r="V920" s="144"/>
      <c r="W920" s="144"/>
      <c r="X920" s="144"/>
      <c r="Y920" s="144"/>
      <c r="Z920" s="144"/>
      <c r="AA920" s="144"/>
      <c r="AB920" s="144"/>
      <c r="AC920" s="144"/>
      <c r="AD920" s="144"/>
      <c r="AE920" s="144"/>
      <c r="AF920" s="144"/>
      <c r="AG920" s="144"/>
      <c r="AH920" s="144"/>
      <c r="AI920" s="144"/>
    </row>
    <row r="921" spans="7:35" hidden="1">
      <c r="G921" s="144"/>
      <c r="H921" s="144"/>
      <c r="I921" s="144"/>
      <c r="J921" s="144"/>
      <c r="K921" s="144"/>
      <c r="L921" s="144"/>
      <c r="M921" s="144"/>
      <c r="N921" s="144"/>
      <c r="O921" s="144"/>
      <c r="P921" s="144"/>
      <c r="Q921" s="144"/>
      <c r="R921" s="144"/>
      <c r="S921" s="144"/>
      <c r="T921" s="144"/>
      <c r="U921" s="144"/>
      <c r="V921" s="144"/>
      <c r="W921" s="144"/>
      <c r="X921" s="144"/>
      <c r="Y921" s="144"/>
      <c r="Z921" s="144"/>
      <c r="AA921" s="144"/>
      <c r="AB921" s="144"/>
      <c r="AC921" s="144"/>
      <c r="AD921" s="144"/>
      <c r="AE921" s="144"/>
      <c r="AF921" s="144"/>
      <c r="AG921" s="144"/>
      <c r="AH921" s="144"/>
      <c r="AI921" s="144"/>
    </row>
    <row r="922" spans="7:35" hidden="1">
      <c r="G922" s="144"/>
      <c r="H922" s="144"/>
      <c r="I922" s="144"/>
      <c r="J922" s="144"/>
      <c r="K922" s="144"/>
      <c r="L922" s="144"/>
      <c r="M922" s="144"/>
      <c r="N922" s="144"/>
      <c r="O922" s="144"/>
      <c r="P922" s="144"/>
      <c r="Q922" s="144"/>
      <c r="R922" s="144"/>
      <c r="S922" s="144"/>
      <c r="T922" s="144"/>
      <c r="U922" s="144"/>
      <c r="V922" s="144"/>
      <c r="W922" s="144"/>
      <c r="X922" s="144"/>
      <c r="Y922" s="144"/>
      <c r="Z922" s="144"/>
      <c r="AA922" s="144"/>
      <c r="AB922" s="144"/>
      <c r="AC922" s="144"/>
      <c r="AD922" s="144"/>
      <c r="AE922" s="144"/>
      <c r="AF922" s="144"/>
      <c r="AG922" s="144"/>
      <c r="AH922" s="144"/>
      <c r="AI922" s="144"/>
    </row>
    <row r="923" spans="7:35" hidden="1">
      <c r="G923" s="144"/>
      <c r="H923" s="144"/>
      <c r="I923" s="144"/>
      <c r="J923" s="144"/>
      <c r="K923" s="144"/>
      <c r="L923" s="144"/>
      <c r="M923" s="144"/>
      <c r="N923" s="144"/>
      <c r="O923" s="144"/>
      <c r="P923" s="144"/>
      <c r="Q923" s="144"/>
      <c r="R923" s="144"/>
      <c r="S923" s="144"/>
      <c r="T923" s="144"/>
      <c r="U923" s="144"/>
      <c r="V923" s="144"/>
      <c r="W923" s="144"/>
      <c r="X923" s="144"/>
      <c r="Y923" s="144"/>
      <c r="Z923" s="144"/>
      <c r="AA923" s="144"/>
      <c r="AB923" s="144"/>
      <c r="AC923" s="144"/>
      <c r="AD923" s="144"/>
      <c r="AE923" s="144"/>
      <c r="AF923" s="144"/>
      <c r="AG923" s="144"/>
      <c r="AH923" s="144"/>
      <c r="AI923" s="144"/>
    </row>
    <row r="924" spans="7:35" hidden="1">
      <c r="G924" s="144"/>
      <c r="H924" s="144"/>
      <c r="I924" s="144"/>
      <c r="J924" s="144"/>
      <c r="K924" s="144"/>
      <c r="L924" s="144"/>
      <c r="M924" s="144"/>
      <c r="N924" s="144"/>
      <c r="O924" s="144"/>
      <c r="P924" s="144"/>
      <c r="Q924" s="144"/>
      <c r="R924" s="144"/>
      <c r="S924" s="144"/>
      <c r="T924" s="144"/>
      <c r="U924" s="144"/>
      <c r="V924" s="144"/>
      <c r="W924" s="144"/>
      <c r="X924" s="144"/>
      <c r="Y924" s="144"/>
      <c r="Z924" s="144"/>
      <c r="AA924" s="144"/>
      <c r="AB924" s="144"/>
      <c r="AC924" s="144"/>
      <c r="AD924" s="144"/>
      <c r="AE924" s="144"/>
      <c r="AF924" s="144"/>
      <c r="AG924" s="144"/>
      <c r="AH924" s="144"/>
      <c r="AI924" s="144"/>
    </row>
    <row r="925" spans="7:35" hidden="1">
      <c r="G925" s="144"/>
      <c r="H925" s="144"/>
      <c r="I925" s="144"/>
      <c r="J925" s="144"/>
      <c r="K925" s="144"/>
      <c r="L925" s="144"/>
      <c r="M925" s="144"/>
      <c r="N925" s="144"/>
      <c r="O925" s="144"/>
      <c r="P925" s="144"/>
      <c r="Q925" s="144"/>
      <c r="R925" s="144"/>
      <c r="S925" s="144"/>
      <c r="T925" s="144"/>
      <c r="U925" s="144"/>
      <c r="V925" s="144"/>
      <c r="W925" s="144"/>
      <c r="X925" s="144"/>
      <c r="Y925" s="144"/>
      <c r="Z925" s="144"/>
      <c r="AA925" s="144"/>
      <c r="AB925" s="144"/>
      <c r="AC925" s="144"/>
      <c r="AD925" s="144"/>
      <c r="AE925" s="144"/>
      <c r="AF925" s="144"/>
      <c r="AG925" s="144"/>
      <c r="AH925" s="144"/>
      <c r="AI925" s="144"/>
    </row>
    <row r="926" spans="7:35" hidden="1">
      <c r="G926" s="144"/>
      <c r="H926" s="144"/>
      <c r="I926" s="144"/>
      <c r="J926" s="144"/>
      <c r="K926" s="144"/>
      <c r="L926" s="144"/>
      <c r="M926" s="144"/>
      <c r="N926" s="144"/>
      <c r="O926" s="144"/>
      <c r="P926" s="144"/>
      <c r="Q926" s="144"/>
      <c r="R926" s="144"/>
      <c r="S926" s="144"/>
      <c r="T926" s="144"/>
      <c r="U926" s="144"/>
      <c r="V926" s="144"/>
      <c r="W926" s="144"/>
      <c r="X926" s="144"/>
      <c r="Y926" s="144"/>
      <c r="Z926" s="144"/>
      <c r="AA926" s="144"/>
      <c r="AB926" s="144"/>
      <c r="AC926" s="144"/>
      <c r="AD926" s="144"/>
      <c r="AE926" s="144"/>
      <c r="AF926" s="144"/>
      <c r="AG926" s="144"/>
      <c r="AH926" s="144"/>
      <c r="AI926" s="144"/>
    </row>
    <row r="927" spans="7:35" hidden="1">
      <c r="G927" s="144"/>
      <c r="H927" s="144"/>
      <c r="I927" s="144"/>
      <c r="J927" s="144"/>
      <c r="K927" s="144"/>
      <c r="L927" s="144"/>
      <c r="M927" s="144"/>
      <c r="N927" s="144"/>
      <c r="O927" s="144"/>
      <c r="P927" s="144"/>
      <c r="Q927" s="144"/>
      <c r="R927" s="144"/>
      <c r="S927" s="144"/>
      <c r="T927" s="144"/>
      <c r="U927" s="144"/>
      <c r="V927" s="144"/>
      <c r="W927" s="144"/>
      <c r="X927" s="144"/>
      <c r="Y927" s="144"/>
      <c r="Z927" s="144"/>
      <c r="AA927" s="144"/>
      <c r="AB927" s="144"/>
      <c r="AC927" s="144"/>
      <c r="AD927" s="144"/>
      <c r="AE927" s="144"/>
      <c r="AF927" s="144"/>
      <c r="AG927" s="144"/>
      <c r="AH927" s="144"/>
      <c r="AI927" s="144"/>
    </row>
    <row r="928" spans="7:35" hidden="1">
      <c r="G928" s="144"/>
      <c r="H928" s="144"/>
      <c r="I928" s="144"/>
      <c r="J928" s="144"/>
      <c r="K928" s="144"/>
      <c r="L928" s="144"/>
      <c r="M928" s="144"/>
      <c r="N928" s="144"/>
      <c r="O928" s="144"/>
      <c r="P928" s="144"/>
      <c r="Q928" s="144"/>
      <c r="R928" s="144"/>
      <c r="S928" s="144"/>
      <c r="T928" s="144"/>
      <c r="U928" s="144"/>
      <c r="V928" s="144"/>
      <c r="W928" s="144"/>
      <c r="X928" s="144"/>
      <c r="Y928" s="144"/>
      <c r="Z928" s="144"/>
      <c r="AA928" s="144"/>
      <c r="AB928" s="144"/>
      <c r="AC928" s="144"/>
      <c r="AD928" s="144"/>
      <c r="AE928" s="144"/>
      <c r="AF928" s="144"/>
      <c r="AG928" s="144"/>
      <c r="AH928" s="144"/>
      <c r="AI928" s="144"/>
    </row>
    <row r="929" spans="7:35" hidden="1">
      <c r="G929" s="144"/>
      <c r="H929" s="144"/>
      <c r="I929" s="144"/>
      <c r="J929" s="144"/>
      <c r="K929" s="144"/>
      <c r="L929" s="144"/>
      <c r="M929" s="144"/>
      <c r="N929" s="144"/>
      <c r="O929" s="144"/>
      <c r="P929" s="144"/>
      <c r="Q929" s="144"/>
      <c r="R929" s="144"/>
      <c r="S929" s="144"/>
      <c r="T929" s="144"/>
      <c r="U929" s="144"/>
      <c r="V929" s="144"/>
      <c r="W929" s="144"/>
      <c r="X929" s="144"/>
      <c r="Y929" s="144"/>
      <c r="Z929" s="144"/>
      <c r="AA929" s="144"/>
      <c r="AB929" s="144"/>
      <c r="AC929" s="144"/>
      <c r="AD929" s="144"/>
      <c r="AE929" s="144"/>
      <c r="AF929" s="144"/>
      <c r="AG929" s="144"/>
      <c r="AH929" s="144"/>
      <c r="AI929" s="144"/>
    </row>
    <row r="930" spans="7:35" hidden="1">
      <c r="G930" s="144"/>
      <c r="H930" s="144"/>
      <c r="I930" s="144"/>
      <c r="J930" s="144"/>
      <c r="K930" s="144"/>
      <c r="L930" s="144"/>
      <c r="M930" s="144"/>
      <c r="N930" s="144"/>
      <c r="O930" s="144"/>
      <c r="P930" s="144"/>
      <c r="Q930" s="144"/>
      <c r="R930" s="144"/>
      <c r="S930" s="144"/>
      <c r="T930" s="144"/>
      <c r="U930" s="144"/>
      <c r="V930" s="144"/>
      <c r="W930" s="144"/>
      <c r="X930" s="144"/>
      <c r="Y930" s="144"/>
      <c r="Z930" s="144"/>
      <c r="AA930" s="144"/>
      <c r="AB930" s="144"/>
      <c r="AC930" s="144"/>
      <c r="AD930" s="144"/>
      <c r="AE930" s="144"/>
      <c r="AF930" s="144"/>
      <c r="AG930" s="144"/>
      <c r="AH930" s="144"/>
      <c r="AI930" s="144"/>
    </row>
    <row r="931" spans="7:35" hidden="1">
      <c r="G931" s="144"/>
      <c r="H931" s="144"/>
      <c r="I931" s="144"/>
      <c r="J931" s="144"/>
      <c r="K931" s="144"/>
      <c r="L931" s="144"/>
      <c r="M931" s="144"/>
      <c r="N931" s="144"/>
      <c r="O931" s="144"/>
      <c r="P931" s="144"/>
      <c r="Q931" s="144"/>
      <c r="R931" s="144"/>
      <c r="S931" s="144"/>
      <c r="T931" s="144"/>
      <c r="U931" s="144"/>
      <c r="V931" s="144"/>
      <c r="W931" s="144"/>
      <c r="X931" s="144"/>
      <c r="Y931" s="144"/>
      <c r="Z931" s="144"/>
      <c r="AA931" s="144"/>
      <c r="AB931" s="144"/>
      <c r="AC931" s="144"/>
      <c r="AD931" s="144"/>
      <c r="AE931" s="144"/>
      <c r="AF931" s="144"/>
      <c r="AG931" s="144"/>
      <c r="AH931" s="144"/>
      <c r="AI931" s="144"/>
    </row>
    <row r="932" spans="7:35" hidden="1">
      <c r="G932" s="144"/>
      <c r="H932" s="144"/>
      <c r="I932" s="144"/>
      <c r="J932" s="144"/>
      <c r="K932" s="144"/>
      <c r="L932" s="144"/>
      <c r="M932" s="144"/>
      <c r="N932" s="144"/>
      <c r="O932" s="144"/>
      <c r="P932" s="144"/>
      <c r="Q932" s="144"/>
      <c r="R932" s="144"/>
      <c r="S932" s="144"/>
      <c r="T932" s="144"/>
      <c r="U932" s="144"/>
      <c r="V932" s="144"/>
      <c r="W932" s="144"/>
      <c r="X932" s="144"/>
      <c r="Y932" s="144"/>
      <c r="Z932" s="144"/>
      <c r="AA932" s="144"/>
      <c r="AB932" s="144"/>
      <c r="AC932" s="144"/>
      <c r="AD932" s="144"/>
      <c r="AE932" s="144"/>
      <c r="AF932" s="144"/>
      <c r="AG932" s="144"/>
      <c r="AH932" s="144"/>
      <c r="AI932" s="144"/>
    </row>
    <row r="933" spans="7:35" hidden="1">
      <c r="G933" s="144"/>
      <c r="H933" s="144"/>
      <c r="I933" s="144"/>
      <c r="J933" s="144"/>
      <c r="K933" s="144"/>
      <c r="L933" s="144"/>
      <c r="M933" s="144"/>
      <c r="N933" s="144"/>
      <c r="O933" s="144"/>
      <c r="P933" s="144"/>
      <c r="Q933" s="144"/>
      <c r="R933" s="144"/>
      <c r="S933" s="144"/>
      <c r="T933" s="144"/>
      <c r="U933" s="144"/>
      <c r="V933" s="144"/>
      <c r="W933" s="144"/>
      <c r="X933" s="144"/>
      <c r="Y933" s="144"/>
      <c r="Z933" s="144"/>
      <c r="AA933" s="144"/>
      <c r="AB933" s="144"/>
      <c r="AC933" s="144"/>
      <c r="AD933" s="144"/>
      <c r="AE933" s="144"/>
      <c r="AF933" s="144"/>
      <c r="AG933" s="144"/>
      <c r="AH933" s="144"/>
      <c r="AI933" s="144"/>
    </row>
    <row r="934" spans="7:35" hidden="1">
      <c r="G934" s="144"/>
      <c r="H934" s="144"/>
      <c r="I934" s="144"/>
      <c r="J934" s="144"/>
      <c r="K934" s="144"/>
      <c r="L934" s="144"/>
      <c r="M934" s="144"/>
      <c r="N934" s="144"/>
      <c r="O934" s="144"/>
      <c r="P934" s="144"/>
      <c r="Q934" s="144"/>
      <c r="R934" s="144"/>
      <c r="S934" s="144"/>
      <c r="T934" s="144"/>
      <c r="U934" s="144"/>
      <c r="V934" s="144"/>
      <c r="W934" s="144"/>
      <c r="X934" s="144"/>
      <c r="Y934" s="144"/>
      <c r="Z934" s="144"/>
      <c r="AA934" s="144"/>
      <c r="AB934" s="144"/>
      <c r="AC934" s="144"/>
      <c r="AD934" s="144"/>
      <c r="AE934" s="144"/>
      <c r="AF934" s="144"/>
      <c r="AG934" s="144"/>
      <c r="AH934" s="144"/>
      <c r="AI934" s="144"/>
    </row>
    <row r="935" spans="7:35" hidden="1">
      <c r="G935" s="144"/>
      <c r="H935" s="144"/>
      <c r="I935" s="144"/>
      <c r="J935" s="144"/>
      <c r="K935" s="144"/>
      <c r="L935" s="144"/>
      <c r="M935" s="144"/>
      <c r="N935" s="144"/>
      <c r="O935" s="144"/>
      <c r="P935" s="144"/>
      <c r="Q935" s="144"/>
      <c r="R935" s="144"/>
      <c r="S935" s="144"/>
      <c r="T935" s="144"/>
      <c r="U935" s="144"/>
      <c r="V935" s="144"/>
      <c r="W935" s="144"/>
      <c r="X935" s="144"/>
      <c r="Y935" s="144"/>
      <c r="Z935" s="144"/>
      <c r="AA935" s="144"/>
      <c r="AB935" s="144"/>
      <c r="AC935" s="144"/>
      <c r="AD935" s="144"/>
      <c r="AE935" s="144"/>
      <c r="AF935" s="144"/>
      <c r="AG935" s="144"/>
      <c r="AH935" s="144"/>
      <c r="AI935" s="144"/>
    </row>
    <row r="936" spans="7:35" hidden="1">
      <c r="G936" s="144"/>
      <c r="H936" s="144"/>
      <c r="I936" s="144"/>
      <c r="J936" s="144"/>
      <c r="K936" s="144"/>
      <c r="L936" s="144"/>
      <c r="M936" s="144"/>
      <c r="N936" s="144"/>
      <c r="O936" s="144"/>
      <c r="P936" s="144"/>
      <c r="Q936" s="144"/>
      <c r="R936" s="144"/>
      <c r="S936" s="144"/>
      <c r="T936" s="144"/>
      <c r="U936" s="144"/>
      <c r="V936" s="144"/>
      <c r="W936" s="144"/>
      <c r="X936" s="144"/>
      <c r="Y936" s="144"/>
      <c r="Z936" s="144"/>
      <c r="AA936" s="144"/>
      <c r="AB936" s="144"/>
      <c r="AC936" s="144"/>
      <c r="AD936" s="144"/>
      <c r="AE936" s="144"/>
      <c r="AF936" s="144"/>
      <c r="AG936" s="144"/>
      <c r="AH936" s="144"/>
      <c r="AI936" s="144"/>
    </row>
    <row r="937" spans="7:35" hidden="1">
      <c r="G937" s="144"/>
      <c r="H937" s="144"/>
      <c r="I937" s="144"/>
      <c r="J937" s="144"/>
      <c r="K937" s="144"/>
      <c r="L937" s="144"/>
      <c r="M937" s="144"/>
      <c r="N937" s="144"/>
      <c r="O937" s="144"/>
      <c r="P937" s="144"/>
      <c r="Q937" s="144"/>
      <c r="R937" s="144"/>
      <c r="S937" s="144"/>
      <c r="T937" s="144"/>
      <c r="U937" s="144"/>
      <c r="V937" s="144"/>
      <c r="W937" s="144"/>
      <c r="X937" s="144"/>
      <c r="Y937" s="144"/>
      <c r="Z937" s="144"/>
      <c r="AA937" s="144"/>
      <c r="AB937" s="144"/>
      <c r="AC937" s="144"/>
      <c r="AD937" s="144"/>
      <c r="AE937" s="144"/>
      <c r="AF937" s="144"/>
      <c r="AG937" s="144"/>
      <c r="AH937" s="144"/>
      <c r="AI937" s="144"/>
    </row>
    <row r="938" spans="7:35" hidden="1">
      <c r="G938" s="144"/>
      <c r="H938" s="144"/>
      <c r="I938" s="144"/>
      <c r="J938" s="144"/>
      <c r="K938" s="144"/>
      <c r="L938" s="144"/>
      <c r="M938" s="144"/>
      <c r="N938" s="144"/>
      <c r="O938" s="144"/>
      <c r="P938" s="144"/>
      <c r="Q938" s="144"/>
      <c r="R938" s="144"/>
      <c r="S938" s="144"/>
      <c r="T938" s="144"/>
      <c r="U938" s="144"/>
      <c r="V938" s="144"/>
      <c r="W938" s="144"/>
      <c r="X938" s="144"/>
      <c r="Y938" s="144"/>
      <c r="Z938" s="144"/>
      <c r="AA938" s="144"/>
      <c r="AB938" s="144"/>
      <c r="AC938" s="144"/>
      <c r="AD938" s="144"/>
      <c r="AE938" s="144"/>
      <c r="AF938" s="144"/>
      <c r="AG938" s="144"/>
      <c r="AH938" s="144"/>
      <c r="AI938" s="144"/>
    </row>
    <row r="939" spans="7:35" hidden="1">
      <c r="G939" s="144"/>
      <c r="H939" s="144"/>
      <c r="I939" s="144"/>
      <c r="J939" s="144"/>
      <c r="K939" s="144"/>
      <c r="L939" s="144"/>
      <c r="M939" s="144"/>
      <c r="N939" s="144"/>
      <c r="O939" s="144"/>
      <c r="P939" s="144"/>
      <c r="Q939" s="144"/>
      <c r="R939" s="144"/>
      <c r="S939" s="144"/>
      <c r="T939" s="144"/>
      <c r="U939" s="144"/>
      <c r="V939" s="144"/>
      <c r="W939" s="144"/>
      <c r="X939" s="144"/>
      <c r="Y939" s="144"/>
      <c r="Z939" s="144"/>
      <c r="AA939" s="144"/>
      <c r="AB939" s="144"/>
      <c r="AC939" s="144"/>
      <c r="AD939" s="144"/>
      <c r="AE939" s="144"/>
      <c r="AF939" s="144"/>
      <c r="AG939" s="144"/>
      <c r="AH939" s="144"/>
      <c r="AI939" s="144"/>
    </row>
    <row r="940" spans="7:35" hidden="1">
      <c r="G940" s="144"/>
      <c r="H940" s="144"/>
      <c r="I940" s="144"/>
      <c r="J940" s="144"/>
      <c r="K940" s="144"/>
      <c r="L940" s="144"/>
      <c r="M940" s="144"/>
      <c r="N940" s="144"/>
      <c r="O940" s="144"/>
      <c r="P940" s="144"/>
      <c r="Q940" s="144"/>
      <c r="R940" s="144"/>
      <c r="S940" s="144"/>
      <c r="T940" s="144"/>
      <c r="U940" s="144"/>
      <c r="V940" s="144"/>
      <c r="W940" s="144"/>
      <c r="X940" s="144"/>
      <c r="Y940" s="144"/>
      <c r="Z940" s="144"/>
      <c r="AA940" s="144"/>
      <c r="AB940" s="144"/>
      <c r="AC940" s="144"/>
      <c r="AD940" s="144"/>
      <c r="AE940" s="144"/>
      <c r="AF940" s="144"/>
      <c r="AG940" s="144"/>
      <c r="AH940" s="144"/>
      <c r="AI940" s="144"/>
    </row>
    <row r="941" spans="7:35" hidden="1">
      <c r="G941" s="144"/>
      <c r="H941" s="144"/>
      <c r="I941" s="144"/>
      <c r="J941" s="144"/>
      <c r="K941" s="144"/>
      <c r="L941" s="144"/>
      <c r="M941" s="144"/>
      <c r="N941" s="144"/>
      <c r="O941" s="144"/>
      <c r="P941" s="144"/>
      <c r="Q941" s="144"/>
      <c r="R941" s="144"/>
      <c r="S941" s="144"/>
      <c r="T941" s="144"/>
      <c r="U941" s="144"/>
      <c r="V941" s="144"/>
      <c r="W941" s="144"/>
      <c r="X941" s="144"/>
      <c r="Y941" s="144"/>
      <c r="Z941" s="144"/>
      <c r="AA941" s="144"/>
      <c r="AB941" s="144"/>
      <c r="AC941" s="144"/>
      <c r="AD941" s="144"/>
      <c r="AE941" s="144"/>
      <c r="AF941" s="144"/>
      <c r="AG941" s="144"/>
      <c r="AH941" s="144"/>
      <c r="AI941" s="144"/>
    </row>
    <row r="942" spans="7:35" hidden="1">
      <c r="G942" s="144"/>
      <c r="H942" s="144"/>
      <c r="I942" s="144"/>
      <c r="J942" s="144"/>
      <c r="K942" s="144"/>
      <c r="L942" s="144"/>
      <c r="M942" s="144"/>
      <c r="N942" s="144"/>
      <c r="O942" s="144"/>
      <c r="P942" s="144"/>
      <c r="Q942" s="144"/>
      <c r="R942" s="144"/>
      <c r="S942" s="144"/>
      <c r="T942" s="144"/>
      <c r="U942" s="144"/>
      <c r="V942" s="144"/>
      <c r="W942" s="144"/>
      <c r="X942" s="144"/>
      <c r="Y942" s="144"/>
      <c r="Z942" s="144"/>
      <c r="AA942" s="144"/>
      <c r="AB942" s="144"/>
      <c r="AC942" s="144"/>
      <c r="AD942" s="144"/>
      <c r="AE942" s="144"/>
      <c r="AF942" s="144"/>
      <c r="AG942" s="144"/>
      <c r="AH942" s="144"/>
      <c r="AI942" s="144"/>
    </row>
    <row r="943" spans="7:35" hidden="1">
      <c r="G943" s="144"/>
      <c r="H943" s="144"/>
      <c r="I943" s="144"/>
      <c r="J943" s="144"/>
      <c r="K943" s="144"/>
      <c r="L943" s="144"/>
      <c r="M943" s="144"/>
      <c r="N943" s="144"/>
      <c r="O943" s="144"/>
      <c r="P943" s="144"/>
      <c r="Q943" s="144"/>
      <c r="R943" s="144"/>
      <c r="S943" s="144"/>
      <c r="T943" s="144"/>
      <c r="U943" s="144"/>
      <c r="V943" s="144"/>
      <c r="W943" s="144"/>
      <c r="X943" s="144"/>
      <c r="Y943" s="144"/>
      <c r="Z943" s="144"/>
      <c r="AA943" s="144"/>
      <c r="AB943" s="144"/>
      <c r="AC943" s="144"/>
      <c r="AD943" s="144"/>
      <c r="AE943" s="144"/>
      <c r="AF943" s="144"/>
      <c r="AG943" s="144"/>
      <c r="AH943" s="144"/>
      <c r="AI943" s="144"/>
    </row>
    <row r="944" spans="7:35" hidden="1">
      <c r="G944" s="144"/>
      <c r="H944" s="144"/>
      <c r="I944" s="144"/>
      <c r="J944" s="144"/>
      <c r="K944" s="144"/>
      <c r="L944" s="144"/>
      <c r="M944" s="144"/>
      <c r="N944" s="144"/>
      <c r="O944" s="144"/>
      <c r="P944" s="144"/>
      <c r="Q944" s="144"/>
      <c r="R944" s="144"/>
      <c r="S944" s="144"/>
      <c r="T944" s="144"/>
      <c r="U944" s="144"/>
      <c r="V944" s="144"/>
      <c r="W944" s="144"/>
      <c r="X944" s="144"/>
      <c r="Y944" s="144"/>
      <c r="Z944" s="144"/>
      <c r="AA944" s="144"/>
      <c r="AB944" s="144"/>
      <c r="AC944" s="144"/>
      <c r="AD944" s="144"/>
      <c r="AE944" s="144"/>
      <c r="AF944" s="144"/>
      <c r="AG944" s="144"/>
      <c r="AH944" s="144"/>
      <c r="AI944" s="144"/>
    </row>
    <row r="945" spans="7:35" hidden="1">
      <c r="G945" s="144"/>
      <c r="H945" s="144"/>
      <c r="I945" s="144"/>
      <c r="J945" s="144"/>
      <c r="K945" s="144"/>
      <c r="L945" s="144"/>
      <c r="M945" s="144"/>
      <c r="N945" s="144"/>
      <c r="O945" s="144"/>
      <c r="P945" s="144"/>
      <c r="Q945" s="144"/>
      <c r="R945" s="144"/>
      <c r="S945" s="144"/>
      <c r="T945" s="144"/>
      <c r="U945" s="144"/>
      <c r="V945" s="144"/>
      <c r="W945" s="144"/>
      <c r="X945" s="144"/>
      <c r="Y945" s="144"/>
      <c r="Z945" s="144"/>
      <c r="AA945" s="144"/>
      <c r="AB945" s="144"/>
      <c r="AC945" s="144"/>
      <c r="AD945" s="144"/>
      <c r="AE945" s="144"/>
      <c r="AF945" s="144"/>
      <c r="AG945" s="144"/>
      <c r="AH945" s="144"/>
      <c r="AI945" s="144"/>
    </row>
    <row r="946" spans="7:35" hidden="1">
      <c r="G946" s="144"/>
      <c r="H946" s="144"/>
      <c r="I946" s="144"/>
      <c r="J946" s="144"/>
      <c r="K946" s="144"/>
      <c r="L946" s="144"/>
      <c r="M946" s="144"/>
      <c r="N946" s="144"/>
      <c r="O946" s="144"/>
      <c r="P946" s="144"/>
      <c r="Q946" s="144"/>
      <c r="R946" s="144"/>
      <c r="S946" s="144"/>
      <c r="T946" s="144"/>
      <c r="U946" s="144"/>
      <c r="V946" s="144"/>
      <c r="W946" s="144"/>
      <c r="X946" s="144"/>
      <c r="Y946" s="144"/>
      <c r="Z946" s="144"/>
      <c r="AA946" s="144"/>
      <c r="AB946" s="144"/>
      <c r="AC946" s="144"/>
      <c r="AD946" s="144"/>
      <c r="AE946" s="144"/>
      <c r="AF946" s="144"/>
      <c r="AG946" s="144"/>
      <c r="AH946" s="144"/>
      <c r="AI946" s="144"/>
    </row>
    <row r="947" spans="7:35" hidden="1">
      <c r="G947" s="144"/>
      <c r="H947" s="144"/>
      <c r="I947" s="144"/>
      <c r="J947" s="144"/>
      <c r="K947" s="144"/>
      <c r="L947" s="144"/>
      <c r="M947" s="144"/>
      <c r="N947" s="144"/>
      <c r="O947" s="144"/>
      <c r="P947" s="144"/>
      <c r="Q947" s="144"/>
      <c r="R947" s="144"/>
      <c r="S947" s="144"/>
      <c r="T947" s="144"/>
      <c r="U947" s="144"/>
      <c r="V947" s="144"/>
      <c r="W947" s="144"/>
      <c r="X947" s="144"/>
      <c r="Y947" s="144"/>
      <c r="Z947" s="144"/>
      <c r="AA947" s="144"/>
      <c r="AB947" s="144"/>
      <c r="AC947" s="144"/>
      <c r="AD947" s="144"/>
      <c r="AE947" s="144"/>
      <c r="AF947" s="144"/>
      <c r="AG947" s="144"/>
      <c r="AH947" s="144"/>
      <c r="AI947" s="144"/>
    </row>
    <row r="948" spans="7:35" hidden="1">
      <c r="G948" s="144"/>
      <c r="H948" s="144"/>
      <c r="I948" s="144"/>
      <c r="J948" s="144"/>
      <c r="K948" s="144"/>
      <c r="L948" s="144"/>
      <c r="M948" s="144"/>
      <c r="N948" s="144"/>
      <c r="O948" s="144"/>
      <c r="P948" s="144"/>
      <c r="Q948" s="144"/>
      <c r="R948" s="144"/>
      <c r="S948" s="144"/>
      <c r="T948" s="144"/>
      <c r="U948" s="144"/>
      <c r="V948" s="144"/>
      <c r="W948" s="144"/>
      <c r="X948" s="144"/>
      <c r="Y948" s="144"/>
      <c r="Z948" s="144"/>
      <c r="AA948" s="144"/>
      <c r="AB948" s="144"/>
      <c r="AC948" s="144"/>
      <c r="AD948" s="144"/>
      <c r="AE948" s="144"/>
      <c r="AF948" s="144"/>
      <c r="AG948" s="144"/>
      <c r="AH948" s="144"/>
      <c r="AI948" s="144"/>
    </row>
    <row r="949" spans="7:35" hidden="1">
      <c r="G949" s="144"/>
      <c r="H949" s="144"/>
      <c r="I949" s="144"/>
      <c r="J949" s="144"/>
      <c r="K949" s="144"/>
      <c r="L949" s="144"/>
      <c r="M949" s="144"/>
      <c r="N949" s="144"/>
      <c r="O949" s="144"/>
      <c r="P949" s="144"/>
      <c r="Q949" s="144"/>
      <c r="R949" s="144"/>
      <c r="S949" s="144"/>
      <c r="T949" s="144"/>
      <c r="U949" s="144"/>
      <c r="V949" s="144"/>
      <c r="W949" s="144"/>
      <c r="X949" s="144"/>
      <c r="Y949" s="144"/>
      <c r="Z949" s="144"/>
      <c r="AA949" s="144"/>
      <c r="AB949" s="144"/>
      <c r="AC949" s="144"/>
      <c r="AD949" s="144"/>
      <c r="AE949" s="144"/>
      <c r="AF949" s="144"/>
      <c r="AG949" s="144"/>
      <c r="AH949" s="144"/>
      <c r="AI949" s="144"/>
    </row>
    <row r="950" spans="7:35" hidden="1">
      <c r="G950" s="144"/>
      <c r="H950" s="144"/>
      <c r="I950" s="144"/>
      <c r="J950" s="144"/>
      <c r="K950" s="144"/>
      <c r="L950" s="144"/>
      <c r="M950" s="144"/>
      <c r="N950" s="144"/>
      <c r="O950" s="144"/>
      <c r="P950" s="144"/>
      <c r="Q950" s="144"/>
      <c r="R950" s="144"/>
      <c r="S950" s="144"/>
      <c r="T950" s="144"/>
      <c r="U950" s="144"/>
      <c r="V950" s="144"/>
      <c r="W950" s="144"/>
      <c r="X950" s="144"/>
      <c r="Y950" s="144"/>
      <c r="Z950" s="144"/>
      <c r="AA950" s="144"/>
      <c r="AB950" s="144"/>
      <c r="AC950" s="144"/>
      <c r="AD950" s="144"/>
      <c r="AE950" s="144"/>
      <c r="AF950" s="144"/>
      <c r="AG950" s="144"/>
      <c r="AH950" s="144"/>
      <c r="AI950" s="144"/>
    </row>
    <row r="951" spans="7:35" hidden="1">
      <c r="G951" s="144"/>
      <c r="H951" s="144"/>
      <c r="I951" s="144"/>
      <c r="J951" s="144"/>
      <c r="K951" s="144"/>
      <c r="L951" s="144"/>
      <c r="M951" s="144"/>
      <c r="N951" s="144"/>
      <c r="O951" s="144"/>
      <c r="P951" s="144"/>
      <c r="Q951" s="144"/>
      <c r="R951" s="144"/>
      <c r="S951" s="144"/>
      <c r="T951" s="144"/>
      <c r="U951" s="144"/>
      <c r="V951" s="144"/>
      <c r="W951" s="144"/>
      <c r="X951" s="144"/>
      <c r="Y951" s="144"/>
      <c r="Z951" s="144"/>
      <c r="AA951" s="144"/>
      <c r="AB951" s="144"/>
      <c r="AC951" s="144"/>
      <c r="AD951" s="144"/>
      <c r="AE951" s="144"/>
      <c r="AF951" s="144"/>
      <c r="AG951" s="144"/>
      <c r="AH951" s="144"/>
      <c r="AI951" s="144"/>
    </row>
    <row r="952" spans="7:35" hidden="1">
      <c r="G952" s="144"/>
      <c r="H952" s="144"/>
      <c r="I952" s="144"/>
      <c r="J952" s="144"/>
      <c r="K952" s="144"/>
      <c r="L952" s="144"/>
      <c r="M952" s="144"/>
      <c r="N952" s="144"/>
      <c r="O952" s="144"/>
      <c r="P952" s="144"/>
      <c r="Q952" s="144"/>
      <c r="R952" s="144"/>
      <c r="S952" s="144"/>
      <c r="T952" s="144"/>
      <c r="U952" s="144"/>
      <c r="V952" s="144"/>
      <c r="W952" s="144"/>
      <c r="X952" s="144"/>
      <c r="Y952" s="144"/>
      <c r="Z952" s="144"/>
      <c r="AA952" s="144"/>
      <c r="AB952" s="144"/>
      <c r="AC952" s="144"/>
      <c r="AD952" s="144"/>
      <c r="AE952" s="144"/>
      <c r="AF952" s="144"/>
      <c r="AG952" s="144"/>
      <c r="AH952" s="144"/>
      <c r="AI952" s="144"/>
    </row>
    <row r="953" spans="7:35" hidden="1">
      <c r="G953" s="144"/>
      <c r="H953" s="144"/>
      <c r="I953" s="144"/>
      <c r="J953" s="144"/>
      <c r="K953" s="144"/>
      <c r="L953" s="144"/>
      <c r="M953" s="144"/>
      <c r="N953" s="144"/>
      <c r="O953" s="144"/>
      <c r="P953" s="144"/>
      <c r="Q953" s="144"/>
      <c r="R953" s="144"/>
      <c r="S953" s="144"/>
      <c r="T953" s="144"/>
      <c r="U953" s="144"/>
      <c r="V953" s="144"/>
      <c r="W953" s="144"/>
      <c r="X953" s="144"/>
      <c r="Y953" s="144"/>
      <c r="Z953" s="144"/>
      <c r="AA953" s="144"/>
      <c r="AB953" s="144"/>
      <c r="AC953" s="144"/>
      <c r="AD953" s="144"/>
      <c r="AE953" s="144"/>
      <c r="AF953" s="144"/>
      <c r="AG953" s="144"/>
      <c r="AH953" s="144"/>
      <c r="AI953" s="144"/>
    </row>
    <row r="954" spans="7:35" hidden="1">
      <c r="G954" s="144"/>
      <c r="H954" s="144"/>
      <c r="I954" s="144"/>
      <c r="J954" s="144"/>
      <c r="K954" s="144"/>
      <c r="L954" s="144"/>
      <c r="M954" s="144"/>
      <c r="N954" s="144"/>
      <c r="O954" s="144"/>
      <c r="P954" s="144"/>
      <c r="Q954" s="144"/>
      <c r="R954" s="144"/>
      <c r="S954" s="144"/>
      <c r="T954" s="144"/>
      <c r="U954" s="144"/>
      <c r="V954" s="144"/>
      <c r="W954" s="144"/>
      <c r="X954" s="144"/>
      <c r="Y954" s="144"/>
      <c r="Z954" s="144"/>
      <c r="AA954" s="144"/>
      <c r="AB954" s="144"/>
      <c r="AC954" s="144"/>
      <c r="AD954" s="144"/>
      <c r="AE954" s="144"/>
      <c r="AF954" s="144"/>
      <c r="AG954" s="144"/>
      <c r="AH954" s="144"/>
      <c r="AI954" s="144"/>
    </row>
    <row r="955" spans="7:35" hidden="1">
      <c r="G955" s="144"/>
      <c r="H955" s="144"/>
      <c r="I955" s="144"/>
      <c r="J955" s="144"/>
      <c r="K955" s="144"/>
      <c r="L955" s="144"/>
      <c r="M955" s="144"/>
      <c r="N955" s="144"/>
      <c r="O955" s="144"/>
      <c r="P955" s="144"/>
      <c r="Q955" s="144"/>
      <c r="R955" s="144"/>
      <c r="S955" s="144"/>
      <c r="T955" s="144"/>
      <c r="U955" s="144"/>
      <c r="V955" s="144"/>
      <c r="W955" s="144"/>
      <c r="X955" s="144"/>
      <c r="Y955" s="144"/>
      <c r="Z955" s="144"/>
      <c r="AA955" s="144"/>
      <c r="AB955" s="144"/>
      <c r="AC955" s="144"/>
      <c r="AD955" s="144"/>
      <c r="AE955" s="144"/>
      <c r="AF955" s="144"/>
      <c r="AG955" s="144"/>
      <c r="AH955" s="144"/>
      <c r="AI955" s="144"/>
    </row>
    <row r="956" spans="7:35" hidden="1">
      <c r="G956" s="144"/>
      <c r="H956" s="144"/>
      <c r="I956" s="144"/>
      <c r="J956" s="144"/>
      <c r="K956" s="144"/>
      <c r="L956" s="144"/>
      <c r="M956" s="144"/>
      <c r="N956" s="144"/>
      <c r="O956" s="144"/>
      <c r="P956" s="144"/>
      <c r="Q956" s="144"/>
      <c r="R956" s="144"/>
      <c r="S956" s="144"/>
      <c r="T956" s="144"/>
      <c r="U956" s="144"/>
      <c r="V956" s="144"/>
      <c r="W956" s="144"/>
      <c r="X956" s="144"/>
      <c r="Y956" s="144"/>
      <c r="Z956" s="144"/>
      <c r="AA956" s="144"/>
      <c r="AB956" s="144"/>
      <c r="AC956" s="144"/>
      <c r="AD956" s="144"/>
      <c r="AE956" s="144"/>
      <c r="AF956" s="144"/>
      <c r="AG956" s="144"/>
      <c r="AH956" s="144"/>
      <c r="AI956" s="144"/>
    </row>
    <row r="957" spans="7:35" hidden="1">
      <c r="G957" s="144"/>
      <c r="H957" s="144"/>
      <c r="I957" s="144"/>
      <c r="J957" s="144"/>
      <c r="K957" s="144"/>
      <c r="L957" s="144"/>
      <c r="M957" s="144"/>
      <c r="N957" s="144"/>
      <c r="O957" s="144"/>
      <c r="P957" s="144"/>
      <c r="Q957" s="144"/>
      <c r="R957" s="144"/>
      <c r="S957" s="144"/>
      <c r="T957" s="144"/>
      <c r="U957" s="144"/>
      <c r="V957" s="144"/>
      <c r="W957" s="144"/>
      <c r="X957" s="144"/>
      <c r="Y957" s="144"/>
      <c r="Z957" s="144"/>
      <c r="AA957" s="144"/>
      <c r="AB957" s="144"/>
      <c r="AC957" s="144"/>
      <c r="AD957" s="144"/>
      <c r="AE957" s="144"/>
      <c r="AF957" s="144"/>
      <c r="AG957" s="144"/>
      <c r="AH957" s="144"/>
      <c r="AI957" s="144"/>
    </row>
    <row r="958" spans="7:35" hidden="1">
      <c r="G958" s="144"/>
      <c r="H958" s="144"/>
      <c r="I958" s="144"/>
      <c r="J958" s="144"/>
      <c r="K958" s="144"/>
      <c r="L958" s="144"/>
      <c r="M958" s="144"/>
      <c r="N958" s="144"/>
      <c r="O958" s="144"/>
      <c r="P958" s="144"/>
      <c r="Q958" s="144"/>
      <c r="R958" s="144"/>
      <c r="S958" s="144"/>
      <c r="T958" s="144"/>
      <c r="U958" s="144"/>
      <c r="V958" s="144"/>
      <c r="W958" s="144"/>
      <c r="X958" s="144"/>
      <c r="Y958" s="144"/>
      <c r="Z958" s="144"/>
      <c r="AA958" s="144"/>
      <c r="AB958" s="144"/>
      <c r="AC958" s="144"/>
      <c r="AD958" s="144"/>
      <c r="AE958" s="144"/>
      <c r="AF958" s="144"/>
      <c r="AG958" s="144"/>
      <c r="AH958" s="144"/>
      <c r="AI958" s="144"/>
    </row>
    <row r="959" spans="7:35" hidden="1">
      <c r="G959" s="144"/>
      <c r="H959" s="144"/>
      <c r="I959" s="144"/>
      <c r="J959" s="144"/>
      <c r="K959" s="144"/>
      <c r="L959" s="144"/>
      <c r="M959" s="144"/>
      <c r="N959" s="144"/>
      <c r="O959" s="144"/>
      <c r="P959" s="144"/>
      <c r="Q959" s="144"/>
      <c r="R959" s="144"/>
      <c r="S959" s="144"/>
      <c r="T959" s="144"/>
      <c r="U959" s="144"/>
      <c r="V959" s="144"/>
      <c r="W959" s="144"/>
      <c r="X959" s="144"/>
      <c r="Y959" s="144"/>
      <c r="Z959" s="144"/>
      <c r="AA959" s="144"/>
      <c r="AB959" s="144"/>
      <c r="AC959" s="144"/>
      <c r="AD959" s="144"/>
      <c r="AE959" s="144"/>
      <c r="AF959" s="144"/>
      <c r="AG959" s="144"/>
      <c r="AH959" s="144"/>
      <c r="AI959" s="144"/>
    </row>
    <row r="960" spans="7:35" hidden="1">
      <c r="G960" s="144"/>
      <c r="H960" s="144"/>
      <c r="I960" s="144"/>
      <c r="J960" s="144"/>
      <c r="K960" s="144"/>
      <c r="L960" s="144"/>
      <c r="M960" s="144"/>
      <c r="N960" s="144"/>
      <c r="O960" s="144"/>
      <c r="P960" s="144"/>
      <c r="Q960" s="144"/>
      <c r="R960" s="144"/>
      <c r="S960" s="144"/>
      <c r="T960" s="144"/>
      <c r="U960" s="144"/>
      <c r="V960" s="144"/>
      <c r="W960" s="144"/>
      <c r="X960" s="144"/>
      <c r="Y960" s="144"/>
      <c r="Z960" s="144"/>
      <c r="AA960" s="144"/>
      <c r="AB960" s="144"/>
      <c r="AC960" s="144"/>
      <c r="AD960" s="144"/>
      <c r="AE960" s="144"/>
      <c r="AF960" s="144"/>
      <c r="AG960" s="144"/>
      <c r="AH960" s="144"/>
      <c r="AI960" s="144"/>
    </row>
    <row r="961" spans="7:35" hidden="1">
      <c r="G961" s="144"/>
      <c r="H961" s="144"/>
      <c r="I961" s="144"/>
      <c r="J961" s="144"/>
      <c r="K961" s="144"/>
      <c r="L961" s="144"/>
      <c r="M961" s="144"/>
      <c r="N961" s="144"/>
      <c r="O961" s="144"/>
      <c r="P961" s="144"/>
      <c r="Q961" s="144"/>
      <c r="R961" s="144"/>
      <c r="S961" s="144"/>
      <c r="T961" s="144"/>
      <c r="U961" s="144"/>
      <c r="V961" s="144"/>
      <c r="W961" s="144"/>
      <c r="X961" s="144"/>
      <c r="Y961" s="144"/>
      <c r="Z961" s="144"/>
      <c r="AA961" s="144"/>
      <c r="AB961" s="144"/>
      <c r="AC961" s="144"/>
      <c r="AD961" s="144"/>
      <c r="AE961" s="144"/>
      <c r="AF961" s="144"/>
      <c r="AG961" s="144"/>
      <c r="AH961" s="144"/>
      <c r="AI961" s="144"/>
    </row>
    <row r="962" spans="7:35" hidden="1">
      <c r="G962" s="144"/>
      <c r="H962" s="144"/>
      <c r="I962" s="144"/>
      <c r="J962" s="144"/>
      <c r="K962" s="144"/>
      <c r="L962" s="144"/>
      <c r="M962" s="144"/>
      <c r="N962" s="144"/>
      <c r="O962" s="144"/>
      <c r="P962" s="144"/>
      <c r="Q962" s="144"/>
      <c r="R962" s="144"/>
      <c r="S962" s="144"/>
      <c r="T962" s="144"/>
      <c r="U962" s="144"/>
      <c r="V962" s="144"/>
      <c r="W962" s="144"/>
      <c r="X962" s="144"/>
      <c r="Y962" s="144"/>
      <c r="Z962" s="144"/>
      <c r="AA962" s="144"/>
      <c r="AB962" s="144"/>
      <c r="AC962" s="144"/>
      <c r="AD962" s="144"/>
      <c r="AE962" s="144"/>
      <c r="AF962" s="144"/>
      <c r="AG962" s="144"/>
      <c r="AH962" s="144"/>
      <c r="AI962" s="144"/>
    </row>
    <row r="963" spans="7:35" hidden="1">
      <c r="G963" s="144"/>
      <c r="H963" s="144"/>
      <c r="I963" s="144"/>
      <c r="J963" s="144"/>
      <c r="K963" s="144"/>
      <c r="L963" s="144"/>
      <c r="M963" s="144"/>
      <c r="N963" s="144"/>
      <c r="O963" s="144"/>
      <c r="P963" s="144"/>
      <c r="Q963" s="144"/>
      <c r="R963" s="144"/>
      <c r="S963" s="144"/>
      <c r="T963" s="144"/>
      <c r="U963" s="144"/>
      <c r="V963" s="144"/>
      <c r="W963" s="144"/>
      <c r="X963" s="144"/>
      <c r="Y963" s="144"/>
      <c r="Z963" s="144"/>
      <c r="AA963" s="144"/>
      <c r="AB963" s="144"/>
      <c r="AC963" s="144"/>
      <c r="AD963" s="144"/>
      <c r="AE963" s="144"/>
      <c r="AF963" s="144"/>
      <c r="AG963" s="144"/>
      <c r="AH963" s="144"/>
      <c r="AI963" s="144"/>
    </row>
    <row r="964" spans="7:35" hidden="1">
      <c r="G964" s="144"/>
      <c r="H964" s="144"/>
      <c r="I964" s="144"/>
      <c r="J964" s="144"/>
      <c r="K964" s="144"/>
      <c r="L964" s="144"/>
      <c r="M964" s="144"/>
      <c r="N964" s="144"/>
      <c r="O964" s="144"/>
      <c r="P964" s="144"/>
      <c r="Q964" s="144"/>
      <c r="R964" s="144"/>
      <c r="S964" s="144"/>
      <c r="T964" s="144"/>
      <c r="U964" s="144"/>
      <c r="V964" s="144"/>
      <c r="W964" s="144"/>
      <c r="X964" s="144"/>
      <c r="Y964" s="144"/>
      <c r="Z964" s="144"/>
      <c r="AA964" s="144"/>
      <c r="AB964" s="144"/>
      <c r="AC964" s="144"/>
      <c r="AD964" s="144"/>
      <c r="AE964" s="144"/>
      <c r="AF964" s="144"/>
      <c r="AG964" s="144"/>
      <c r="AH964" s="144"/>
      <c r="AI964" s="144"/>
    </row>
    <row r="965" spans="7:35" hidden="1">
      <c r="G965" s="144"/>
      <c r="H965" s="144"/>
      <c r="I965" s="144"/>
      <c r="J965" s="144"/>
      <c r="K965" s="144"/>
      <c r="L965" s="144"/>
      <c r="M965" s="144"/>
      <c r="N965" s="144"/>
      <c r="O965" s="144"/>
      <c r="P965" s="144"/>
      <c r="Q965" s="144"/>
      <c r="R965" s="144"/>
      <c r="S965" s="144"/>
      <c r="T965" s="144"/>
      <c r="U965" s="144"/>
      <c r="V965" s="144"/>
      <c r="W965" s="144"/>
      <c r="X965" s="144"/>
      <c r="Y965" s="144"/>
      <c r="Z965" s="144"/>
      <c r="AA965" s="144"/>
      <c r="AB965" s="144"/>
      <c r="AC965" s="144"/>
      <c r="AD965" s="144"/>
      <c r="AE965" s="144"/>
      <c r="AF965" s="144"/>
      <c r="AG965" s="144"/>
      <c r="AH965" s="144"/>
      <c r="AI965" s="144"/>
    </row>
    <row r="966" spans="7:35" hidden="1">
      <c r="G966" s="144"/>
      <c r="H966" s="144"/>
      <c r="I966" s="144"/>
      <c r="J966" s="144"/>
      <c r="K966" s="144"/>
      <c r="L966" s="144"/>
      <c r="M966" s="144"/>
      <c r="N966" s="144"/>
      <c r="O966" s="144"/>
      <c r="P966" s="144"/>
      <c r="Q966" s="144"/>
      <c r="R966" s="144"/>
      <c r="S966" s="144"/>
      <c r="T966" s="144"/>
      <c r="U966" s="144"/>
      <c r="V966" s="144"/>
      <c r="W966" s="144"/>
      <c r="X966" s="144"/>
      <c r="Y966" s="144"/>
      <c r="Z966" s="144"/>
      <c r="AA966" s="144"/>
      <c r="AB966" s="144"/>
      <c r="AC966" s="144"/>
      <c r="AD966" s="144"/>
      <c r="AE966" s="144"/>
      <c r="AF966" s="144"/>
      <c r="AG966" s="144"/>
      <c r="AH966" s="144"/>
      <c r="AI966" s="144"/>
    </row>
    <row r="967" spans="7:35" hidden="1">
      <c r="G967" s="144"/>
      <c r="H967" s="144"/>
      <c r="I967" s="144"/>
      <c r="J967" s="144"/>
      <c r="K967" s="144"/>
      <c r="L967" s="144"/>
      <c r="M967" s="144"/>
      <c r="N967" s="144"/>
      <c r="O967" s="144"/>
      <c r="P967" s="144"/>
      <c r="Q967" s="144"/>
      <c r="R967" s="144"/>
      <c r="S967" s="144"/>
      <c r="T967" s="144"/>
      <c r="U967" s="144"/>
      <c r="V967" s="144"/>
      <c r="W967" s="144"/>
      <c r="X967" s="144"/>
      <c r="Y967" s="144"/>
      <c r="Z967" s="144"/>
      <c r="AA967" s="144"/>
      <c r="AB967" s="144"/>
      <c r="AC967" s="144"/>
      <c r="AD967" s="144"/>
      <c r="AE967" s="144"/>
      <c r="AF967" s="144"/>
      <c r="AG967" s="144"/>
      <c r="AH967" s="144"/>
      <c r="AI967" s="144"/>
    </row>
    <row r="968" spans="7:35" hidden="1">
      <c r="G968" s="144"/>
      <c r="H968" s="144"/>
      <c r="I968" s="144"/>
      <c r="J968" s="144"/>
      <c r="K968" s="144"/>
      <c r="L968" s="144"/>
      <c r="M968" s="144"/>
      <c r="N968" s="144"/>
      <c r="O968" s="144"/>
      <c r="P968" s="144"/>
      <c r="Q968" s="144"/>
      <c r="R968" s="144"/>
      <c r="S968" s="144"/>
      <c r="T968" s="144"/>
      <c r="U968" s="144"/>
      <c r="V968" s="144"/>
      <c r="W968" s="144"/>
      <c r="X968" s="144"/>
      <c r="Y968" s="144"/>
      <c r="Z968" s="144"/>
      <c r="AA968" s="144"/>
      <c r="AB968" s="144"/>
      <c r="AC968" s="144"/>
      <c r="AD968" s="144"/>
      <c r="AE968" s="144"/>
      <c r="AF968" s="144"/>
      <c r="AG968" s="144"/>
      <c r="AH968" s="144"/>
      <c r="AI968" s="144"/>
    </row>
    <row r="969" spans="7:35" hidden="1">
      <c r="G969" s="144"/>
      <c r="H969" s="144"/>
      <c r="I969" s="144"/>
      <c r="J969" s="144"/>
      <c r="K969" s="144"/>
      <c r="L969" s="144"/>
      <c r="M969" s="144"/>
      <c r="N969" s="144"/>
      <c r="O969" s="144"/>
      <c r="P969" s="144"/>
      <c r="Q969" s="144"/>
      <c r="R969" s="144"/>
      <c r="S969" s="144"/>
      <c r="T969" s="144"/>
      <c r="U969" s="144"/>
      <c r="V969" s="144"/>
      <c r="W969" s="144"/>
      <c r="X969" s="144"/>
      <c r="Y969" s="144"/>
      <c r="Z969" s="144"/>
      <c r="AA969" s="144"/>
      <c r="AB969" s="144"/>
      <c r="AC969" s="144"/>
      <c r="AD969" s="144"/>
      <c r="AE969" s="144"/>
      <c r="AF969" s="144"/>
      <c r="AG969" s="144"/>
      <c r="AH969" s="144"/>
      <c r="AI969" s="144"/>
    </row>
    <row r="970" spans="7:35" hidden="1">
      <c r="G970" s="144"/>
      <c r="H970" s="144"/>
      <c r="I970" s="144"/>
      <c r="J970" s="144"/>
      <c r="K970" s="144"/>
      <c r="L970" s="144"/>
      <c r="M970" s="144"/>
      <c r="N970" s="144"/>
      <c r="O970" s="144"/>
      <c r="P970" s="144"/>
      <c r="Q970" s="144"/>
      <c r="R970" s="144"/>
      <c r="S970" s="144"/>
      <c r="T970" s="144"/>
      <c r="U970" s="144"/>
      <c r="V970" s="144"/>
      <c r="W970" s="144"/>
      <c r="X970" s="144"/>
      <c r="Y970" s="144"/>
      <c r="Z970" s="144"/>
      <c r="AA970" s="144"/>
      <c r="AB970" s="144"/>
      <c r="AC970" s="144"/>
      <c r="AD970" s="144"/>
      <c r="AE970" s="144"/>
      <c r="AF970" s="144"/>
      <c r="AG970" s="144"/>
      <c r="AH970" s="144"/>
      <c r="AI970" s="144"/>
    </row>
    <row r="971" spans="7:35" hidden="1">
      <c r="G971" s="144"/>
      <c r="H971" s="144"/>
      <c r="I971" s="144"/>
      <c r="J971" s="144"/>
      <c r="K971" s="144"/>
      <c r="L971" s="144"/>
      <c r="M971" s="144"/>
      <c r="N971" s="144"/>
      <c r="O971" s="144"/>
      <c r="P971" s="144"/>
      <c r="Q971" s="144"/>
      <c r="R971" s="144"/>
      <c r="S971" s="144"/>
      <c r="T971" s="144"/>
      <c r="U971" s="144"/>
      <c r="V971" s="144"/>
      <c r="W971" s="144"/>
      <c r="X971" s="144"/>
      <c r="Y971" s="144"/>
      <c r="Z971" s="144"/>
      <c r="AA971" s="144"/>
      <c r="AB971" s="144"/>
      <c r="AC971" s="144"/>
      <c r="AD971" s="144"/>
      <c r="AE971" s="144"/>
      <c r="AF971" s="144"/>
      <c r="AG971" s="144"/>
      <c r="AH971" s="144"/>
      <c r="AI971" s="144"/>
    </row>
    <row r="972" spans="7:35" hidden="1">
      <c r="G972" s="144"/>
      <c r="H972" s="144"/>
      <c r="I972" s="144"/>
      <c r="J972" s="144"/>
      <c r="K972" s="144"/>
      <c r="L972" s="144"/>
      <c r="M972" s="144"/>
      <c r="N972" s="144"/>
      <c r="O972" s="144"/>
      <c r="P972" s="144"/>
      <c r="Q972" s="144"/>
      <c r="R972" s="144"/>
      <c r="S972" s="144"/>
      <c r="T972" s="144"/>
      <c r="U972" s="144"/>
      <c r="V972" s="144"/>
      <c r="W972" s="144"/>
      <c r="X972" s="144"/>
      <c r="Y972" s="144"/>
      <c r="Z972" s="144"/>
      <c r="AA972" s="144"/>
      <c r="AB972" s="144"/>
      <c r="AC972" s="144"/>
      <c r="AD972" s="144"/>
      <c r="AE972" s="144"/>
      <c r="AF972" s="144"/>
      <c r="AG972" s="144"/>
      <c r="AH972" s="144"/>
      <c r="AI972" s="144"/>
    </row>
    <row r="973" spans="7:35" hidden="1">
      <c r="G973" s="144"/>
      <c r="H973" s="144"/>
      <c r="I973" s="144"/>
      <c r="J973" s="144"/>
      <c r="K973" s="144"/>
      <c r="L973" s="144"/>
      <c r="M973" s="144"/>
      <c r="N973" s="144"/>
      <c r="O973" s="144"/>
      <c r="P973" s="144"/>
      <c r="Q973" s="144"/>
      <c r="R973" s="144"/>
      <c r="S973" s="144"/>
      <c r="T973" s="144"/>
      <c r="U973" s="144"/>
      <c r="V973" s="144"/>
      <c r="W973" s="144"/>
      <c r="X973" s="144"/>
      <c r="Y973" s="144"/>
      <c r="Z973" s="144"/>
      <c r="AA973" s="144"/>
      <c r="AB973" s="144"/>
      <c r="AC973" s="144"/>
      <c r="AD973" s="144"/>
      <c r="AE973" s="144"/>
      <c r="AF973" s="144"/>
      <c r="AG973" s="144"/>
      <c r="AH973" s="144"/>
      <c r="AI973" s="144"/>
    </row>
    <row r="974" spans="7:35" hidden="1">
      <c r="G974" s="144"/>
      <c r="H974" s="144"/>
      <c r="I974" s="144"/>
      <c r="J974" s="144"/>
      <c r="K974" s="144"/>
      <c r="L974" s="144"/>
      <c r="M974" s="144"/>
      <c r="N974" s="144"/>
      <c r="O974" s="144"/>
      <c r="P974" s="144"/>
      <c r="Q974" s="144"/>
      <c r="R974" s="144"/>
      <c r="S974" s="144"/>
      <c r="T974" s="144"/>
      <c r="U974" s="144"/>
      <c r="V974" s="144"/>
      <c r="W974" s="144"/>
      <c r="X974" s="144"/>
      <c r="Y974" s="144"/>
      <c r="Z974" s="144"/>
      <c r="AA974" s="144"/>
      <c r="AB974" s="144"/>
      <c r="AC974" s="144"/>
      <c r="AD974" s="144"/>
      <c r="AE974" s="144"/>
      <c r="AF974" s="144"/>
      <c r="AG974" s="144"/>
      <c r="AH974" s="144"/>
      <c r="AI974" s="144"/>
    </row>
    <row r="975" spans="7:35" hidden="1">
      <c r="G975" s="144"/>
      <c r="H975" s="144"/>
      <c r="I975" s="144"/>
      <c r="J975" s="144"/>
      <c r="K975" s="144"/>
      <c r="L975" s="144"/>
      <c r="M975" s="144"/>
      <c r="N975" s="144"/>
      <c r="O975" s="144"/>
      <c r="P975" s="144"/>
      <c r="Q975" s="144"/>
      <c r="R975" s="144"/>
      <c r="S975" s="144"/>
      <c r="T975" s="144"/>
      <c r="U975" s="144"/>
      <c r="V975" s="144"/>
      <c r="W975" s="144"/>
      <c r="X975" s="144"/>
      <c r="Y975" s="144"/>
      <c r="Z975" s="144"/>
      <c r="AA975" s="144"/>
      <c r="AB975" s="144"/>
      <c r="AC975" s="144"/>
      <c r="AD975" s="144"/>
      <c r="AE975" s="144"/>
      <c r="AF975" s="144"/>
      <c r="AG975" s="144"/>
      <c r="AH975" s="144"/>
      <c r="AI975" s="144"/>
    </row>
    <row r="976" spans="7:35" hidden="1">
      <c r="G976" s="144"/>
      <c r="H976" s="144"/>
      <c r="I976" s="144"/>
      <c r="J976" s="144"/>
      <c r="K976" s="144"/>
      <c r="L976" s="144"/>
      <c r="M976" s="144"/>
      <c r="N976" s="144"/>
      <c r="O976" s="144"/>
      <c r="P976" s="144"/>
      <c r="Q976" s="144"/>
      <c r="R976" s="144"/>
      <c r="S976" s="144"/>
      <c r="T976" s="144"/>
      <c r="U976" s="144"/>
      <c r="V976" s="144"/>
      <c r="W976" s="144"/>
      <c r="X976" s="144"/>
      <c r="Y976" s="144"/>
      <c r="Z976" s="144"/>
      <c r="AA976" s="144"/>
      <c r="AB976" s="144"/>
      <c r="AC976" s="144"/>
      <c r="AD976" s="144"/>
      <c r="AE976" s="144"/>
      <c r="AF976" s="144"/>
      <c r="AG976" s="144"/>
      <c r="AH976" s="144"/>
      <c r="AI976" s="144"/>
    </row>
    <row r="977" spans="7:35" hidden="1">
      <c r="G977" s="144"/>
      <c r="H977" s="144"/>
      <c r="I977" s="144"/>
      <c r="J977" s="144"/>
      <c r="K977" s="144"/>
      <c r="L977" s="144"/>
      <c r="M977" s="144"/>
      <c r="N977" s="144"/>
      <c r="O977" s="144"/>
      <c r="P977" s="144"/>
      <c r="Q977" s="144"/>
      <c r="R977" s="144"/>
      <c r="S977" s="144"/>
      <c r="T977" s="144"/>
      <c r="U977" s="144"/>
      <c r="V977" s="144"/>
      <c r="W977" s="144"/>
      <c r="X977" s="144"/>
      <c r="Y977" s="144"/>
      <c r="Z977" s="144"/>
      <c r="AA977" s="144"/>
      <c r="AB977" s="144"/>
      <c r="AC977" s="144"/>
      <c r="AD977" s="144"/>
      <c r="AE977" s="144"/>
      <c r="AF977" s="144"/>
      <c r="AG977" s="144"/>
      <c r="AH977" s="144"/>
      <c r="AI977" s="144"/>
    </row>
    <row r="978" spans="7:35" hidden="1">
      <c r="G978" s="144"/>
      <c r="H978" s="144"/>
      <c r="I978" s="144"/>
      <c r="J978" s="144"/>
      <c r="K978" s="144"/>
      <c r="L978" s="144"/>
      <c r="M978" s="144"/>
      <c r="N978" s="144"/>
      <c r="O978" s="144"/>
      <c r="P978" s="144"/>
      <c r="Q978" s="144"/>
      <c r="R978" s="144"/>
      <c r="S978" s="144"/>
      <c r="T978" s="144"/>
      <c r="U978" s="144"/>
      <c r="V978" s="144"/>
      <c r="W978" s="144"/>
      <c r="X978" s="144"/>
      <c r="Y978" s="144"/>
      <c r="Z978" s="144"/>
      <c r="AA978" s="144"/>
      <c r="AB978" s="144"/>
      <c r="AC978" s="144"/>
      <c r="AD978" s="144"/>
      <c r="AE978" s="144"/>
      <c r="AF978" s="144"/>
      <c r="AG978" s="144"/>
      <c r="AH978" s="144"/>
      <c r="AI978" s="144"/>
    </row>
    <row r="979" spans="7:35" hidden="1">
      <c r="G979" s="144"/>
      <c r="H979" s="144"/>
      <c r="I979" s="144"/>
      <c r="J979" s="144"/>
      <c r="K979" s="144"/>
      <c r="L979" s="144"/>
      <c r="M979" s="144"/>
      <c r="N979" s="144"/>
      <c r="O979" s="144"/>
      <c r="P979" s="144"/>
      <c r="Q979" s="144"/>
      <c r="R979" s="144"/>
      <c r="S979" s="144"/>
      <c r="T979" s="144"/>
      <c r="U979" s="144"/>
      <c r="V979" s="144"/>
      <c r="W979" s="144"/>
      <c r="X979" s="144"/>
      <c r="Y979" s="144"/>
      <c r="Z979" s="144"/>
      <c r="AA979" s="144"/>
      <c r="AB979" s="144"/>
      <c r="AC979" s="144"/>
      <c r="AD979" s="144"/>
      <c r="AE979" s="144"/>
      <c r="AF979" s="144"/>
      <c r="AG979" s="144"/>
      <c r="AH979" s="144"/>
      <c r="AI979" s="144"/>
    </row>
    <row r="980" spans="7:35" hidden="1">
      <c r="G980" s="144"/>
      <c r="H980" s="144"/>
      <c r="I980" s="144"/>
      <c r="J980" s="144"/>
      <c r="K980" s="144"/>
      <c r="L980" s="144"/>
      <c r="M980" s="144"/>
      <c r="N980" s="144"/>
      <c r="O980" s="144"/>
      <c r="P980" s="144"/>
      <c r="Q980" s="144"/>
      <c r="R980" s="144"/>
      <c r="S980" s="144"/>
      <c r="T980" s="144"/>
      <c r="U980" s="144"/>
      <c r="V980" s="144"/>
      <c r="W980" s="144"/>
      <c r="X980" s="144"/>
      <c r="Y980" s="144"/>
      <c r="Z980" s="144"/>
      <c r="AA980" s="144"/>
      <c r="AB980" s="144"/>
      <c r="AC980" s="144"/>
      <c r="AD980" s="144"/>
      <c r="AE980" s="144"/>
      <c r="AF980" s="144"/>
      <c r="AG980" s="144"/>
      <c r="AH980" s="144"/>
      <c r="AI980" s="144"/>
    </row>
    <row r="981" spans="7:35" hidden="1">
      <c r="G981" s="144"/>
      <c r="H981" s="144"/>
      <c r="I981" s="144"/>
      <c r="J981" s="144"/>
      <c r="K981" s="144"/>
      <c r="L981" s="144"/>
      <c r="M981" s="144"/>
      <c r="N981" s="144"/>
      <c r="O981" s="144"/>
      <c r="P981" s="144"/>
      <c r="Q981" s="144"/>
      <c r="R981" s="144"/>
      <c r="S981" s="144"/>
      <c r="T981" s="144"/>
      <c r="U981" s="144"/>
      <c r="V981" s="144"/>
      <c r="W981" s="144"/>
      <c r="X981" s="144"/>
      <c r="Y981" s="144"/>
      <c r="Z981" s="144"/>
      <c r="AA981" s="144"/>
      <c r="AB981" s="144"/>
      <c r="AC981" s="144"/>
      <c r="AD981" s="144"/>
      <c r="AE981" s="144"/>
      <c r="AF981" s="144"/>
      <c r="AG981" s="144"/>
      <c r="AH981" s="144"/>
      <c r="AI981" s="144"/>
    </row>
    <row r="982" spans="7:35" hidden="1">
      <c r="G982" s="144"/>
      <c r="H982" s="144"/>
      <c r="I982" s="144"/>
      <c r="J982" s="144"/>
      <c r="K982" s="144"/>
      <c r="L982" s="144"/>
      <c r="M982" s="144"/>
      <c r="N982" s="144"/>
      <c r="O982" s="144"/>
      <c r="P982" s="144"/>
      <c r="Q982" s="144"/>
      <c r="R982" s="144"/>
      <c r="S982" s="144"/>
      <c r="T982" s="144"/>
      <c r="U982" s="144"/>
      <c r="V982" s="144"/>
      <c r="W982" s="144"/>
      <c r="X982" s="144"/>
      <c r="Y982" s="144"/>
      <c r="Z982" s="144"/>
      <c r="AA982" s="144"/>
      <c r="AB982" s="144"/>
      <c r="AC982" s="144"/>
      <c r="AD982" s="144"/>
      <c r="AE982" s="144"/>
      <c r="AF982" s="144"/>
      <c r="AG982" s="144"/>
      <c r="AH982" s="144"/>
      <c r="AI982" s="144"/>
    </row>
    <row r="983" spans="7:35" hidden="1">
      <c r="G983" s="144"/>
      <c r="H983" s="144"/>
      <c r="I983" s="144"/>
      <c r="J983" s="144"/>
      <c r="K983" s="144"/>
      <c r="L983" s="144"/>
      <c r="M983" s="144"/>
      <c r="N983" s="144"/>
      <c r="O983" s="144"/>
      <c r="P983" s="144"/>
      <c r="Q983" s="144"/>
      <c r="R983" s="144"/>
      <c r="S983" s="144"/>
      <c r="T983" s="144"/>
      <c r="U983" s="144"/>
      <c r="V983" s="144"/>
      <c r="W983" s="144"/>
      <c r="X983" s="144"/>
      <c r="Y983" s="144"/>
      <c r="Z983" s="144"/>
      <c r="AA983" s="144"/>
      <c r="AB983" s="144"/>
      <c r="AC983" s="144"/>
      <c r="AD983" s="144"/>
      <c r="AE983" s="144"/>
      <c r="AF983" s="144"/>
      <c r="AG983" s="144"/>
      <c r="AH983" s="144"/>
      <c r="AI983" s="144"/>
    </row>
    <row r="984" spans="7:35" hidden="1">
      <c r="G984" s="144"/>
      <c r="H984" s="144"/>
      <c r="I984" s="144"/>
      <c r="J984" s="144"/>
      <c r="K984" s="144"/>
      <c r="L984" s="144"/>
      <c r="M984" s="144"/>
      <c r="N984" s="144"/>
      <c r="O984" s="144"/>
      <c r="P984" s="144"/>
      <c r="Q984" s="144"/>
      <c r="R984" s="144"/>
      <c r="S984" s="144"/>
      <c r="T984" s="144"/>
      <c r="U984" s="144"/>
      <c r="V984" s="144"/>
      <c r="W984" s="144"/>
      <c r="X984" s="144"/>
      <c r="Y984" s="144"/>
      <c r="Z984" s="144"/>
      <c r="AA984" s="144"/>
      <c r="AB984" s="144"/>
      <c r="AC984" s="144"/>
      <c r="AD984" s="144"/>
      <c r="AE984" s="144"/>
      <c r="AF984" s="144"/>
      <c r="AG984" s="144"/>
      <c r="AH984" s="144"/>
      <c r="AI984" s="144"/>
    </row>
    <row r="985" spans="7:35" hidden="1">
      <c r="G985" s="144"/>
      <c r="H985" s="144"/>
      <c r="I985" s="144"/>
      <c r="J985" s="144"/>
      <c r="K985" s="144"/>
      <c r="L985" s="144"/>
      <c r="M985" s="144"/>
      <c r="N985" s="144"/>
      <c r="O985" s="144"/>
      <c r="P985" s="144"/>
      <c r="Q985" s="144"/>
      <c r="R985" s="144"/>
      <c r="S985" s="144"/>
      <c r="T985" s="144"/>
      <c r="U985" s="144"/>
      <c r="V985" s="144"/>
      <c r="W985" s="144"/>
      <c r="X985" s="144"/>
      <c r="Y985" s="144"/>
      <c r="Z985" s="144"/>
      <c r="AA985" s="144"/>
      <c r="AB985" s="144"/>
      <c r="AC985" s="144"/>
      <c r="AD985" s="144"/>
      <c r="AE985" s="144"/>
      <c r="AF985" s="144"/>
      <c r="AG985" s="144"/>
      <c r="AH985" s="144"/>
      <c r="AI985" s="144"/>
    </row>
    <row r="986" spans="7:35" hidden="1">
      <c r="G986" s="144"/>
      <c r="H986" s="144"/>
      <c r="I986" s="144"/>
      <c r="J986" s="144"/>
      <c r="K986" s="144"/>
      <c r="L986" s="144"/>
      <c r="M986" s="144"/>
      <c r="N986" s="144"/>
      <c r="O986" s="144"/>
      <c r="P986" s="144"/>
      <c r="Q986" s="144"/>
      <c r="R986" s="144"/>
      <c r="S986" s="144"/>
      <c r="T986" s="144"/>
      <c r="U986" s="144"/>
      <c r="V986" s="144"/>
      <c r="W986" s="144"/>
      <c r="X986" s="144"/>
      <c r="Y986" s="144"/>
      <c r="Z986" s="144"/>
      <c r="AA986" s="144"/>
      <c r="AB986" s="144"/>
      <c r="AC986" s="144"/>
      <c r="AD986" s="144"/>
      <c r="AE986" s="144"/>
      <c r="AF986" s="144"/>
      <c r="AG986" s="144"/>
      <c r="AH986" s="144"/>
      <c r="AI986" s="144"/>
    </row>
    <row r="987" spans="7:35" hidden="1">
      <c r="G987" s="144"/>
      <c r="H987" s="144"/>
      <c r="I987" s="144"/>
      <c r="J987" s="144"/>
      <c r="K987" s="144"/>
      <c r="L987" s="144"/>
      <c r="M987" s="144"/>
      <c r="N987" s="144"/>
      <c r="O987" s="144"/>
      <c r="P987" s="144"/>
      <c r="Q987" s="144"/>
      <c r="R987" s="144"/>
      <c r="S987" s="144"/>
      <c r="T987" s="144"/>
      <c r="U987" s="144"/>
      <c r="V987" s="144"/>
      <c r="W987" s="144"/>
      <c r="X987" s="144"/>
      <c r="Y987" s="144"/>
      <c r="Z987" s="144"/>
      <c r="AA987" s="144"/>
      <c r="AB987" s="144"/>
      <c r="AC987" s="144"/>
      <c r="AD987" s="144"/>
      <c r="AE987" s="144"/>
      <c r="AF987" s="144"/>
      <c r="AG987" s="144"/>
      <c r="AH987" s="144"/>
      <c r="AI987" s="144"/>
    </row>
    <row r="988" spans="7:35" hidden="1">
      <c r="G988" s="144"/>
      <c r="H988" s="144"/>
      <c r="I988" s="144"/>
      <c r="J988" s="144"/>
      <c r="K988" s="144"/>
      <c r="L988" s="144"/>
      <c r="M988" s="144"/>
      <c r="N988" s="144"/>
      <c r="O988" s="144"/>
      <c r="P988" s="144"/>
      <c r="Q988" s="144"/>
      <c r="R988" s="144"/>
      <c r="S988" s="144"/>
      <c r="T988" s="144"/>
      <c r="U988" s="144"/>
      <c r="V988" s="144"/>
      <c r="W988" s="144"/>
      <c r="X988" s="144"/>
      <c r="Y988" s="144"/>
      <c r="Z988" s="144"/>
      <c r="AA988" s="144"/>
      <c r="AB988" s="144"/>
      <c r="AC988" s="144"/>
      <c r="AD988" s="144"/>
      <c r="AE988" s="144"/>
      <c r="AF988" s="144"/>
      <c r="AG988" s="144"/>
      <c r="AH988" s="144"/>
      <c r="AI988" s="144"/>
    </row>
    <row r="989" spans="7:35" hidden="1">
      <c r="G989" s="144"/>
      <c r="H989" s="144"/>
      <c r="I989" s="144"/>
      <c r="J989" s="144"/>
      <c r="K989" s="144"/>
      <c r="L989" s="144"/>
      <c r="M989" s="144"/>
      <c r="N989" s="144"/>
      <c r="O989" s="144"/>
      <c r="P989" s="144"/>
      <c r="Q989" s="144"/>
      <c r="R989" s="144"/>
      <c r="S989" s="144"/>
      <c r="T989" s="144"/>
      <c r="U989" s="144"/>
      <c r="V989" s="144"/>
      <c r="W989" s="144"/>
      <c r="X989" s="144"/>
      <c r="Y989" s="144"/>
      <c r="Z989" s="144"/>
      <c r="AA989" s="144"/>
      <c r="AB989" s="144"/>
      <c r="AC989" s="144"/>
      <c r="AD989" s="144"/>
      <c r="AE989" s="144"/>
      <c r="AF989" s="144"/>
      <c r="AG989" s="144"/>
      <c r="AH989" s="144"/>
      <c r="AI989" s="144"/>
    </row>
    <row r="990" spans="7:35" hidden="1">
      <c r="G990" s="144"/>
      <c r="H990" s="144"/>
      <c r="I990" s="144"/>
      <c r="J990" s="144"/>
      <c r="K990" s="144"/>
      <c r="L990" s="144"/>
      <c r="M990" s="144"/>
      <c r="N990" s="144"/>
      <c r="O990" s="144"/>
      <c r="P990" s="144"/>
      <c r="Q990" s="144"/>
      <c r="R990" s="144"/>
      <c r="S990" s="144"/>
      <c r="T990" s="144"/>
      <c r="U990" s="144"/>
      <c r="V990" s="144"/>
      <c r="W990" s="144"/>
      <c r="X990" s="144"/>
      <c r="Y990" s="144"/>
      <c r="Z990" s="144"/>
      <c r="AA990" s="144"/>
      <c r="AB990" s="144"/>
      <c r="AC990" s="144"/>
      <c r="AD990" s="144"/>
      <c r="AE990" s="144"/>
      <c r="AF990" s="144"/>
      <c r="AG990" s="144"/>
      <c r="AH990" s="144"/>
      <c r="AI990" s="144"/>
    </row>
    <row r="991" spans="7:35" hidden="1">
      <c r="G991" s="144"/>
      <c r="H991" s="144"/>
      <c r="I991" s="144"/>
      <c r="J991" s="144"/>
      <c r="K991" s="144"/>
      <c r="L991" s="144"/>
      <c r="M991" s="144"/>
      <c r="N991" s="144"/>
      <c r="O991" s="144"/>
      <c r="P991" s="144"/>
      <c r="Q991" s="144"/>
      <c r="R991" s="144"/>
      <c r="S991" s="144"/>
      <c r="T991" s="144"/>
      <c r="U991" s="144"/>
      <c r="V991" s="144"/>
      <c r="W991" s="144"/>
      <c r="X991" s="144"/>
      <c r="Y991" s="144"/>
      <c r="Z991" s="144"/>
      <c r="AA991" s="144"/>
      <c r="AB991" s="144"/>
      <c r="AC991" s="144"/>
      <c r="AD991" s="144"/>
      <c r="AE991" s="144"/>
      <c r="AF991" s="144"/>
      <c r="AG991" s="144"/>
      <c r="AH991" s="144"/>
      <c r="AI991" s="144"/>
    </row>
    <row r="992" spans="7:35" hidden="1">
      <c r="G992" s="144"/>
      <c r="H992" s="144"/>
      <c r="I992" s="144"/>
      <c r="J992" s="144"/>
      <c r="K992" s="144"/>
      <c r="L992" s="144"/>
      <c r="M992" s="144"/>
      <c r="N992" s="144"/>
      <c r="O992" s="144"/>
      <c r="P992" s="144"/>
      <c r="Q992" s="144"/>
      <c r="R992" s="144"/>
      <c r="S992" s="144"/>
      <c r="T992" s="144"/>
      <c r="U992" s="144"/>
      <c r="V992" s="144"/>
      <c r="W992" s="144"/>
      <c r="X992" s="144"/>
      <c r="Y992" s="144"/>
      <c r="Z992" s="144"/>
      <c r="AA992" s="144"/>
      <c r="AB992" s="144"/>
      <c r="AC992" s="144"/>
      <c r="AD992" s="144"/>
      <c r="AE992" s="144"/>
      <c r="AF992" s="144"/>
      <c r="AG992" s="144"/>
      <c r="AH992" s="144"/>
      <c r="AI992" s="144"/>
    </row>
    <row r="993" spans="7:35" hidden="1">
      <c r="G993" s="144"/>
      <c r="H993" s="144"/>
      <c r="I993" s="144"/>
      <c r="J993" s="144"/>
      <c r="K993" s="144"/>
      <c r="L993" s="144"/>
      <c r="M993" s="144"/>
      <c r="N993" s="144"/>
      <c r="O993" s="144"/>
      <c r="P993" s="144"/>
      <c r="Q993" s="144"/>
      <c r="R993" s="144"/>
      <c r="S993" s="144"/>
      <c r="T993" s="144"/>
      <c r="U993" s="144"/>
      <c r="V993" s="144"/>
      <c r="W993" s="144"/>
      <c r="X993" s="144"/>
      <c r="Y993" s="144"/>
      <c r="Z993" s="144"/>
      <c r="AA993" s="144"/>
      <c r="AB993" s="144"/>
      <c r="AC993" s="144"/>
      <c r="AD993" s="144"/>
      <c r="AE993" s="144"/>
      <c r="AF993" s="144"/>
      <c r="AG993" s="144"/>
      <c r="AH993" s="144"/>
      <c r="AI993" s="144"/>
    </row>
    <row r="994" spans="7:35" hidden="1">
      <c r="G994" s="144"/>
      <c r="H994" s="144"/>
      <c r="I994" s="144"/>
      <c r="J994" s="144"/>
      <c r="K994" s="144"/>
      <c r="L994" s="144"/>
      <c r="M994" s="144"/>
      <c r="N994" s="144"/>
      <c r="O994" s="144"/>
      <c r="P994" s="144"/>
      <c r="Q994" s="144"/>
      <c r="R994" s="144"/>
      <c r="S994" s="144"/>
      <c r="T994" s="144"/>
      <c r="U994" s="144"/>
      <c r="V994" s="144"/>
      <c r="W994" s="144"/>
      <c r="X994" s="144"/>
      <c r="Y994" s="144"/>
      <c r="Z994" s="144"/>
      <c r="AA994" s="144"/>
      <c r="AB994" s="144"/>
      <c r="AC994" s="144"/>
      <c r="AD994" s="144"/>
      <c r="AE994" s="144"/>
      <c r="AF994" s="144"/>
      <c r="AG994" s="144"/>
      <c r="AH994" s="144"/>
      <c r="AI994" s="144"/>
    </row>
    <row r="995" spans="7:35" hidden="1">
      <c r="G995" s="144"/>
      <c r="H995" s="144"/>
      <c r="I995" s="144"/>
      <c r="J995" s="144"/>
      <c r="K995" s="144"/>
      <c r="L995" s="144"/>
      <c r="M995" s="144"/>
      <c r="N995" s="144"/>
      <c r="O995" s="144"/>
      <c r="P995" s="144"/>
      <c r="Q995" s="144"/>
      <c r="R995" s="144"/>
      <c r="S995" s="144"/>
      <c r="T995" s="144"/>
      <c r="U995" s="144"/>
      <c r="V995" s="144"/>
      <c r="W995" s="144"/>
      <c r="X995" s="144"/>
      <c r="Y995" s="144"/>
      <c r="Z995" s="144"/>
      <c r="AA995" s="144"/>
      <c r="AB995" s="144"/>
      <c r="AC995" s="144"/>
      <c r="AD995" s="144"/>
      <c r="AE995" s="144"/>
      <c r="AF995" s="144"/>
      <c r="AG995" s="144"/>
      <c r="AH995" s="144"/>
      <c r="AI995" s="144"/>
    </row>
    <row r="996" spans="7:35" hidden="1">
      <c r="G996" s="144"/>
      <c r="H996" s="144"/>
      <c r="I996" s="144"/>
      <c r="J996" s="144"/>
      <c r="K996" s="144"/>
      <c r="L996" s="144"/>
      <c r="M996" s="144"/>
      <c r="N996" s="144"/>
      <c r="O996" s="144"/>
      <c r="P996" s="144"/>
      <c r="Q996" s="144"/>
      <c r="R996" s="144"/>
      <c r="S996" s="144"/>
      <c r="T996" s="144"/>
      <c r="U996" s="144"/>
      <c r="V996" s="144"/>
      <c r="W996" s="144"/>
      <c r="X996" s="144"/>
      <c r="Y996" s="144"/>
      <c r="Z996" s="144"/>
      <c r="AA996" s="144"/>
      <c r="AB996" s="144"/>
      <c r="AC996" s="144"/>
      <c r="AD996" s="144"/>
      <c r="AE996" s="144"/>
      <c r="AF996" s="144"/>
      <c r="AG996" s="144"/>
      <c r="AH996" s="144"/>
      <c r="AI996" s="144"/>
    </row>
    <row r="997" spans="7:35" hidden="1">
      <c r="G997" s="144"/>
      <c r="H997" s="144"/>
      <c r="I997" s="144"/>
      <c r="J997" s="144"/>
      <c r="K997" s="144"/>
      <c r="L997" s="144"/>
      <c r="M997" s="144"/>
      <c r="N997" s="144"/>
      <c r="O997" s="144"/>
      <c r="P997" s="144"/>
      <c r="Q997" s="144"/>
      <c r="R997" s="144"/>
      <c r="S997" s="144"/>
      <c r="T997" s="144"/>
      <c r="U997" s="144"/>
      <c r="V997" s="144"/>
      <c r="W997" s="144"/>
      <c r="X997" s="144"/>
      <c r="Y997" s="144"/>
      <c r="Z997" s="144"/>
      <c r="AA997" s="144"/>
      <c r="AB997" s="144"/>
      <c r="AC997" s="144"/>
      <c r="AD997" s="144"/>
      <c r="AE997" s="144"/>
      <c r="AF997" s="144"/>
      <c r="AG997" s="144"/>
      <c r="AH997" s="144"/>
      <c r="AI997" s="144"/>
    </row>
    <row r="998" spans="7:35" hidden="1">
      <c r="G998" s="144"/>
      <c r="H998" s="144"/>
      <c r="I998" s="144"/>
      <c r="J998" s="144"/>
      <c r="K998" s="144"/>
      <c r="L998" s="144"/>
      <c r="M998" s="144"/>
      <c r="N998" s="144"/>
      <c r="O998" s="144"/>
      <c r="P998" s="144"/>
      <c r="Q998" s="144"/>
      <c r="R998" s="144"/>
      <c r="S998" s="144"/>
      <c r="T998" s="144"/>
      <c r="U998" s="144"/>
      <c r="V998" s="144"/>
      <c r="W998" s="144"/>
      <c r="X998" s="144"/>
      <c r="Y998" s="144"/>
      <c r="Z998" s="144"/>
      <c r="AA998" s="144"/>
      <c r="AB998" s="144"/>
      <c r="AC998" s="144"/>
      <c r="AD998" s="144"/>
      <c r="AE998" s="144"/>
      <c r="AF998" s="144"/>
      <c r="AG998" s="144"/>
      <c r="AH998" s="144"/>
      <c r="AI998" s="144"/>
    </row>
    <row r="999" spans="7:35" hidden="1">
      <c r="G999" s="144"/>
      <c r="H999" s="144"/>
      <c r="I999" s="144"/>
      <c r="J999" s="144"/>
      <c r="K999" s="144"/>
      <c r="L999" s="144"/>
      <c r="M999" s="144"/>
      <c r="N999" s="144"/>
      <c r="O999" s="144"/>
      <c r="P999" s="144"/>
      <c r="Q999" s="144"/>
      <c r="R999" s="144"/>
      <c r="S999" s="144"/>
      <c r="T999" s="144"/>
      <c r="U999" s="144"/>
      <c r="V999" s="144"/>
      <c r="W999" s="144"/>
      <c r="X999" s="144"/>
      <c r="Y999" s="144"/>
      <c r="Z999" s="144"/>
      <c r="AA999" s="144"/>
      <c r="AB999" s="144"/>
      <c r="AC999" s="144"/>
      <c r="AD999" s="144"/>
      <c r="AE999" s="144"/>
      <c r="AF999" s="144"/>
      <c r="AG999" s="144"/>
      <c r="AH999" s="144"/>
      <c r="AI999" s="144"/>
    </row>
    <row r="1000" spans="7:35" hidden="1">
      <c r="G1000" s="144"/>
      <c r="H1000" s="144"/>
      <c r="I1000" s="144"/>
      <c r="J1000" s="144"/>
      <c r="K1000" s="144"/>
      <c r="L1000" s="144"/>
      <c r="M1000" s="144"/>
      <c r="N1000" s="144"/>
      <c r="O1000" s="144"/>
      <c r="P1000" s="144"/>
      <c r="Q1000" s="144"/>
      <c r="R1000" s="144"/>
      <c r="S1000" s="144"/>
      <c r="T1000" s="144"/>
      <c r="U1000" s="144"/>
      <c r="V1000" s="144"/>
      <c r="W1000" s="144"/>
      <c r="X1000" s="144"/>
      <c r="Y1000" s="144"/>
      <c r="Z1000" s="144"/>
      <c r="AA1000" s="144"/>
      <c r="AB1000" s="144"/>
      <c r="AC1000" s="144"/>
      <c r="AD1000" s="144"/>
      <c r="AE1000" s="144"/>
      <c r="AF1000" s="144"/>
      <c r="AG1000" s="144"/>
      <c r="AH1000" s="144"/>
      <c r="AI1000" s="144"/>
    </row>
    <row r="1001" spans="7:35" hidden="1">
      <c r="G1001" s="144"/>
      <c r="H1001" s="144"/>
      <c r="I1001" s="144"/>
      <c r="J1001" s="144"/>
      <c r="K1001" s="144"/>
      <c r="L1001" s="144"/>
      <c r="M1001" s="144"/>
      <c r="N1001" s="144"/>
      <c r="O1001" s="144"/>
      <c r="P1001" s="144"/>
      <c r="Q1001" s="144"/>
      <c r="R1001" s="144"/>
      <c r="S1001" s="144"/>
      <c r="T1001" s="144"/>
      <c r="U1001" s="144"/>
      <c r="V1001" s="144"/>
      <c r="W1001" s="144"/>
      <c r="X1001" s="144"/>
      <c r="Y1001" s="144"/>
      <c r="Z1001" s="144"/>
      <c r="AA1001" s="144"/>
      <c r="AB1001" s="144"/>
      <c r="AC1001" s="144"/>
      <c r="AD1001" s="144"/>
      <c r="AE1001" s="144"/>
      <c r="AF1001" s="144"/>
      <c r="AG1001" s="144"/>
      <c r="AH1001" s="144"/>
      <c r="AI1001" s="144"/>
    </row>
    <row r="1002" spans="7:35" hidden="1">
      <c r="G1002" s="144"/>
      <c r="H1002" s="144"/>
      <c r="I1002" s="144"/>
      <c r="J1002" s="144"/>
      <c r="K1002" s="144"/>
      <c r="L1002" s="144"/>
      <c r="M1002" s="144"/>
      <c r="N1002" s="144"/>
      <c r="O1002" s="144"/>
      <c r="P1002" s="144"/>
      <c r="Q1002" s="144"/>
      <c r="R1002" s="144"/>
      <c r="S1002" s="144"/>
      <c r="T1002" s="144"/>
      <c r="U1002" s="144"/>
      <c r="V1002" s="144"/>
      <c r="W1002" s="144"/>
      <c r="X1002" s="144"/>
      <c r="Y1002" s="144"/>
      <c r="Z1002" s="144"/>
      <c r="AA1002" s="144"/>
      <c r="AB1002" s="144"/>
      <c r="AC1002" s="144"/>
      <c r="AD1002" s="144"/>
      <c r="AE1002" s="144"/>
      <c r="AF1002" s="144"/>
      <c r="AG1002" s="144"/>
      <c r="AH1002" s="144"/>
      <c r="AI1002" s="144"/>
    </row>
    <row r="1003" spans="7:35" hidden="1">
      <c r="G1003" s="144"/>
      <c r="H1003" s="144"/>
      <c r="I1003" s="144"/>
      <c r="J1003" s="144"/>
      <c r="K1003" s="144"/>
      <c r="L1003" s="144"/>
      <c r="M1003" s="144"/>
      <c r="N1003" s="144"/>
      <c r="O1003" s="144"/>
      <c r="P1003" s="144"/>
      <c r="Q1003" s="144"/>
      <c r="R1003" s="144"/>
      <c r="S1003" s="144"/>
      <c r="T1003" s="144"/>
      <c r="U1003" s="144"/>
      <c r="V1003" s="144"/>
      <c r="W1003" s="144"/>
      <c r="X1003" s="144"/>
      <c r="Y1003" s="144"/>
      <c r="Z1003" s="144"/>
      <c r="AA1003" s="144"/>
      <c r="AB1003" s="144"/>
      <c r="AC1003" s="144"/>
      <c r="AD1003" s="144"/>
      <c r="AE1003" s="144"/>
      <c r="AF1003" s="144"/>
      <c r="AG1003" s="144"/>
      <c r="AH1003" s="144"/>
      <c r="AI1003" s="144"/>
    </row>
    <row r="1004" spans="7:35" hidden="1">
      <c r="G1004" s="144"/>
      <c r="H1004" s="144"/>
      <c r="I1004" s="144"/>
      <c r="J1004" s="144"/>
      <c r="K1004" s="144"/>
      <c r="L1004" s="144"/>
      <c r="M1004" s="144"/>
      <c r="N1004" s="144"/>
      <c r="O1004" s="144"/>
      <c r="P1004" s="144"/>
      <c r="Q1004" s="144"/>
      <c r="R1004" s="144"/>
      <c r="S1004" s="144"/>
      <c r="T1004" s="144"/>
      <c r="U1004" s="144"/>
      <c r="V1004" s="144"/>
      <c r="W1004" s="144"/>
      <c r="X1004" s="144"/>
      <c r="Y1004" s="144"/>
      <c r="Z1004" s="144"/>
      <c r="AA1004" s="144"/>
      <c r="AB1004" s="144"/>
      <c r="AC1004" s="144"/>
      <c r="AD1004" s="144"/>
      <c r="AE1004" s="144"/>
      <c r="AF1004" s="144"/>
      <c r="AG1004" s="144"/>
      <c r="AH1004" s="144"/>
      <c r="AI1004" s="144"/>
    </row>
    <row r="1005" spans="7:35" hidden="1">
      <c r="G1005" s="144"/>
      <c r="H1005" s="144"/>
      <c r="I1005" s="144"/>
      <c r="J1005" s="144"/>
      <c r="K1005" s="144"/>
      <c r="L1005" s="144"/>
      <c r="M1005" s="144"/>
      <c r="N1005" s="144"/>
      <c r="O1005" s="144"/>
      <c r="P1005" s="144"/>
      <c r="Q1005" s="144"/>
      <c r="R1005" s="144"/>
      <c r="S1005" s="144"/>
      <c r="T1005" s="144"/>
      <c r="U1005" s="144"/>
      <c r="V1005" s="144"/>
      <c r="W1005" s="144"/>
      <c r="X1005" s="144"/>
      <c r="Y1005" s="144"/>
      <c r="Z1005" s="144"/>
      <c r="AA1005" s="144"/>
      <c r="AB1005" s="144"/>
      <c r="AC1005" s="144"/>
      <c r="AD1005" s="144"/>
      <c r="AE1005" s="144"/>
      <c r="AF1005" s="144"/>
      <c r="AG1005" s="144"/>
      <c r="AH1005" s="144"/>
      <c r="AI1005" s="144"/>
    </row>
    <row r="1006" spans="7:35" hidden="1">
      <c r="G1006" s="144"/>
      <c r="H1006" s="144"/>
      <c r="I1006" s="144"/>
      <c r="J1006" s="144"/>
      <c r="K1006" s="144"/>
      <c r="L1006" s="144"/>
      <c r="M1006" s="144"/>
      <c r="N1006" s="144"/>
      <c r="O1006" s="144"/>
      <c r="P1006" s="144"/>
      <c r="Q1006" s="144"/>
      <c r="R1006" s="144"/>
      <c r="S1006" s="144"/>
      <c r="T1006" s="144"/>
      <c r="U1006" s="144"/>
      <c r="V1006" s="144"/>
      <c r="W1006" s="144"/>
      <c r="X1006" s="144"/>
      <c r="Y1006" s="144"/>
      <c r="Z1006" s="144"/>
      <c r="AA1006" s="144"/>
      <c r="AB1006" s="144"/>
      <c r="AC1006" s="144"/>
      <c r="AD1006" s="144"/>
      <c r="AE1006" s="144"/>
      <c r="AF1006" s="144"/>
      <c r="AG1006" s="144"/>
      <c r="AH1006" s="144"/>
      <c r="AI1006" s="144"/>
    </row>
    <row r="1007" spans="7:35" hidden="1">
      <c r="G1007" s="144"/>
      <c r="H1007" s="144"/>
      <c r="I1007" s="144"/>
      <c r="J1007" s="144"/>
      <c r="K1007" s="144"/>
      <c r="L1007" s="144"/>
      <c r="M1007" s="144"/>
      <c r="N1007" s="144"/>
      <c r="O1007" s="144"/>
      <c r="P1007" s="144"/>
      <c r="Q1007" s="144"/>
      <c r="R1007" s="144"/>
      <c r="S1007" s="144"/>
      <c r="T1007" s="144"/>
      <c r="U1007" s="144"/>
      <c r="V1007" s="144"/>
      <c r="W1007" s="144"/>
      <c r="X1007" s="144"/>
      <c r="Y1007" s="144"/>
      <c r="Z1007" s="144"/>
      <c r="AA1007" s="144"/>
      <c r="AB1007" s="144"/>
      <c r="AC1007" s="144"/>
      <c r="AD1007" s="144"/>
      <c r="AE1007" s="144"/>
      <c r="AF1007" s="144"/>
      <c r="AG1007" s="144"/>
      <c r="AH1007" s="144"/>
      <c r="AI1007" s="144"/>
    </row>
    <row r="1008" spans="7:35" hidden="1">
      <c r="G1008" s="144"/>
      <c r="H1008" s="144"/>
      <c r="I1008" s="144"/>
      <c r="J1008" s="144"/>
      <c r="K1008" s="144"/>
      <c r="L1008" s="144"/>
      <c r="M1008" s="144"/>
      <c r="N1008" s="144"/>
      <c r="O1008" s="144"/>
      <c r="P1008" s="144"/>
      <c r="Q1008" s="144"/>
      <c r="R1008" s="144"/>
      <c r="S1008" s="144"/>
      <c r="T1008" s="144"/>
      <c r="U1008" s="144"/>
      <c r="V1008" s="144"/>
      <c r="W1008" s="144"/>
      <c r="X1008" s="144"/>
      <c r="Y1008" s="144"/>
      <c r="Z1008" s="144"/>
      <c r="AA1008" s="144"/>
      <c r="AB1008" s="144"/>
      <c r="AC1008" s="144"/>
      <c r="AD1008" s="144"/>
      <c r="AE1008" s="144"/>
      <c r="AF1008" s="144"/>
      <c r="AG1008" s="144"/>
      <c r="AH1008" s="144"/>
      <c r="AI1008" s="144"/>
    </row>
    <row r="1009" spans="7:35" hidden="1">
      <c r="G1009" s="144"/>
      <c r="H1009" s="144"/>
      <c r="I1009" s="144"/>
      <c r="J1009" s="144"/>
      <c r="K1009" s="144"/>
      <c r="L1009" s="144"/>
      <c r="M1009" s="144"/>
      <c r="N1009" s="144"/>
      <c r="O1009" s="144"/>
      <c r="P1009" s="144"/>
      <c r="Q1009" s="144"/>
      <c r="R1009" s="144"/>
      <c r="S1009" s="144"/>
      <c r="T1009" s="144"/>
      <c r="U1009" s="144"/>
      <c r="V1009" s="144"/>
      <c r="W1009" s="144"/>
      <c r="X1009" s="144"/>
      <c r="Y1009" s="144"/>
      <c r="Z1009" s="144"/>
      <c r="AA1009" s="144"/>
      <c r="AB1009" s="144"/>
      <c r="AC1009" s="144"/>
      <c r="AD1009" s="144"/>
      <c r="AE1009" s="144"/>
      <c r="AF1009" s="144"/>
      <c r="AG1009" s="144"/>
      <c r="AH1009" s="144"/>
      <c r="AI1009" s="144"/>
    </row>
    <row r="1010" spans="7:35" hidden="1">
      <c r="G1010" s="144"/>
      <c r="H1010" s="144"/>
      <c r="I1010" s="144"/>
      <c r="J1010" s="144"/>
      <c r="K1010" s="144"/>
      <c r="L1010" s="144"/>
      <c r="M1010" s="144"/>
      <c r="N1010" s="144"/>
      <c r="O1010" s="144"/>
      <c r="P1010" s="144"/>
      <c r="Q1010" s="144"/>
      <c r="R1010" s="144"/>
      <c r="S1010" s="144"/>
      <c r="T1010" s="144"/>
      <c r="U1010" s="144"/>
      <c r="V1010" s="144"/>
      <c r="W1010" s="144"/>
      <c r="X1010" s="144"/>
      <c r="Y1010" s="144"/>
      <c r="Z1010" s="144"/>
      <c r="AA1010" s="144"/>
      <c r="AB1010" s="144"/>
      <c r="AC1010" s="144"/>
      <c r="AD1010" s="144"/>
      <c r="AE1010" s="144"/>
      <c r="AF1010" s="144"/>
      <c r="AG1010" s="144"/>
      <c r="AH1010" s="144"/>
      <c r="AI1010" s="144"/>
    </row>
    <row r="1011" spans="7:35" hidden="1">
      <c r="G1011" s="144"/>
      <c r="H1011" s="144"/>
      <c r="I1011" s="144"/>
      <c r="J1011" s="144"/>
      <c r="K1011" s="144"/>
      <c r="L1011" s="144"/>
      <c r="M1011" s="144"/>
      <c r="N1011" s="144"/>
      <c r="O1011" s="144"/>
      <c r="P1011" s="144"/>
      <c r="Q1011" s="144"/>
      <c r="R1011" s="144"/>
      <c r="S1011" s="144"/>
      <c r="T1011" s="144"/>
      <c r="U1011" s="144"/>
      <c r="V1011" s="144"/>
      <c r="W1011" s="144"/>
      <c r="X1011" s="144"/>
      <c r="Y1011" s="144"/>
      <c r="Z1011" s="144"/>
      <c r="AA1011" s="144"/>
      <c r="AB1011" s="144"/>
      <c r="AC1011" s="144"/>
      <c r="AD1011" s="144"/>
      <c r="AE1011" s="144"/>
      <c r="AF1011" s="144"/>
      <c r="AG1011" s="144"/>
      <c r="AH1011" s="144"/>
      <c r="AI1011" s="144"/>
    </row>
    <row r="1012" spans="7:35" hidden="1">
      <c r="G1012" s="144"/>
      <c r="H1012" s="144"/>
      <c r="I1012" s="144"/>
      <c r="J1012" s="144"/>
      <c r="K1012" s="144"/>
      <c r="L1012" s="144"/>
      <c r="M1012" s="144"/>
      <c r="N1012" s="144"/>
      <c r="O1012" s="144"/>
      <c r="P1012" s="144"/>
      <c r="Q1012" s="144"/>
      <c r="R1012" s="144"/>
      <c r="S1012" s="144"/>
      <c r="T1012" s="144"/>
      <c r="U1012" s="144"/>
      <c r="V1012" s="144"/>
      <c r="W1012" s="144"/>
      <c r="X1012" s="144"/>
      <c r="Y1012" s="144"/>
      <c r="Z1012" s="144"/>
      <c r="AA1012" s="144"/>
      <c r="AB1012" s="144"/>
      <c r="AC1012" s="144"/>
      <c r="AD1012" s="144"/>
      <c r="AE1012" s="144"/>
      <c r="AF1012" s="144"/>
      <c r="AG1012" s="144"/>
      <c r="AH1012" s="144"/>
      <c r="AI1012" s="144"/>
    </row>
    <row r="1013" spans="7:35" hidden="1">
      <c r="G1013" s="144"/>
      <c r="H1013" s="144"/>
      <c r="I1013" s="144"/>
      <c r="J1013" s="144"/>
      <c r="K1013" s="144"/>
      <c r="L1013" s="144"/>
      <c r="M1013" s="144"/>
      <c r="N1013" s="144"/>
      <c r="O1013" s="144"/>
      <c r="P1013" s="144"/>
      <c r="Q1013" s="144"/>
      <c r="R1013" s="144"/>
      <c r="S1013" s="144"/>
      <c r="T1013" s="144"/>
      <c r="U1013" s="144"/>
      <c r="V1013" s="144"/>
      <c r="W1013" s="144"/>
      <c r="X1013" s="144"/>
      <c r="Y1013" s="144"/>
      <c r="Z1013" s="144"/>
      <c r="AA1013" s="144"/>
      <c r="AB1013" s="144"/>
      <c r="AC1013" s="144"/>
      <c r="AD1013" s="144"/>
      <c r="AE1013" s="144"/>
      <c r="AF1013" s="144"/>
      <c r="AG1013" s="144"/>
      <c r="AH1013" s="144"/>
      <c r="AI1013" s="144"/>
    </row>
    <row r="1014" spans="7:35" hidden="1">
      <c r="G1014" s="144"/>
      <c r="H1014" s="144"/>
      <c r="I1014" s="144"/>
      <c r="J1014" s="144"/>
      <c r="K1014" s="144"/>
      <c r="L1014" s="144"/>
      <c r="M1014" s="144"/>
      <c r="N1014" s="144"/>
      <c r="O1014" s="144"/>
      <c r="P1014" s="144"/>
      <c r="Q1014" s="144"/>
      <c r="R1014" s="144"/>
      <c r="S1014" s="144"/>
      <c r="T1014" s="144"/>
      <c r="U1014" s="144"/>
      <c r="V1014" s="144"/>
      <c r="W1014" s="144"/>
      <c r="X1014" s="144"/>
      <c r="Y1014" s="144"/>
      <c r="Z1014" s="144"/>
      <c r="AA1014" s="144"/>
      <c r="AB1014" s="144"/>
      <c r="AC1014" s="144"/>
      <c r="AD1014" s="144"/>
      <c r="AE1014" s="144"/>
      <c r="AF1014" s="144"/>
      <c r="AG1014" s="144"/>
      <c r="AH1014" s="144"/>
      <c r="AI1014" s="144"/>
    </row>
    <row r="1015" spans="7:35" hidden="1">
      <c r="G1015" s="144"/>
      <c r="H1015" s="144"/>
      <c r="I1015" s="144"/>
      <c r="J1015" s="144"/>
      <c r="K1015" s="144"/>
      <c r="L1015" s="144"/>
      <c r="M1015" s="144"/>
      <c r="N1015" s="144"/>
      <c r="O1015" s="144"/>
      <c r="P1015" s="144"/>
      <c r="Q1015" s="144"/>
      <c r="R1015" s="144"/>
      <c r="S1015" s="144"/>
      <c r="T1015" s="144"/>
      <c r="U1015" s="144"/>
      <c r="V1015" s="144"/>
      <c r="W1015" s="144"/>
      <c r="X1015" s="144"/>
      <c r="Y1015" s="144"/>
      <c r="Z1015" s="144"/>
      <c r="AA1015" s="144"/>
      <c r="AB1015" s="144"/>
      <c r="AC1015" s="144"/>
      <c r="AD1015" s="144"/>
      <c r="AE1015" s="144"/>
      <c r="AF1015" s="144"/>
      <c r="AG1015" s="144"/>
      <c r="AH1015" s="144"/>
      <c r="AI1015" s="144"/>
    </row>
    <row r="1016" spans="7:35" hidden="1">
      <c r="G1016" s="144"/>
      <c r="H1016" s="144"/>
      <c r="I1016" s="144"/>
      <c r="J1016" s="144"/>
      <c r="K1016" s="144"/>
      <c r="L1016" s="144"/>
      <c r="M1016" s="144"/>
      <c r="N1016" s="144"/>
      <c r="O1016" s="144"/>
      <c r="P1016" s="144"/>
      <c r="Q1016" s="144"/>
      <c r="R1016" s="144"/>
      <c r="S1016" s="144"/>
      <c r="T1016" s="144"/>
      <c r="U1016" s="144"/>
      <c r="V1016" s="144"/>
      <c r="W1016" s="144"/>
      <c r="X1016" s="144"/>
      <c r="Y1016" s="144"/>
      <c r="Z1016" s="144"/>
      <c r="AA1016" s="144"/>
      <c r="AB1016" s="144"/>
      <c r="AC1016" s="144"/>
      <c r="AD1016" s="144"/>
      <c r="AE1016" s="144"/>
      <c r="AF1016" s="144"/>
      <c r="AG1016" s="144"/>
      <c r="AH1016" s="144"/>
      <c r="AI1016" s="144"/>
    </row>
    <row r="1017" spans="7:35" hidden="1">
      <c r="G1017" s="144"/>
      <c r="H1017" s="144"/>
      <c r="I1017" s="144"/>
      <c r="J1017" s="144"/>
      <c r="K1017" s="144"/>
      <c r="L1017" s="144"/>
      <c r="M1017" s="144"/>
      <c r="N1017" s="144"/>
      <c r="O1017" s="144"/>
      <c r="P1017" s="144"/>
      <c r="Q1017" s="144"/>
      <c r="R1017" s="144"/>
      <c r="S1017" s="144"/>
      <c r="T1017" s="144"/>
      <c r="U1017" s="144"/>
      <c r="V1017" s="144"/>
      <c r="W1017" s="144"/>
      <c r="X1017" s="144"/>
      <c r="Y1017" s="144"/>
      <c r="Z1017" s="144"/>
      <c r="AA1017" s="144"/>
      <c r="AB1017" s="144"/>
      <c r="AC1017" s="144"/>
      <c r="AD1017" s="144"/>
      <c r="AE1017" s="144"/>
      <c r="AF1017" s="144"/>
      <c r="AG1017" s="144"/>
      <c r="AH1017" s="144"/>
      <c r="AI1017" s="144"/>
    </row>
    <row r="1018" spans="7:35" hidden="1">
      <c r="G1018" s="144"/>
      <c r="H1018" s="144"/>
      <c r="I1018" s="144"/>
      <c r="J1018" s="144"/>
      <c r="K1018" s="144"/>
      <c r="L1018" s="144"/>
      <c r="M1018" s="144"/>
      <c r="N1018" s="144"/>
      <c r="O1018" s="144"/>
      <c r="P1018" s="144"/>
      <c r="Q1018" s="144"/>
      <c r="R1018" s="144"/>
      <c r="S1018" s="144"/>
      <c r="T1018" s="144"/>
      <c r="U1018" s="144"/>
      <c r="V1018" s="144"/>
      <c r="W1018" s="144"/>
      <c r="X1018" s="144"/>
      <c r="Y1018" s="144"/>
      <c r="Z1018" s="144"/>
      <c r="AA1018" s="144"/>
      <c r="AB1018" s="144"/>
      <c r="AC1018" s="144"/>
      <c r="AD1018" s="144"/>
      <c r="AE1018" s="144"/>
      <c r="AF1018" s="144"/>
      <c r="AG1018" s="144"/>
      <c r="AH1018" s="144"/>
      <c r="AI1018" s="144"/>
    </row>
    <row r="1019" spans="7:35" hidden="1">
      <c r="G1019" s="144"/>
      <c r="H1019" s="144"/>
      <c r="I1019" s="144"/>
      <c r="J1019" s="144"/>
      <c r="K1019" s="144"/>
      <c r="L1019" s="144"/>
      <c r="M1019" s="144"/>
      <c r="N1019" s="144"/>
      <c r="O1019" s="144"/>
      <c r="P1019" s="144"/>
      <c r="Q1019" s="144"/>
      <c r="R1019" s="144"/>
      <c r="S1019" s="144"/>
      <c r="T1019" s="144"/>
      <c r="U1019" s="144"/>
      <c r="V1019" s="144"/>
      <c r="W1019" s="144"/>
      <c r="X1019" s="144"/>
      <c r="Y1019" s="144"/>
      <c r="Z1019" s="144"/>
      <c r="AA1019" s="144"/>
      <c r="AB1019" s="144"/>
      <c r="AC1019" s="144"/>
      <c r="AD1019" s="144"/>
      <c r="AE1019" s="144"/>
      <c r="AF1019" s="144"/>
      <c r="AG1019" s="144"/>
      <c r="AH1019" s="144"/>
      <c r="AI1019" s="144"/>
    </row>
    <row r="1020" spans="7:35" hidden="1">
      <c r="G1020" s="144"/>
      <c r="H1020" s="144"/>
      <c r="I1020" s="144"/>
      <c r="J1020" s="144"/>
      <c r="K1020" s="144"/>
      <c r="L1020" s="144"/>
      <c r="M1020" s="144"/>
      <c r="N1020" s="144"/>
      <c r="O1020" s="144"/>
      <c r="P1020" s="144"/>
      <c r="Q1020" s="144"/>
      <c r="R1020" s="144"/>
      <c r="S1020" s="144"/>
      <c r="T1020" s="144"/>
      <c r="U1020" s="144"/>
      <c r="V1020" s="144"/>
      <c r="W1020" s="144"/>
      <c r="X1020" s="144"/>
      <c r="Y1020" s="144"/>
      <c r="Z1020" s="144"/>
      <c r="AA1020" s="144"/>
      <c r="AB1020" s="144"/>
      <c r="AC1020" s="144"/>
      <c r="AD1020" s="144"/>
      <c r="AE1020" s="144"/>
      <c r="AF1020" s="144"/>
      <c r="AG1020" s="144"/>
      <c r="AH1020" s="144"/>
      <c r="AI1020" s="144"/>
    </row>
    <row r="1021" spans="7:35" hidden="1">
      <c r="G1021" s="144"/>
      <c r="H1021" s="144"/>
      <c r="I1021" s="144"/>
      <c r="J1021" s="144"/>
      <c r="K1021" s="144"/>
      <c r="L1021" s="144"/>
      <c r="M1021" s="144"/>
      <c r="N1021" s="144"/>
      <c r="O1021" s="144"/>
      <c r="P1021" s="144"/>
      <c r="Q1021" s="144"/>
      <c r="R1021" s="144"/>
      <c r="S1021" s="144"/>
      <c r="T1021" s="144"/>
      <c r="U1021" s="144"/>
      <c r="V1021" s="144"/>
      <c r="W1021" s="144"/>
      <c r="X1021" s="144"/>
      <c r="Y1021" s="144"/>
      <c r="Z1021" s="144"/>
      <c r="AA1021" s="144"/>
      <c r="AB1021" s="144"/>
      <c r="AC1021" s="144"/>
      <c r="AD1021" s="144"/>
      <c r="AE1021" s="144"/>
      <c r="AF1021" s="144"/>
      <c r="AG1021" s="144"/>
      <c r="AH1021" s="144"/>
      <c r="AI1021" s="144"/>
    </row>
    <row r="1022" spans="7:35" hidden="1">
      <c r="G1022" s="144"/>
      <c r="H1022" s="144"/>
      <c r="I1022" s="144"/>
      <c r="J1022" s="144"/>
      <c r="K1022" s="144"/>
      <c r="L1022" s="144"/>
      <c r="M1022" s="144"/>
      <c r="N1022" s="144"/>
      <c r="O1022" s="144"/>
      <c r="P1022" s="144"/>
      <c r="Q1022" s="144"/>
      <c r="R1022" s="144"/>
      <c r="S1022" s="144"/>
      <c r="T1022" s="144"/>
      <c r="U1022" s="144"/>
      <c r="V1022" s="144"/>
      <c r="W1022" s="144"/>
      <c r="X1022" s="144"/>
      <c r="Y1022" s="144"/>
      <c r="Z1022" s="144"/>
      <c r="AA1022" s="144"/>
      <c r="AB1022" s="144"/>
      <c r="AC1022" s="144"/>
      <c r="AD1022" s="144"/>
      <c r="AE1022" s="144"/>
      <c r="AF1022" s="144"/>
      <c r="AG1022" s="144"/>
      <c r="AH1022" s="144"/>
      <c r="AI1022" s="144"/>
    </row>
    <row r="1023" spans="7:35" hidden="1">
      <c r="G1023" s="144"/>
      <c r="H1023" s="144"/>
      <c r="I1023" s="144"/>
      <c r="J1023" s="144"/>
      <c r="K1023" s="144"/>
      <c r="L1023" s="144"/>
      <c r="M1023" s="144"/>
      <c r="N1023" s="144"/>
      <c r="O1023" s="144"/>
      <c r="P1023" s="144"/>
      <c r="Q1023" s="144"/>
      <c r="R1023" s="144"/>
      <c r="S1023" s="144"/>
      <c r="T1023" s="144"/>
      <c r="U1023" s="144"/>
      <c r="V1023" s="144"/>
      <c r="W1023" s="144"/>
      <c r="X1023" s="144"/>
      <c r="Y1023" s="144"/>
      <c r="Z1023" s="144"/>
      <c r="AA1023" s="144"/>
      <c r="AB1023" s="144"/>
      <c r="AC1023" s="144"/>
      <c r="AD1023" s="144"/>
      <c r="AE1023" s="144"/>
      <c r="AF1023" s="144"/>
      <c r="AG1023" s="144"/>
      <c r="AH1023" s="144"/>
      <c r="AI1023" s="144"/>
    </row>
    <row r="1024" spans="7:35" hidden="1">
      <c r="G1024" s="144"/>
      <c r="H1024" s="144"/>
      <c r="I1024" s="144"/>
      <c r="J1024" s="144"/>
      <c r="K1024" s="144"/>
      <c r="L1024" s="144"/>
      <c r="M1024" s="144"/>
      <c r="N1024" s="144"/>
      <c r="O1024" s="144"/>
      <c r="P1024" s="144"/>
      <c r="Q1024" s="144"/>
      <c r="R1024" s="144"/>
      <c r="S1024" s="144"/>
      <c r="T1024" s="144"/>
      <c r="U1024" s="144"/>
      <c r="V1024" s="144"/>
      <c r="W1024" s="144"/>
      <c r="X1024" s="144"/>
      <c r="Y1024" s="144"/>
      <c r="Z1024" s="144"/>
      <c r="AA1024" s="144"/>
      <c r="AB1024" s="144"/>
      <c r="AC1024" s="144"/>
      <c r="AD1024" s="144"/>
      <c r="AE1024" s="144"/>
      <c r="AF1024" s="144"/>
      <c r="AG1024" s="144"/>
      <c r="AH1024" s="144"/>
      <c r="AI1024" s="144"/>
    </row>
    <row r="1025" spans="7:35" hidden="1">
      <c r="G1025" s="144"/>
      <c r="H1025" s="144"/>
      <c r="I1025" s="144"/>
      <c r="J1025" s="144"/>
      <c r="K1025" s="144"/>
      <c r="L1025" s="144"/>
      <c r="M1025" s="144"/>
      <c r="N1025" s="144"/>
      <c r="O1025" s="144"/>
      <c r="P1025" s="144"/>
      <c r="Q1025" s="144"/>
      <c r="R1025" s="144"/>
      <c r="S1025" s="144"/>
      <c r="T1025" s="144"/>
      <c r="U1025" s="144"/>
      <c r="V1025" s="144"/>
      <c r="W1025" s="144"/>
      <c r="X1025" s="144"/>
      <c r="Y1025" s="144"/>
      <c r="Z1025" s="144"/>
      <c r="AA1025" s="144"/>
      <c r="AB1025" s="144"/>
      <c r="AC1025" s="144"/>
      <c r="AD1025" s="144"/>
      <c r="AE1025" s="144"/>
      <c r="AF1025" s="144"/>
      <c r="AG1025" s="144"/>
      <c r="AH1025" s="144"/>
      <c r="AI1025" s="144"/>
    </row>
    <row r="1026" spans="7:35" hidden="1">
      <c r="G1026" s="144"/>
      <c r="H1026" s="144"/>
      <c r="I1026" s="144"/>
      <c r="J1026" s="144"/>
      <c r="K1026" s="144"/>
      <c r="L1026" s="144"/>
      <c r="M1026" s="144"/>
      <c r="N1026" s="144"/>
      <c r="O1026" s="144"/>
      <c r="P1026" s="144"/>
      <c r="Q1026" s="144"/>
      <c r="R1026" s="144"/>
      <c r="S1026" s="144"/>
      <c r="T1026" s="144"/>
      <c r="U1026" s="144"/>
      <c r="V1026" s="144"/>
      <c r="W1026" s="144"/>
      <c r="X1026" s="144"/>
      <c r="Y1026" s="144"/>
      <c r="Z1026" s="144"/>
      <c r="AA1026" s="144"/>
      <c r="AB1026" s="144"/>
      <c r="AC1026" s="144"/>
      <c r="AD1026" s="144"/>
      <c r="AE1026" s="144"/>
      <c r="AF1026" s="144"/>
      <c r="AG1026" s="144"/>
      <c r="AH1026" s="144"/>
      <c r="AI1026" s="144"/>
    </row>
    <row r="1027" spans="7:35" hidden="1">
      <c r="G1027" s="144"/>
      <c r="H1027" s="144"/>
      <c r="I1027" s="144"/>
      <c r="J1027" s="144"/>
      <c r="K1027" s="144"/>
      <c r="L1027" s="144"/>
      <c r="M1027" s="144"/>
      <c r="N1027" s="144"/>
      <c r="O1027" s="144"/>
      <c r="P1027" s="144"/>
      <c r="Q1027" s="144"/>
      <c r="R1027" s="144"/>
      <c r="S1027" s="144"/>
      <c r="T1027" s="144"/>
      <c r="U1027" s="144"/>
      <c r="V1027" s="144"/>
      <c r="W1027" s="144"/>
      <c r="X1027" s="144"/>
      <c r="Y1027" s="144"/>
      <c r="Z1027" s="144"/>
      <c r="AA1027" s="144"/>
      <c r="AB1027" s="144"/>
      <c r="AC1027" s="144"/>
      <c r="AD1027" s="144"/>
      <c r="AE1027" s="144"/>
      <c r="AF1027" s="144"/>
      <c r="AG1027" s="144"/>
      <c r="AH1027" s="144"/>
      <c r="AI1027" s="144"/>
    </row>
    <row r="1028" spans="7:35" hidden="1">
      <c r="G1028" s="144"/>
      <c r="H1028" s="144"/>
      <c r="I1028" s="144"/>
      <c r="J1028" s="144"/>
      <c r="K1028" s="144"/>
      <c r="L1028" s="144"/>
      <c r="M1028" s="144"/>
      <c r="N1028" s="144"/>
      <c r="O1028" s="144"/>
      <c r="P1028" s="144"/>
      <c r="Q1028" s="144"/>
      <c r="R1028" s="144"/>
      <c r="S1028" s="144"/>
      <c r="T1028" s="144"/>
      <c r="U1028" s="144"/>
      <c r="V1028" s="144"/>
      <c r="W1028" s="144"/>
      <c r="X1028" s="144"/>
      <c r="Y1028" s="144"/>
      <c r="Z1028" s="144"/>
      <c r="AA1028" s="144"/>
      <c r="AB1028" s="144"/>
      <c r="AC1028" s="144"/>
      <c r="AD1028" s="144"/>
      <c r="AE1028" s="144"/>
      <c r="AF1028" s="144"/>
      <c r="AG1028" s="144"/>
      <c r="AH1028" s="144"/>
      <c r="AI1028" s="144"/>
    </row>
    <row r="1029" spans="7:35" hidden="1">
      <c r="G1029" s="144"/>
      <c r="H1029" s="144"/>
      <c r="I1029" s="144"/>
      <c r="J1029" s="144"/>
      <c r="K1029" s="144"/>
      <c r="L1029" s="144"/>
      <c r="M1029" s="144"/>
      <c r="N1029" s="144"/>
      <c r="O1029" s="144"/>
      <c r="P1029" s="144"/>
      <c r="Q1029" s="144"/>
      <c r="R1029" s="144"/>
      <c r="S1029" s="144"/>
      <c r="T1029" s="144"/>
      <c r="U1029" s="144"/>
      <c r="V1029" s="144"/>
      <c r="W1029" s="144"/>
      <c r="X1029" s="144"/>
      <c r="Y1029" s="144"/>
      <c r="Z1029" s="144"/>
      <c r="AA1029" s="144"/>
      <c r="AB1029" s="144"/>
      <c r="AC1029" s="144"/>
      <c r="AD1029" s="144"/>
      <c r="AE1029" s="144"/>
      <c r="AF1029" s="144"/>
      <c r="AG1029" s="144"/>
      <c r="AH1029" s="144"/>
      <c r="AI1029" s="144"/>
    </row>
    <row r="1030" spans="7:35" hidden="1">
      <c r="G1030" s="144"/>
      <c r="H1030" s="144"/>
      <c r="I1030" s="144"/>
      <c r="J1030" s="144"/>
      <c r="K1030" s="144"/>
      <c r="L1030" s="144"/>
      <c r="M1030" s="144"/>
      <c r="N1030" s="144"/>
      <c r="O1030" s="144"/>
      <c r="P1030" s="144"/>
      <c r="Q1030" s="144"/>
      <c r="R1030" s="144"/>
      <c r="S1030" s="144"/>
      <c r="T1030" s="144"/>
      <c r="U1030" s="144"/>
      <c r="V1030" s="144"/>
      <c r="W1030" s="144"/>
      <c r="X1030" s="144"/>
      <c r="Y1030" s="144"/>
      <c r="Z1030" s="144"/>
      <c r="AA1030" s="144"/>
      <c r="AB1030" s="144"/>
      <c r="AC1030" s="144"/>
      <c r="AD1030" s="144"/>
      <c r="AE1030" s="144"/>
      <c r="AF1030" s="144"/>
      <c r="AG1030" s="144"/>
      <c r="AH1030" s="144"/>
      <c r="AI1030" s="144"/>
    </row>
    <row r="1031" spans="7:35" hidden="1">
      <c r="G1031" s="144"/>
      <c r="H1031" s="144"/>
      <c r="I1031" s="144"/>
      <c r="J1031" s="144"/>
      <c r="K1031" s="144"/>
      <c r="L1031" s="144"/>
      <c r="M1031" s="144"/>
      <c r="N1031" s="144"/>
      <c r="O1031" s="144"/>
      <c r="P1031" s="144"/>
      <c r="Q1031" s="144"/>
      <c r="R1031" s="144"/>
      <c r="S1031" s="144"/>
      <c r="T1031" s="144"/>
      <c r="U1031" s="144"/>
      <c r="V1031" s="144"/>
      <c r="W1031" s="144"/>
      <c r="X1031" s="144"/>
      <c r="Y1031" s="144"/>
      <c r="Z1031" s="144"/>
      <c r="AA1031" s="144"/>
      <c r="AB1031" s="144"/>
      <c r="AC1031" s="144"/>
      <c r="AD1031" s="144"/>
      <c r="AE1031" s="144"/>
      <c r="AF1031" s="144"/>
      <c r="AG1031" s="144"/>
      <c r="AH1031" s="144"/>
      <c r="AI1031" s="144"/>
    </row>
    <row r="1032" spans="7:35" hidden="1">
      <c r="G1032" s="144"/>
      <c r="H1032" s="144"/>
      <c r="I1032" s="144"/>
      <c r="J1032" s="144"/>
      <c r="K1032" s="144"/>
      <c r="L1032" s="144"/>
      <c r="M1032" s="144"/>
      <c r="N1032" s="144"/>
      <c r="O1032" s="144"/>
      <c r="P1032" s="144"/>
      <c r="Q1032" s="144"/>
      <c r="R1032" s="144"/>
      <c r="S1032" s="144"/>
      <c r="T1032" s="144"/>
      <c r="U1032" s="144"/>
      <c r="V1032" s="144"/>
      <c r="W1032" s="144"/>
      <c r="X1032" s="144"/>
      <c r="Y1032" s="144"/>
      <c r="Z1032" s="144"/>
      <c r="AA1032" s="144"/>
      <c r="AB1032" s="144"/>
      <c r="AC1032" s="144"/>
      <c r="AD1032" s="144"/>
      <c r="AE1032" s="144"/>
      <c r="AF1032" s="144"/>
      <c r="AG1032" s="144"/>
      <c r="AH1032" s="144"/>
      <c r="AI1032" s="144"/>
    </row>
    <row r="1033" spans="7:35" hidden="1">
      <c r="G1033" s="144"/>
      <c r="H1033" s="144"/>
      <c r="I1033" s="144"/>
      <c r="J1033" s="144"/>
      <c r="K1033" s="144"/>
      <c r="L1033" s="144"/>
      <c r="M1033" s="144"/>
      <c r="N1033" s="144"/>
      <c r="O1033" s="144"/>
      <c r="P1033" s="144"/>
      <c r="Q1033" s="144"/>
      <c r="R1033" s="144"/>
      <c r="S1033" s="144"/>
      <c r="T1033" s="144"/>
      <c r="U1033" s="144"/>
      <c r="V1033" s="144"/>
      <c r="W1033" s="144"/>
      <c r="X1033" s="144"/>
      <c r="Y1033" s="144"/>
      <c r="Z1033" s="144"/>
      <c r="AA1033" s="144"/>
      <c r="AB1033" s="144"/>
      <c r="AC1033" s="144"/>
      <c r="AD1033" s="144"/>
      <c r="AE1033" s="144"/>
      <c r="AF1033" s="144"/>
      <c r="AG1033" s="144"/>
      <c r="AH1033" s="144"/>
      <c r="AI1033" s="144"/>
    </row>
    <row r="1034" spans="7:35" hidden="1">
      <c r="G1034" s="144"/>
      <c r="H1034" s="144"/>
      <c r="I1034" s="144"/>
      <c r="J1034" s="144"/>
      <c r="K1034" s="144"/>
      <c r="L1034" s="144"/>
      <c r="M1034" s="144"/>
      <c r="N1034" s="144"/>
      <c r="O1034" s="144"/>
      <c r="P1034" s="144"/>
      <c r="Q1034" s="144"/>
      <c r="R1034" s="144"/>
      <c r="S1034" s="144"/>
      <c r="T1034" s="144"/>
      <c r="U1034" s="144"/>
      <c r="V1034" s="144"/>
      <c r="W1034" s="144"/>
      <c r="X1034" s="144"/>
      <c r="Y1034" s="144"/>
      <c r="Z1034" s="144"/>
      <c r="AA1034" s="144"/>
      <c r="AB1034" s="144"/>
      <c r="AC1034" s="144"/>
      <c r="AD1034" s="144"/>
      <c r="AE1034" s="144"/>
      <c r="AF1034" s="144"/>
      <c r="AG1034" s="144"/>
      <c r="AH1034" s="144"/>
      <c r="AI1034" s="144"/>
    </row>
    <row r="1035" spans="7:35" hidden="1">
      <c r="G1035" s="144"/>
      <c r="H1035" s="144"/>
      <c r="I1035" s="144"/>
      <c r="J1035" s="144"/>
      <c r="K1035" s="144"/>
      <c r="L1035" s="144"/>
      <c r="M1035" s="144"/>
      <c r="N1035" s="144"/>
      <c r="O1035" s="144"/>
      <c r="P1035" s="144"/>
      <c r="Q1035" s="144"/>
      <c r="R1035" s="144"/>
      <c r="S1035" s="144"/>
      <c r="T1035" s="144"/>
      <c r="U1035" s="144"/>
      <c r="V1035" s="144"/>
      <c r="W1035" s="144"/>
      <c r="X1035" s="144"/>
      <c r="Y1035" s="144"/>
      <c r="Z1035" s="144"/>
      <c r="AA1035" s="144"/>
      <c r="AB1035" s="144"/>
      <c r="AC1035" s="144"/>
      <c r="AD1035" s="144"/>
      <c r="AE1035" s="144"/>
      <c r="AF1035" s="144"/>
      <c r="AG1035" s="144"/>
      <c r="AH1035" s="144"/>
      <c r="AI1035" s="144"/>
    </row>
    <row r="1036" spans="7:35" hidden="1">
      <c r="G1036" s="144"/>
      <c r="H1036" s="144"/>
      <c r="I1036" s="144"/>
      <c r="J1036" s="144"/>
      <c r="K1036" s="144"/>
      <c r="L1036" s="144"/>
      <c r="M1036" s="144"/>
      <c r="N1036" s="144"/>
      <c r="O1036" s="144"/>
      <c r="P1036" s="144"/>
      <c r="Q1036" s="144"/>
      <c r="R1036" s="144"/>
      <c r="S1036" s="144"/>
      <c r="T1036" s="144"/>
      <c r="U1036" s="144"/>
      <c r="V1036" s="144"/>
      <c r="W1036" s="144"/>
      <c r="X1036" s="144"/>
      <c r="Y1036" s="144"/>
      <c r="Z1036" s="144"/>
      <c r="AA1036" s="144"/>
      <c r="AB1036" s="144"/>
      <c r="AC1036" s="144"/>
      <c r="AD1036" s="144"/>
      <c r="AE1036" s="144"/>
      <c r="AF1036" s="144"/>
      <c r="AG1036" s="144"/>
      <c r="AH1036" s="144"/>
      <c r="AI1036" s="144"/>
    </row>
    <row r="1037" spans="7:35" hidden="1">
      <c r="G1037" s="144"/>
      <c r="H1037" s="144"/>
      <c r="I1037" s="144"/>
      <c r="J1037" s="144"/>
      <c r="K1037" s="144"/>
      <c r="L1037" s="144"/>
      <c r="M1037" s="144"/>
      <c r="N1037" s="144"/>
      <c r="O1037" s="144"/>
      <c r="P1037" s="144"/>
      <c r="Q1037" s="144"/>
      <c r="R1037" s="144"/>
      <c r="S1037" s="144"/>
      <c r="T1037" s="144"/>
      <c r="U1037" s="144"/>
      <c r="V1037" s="144"/>
      <c r="W1037" s="144"/>
      <c r="X1037" s="144"/>
      <c r="Y1037" s="144"/>
      <c r="Z1037" s="144"/>
      <c r="AA1037" s="144"/>
      <c r="AB1037" s="144"/>
      <c r="AC1037" s="144"/>
      <c r="AD1037" s="144"/>
      <c r="AE1037" s="144"/>
      <c r="AF1037" s="144"/>
      <c r="AG1037" s="144"/>
      <c r="AH1037" s="144"/>
      <c r="AI1037" s="144"/>
    </row>
    <row r="1038" spans="7:35" hidden="1">
      <c r="G1038" s="144"/>
      <c r="H1038" s="144"/>
      <c r="I1038" s="144"/>
      <c r="J1038" s="144"/>
      <c r="K1038" s="144"/>
      <c r="L1038" s="144"/>
      <c r="M1038" s="144"/>
      <c r="N1038" s="144"/>
      <c r="O1038" s="144"/>
      <c r="P1038" s="144"/>
      <c r="Q1038" s="144"/>
      <c r="R1038" s="144"/>
      <c r="S1038" s="144"/>
      <c r="T1038" s="144"/>
      <c r="U1038" s="144"/>
      <c r="V1038" s="144"/>
      <c r="W1038" s="144"/>
      <c r="X1038" s="144"/>
      <c r="Y1038" s="144"/>
      <c r="Z1038" s="144"/>
      <c r="AA1038" s="144"/>
      <c r="AB1038" s="144"/>
      <c r="AC1038" s="144"/>
      <c r="AD1038" s="144"/>
      <c r="AE1038" s="144"/>
      <c r="AF1038" s="144"/>
      <c r="AG1038" s="144"/>
      <c r="AH1038" s="144"/>
      <c r="AI1038" s="144"/>
    </row>
    <row r="1039" spans="7:35" hidden="1">
      <c r="G1039" s="144"/>
      <c r="H1039" s="144"/>
      <c r="I1039" s="144"/>
      <c r="J1039" s="144"/>
      <c r="K1039" s="144"/>
      <c r="L1039" s="144"/>
      <c r="M1039" s="144"/>
      <c r="N1039" s="144"/>
      <c r="O1039" s="144"/>
      <c r="P1039" s="144"/>
      <c r="Q1039" s="144"/>
      <c r="R1039" s="144"/>
      <c r="S1039" s="144"/>
      <c r="T1039" s="144"/>
      <c r="U1039" s="144"/>
      <c r="V1039" s="144"/>
      <c r="W1039" s="144"/>
      <c r="X1039" s="144"/>
      <c r="Y1039" s="144"/>
      <c r="Z1039" s="144"/>
      <c r="AA1039" s="144"/>
      <c r="AB1039" s="144"/>
      <c r="AC1039" s="144"/>
      <c r="AD1039" s="144"/>
      <c r="AE1039" s="144"/>
      <c r="AF1039" s="144"/>
      <c r="AG1039" s="144"/>
      <c r="AH1039" s="144"/>
      <c r="AI1039" s="144"/>
    </row>
    <row r="1040" spans="7:35" hidden="1">
      <c r="G1040" s="144"/>
      <c r="H1040" s="144"/>
      <c r="I1040" s="144"/>
      <c r="J1040" s="144"/>
      <c r="K1040" s="144"/>
      <c r="L1040" s="144"/>
      <c r="M1040" s="144"/>
      <c r="N1040" s="144"/>
      <c r="O1040" s="144"/>
      <c r="P1040" s="144"/>
      <c r="Q1040" s="144"/>
      <c r="R1040" s="144"/>
      <c r="S1040" s="144"/>
      <c r="T1040" s="144"/>
      <c r="U1040" s="144"/>
      <c r="V1040" s="144"/>
      <c r="W1040" s="144"/>
      <c r="X1040" s="144"/>
      <c r="Y1040" s="144"/>
      <c r="Z1040" s="144"/>
      <c r="AA1040" s="144"/>
      <c r="AB1040" s="144"/>
      <c r="AC1040" s="144"/>
      <c r="AD1040" s="144"/>
      <c r="AE1040" s="144"/>
      <c r="AF1040" s="144"/>
      <c r="AG1040" s="144"/>
      <c r="AH1040" s="144"/>
      <c r="AI1040" s="144"/>
    </row>
    <row r="1041" spans="7:35" hidden="1">
      <c r="G1041" s="144"/>
      <c r="H1041" s="144"/>
      <c r="I1041" s="144"/>
      <c r="J1041" s="144"/>
      <c r="K1041" s="144"/>
      <c r="L1041" s="144"/>
      <c r="M1041" s="144"/>
      <c r="N1041" s="144"/>
      <c r="O1041" s="144"/>
      <c r="P1041" s="144"/>
      <c r="Q1041" s="144"/>
      <c r="R1041" s="144"/>
      <c r="S1041" s="144"/>
      <c r="T1041" s="144"/>
      <c r="U1041" s="144"/>
      <c r="V1041" s="144"/>
      <c r="W1041" s="144"/>
      <c r="X1041" s="144"/>
      <c r="Y1041" s="144"/>
      <c r="Z1041" s="144"/>
      <c r="AA1041" s="144"/>
      <c r="AB1041" s="144"/>
      <c r="AC1041" s="144"/>
      <c r="AD1041" s="144"/>
      <c r="AE1041" s="144"/>
      <c r="AF1041" s="144"/>
      <c r="AG1041" s="144"/>
      <c r="AH1041" s="144"/>
      <c r="AI1041" s="144"/>
    </row>
    <row r="1042" spans="7:35" hidden="1">
      <c r="G1042" s="144"/>
      <c r="H1042" s="144"/>
      <c r="I1042" s="144"/>
      <c r="J1042" s="144"/>
      <c r="K1042" s="144"/>
      <c r="L1042" s="144"/>
      <c r="M1042" s="144"/>
      <c r="N1042" s="144"/>
      <c r="O1042" s="144"/>
      <c r="P1042" s="144"/>
      <c r="Q1042" s="144"/>
      <c r="R1042" s="144"/>
      <c r="S1042" s="144"/>
      <c r="T1042" s="144"/>
      <c r="U1042" s="144"/>
      <c r="V1042" s="144"/>
      <c r="W1042" s="144"/>
      <c r="X1042" s="144"/>
      <c r="Y1042" s="144"/>
      <c r="Z1042" s="144"/>
      <c r="AA1042" s="144"/>
      <c r="AB1042" s="144"/>
      <c r="AC1042" s="144"/>
      <c r="AD1042" s="144"/>
      <c r="AE1042" s="144"/>
      <c r="AF1042" s="144"/>
      <c r="AG1042" s="144"/>
      <c r="AH1042" s="144"/>
      <c r="AI1042" s="144"/>
    </row>
    <row r="1043" spans="7:35" hidden="1">
      <c r="G1043" s="144"/>
      <c r="H1043" s="144"/>
      <c r="I1043" s="144"/>
      <c r="J1043" s="144"/>
      <c r="K1043" s="144"/>
      <c r="L1043" s="144"/>
      <c r="M1043" s="144"/>
      <c r="N1043" s="144"/>
      <c r="O1043" s="144"/>
      <c r="P1043" s="144"/>
      <c r="Q1043" s="144"/>
      <c r="R1043" s="144"/>
      <c r="S1043" s="144"/>
      <c r="T1043" s="144"/>
      <c r="U1043" s="144"/>
      <c r="V1043" s="144"/>
      <c r="W1043" s="144"/>
      <c r="X1043" s="144"/>
      <c r="Y1043" s="144"/>
      <c r="Z1043" s="144"/>
      <c r="AA1043" s="144"/>
      <c r="AB1043" s="144"/>
      <c r="AC1043" s="144"/>
      <c r="AD1043" s="144"/>
      <c r="AE1043" s="144"/>
      <c r="AF1043" s="144"/>
      <c r="AG1043" s="144"/>
      <c r="AH1043" s="144"/>
      <c r="AI1043" s="144"/>
    </row>
    <row r="1044" spans="7:35" hidden="1">
      <c r="G1044" s="144"/>
      <c r="H1044" s="144"/>
      <c r="I1044" s="144"/>
      <c r="J1044" s="144"/>
      <c r="K1044" s="144"/>
      <c r="L1044" s="144"/>
      <c r="M1044" s="144"/>
      <c r="N1044" s="144"/>
      <c r="O1044" s="144"/>
      <c r="P1044" s="144"/>
      <c r="Q1044" s="144"/>
      <c r="R1044" s="144"/>
      <c r="S1044" s="144"/>
      <c r="T1044" s="144"/>
      <c r="U1044" s="144"/>
      <c r="V1044" s="144"/>
      <c r="W1044" s="144"/>
      <c r="X1044" s="144"/>
      <c r="Y1044" s="144"/>
      <c r="Z1044" s="144"/>
      <c r="AA1044" s="144"/>
      <c r="AB1044" s="144"/>
      <c r="AC1044" s="144"/>
      <c r="AD1044" s="144"/>
      <c r="AE1044" s="144"/>
      <c r="AF1044" s="144"/>
      <c r="AG1044" s="144"/>
      <c r="AH1044" s="144"/>
      <c r="AI1044" s="144"/>
    </row>
    <row r="1045" spans="7:35" hidden="1">
      <c r="G1045" s="144"/>
      <c r="H1045" s="144"/>
      <c r="I1045" s="144"/>
      <c r="J1045" s="144"/>
      <c r="K1045" s="144"/>
      <c r="L1045" s="144"/>
      <c r="M1045" s="144"/>
      <c r="N1045" s="144"/>
      <c r="O1045" s="144"/>
      <c r="P1045" s="144"/>
      <c r="Q1045" s="144"/>
      <c r="R1045" s="144"/>
      <c r="S1045" s="144"/>
      <c r="T1045" s="144"/>
      <c r="U1045" s="144"/>
      <c r="V1045" s="144"/>
      <c r="W1045" s="144"/>
      <c r="X1045" s="144"/>
      <c r="Y1045" s="144"/>
      <c r="Z1045" s="144"/>
      <c r="AA1045" s="144"/>
      <c r="AB1045" s="144"/>
      <c r="AC1045" s="144"/>
      <c r="AD1045" s="144"/>
      <c r="AE1045" s="144"/>
      <c r="AF1045" s="144"/>
      <c r="AG1045" s="144"/>
      <c r="AH1045" s="144"/>
      <c r="AI1045" s="144"/>
    </row>
    <row r="1046" spans="7:35" hidden="1">
      <c r="G1046" s="144"/>
      <c r="H1046" s="144"/>
      <c r="I1046" s="144"/>
      <c r="J1046" s="144"/>
      <c r="K1046" s="144"/>
      <c r="L1046" s="144"/>
      <c r="M1046" s="144"/>
      <c r="N1046" s="144"/>
      <c r="O1046" s="144"/>
      <c r="P1046" s="144"/>
      <c r="Q1046" s="144"/>
      <c r="R1046" s="144"/>
      <c r="S1046" s="144"/>
      <c r="T1046" s="144"/>
      <c r="U1046" s="144"/>
      <c r="V1046" s="144"/>
      <c r="W1046" s="144"/>
      <c r="X1046" s="144"/>
      <c r="Y1046" s="144"/>
      <c r="Z1046" s="144"/>
      <c r="AA1046" s="144"/>
      <c r="AB1046" s="144"/>
      <c r="AC1046" s="144"/>
      <c r="AD1046" s="144"/>
      <c r="AE1046" s="144"/>
      <c r="AF1046" s="144"/>
      <c r="AG1046" s="144"/>
      <c r="AH1046" s="144"/>
      <c r="AI1046" s="144"/>
    </row>
    <row r="1047" spans="7:35" hidden="1">
      <c r="G1047" s="144"/>
      <c r="H1047" s="144"/>
      <c r="I1047" s="144"/>
      <c r="J1047" s="144"/>
      <c r="K1047" s="144"/>
      <c r="L1047" s="144"/>
      <c r="M1047" s="144"/>
      <c r="N1047" s="144"/>
      <c r="O1047" s="144"/>
      <c r="P1047" s="144"/>
      <c r="Q1047" s="144"/>
      <c r="R1047" s="144"/>
      <c r="S1047" s="144"/>
      <c r="T1047" s="144"/>
      <c r="U1047" s="144"/>
      <c r="V1047" s="144"/>
      <c r="W1047" s="144"/>
      <c r="X1047" s="144"/>
      <c r="Y1047" s="144"/>
      <c r="Z1047" s="144"/>
      <c r="AA1047" s="144"/>
      <c r="AB1047" s="144"/>
      <c r="AC1047" s="144"/>
      <c r="AD1047" s="144"/>
      <c r="AE1047" s="144"/>
      <c r="AF1047" s="144"/>
      <c r="AG1047" s="144"/>
      <c r="AH1047" s="144"/>
      <c r="AI1047" s="144"/>
    </row>
    <row r="1048" spans="7:35" hidden="1">
      <c r="G1048" s="144"/>
      <c r="H1048" s="144"/>
      <c r="I1048" s="144"/>
      <c r="J1048" s="144"/>
      <c r="K1048" s="144"/>
      <c r="L1048" s="144"/>
      <c r="M1048" s="144"/>
      <c r="N1048" s="144"/>
      <c r="O1048" s="144"/>
      <c r="P1048" s="144"/>
      <c r="Q1048" s="144"/>
      <c r="R1048" s="144"/>
      <c r="S1048" s="144"/>
      <c r="T1048" s="144"/>
      <c r="U1048" s="144"/>
      <c r="V1048" s="144"/>
      <c r="W1048" s="144"/>
      <c r="X1048" s="144"/>
      <c r="Y1048" s="144"/>
      <c r="Z1048" s="144"/>
      <c r="AA1048" s="144"/>
      <c r="AB1048" s="144"/>
      <c r="AC1048" s="144"/>
      <c r="AD1048" s="144"/>
      <c r="AE1048" s="144"/>
      <c r="AF1048" s="144"/>
      <c r="AG1048" s="144"/>
      <c r="AH1048" s="144"/>
      <c r="AI1048" s="144"/>
    </row>
    <row r="1049" spans="7:35" hidden="1">
      <c r="G1049" s="144"/>
      <c r="H1049" s="144"/>
      <c r="I1049" s="144"/>
      <c r="J1049" s="144"/>
      <c r="K1049" s="144"/>
      <c r="L1049" s="144"/>
      <c r="M1049" s="144"/>
      <c r="N1049" s="144"/>
      <c r="O1049" s="144"/>
      <c r="P1049" s="144"/>
      <c r="Q1049" s="144"/>
      <c r="R1049" s="144"/>
      <c r="S1049" s="144"/>
      <c r="T1049" s="144"/>
      <c r="U1049" s="144"/>
      <c r="V1049" s="144"/>
      <c r="W1049" s="144"/>
      <c r="X1049" s="144"/>
      <c r="Y1049" s="144"/>
      <c r="Z1049" s="144"/>
      <c r="AA1049" s="144"/>
      <c r="AB1049" s="144"/>
      <c r="AC1049" s="144"/>
      <c r="AD1049" s="144"/>
      <c r="AE1049" s="144"/>
      <c r="AF1049" s="144"/>
      <c r="AG1049" s="144"/>
      <c r="AH1049" s="144"/>
      <c r="AI1049" s="144"/>
    </row>
    <row r="1050" spans="7:35" hidden="1">
      <c r="G1050" s="144"/>
      <c r="H1050" s="144"/>
      <c r="I1050" s="144"/>
      <c r="J1050" s="144"/>
      <c r="K1050" s="144"/>
      <c r="L1050" s="144"/>
      <c r="M1050" s="144"/>
      <c r="N1050" s="144"/>
      <c r="O1050" s="144"/>
      <c r="P1050" s="144"/>
      <c r="Q1050" s="144"/>
      <c r="R1050" s="144"/>
      <c r="S1050" s="144"/>
      <c r="T1050" s="144"/>
      <c r="U1050" s="144"/>
      <c r="V1050" s="144"/>
      <c r="W1050" s="144"/>
      <c r="X1050" s="144"/>
      <c r="Y1050" s="144"/>
      <c r="Z1050" s="144"/>
      <c r="AA1050" s="144"/>
      <c r="AB1050" s="144"/>
      <c r="AC1050" s="144"/>
      <c r="AD1050" s="144"/>
      <c r="AE1050" s="144"/>
      <c r="AF1050" s="144"/>
      <c r="AG1050" s="144"/>
      <c r="AH1050" s="144"/>
      <c r="AI1050" s="144"/>
    </row>
    <row r="1051" spans="7:35" hidden="1">
      <c r="G1051" s="144"/>
      <c r="H1051" s="144"/>
      <c r="I1051" s="144"/>
      <c r="J1051" s="144"/>
      <c r="K1051" s="144"/>
      <c r="L1051" s="144"/>
      <c r="M1051" s="144"/>
      <c r="N1051" s="144"/>
      <c r="O1051" s="144"/>
      <c r="P1051" s="144"/>
      <c r="Q1051" s="144"/>
      <c r="R1051" s="144"/>
      <c r="S1051" s="144"/>
      <c r="T1051" s="144"/>
      <c r="U1051" s="144"/>
      <c r="V1051" s="144"/>
      <c r="W1051" s="144"/>
      <c r="X1051" s="144"/>
      <c r="Y1051" s="144"/>
      <c r="Z1051" s="144"/>
      <c r="AA1051" s="144"/>
      <c r="AB1051" s="144"/>
      <c r="AC1051" s="144"/>
      <c r="AD1051" s="144"/>
      <c r="AE1051" s="144"/>
      <c r="AF1051" s="144"/>
      <c r="AG1051" s="144"/>
      <c r="AH1051" s="144"/>
      <c r="AI1051" s="144"/>
    </row>
    <row r="1052" spans="7:35" hidden="1">
      <c r="G1052" s="144"/>
      <c r="H1052" s="144"/>
      <c r="I1052" s="144"/>
      <c r="J1052" s="144"/>
      <c r="K1052" s="144"/>
      <c r="L1052" s="144"/>
      <c r="M1052" s="144"/>
      <c r="N1052" s="144"/>
      <c r="O1052" s="144"/>
      <c r="P1052" s="144"/>
      <c r="Q1052" s="144"/>
      <c r="R1052" s="144"/>
      <c r="S1052" s="144"/>
      <c r="T1052" s="144"/>
      <c r="U1052" s="144"/>
      <c r="V1052" s="144"/>
      <c r="W1052" s="144"/>
      <c r="X1052" s="144"/>
      <c r="Y1052" s="144"/>
      <c r="Z1052" s="144"/>
      <c r="AA1052" s="144"/>
      <c r="AB1052" s="144"/>
      <c r="AC1052" s="144"/>
      <c r="AD1052" s="144"/>
      <c r="AE1052" s="144"/>
      <c r="AF1052" s="144"/>
      <c r="AG1052" s="144"/>
      <c r="AH1052" s="144"/>
      <c r="AI1052" s="144"/>
    </row>
    <row r="1053" spans="7:35" hidden="1">
      <c r="G1053" s="144"/>
      <c r="H1053" s="144"/>
      <c r="I1053" s="144"/>
      <c r="J1053" s="144"/>
      <c r="K1053" s="144"/>
      <c r="L1053" s="144"/>
      <c r="M1053" s="144"/>
      <c r="N1053" s="144"/>
      <c r="O1053" s="144"/>
      <c r="P1053" s="144"/>
      <c r="Q1053" s="144"/>
      <c r="R1053" s="144"/>
      <c r="S1053" s="144"/>
      <c r="T1053" s="144"/>
      <c r="U1053" s="144"/>
      <c r="V1053" s="144"/>
      <c r="W1053" s="144"/>
      <c r="X1053" s="144"/>
      <c r="Y1053" s="144"/>
      <c r="Z1053" s="144"/>
      <c r="AA1053" s="144"/>
      <c r="AB1053" s="144"/>
      <c r="AC1053" s="144"/>
      <c r="AD1053" s="144"/>
      <c r="AE1053" s="144"/>
      <c r="AF1053" s="144"/>
      <c r="AG1053" s="144"/>
      <c r="AH1053" s="144"/>
      <c r="AI1053" s="144"/>
    </row>
    <row r="1054" spans="7:35" hidden="1">
      <c r="G1054" s="144"/>
      <c r="H1054" s="144"/>
      <c r="I1054" s="144"/>
      <c r="J1054" s="144"/>
      <c r="K1054" s="144"/>
      <c r="L1054" s="144"/>
      <c r="M1054" s="144"/>
      <c r="N1054" s="144"/>
      <c r="O1054" s="144"/>
      <c r="P1054" s="144"/>
      <c r="Q1054" s="144"/>
      <c r="R1054" s="144"/>
      <c r="S1054" s="144"/>
      <c r="T1054" s="144"/>
      <c r="U1054" s="144"/>
      <c r="V1054" s="144"/>
      <c r="W1054" s="144"/>
      <c r="X1054" s="144"/>
      <c r="Y1054" s="144"/>
      <c r="Z1054" s="144"/>
      <c r="AA1054" s="144"/>
      <c r="AB1054" s="144"/>
      <c r="AC1054" s="144"/>
      <c r="AD1054" s="144"/>
      <c r="AE1054" s="144"/>
      <c r="AF1054" s="144"/>
      <c r="AG1054" s="144"/>
      <c r="AH1054" s="144"/>
      <c r="AI1054" s="144"/>
    </row>
    <row r="1055" spans="7:35" hidden="1">
      <c r="G1055" s="144"/>
      <c r="H1055" s="144"/>
      <c r="I1055" s="144"/>
      <c r="J1055" s="144"/>
      <c r="K1055" s="144"/>
      <c r="L1055" s="144"/>
      <c r="M1055" s="144"/>
      <c r="N1055" s="144"/>
      <c r="O1055" s="144"/>
      <c r="P1055" s="144"/>
      <c r="Q1055" s="144"/>
      <c r="R1055" s="144"/>
      <c r="S1055" s="144"/>
      <c r="T1055" s="144"/>
      <c r="U1055" s="144"/>
      <c r="V1055" s="144"/>
      <c r="W1055" s="144"/>
      <c r="X1055" s="144"/>
      <c r="Y1055" s="144"/>
      <c r="Z1055" s="144"/>
      <c r="AA1055" s="144"/>
      <c r="AB1055" s="144"/>
      <c r="AC1055" s="144"/>
      <c r="AD1055" s="144"/>
      <c r="AE1055" s="144"/>
      <c r="AF1055" s="144"/>
      <c r="AG1055" s="144"/>
      <c r="AH1055" s="144"/>
      <c r="AI1055" s="144"/>
    </row>
    <row r="1056" spans="7:35" hidden="1">
      <c r="G1056" s="144"/>
      <c r="H1056" s="144"/>
      <c r="I1056" s="144"/>
      <c r="J1056" s="144"/>
      <c r="K1056" s="144"/>
      <c r="L1056" s="144"/>
      <c r="M1056" s="144"/>
      <c r="N1056" s="144"/>
      <c r="O1056" s="144"/>
      <c r="P1056" s="144"/>
      <c r="Q1056" s="144"/>
      <c r="R1056" s="144"/>
      <c r="S1056" s="144"/>
      <c r="T1056" s="144"/>
      <c r="U1056" s="144"/>
      <c r="V1056" s="144"/>
      <c r="W1056" s="144"/>
      <c r="X1056" s="144"/>
      <c r="Y1056" s="144"/>
      <c r="Z1056" s="144"/>
      <c r="AA1056" s="144"/>
      <c r="AB1056" s="144"/>
      <c r="AC1056" s="144"/>
      <c r="AD1056" s="144"/>
      <c r="AE1056" s="144"/>
      <c r="AF1056" s="144"/>
      <c r="AG1056" s="144"/>
      <c r="AH1056" s="144"/>
      <c r="AI1056" s="144"/>
    </row>
    <row r="1057" spans="7:35" hidden="1">
      <c r="G1057" s="144"/>
      <c r="H1057" s="144"/>
      <c r="I1057" s="144"/>
      <c r="J1057" s="144"/>
      <c r="K1057" s="144"/>
      <c r="L1057" s="144"/>
      <c r="M1057" s="144"/>
      <c r="N1057" s="144"/>
      <c r="O1057" s="144"/>
      <c r="P1057" s="144"/>
      <c r="Q1057" s="144"/>
      <c r="R1057" s="144"/>
      <c r="S1057" s="144"/>
      <c r="T1057" s="144"/>
      <c r="U1057" s="144"/>
      <c r="V1057" s="144"/>
      <c r="W1057" s="144"/>
      <c r="X1057" s="144"/>
      <c r="Y1057" s="144"/>
      <c r="Z1057" s="144"/>
      <c r="AA1057" s="144"/>
      <c r="AB1057" s="144"/>
      <c r="AC1057" s="144"/>
      <c r="AD1057" s="144"/>
      <c r="AE1057" s="144"/>
      <c r="AF1057" s="144"/>
      <c r="AG1057" s="144"/>
      <c r="AH1057" s="144"/>
      <c r="AI1057" s="144"/>
    </row>
    <row r="1058" spans="7:35" hidden="1">
      <c r="G1058" s="144"/>
      <c r="H1058" s="144"/>
      <c r="I1058" s="144"/>
      <c r="J1058" s="144"/>
      <c r="K1058" s="144"/>
      <c r="L1058" s="144"/>
      <c r="M1058" s="144"/>
      <c r="N1058" s="144"/>
      <c r="O1058" s="144"/>
      <c r="P1058" s="144"/>
      <c r="Q1058" s="144"/>
      <c r="R1058" s="144"/>
      <c r="S1058" s="144"/>
      <c r="T1058" s="144"/>
      <c r="U1058" s="144"/>
      <c r="V1058" s="144"/>
      <c r="W1058" s="144"/>
      <c r="X1058" s="144"/>
      <c r="Y1058" s="144"/>
      <c r="Z1058" s="144"/>
      <c r="AA1058" s="144"/>
      <c r="AB1058" s="144"/>
      <c r="AC1058" s="144"/>
      <c r="AD1058" s="144"/>
      <c r="AE1058" s="144"/>
      <c r="AF1058" s="144"/>
      <c r="AG1058" s="144"/>
      <c r="AH1058" s="144"/>
      <c r="AI1058" s="144"/>
    </row>
    <row r="1059" spans="7:35" hidden="1">
      <c r="G1059" s="144"/>
      <c r="H1059" s="144"/>
      <c r="I1059" s="144"/>
      <c r="J1059" s="144"/>
      <c r="K1059" s="144"/>
      <c r="L1059" s="144"/>
      <c r="M1059" s="144"/>
      <c r="N1059" s="144"/>
      <c r="O1059" s="144"/>
      <c r="P1059" s="144"/>
      <c r="Q1059" s="144"/>
      <c r="R1059" s="144"/>
      <c r="S1059" s="144"/>
      <c r="T1059" s="144"/>
      <c r="U1059" s="144"/>
      <c r="V1059" s="144"/>
      <c r="W1059" s="144"/>
      <c r="X1059" s="144"/>
      <c r="Y1059" s="144"/>
      <c r="Z1059" s="144"/>
      <c r="AA1059" s="144"/>
      <c r="AB1059" s="144"/>
      <c r="AC1059" s="144"/>
      <c r="AD1059" s="144"/>
      <c r="AE1059" s="144"/>
      <c r="AF1059" s="144"/>
      <c r="AG1059" s="144"/>
      <c r="AH1059" s="144"/>
      <c r="AI1059" s="144"/>
    </row>
    <row r="1060" spans="7:35" hidden="1">
      <c r="G1060" s="144"/>
      <c r="H1060" s="144"/>
      <c r="I1060" s="144"/>
      <c r="J1060" s="144"/>
      <c r="K1060" s="144"/>
      <c r="L1060" s="144"/>
      <c r="M1060" s="144"/>
      <c r="N1060" s="144"/>
      <c r="O1060" s="144"/>
      <c r="P1060" s="144"/>
      <c r="Q1060" s="144"/>
      <c r="R1060" s="144"/>
      <c r="S1060" s="144"/>
      <c r="T1060" s="144"/>
      <c r="U1060" s="144"/>
      <c r="V1060" s="144"/>
      <c r="W1060" s="144"/>
      <c r="X1060" s="144"/>
      <c r="Y1060" s="144"/>
      <c r="Z1060" s="144"/>
      <c r="AA1060" s="144"/>
      <c r="AB1060" s="144"/>
      <c r="AC1060" s="144"/>
      <c r="AD1060" s="144"/>
      <c r="AE1060" s="144"/>
      <c r="AF1060" s="144"/>
      <c r="AG1060" s="144"/>
      <c r="AH1060" s="144"/>
      <c r="AI1060" s="144"/>
    </row>
    <row r="1061" spans="7:35" hidden="1">
      <c r="G1061" s="144"/>
      <c r="H1061" s="144"/>
      <c r="I1061" s="144"/>
      <c r="J1061" s="144"/>
      <c r="K1061" s="144"/>
      <c r="L1061" s="144"/>
      <c r="M1061" s="144"/>
      <c r="N1061" s="144"/>
      <c r="O1061" s="144"/>
      <c r="P1061" s="144"/>
      <c r="Q1061" s="144"/>
      <c r="R1061" s="144"/>
      <c r="S1061" s="144"/>
      <c r="T1061" s="144"/>
      <c r="U1061" s="144"/>
      <c r="V1061" s="144"/>
      <c r="W1061" s="144"/>
      <c r="X1061" s="144"/>
      <c r="Y1061" s="144"/>
      <c r="Z1061" s="144"/>
      <c r="AA1061" s="144"/>
      <c r="AB1061" s="144"/>
      <c r="AC1061" s="144"/>
      <c r="AD1061" s="144"/>
      <c r="AE1061" s="144"/>
      <c r="AF1061" s="144"/>
      <c r="AG1061" s="144"/>
      <c r="AH1061" s="144"/>
      <c r="AI1061" s="144"/>
    </row>
    <row r="1062" spans="7:35" hidden="1">
      <c r="G1062" s="144"/>
      <c r="H1062" s="144"/>
      <c r="I1062" s="144"/>
      <c r="J1062" s="144"/>
      <c r="K1062" s="144"/>
      <c r="L1062" s="144"/>
      <c r="M1062" s="144"/>
      <c r="N1062" s="144"/>
      <c r="O1062" s="144"/>
      <c r="P1062" s="144"/>
      <c r="Q1062" s="144"/>
      <c r="R1062" s="144"/>
      <c r="S1062" s="144"/>
      <c r="T1062" s="144"/>
      <c r="U1062" s="144"/>
      <c r="V1062" s="144"/>
      <c r="W1062" s="144"/>
      <c r="X1062" s="144"/>
      <c r="Y1062" s="144"/>
      <c r="Z1062" s="144"/>
      <c r="AA1062" s="144"/>
      <c r="AB1062" s="144"/>
      <c r="AC1062" s="144"/>
      <c r="AD1062" s="144"/>
      <c r="AE1062" s="144"/>
      <c r="AF1062" s="144"/>
      <c r="AG1062" s="144"/>
      <c r="AH1062" s="144"/>
      <c r="AI1062" s="144"/>
    </row>
    <row r="1063" spans="7:35" hidden="1">
      <c r="G1063" s="144"/>
      <c r="H1063" s="144"/>
      <c r="I1063" s="144"/>
      <c r="J1063" s="144"/>
      <c r="K1063" s="144"/>
      <c r="L1063" s="144"/>
      <c r="M1063" s="144"/>
      <c r="N1063" s="144"/>
      <c r="O1063" s="144"/>
      <c r="P1063" s="144"/>
      <c r="Q1063" s="144"/>
      <c r="R1063" s="144"/>
      <c r="S1063" s="144"/>
      <c r="T1063" s="144"/>
      <c r="U1063" s="144"/>
      <c r="V1063" s="144"/>
      <c r="W1063" s="144"/>
      <c r="X1063" s="144"/>
      <c r="Y1063" s="144"/>
      <c r="Z1063" s="144"/>
      <c r="AA1063" s="144"/>
      <c r="AB1063" s="144"/>
      <c r="AC1063" s="144"/>
      <c r="AD1063" s="144"/>
      <c r="AE1063" s="144"/>
      <c r="AF1063" s="144"/>
      <c r="AG1063" s="144"/>
      <c r="AH1063" s="144"/>
      <c r="AI1063" s="144"/>
    </row>
    <row r="1064" spans="7:35" hidden="1">
      <c r="G1064" s="144"/>
      <c r="H1064" s="144"/>
      <c r="I1064" s="144"/>
      <c r="J1064" s="144"/>
      <c r="K1064" s="144"/>
      <c r="L1064" s="144"/>
      <c r="M1064" s="144"/>
      <c r="N1064" s="144"/>
      <c r="O1064" s="144"/>
      <c r="P1064" s="144"/>
      <c r="Q1064" s="144"/>
      <c r="R1064" s="144"/>
      <c r="S1064" s="144"/>
      <c r="T1064" s="144"/>
      <c r="U1064" s="144"/>
      <c r="V1064" s="144"/>
      <c r="W1064" s="144"/>
      <c r="X1064" s="144"/>
      <c r="Y1064" s="144"/>
      <c r="Z1064" s="144"/>
      <c r="AA1064" s="144"/>
      <c r="AB1064" s="144"/>
      <c r="AC1064" s="144"/>
      <c r="AD1064" s="144"/>
      <c r="AE1064" s="144"/>
      <c r="AF1064" s="144"/>
      <c r="AG1064" s="144"/>
      <c r="AH1064" s="144"/>
      <c r="AI1064" s="144"/>
    </row>
    <row r="1065" spans="7:35" hidden="1">
      <c r="G1065" s="144"/>
      <c r="H1065" s="144"/>
      <c r="I1065" s="144"/>
      <c r="J1065" s="144"/>
      <c r="K1065" s="144"/>
      <c r="L1065" s="144"/>
      <c r="M1065" s="144"/>
      <c r="N1065" s="144"/>
      <c r="O1065" s="144"/>
      <c r="P1065" s="144"/>
      <c r="Q1065" s="144"/>
      <c r="R1065" s="144"/>
      <c r="S1065" s="144"/>
      <c r="T1065" s="144"/>
      <c r="U1065" s="144"/>
      <c r="V1065" s="144"/>
      <c r="W1065" s="144"/>
      <c r="X1065" s="144"/>
      <c r="Y1065" s="144"/>
      <c r="Z1065" s="144"/>
      <c r="AA1065" s="144"/>
      <c r="AB1065" s="144"/>
      <c r="AC1065" s="144"/>
      <c r="AD1065" s="144"/>
      <c r="AE1065" s="144"/>
      <c r="AF1065" s="144"/>
      <c r="AG1065" s="144"/>
      <c r="AH1065" s="144"/>
      <c r="AI1065" s="144"/>
    </row>
    <row r="1066" spans="7:35" hidden="1">
      <c r="G1066" s="144"/>
      <c r="H1066" s="144"/>
      <c r="I1066" s="144"/>
      <c r="J1066" s="144"/>
      <c r="K1066" s="144"/>
      <c r="L1066" s="144"/>
      <c r="M1066" s="144"/>
      <c r="N1066" s="144"/>
      <c r="O1066" s="144"/>
      <c r="P1066" s="144"/>
      <c r="Q1066" s="144"/>
      <c r="R1066" s="144"/>
      <c r="S1066" s="144"/>
      <c r="T1066" s="144"/>
      <c r="U1066" s="144"/>
      <c r="V1066" s="144"/>
      <c r="W1066" s="144"/>
      <c r="X1066" s="144"/>
      <c r="Y1066" s="144"/>
      <c r="Z1066" s="144"/>
      <c r="AA1066" s="144"/>
      <c r="AB1066" s="144"/>
      <c r="AC1066" s="144"/>
      <c r="AD1066" s="144"/>
      <c r="AE1066" s="144"/>
      <c r="AF1066" s="144"/>
      <c r="AG1066" s="144"/>
      <c r="AH1066" s="144"/>
      <c r="AI1066" s="144"/>
    </row>
    <row r="1067" spans="7:35" hidden="1">
      <c r="G1067" s="144"/>
      <c r="H1067" s="144"/>
      <c r="I1067" s="144"/>
      <c r="J1067" s="144"/>
      <c r="K1067" s="144"/>
      <c r="L1067" s="144"/>
      <c r="M1067" s="144"/>
      <c r="N1067" s="144"/>
      <c r="O1067" s="144"/>
      <c r="P1067" s="144"/>
      <c r="Q1067" s="144"/>
      <c r="R1067" s="144"/>
      <c r="S1067" s="144"/>
      <c r="T1067" s="144"/>
      <c r="U1067" s="144"/>
      <c r="V1067" s="144"/>
      <c r="W1067" s="144"/>
      <c r="X1067" s="144"/>
      <c r="Y1067" s="144"/>
      <c r="Z1067" s="144"/>
      <c r="AA1067" s="144"/>
      <c r="AB1067" s="144"/>
      <c r="AC1067" s="144"/>
      <c r="AD1067" s="144"/>
      <c r="AE1067" s="144"/>
      <c r="AF1067" s="144"/>
      <c r="AG1067" s="144"/>
      <c r="AH1067" s="144"/>
      <c r="AI1067" s="144"/>
    </row>
    <row r="1068" spans="7:35" hidden="1">
      <c r="G1068" s="144"/>
      <c r="H1068" s="144"/>
      <c r="I1068" s="144"/>
      <c r="J1068" s="144"/>
      <c r="K1068" s="144"/>
      <c r="L1068" s="144"/>
      <c r="M1068" s="144"/>
      <c r="N1068" s="144"/>
      <c r="O1068" s="144"/>
      <c r="P1068" s="144"/>
      <c r="Q1068" s="144"/>
      <c r="R1068" s="144"/>
      <c r="S1068" s="144"/>
      <c r="T1068" s="144"/>
      <c r="U1068" s="144"/>
      <c r="V1068" s="144"/>
      <c r="W1068" s="144"/>
      <c r="X1068" s="144"/>
      <c r="Y1068" s="144"/>
      <c r="Z1068" s="144"/>
      <c r="AA1068" s="144"/>
      <c r="AB1068" s="144"/>
      <c r="AC1068" s="144"/>
      <c r="AD1068" s="144"/>
      <c r="AE1068" s="144"/>
      <c r="AF1068" s="144"/>
      <c r="AG1068" s="144"/>
      <c r="AH1068" s="144"/>
      <c r="AI1068" s="144"/>
    </row>
    <row r="1069" spans="7:35" hidden="1">
      <c r="G1069" s="144"/>
      <c r="H1069" s="144"/>
      <c r="I1069" s="144"/>
      <c r="J1069" s="144"/>
      <c r="K1069" s="144"/>
      <c r="L1069" s="144"/>
      <c r="M1069" s="144"/>
      <c r="N1069" s="144"/>
      <c r="O1069" s="144"/>
      <c r="P1069" s="144"/>
      <c r="Q1069" s="144"/>
      <c r="R1069" s="144"/>
      <c r="S1069" s="144"/>
      <c r="T1069" s="144"/>
      <c r="U1069" s="144"/>
      <c r="V1069" s="144"/>
      <c r="W1069" s="144"/>
      <c r="X1069" s="144"/>
      <c r="Y1069" s="144"/>
      <c r="Z1069" s="144"/>
      <c r="AA1069" s="144"/>
      <c r="AB1069" s="144"/>
      <c r="AC1069" s="144"/>
      <c r="AD1069" s="144"/>
      <c r="AE1069" s="144"/>
      <c r="AF1069" s="144"/>
      <c r="AG1069" s="144"/>
      <c r="AH1069" s="144"/>
      <c r="AI1069" s="144"/>
    </row>
    <row r="1070" spans="7:35" hidden="1">
      <c r="G1070" s="144"/>
      <c r="H1070" s="144"/>
      <c r="I1070" s="144"/>
      <c r="J1070" s="144"/>
      <c r="K1070" s="144"/>
      <c r="L1070" s="144"/>
      <c r="M1070" s="144"/>
      <c r="N1070" s="144"/>
      <c r="O1070" s="144"/>
      <c r="P1070" s="144"/>
      <c r="Q1070" s="144"/>
      <c r="R1070" s="144"/>
      <c r="S1070" s="144"/>
      <c r="T1070" s="144"/>
      <c r="U1070" s="144"/>
      <c r="V1070" s="144"/>
      <c r="W1070" s="144"/>
      <c r="X1070" s="144"/>
      <c r="Y1070" s="144"/>
      <c r="Z1070" s="144"/>
      <c r="AA1070" s="144"/>
      <c r="AB1070" s="144"/>
      <c r="AC1070" s="144"/>
      <c r="AD1070" s="144"/>
      <c r="AE1070" s="144"/>
      <c r="AF1070" s="144"/>
      <c r="AG1070" s="144"/>
      <c r="AH1070" s="144"/>
      <c r="AI1070" s="144"/>
    </row>
    <row r="1071" spans="7:35" hidden="1">
      <c r="G1071" s="144"/>
      <c r="H1071" s="144"/>
      <c r="I1071" s="144"/>
      <c r="J1071" s="144"/>
      <c r="K1071" s="144"/>
      <c r="L1071" s="144"/>
      <c r="M1071" s="144"/>
      <c r="N1071" s="144"/>
      <c r="O1071" s="144"/>
      <c r="P1071" s="144"/>
      <c r="Q1071" s="144"/>
      <c r="R1071" s="144"/>
      <c r="S1071" s="144"/>
      <c r="T1071" s="144"/>
      <c r="U1071" s="144"/>
      <c r="V1071" s="144"/>
      <c r="W1071" s="144"/>
      <c r="X1071" s="144"/>
      <c r="Y1071" s="144"/>
      <c r="Z1071" s="144"/>
      <c r="AA1071" s="144"/>
      <c r="AB1071" s="144"/>
      <c r="AC1071" s="144"/>
      <c r="AD1071" s="144"/>
      <c r="AE1071" s="144"/>
      <c r="AF1071" s="144"/>
      <c r="AG1071" s="144"/>
      <c r="AH1071" s="144"/>
      <c r="AI1071" s="144"/>
    </row>
    <row r="1072" spans="7:35" hidden="1">
      <c r="G1072" s="144"/>
      <c r="H1072" s="144"/>
      <c r="I1072" s="144"/>
      <c r="J1072" s="144"/>
      <c r="K1072" s="144"/>
      <c r="L1072" s="144"/>
      <c r="M1072" s="144"/>
      <c r="N1072" s="144"/>
      <c r="O1072" s="144"/>
      <c r="P1072" s="144"/>
      <c r="Q1072" s="144"/>
      <c r="R1072" s="144"/>
      <c r="S1072" s="144"/>
      <c r="T1072" s="144"/>
      <c r="U1072" s="144"/>
      <c r="V1072" s="144"/>
      <c r="W1072" s="144"/>
      <c r="X1072" s="144"/>
      <c r="Y1072" s="144"/>
      <c r="Z1072" s="144"/>
      <c r="AA1072" s="144"/>
      <c r="AB1072" s="144"/>
      <c r="AC1072" s="144"/>
      <c r="AD1072" s="144"/>
      <c r="AE1072" s="144"/>
      <c r="AF1072" s="144"/>
      <c r="AG1072" s="144"/>
      <c r="AH1072" s="144"/>
      <c r="AI1072" s="144"/>
    </row>
    <row r="1073" spans="7:35" hidden="1">
      <c r="G1073" s="144"/>
      <c r="H1073" s="144"/>
      <c r="I1073" s="144"/>
      <c r="J1073" s="144"/>
      <c r="K1073" s="144"/>
      <c r="L1073" s="144"/>
      <c r="M1073" s="144"/>
      <c r="N1073" s="144"/>
      <c r="O1073" s="144"/>
      <c r="P1073" s="144"/>
      <c r="Q1073" s="144"/>
      <c r="R1073" s="144"/>
      <c r="S1073" s="144"/>
      <c r="T1073" s="144"/>
      <c r="U1073" s="144"/>
      <c r="V1073" s="144"/>
      <c r="W1073" s="144"/>
      <c r="X1073" s="144"/>
      <c r="Y1073" s="144"/>
      <c r="Z1073" s="144"/>
      <c r="AA1073" s="144"/>
      <c r="AB1073" s="144"/>
      <c r="AC1073" s="144"/>
      <c r="AD1073" s="144"/>
      <c r="AE1073" s="144"/>
      <c r="AF1073" s="144"/>
      <c r="AG1073" s="144"/>
      <c r="AH1073" s="144"/>
      <c r="AI1073" s="144"/>
    </row>
    <row r="1074" spans="7:35" hidden="1">
      <c r="G1074" s="144"/>
      <c r="H1074" s="144"/>
      <c r="I1074" s="144"/>
      <c r="J1074" s="144"/>
      <c r="K1074" s="144"/>
      <c r="L1074" s="144"/>
      <c r="M1074" s="144"/>
      <c r="N1074" s="144"/>
      <c r="O1074" s="144"/>
      <c r="P1074" s="144"/>
      <c r="Q1074" s="144"/>
      <c r="R1074" s="144"/>
      <c r="S1074" s="144"/>
      <c r="T1074" s="144"/>
      <c r="U1074" s="144"/>
      <c r="V1074" s="144"/>
      <c r="W1074" s="144"/>
      <c r="X1074" s="144"/>
      <c r="Y1074" s="144"/>
      <c r="Z1074" s="144"/>
      <c r="AA1074" s="144"/>
      <c r="AB1074" s="144"/>
      <c r="AC1074" s="144"/>
      <c r="AD1074" s="144"/>
      <c r="AE1074" s="144"/>
      <c r="AF1074" s="144"/>
      <c r="AG1074" s="144"/>
      <c r="AH1074" s="144"/>
      <c r="AI1074" s="144"/>
    </row>
    <row r="1075" spans="7:35" hidden="1">
      <c r="G1075" s="144"/>
      <c r="H1075" s="144"/>
      <c r="I1075" s="144"/>
      <c r="J1075" s="144"/>
      <c r="K1075" s="144"/>
      <c r="L1075" s="144"/>
      <c r="M1075" s="144"/>
      <c r="N1075" s="144"/>
      <c r="O1075" s="144"/>
      <c r="P1075" s="144"/>
      <c r="Q1075" s="144"/>
      <c r="R1075" s="144"/>
      <c r="S1075" s="144"/>
      <c r="T1075" s="144"/>
      <c r="U1075" s="144"/>
      <c r="V1075" s="144"/>
      <c r="W1075" s="144"/>
      <c r="X1075" s="144"/>
      <c r="Y1075" s="144"/>
      <c r="Z1075" s="144"/>
      <c r="AA1075" s="144"/>
      <c r="AB1075" s="144"/>
      <c r="AC1075" s="144"/>
      <c r="AD1075" s="144"/>
      <c r="AE1075" s="144"/>
      <c r="AF1075" s="144"/>
      <c r="AG1075" s="144"/>
      <c r="AH1075" s="144"/>
      <c r="AI1075" s="144"/>
    </row>
    <row r="1076" spans="7:35" hidden="1">
      <c r="G1076" s="144"/>
      <c r="H1076" s="144"/>
      <c r="I1076" s="144"/>
      <c r="J1076" s="144"/>
      <c r="K1076" s="144"/>
      <c r="L1076" s="144"/>
      <c r="M1076" s="144"/>
      <c r="N1076" s="144"/>
      <c r="O1076" s="144"/>
      <c r="P1076" s="144"/>
      <c r="Q1076" s="144"/>
      <c r="R1076" s="144"/>
      <c r="S1076" s="144"/>
      <c r="T1076" s="144"/>
      <c r="U1076" s="144"/>
      <c r="V1076" s="144"/>
      <c r="W1076" s="144"/>
      <c r="X1076" s="144"/>
      <c r="Y1076" s="144"/>
      <c r="Z1076" s="144"/>
      <c r="AA1076" s="144"/>
      <c r="AB1076" s="144"/>
      <c r="AC1076" s="144"/>
      <c r="AD1076" s="144"/>
      <c r="AE1076" s="144"/>
      <c r="AF1076" s="144"/>
      <c r="AG1076" s="144"/>
      <c r="AH1076" s="144"/>
      <c r="AI1076" s="144"/>
    </row>
    <row r="1077" spans="7:35" hidden="1">
      <c r="G1077" s="144"/>
      <c r="H1077" s="144"/>
      <c r="I1077" s="144"/>
      <c r="J1077" s="144"/>
      <c r="K1077" s="144"/>
      <c r="L1077" s="144"/>
      <c r="M1077" s="144"/>
      <c r="N1077" s="144"/>
      <c r="O1077" s="144"/>
      <c r="P1077" s="144"/>
      <c r="Q1077" s="144"/>
      <c r="R1077" s="144"/>
      <c r="S1077" s="144"/>
      <c r="T1077" s="144"/>
      <c r="U1077" s="144"/>
      <c r="V1077" s="144"/>
      <c r="W1077" s="144"/>
      <c r="X1077" s="144"/>
      <c r="Y1077" s="144"/>
      <c r="Z1077" s="144"/>
      <c r="AA1077" s="144"/>
      <c r="AB1077" s="144"/>
      <c r="AC1077" s="144"/>
      <c r="AD1077" s="144"/>
      <c r="AE1077" s="144"/>
      <c r="AF1077" s="144"/>
      <c r="AG1077" s="144"/>
      <c r="AH1077" s="144"/>
      <c r="AI1077" s="144"/>
    </row>
  </sheetData>
  <sheetProtection password="C1FB" sheet="1" objects="1" scenarios="1" formatCells="0" formatColumns="0" formatRows="0" selectLockedCells="1"/>
  <mergeCells count="35">
    <mergeCell ref="E2:J2"/>
    <mergeCell ref="E36:F36"/>
    <mergeCell ref="H32:H33"/>
    <mergeCell ref="E9:F9"/>
    <mergeCell ref="H5:I5"/>
    <mergeCell ref="E32:F32"/>
    <mergeCell ref="H12:I12"/>
    <mergeCell ref="E10:F10"/>
    <mergeCell ref="H30:H31"/>
    <mergeCell ref="E8:F8"/>
    <mergeCell ref="H6:I6"/>
    <mergeCell ref="H7:I7"/>
    <mergeCell ref="E31:F31"/>
    <mergeCell ref="E28:G28"/>
    <mergeCell ref="H9:I9"/>
    <mergeCell ref="H8:I8"/>
    <mergeCell ref="A25:H25"/>
    <mergeCell ref="E35:F35"/>
    <mergeCell ref="H18:I18"/>
    <mergeCell ref="E7:F7"/>
    <mergeCell ref="E37:F37"/>
    <mergeCell ref="H14:I14"/>
    <mergeCell ref="H37:H38"/>
    <mergeCell ref="H21:I21"/>
    <mergeCell ref="E12:F12"/>
    <mergeCell ref="H10:I10"/>
    <mergeCell ref="H15:I15"/>
    <mergeCell ref="E11:F11"/>
    <mergeCell ref="H11:I11"/>
    <mergeCell ref="E3:J4"/>
    <mergeCell ref="H13:I13"/>
    <mergeCell ref="H16:I16"/>
    <mergeCell ref="H19:I19"/>
    <mergeCell ref="H20:I20"/>
    <mergeCell ref="E6:F6"/>
  </mergeCells>
  <dataValidations count="1">
    <dataValidation type="list" allowBlank="1" showInputMessage="1" showErrorMessage="1" sqref="F5">
      <formula1>$AO$3:$AO$4</formula1>
    </dataValidation>
  </dataValidations>
  <pageMargins left="0.7" right="0.7" top="0.75" bottom="0.75" header="0.3" footer="0.3"/>
  <pageSetup paperSize="9" scale="70"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1:IV31"/>
  <sheetViews>
    <sheetView workbookViewId="0">
      <selection activeCell="K23" sqref="K23:K24"/>
    </sheetView>
  </sheetViews>
  <sheetFormatPr defaultColWidth="0" defaultRowHeight="15.75" zeroHeight="1"/>
  <cols>
    <col min="1" max="1" width="4" style="26" customWidth="1"/>
    <col min="2" max="2" width="13.7109375" style="26" customWidth="1"/>
    <col min="3" max="3" width="8.28515625" style="26" customWidth="1"/>
    <col min="4" max="4" width="7.28515625" style="26" customWidth="1"/>
    <col min="5" max="5" width="7.85546875" style="26" customWidth="1"/>
    <col min="6" max="6" width="5.7109375" style="26" customWidth="1"/>
    <col min="7" max="7" width="5.42578125" style="26" customWidth="1"/>
    <col min="8" max="8" width="5.28515625" style="26" customWidth="1"/>
    <col min="9" max="9" width="6.28515625" style="26" customWidth="1"/>
    <col min="10" max="10" width="6.42578125" style="26" customWidth="1"/>
    <col min="11" max="11" width="5.85546875" style="26" customWidth="1"/>
    <col min="12" max="12" width="7.5703125" style="26" customWidth="1"/>
    <col min="13" max="14" width="6" style="26" customWidth="1"/>
    <col min="15" max="15" width="5.28515625" style="26" customWidth="1"/>
    <col min="16" max="16" width="5.5703125" style="26" customWidth="1"/>
    <col min="17" max="17" width="5.7109375" style="26" customWidth="1"/>
    <col min="18" max="20" width="5.28515625" style="26" customWidth="1"/>
    <col min="21" max="21" width="6" style="26" customWidth="1"/>
    <col min="22" max="23" width="5.7109375" style="26" customWidth="1"/>
    <col min="24" max="24" width="8.28515625" style="26" customWidth="1"/>
    <col min="25" max="25" width="8.7109375" style="204" customWidth="1"/>
    <col min="26" max="26" width="7.140625" style="204" customWidth="1"/>
    <col min="27" max="27" width="8" style="23" customWidth="1"/>
    <col min="28" max="29" width="9.140625" style="23" customWidth="1"/>
    <col min="30" max="30" width="9.140625" style="23" hidden="1"/>
    <col min="31" max="31" width="22.5703125" style="26" hidden="1"/>
    <col min="32" max="32" width="9.140625" style="23" hidden="1"/>
    <col min="33" max="33" width="10.85546875" style="23" hidden="1"/>
    <col min="34" max="49" width="9.140625" style="23" hidden="1"/>
    <col min="50" max="50" width="11.28515625" style="23" hidden="1"/>
    <col min="51" max="83" width="9.140625" style="23" hidden="1"/>
    <col min="84" max="84" width="8.42578125" style="23" hidden="1"/>
    <col min="85" max="87" width="9.140625" style="23" hidden="1"/>
    <col min="88" max="88" width="8.5703125" style="23" hidden="1"/>
    <col min="89" max="256" width="9.140625" style="23" hidden="1"/>
    <col min="257" max="16384" width="9" hidden="1"/>
  </cols>
  <sheetData>
    <row r="1" spans="1:89" ht="30" customHeight="1">
      <c r="V1" s="381" t="s">
        <v>64</v>
      </c>
      <c r="W1" s="381"/>
      <c r="X1" s="381"/>
      <c r="Y1" s="405" t="str">
        <f>PROPER(IF(Master!H15="","",Master!H15))</f>
        <v>Plan</v>
      </c>
      <c r="Z1" s="405"/>
      <c r="AA1" s="405"/>
    </row>
    <row r="2" spans="1:89" s="205" customFormat="1" ht="23.1" customHeight="1">
      <c r="A2" s="403" t="s">
        <v>55</v>
      </c>
      <c r="B2" s="397"/>
      <c r="C2" s="397"/>
      <c r="D2" s="394" t="str">
        <f>UPPER(IF(Master!D9="","",Master!D9))</f>
        <v>HEERALAL JAT</v>
      </c>
      <c r="E2" s="394"/>
      <c r="F2" s="394"/>
      <c r="G2" s="394"/>
      <c r="H2" s="394"/>
      <c r="I2" s="397" t="s">
        <v>54</v>
      </c>
      <c r="J2" s="397"/>
      <c r="K2" s="397"/>
      <c r="L2" s="385" t="str">
        <f>UPPER(IF(Master!H9="","",Master!H9))</f>
        <v>SR TEACHER</v>
      </c>
      <c r="M2" s="385"/>
      <c r="N2" s="385"/>
      <c r="O2" s="385"/>
      <c r="P2" s="397" t="s">
        <v>53</v>
      </c>
      <c r="Q2" s="397"/>
      <c r="R2" s="397"/>
      <c r="S2" s="397"/>
      <c r="T2" s="385" t="str">
        <f>UPPER(IF(Master!D10="","",Master!D10))</f>
        <v>G.S.S.S. INDERWARA</v>
      </c>
      <c r="U2" s="385"/>
      <c r="V2" s="385"/>
      <c r="W2" s="385"/>
      <c r="X2" s="385"/>
      <c r="Y2" s="385"/>
      <c r="Z2" s="399" t="s">
        <v>173</v>
      </c>
      <c r="AA2" s="400"/>
      <c r="AE2" s="206"/>
    </row>
    <row r="3" spans="1:89" s="205" customFormat="1" ht="23.1" customHeight="1">
      <c r="A3" s="390" t="s">
        <v>56</v>
      </c>
      <c r="B3" s="391"/>
      <c r="C3" s="402" t="str">
        <f>UPPER(IF(Master!D12="","",Master!D12))</f>
        <v>ADTXXXXXX2</v>
      </c>
      <c r="D3" s="402"/>
      <c r="E3" s="402"/>
      <c r="F3" s="207" t="s">
        <v>26</v>
      </c>
      <c r="G3" s="402" t="str">
        <f>IF(AND(Master!H13=""),"",Master!H13)</f>
        <v/>
      </c>
      <c r="H3" s="402"/>
      <c r="I3" s="402"/>
      <c r="J3" s="208" t="s">
        <v>4</v>
      </c>
      <c r="K3" s="393">
        <f>IF(AND(J3=""),"",IF(AND(J3=CH3),Master!D13,IF(AND(J3=CH4),Master!H14,"")))</f>
        <v>0</v>
      </c>
      <c r="L3" s="393"/>
      <c r="M3" s="393"/>
      <c r="N3" s="401" t="s">
        <v>57</v>
      </c>
      <c r="O3" s="401"/>
      <c r="P3" s="401"/>
      <c r="Q3" s="393" t="str">
        <f>IF(AND(Master!D14=""),"",Master!D14)</f>
        <v/>
      </c>
      <c r="R3" s="393"/>
      <c r="S3" s="393"/>
      <c r="T3" s="393"/>
      <c r="U3" s="393"/>
      <c r="V3" s="398" t="s">
        <v>34</v>
      </c>
      <c r="W3" s="398"/>
      <c r="X3" s="398"/>
      <c r="Y3" s="395">
        <f>IF(AND(Master!D15=""),"",Master!D15)</f>
        <v>51046657419</v>
      </c>
      <c r="Z3" s="395"/>
      <c r="AA3" s="396"/>
      <c r="AE3" s="206"/>
      <c r="CH3" s="205" t="s">
        <v>33</v>
      </c>
    </row>
    <row r="4" spans="1:89" s="209" customFormat="1" ht="18.75" customHeight="1">
      <c r="A4" s="386" t="s">
        <v>171</v>
      </c>
      <c r="B4" s="387"/>
      <c r="C4" s="387"/>
      <c r="D4" s="387"/>
      <c r="E4" s="387"/>
      <c r="F4" s="387"/>
      <c r="G4" s="387"/>
      <c r="H4" s="387"/>
      <c r="I4" s="387"/>
      <c r="J4" s="387"/>
      <c r="K4" s="387"/>
      <c r="L4" s="388"/>
      <c r="M4" s="392" t="s">
        <v>172</v>
      </c>
      <c r="N4" s="387"/>
      <c r="O4" s="387"/>
      <c r="P4" s="387"/>
      <c r="Q4" s="387"/>
      <c r="R4" s="387"/>
      <c r="S4" s="387"/>
      <c r="T4" s="387"/>
      <c r="U4" s="387"/>
      <c r="V4" s="387"/>
      <c r="W4" s="387"/>
      <c r="X4" s="387"/>
      <c r="Y4" s="389" t="str">
        <f>IF(AND(Bills!Z5=""),"",Bills!Z5)</f>
        <v>NET PAY</v>
      </c>
      <c r="Z4" s="384" t="str">
        <f>IF(AND(Bills!AA5=""),"",Bills!AA5)</f>
        <v>TV.NO.</v>
      </c>
      <c r="AA4" s="404" t="str">
        <f>IF(AND(Bills!AB5=""),"",Bills!AB5)</f>
        <v>Enc.  DATE</v>
      </c>
      <c r="AE4" s="210"/>
      <c r="CH4" s="209" t="s">
        <v>4</v>
      </c>
    </row>
    <row r="5" spans="1:89" s="211" customFormat="1" ht="47.25" customHeight="1">
      <c r="A5" s="212" t="str">
        <f>IF(AND(Bills!B5=""),"",Bills!B5)</f>
        <v>S.N.</v>
      </c>
      <c r="B5" s="213" t="str">
        <f>IF(AND(Bills!C5=""),"",Bills!C5)</f>
        <v>Month</v>
      </c>
      <c r="C5" s="213" t="str">
        <f>IF(AND(Bills!D5=""),"",Bills!D5)</f>
        <v>Basic with Grade Pay</v>
      </c>
      <c r="D5" s="213" t="str">
        <f>IF(AND(Bills!E5=""),"",Bills!E5)</f>
        <v>DA</v>
      </c>
      <c r="E5" s="213" t="str">
        <f>IF(AND(Bills!F5=""),"",Bills!F5)</f>
        <v>HRA</v>
      </c>
      <c r="F5" s="213" t="str">
        <f>IF(AND(Bills!G5=""),"",Bills!G5)</f>
        <v>Wash All.</v>
      </c>
      <c r="G5" s="213" t="str">
        <f>IF(AND(Bills!H5=""),"",Bills!H5)</f>
        <v>Handi. All.</v>
      </c>
      <c r="H5" s="213" t="str">
        <f>IF(AND(Bills!I5=""),"",Bills!I5)</f>
        <v>Bonus</v>
      </c>
      <c r="I5" s="213" t="str">
        <f>IF(AND(Bills!J5=""),"",Bills!J5)</f>
        <v>CCA</v>
      </c>
      <c r="J5" s="213" t="str">
        <f>IF(AND(Bills!K5=""),"",Bills!K5)</f>
        <v>N.P.S. By Govt.</v>
      </c>
      <c r="K5" s="213" t="str">
        <f>IF(AND(Bills!L5=""),"",Bills!L5)</f>
        <v>other</v>
      </c>
      <c r="L5" s="213" t="str">
        <f>IF(AND(Bills!M5=""),"",Bills!M5)</f>
        <v>TOTAL</v>
      </c>
      <c r="M5" s="213" t="str">
        <f>IF(AND(Bills!N5=""),"",Bills!N5)</f>
        <v>SI</v>
      </c>
      <c r="N5" s="213" t="str">
        <f>IF(AND(Bills!O5=""),"",Bills!O5)</f>
        <v>GPF</v>
      </c>
      <c r="O5" s="213" t="str">
        <f>IF(AND(Bills!P5=""),"",Bills!P5)</f>
        <v>RPMF</v>
      </c>
      <c r="P5" s="213" t="str">
        <f>IF(AND(Bills!Q5=""),"",Bills!Q5)</f>
        <v>N.P.S. By SELF</v>
      </c>
      <c r="Q5" s="213" t="str">
        <f>IF(AND(Bills!R5=""),"",Bills!R5)</f>
        <v>L.I.C.</v>
      </c>
      <c r="R5" s="213" t="str">
        <f>IF(AND(Bills!S5=""),"",Bills!S5)</f>
        <v>S.I. LOAN</v>
      </c>
      <c r="S5" s="213" t="str">
        <f>IF(AND(Bills!T5=""),"",Bills!T5)</f>
        <v>GPF LOAN</v>
      </c>
      <c r="T5" s="213" t="str">
        <f>IF(AND(Bills!U5=""),"",Bills!U5)</f>
        <v>Other</v>
      </c>
      <c r="U5" s="213" t="str">
        <f>IF(AND(Bills!V5=""),"",Bills!V5)</f>
        <v>Income Tax</v>
      </c>
      <c r="V5" s="213" t="str">
        <f>IF(AND(Bills!W5=""),"",Bills!W5)</f>
        <v>G.I. + S. Tax</v>
      </c>
      <c r="W5" s="213" t="str">
        <f>IF(AND(Bills!X5=""),"",Bills!X5)</f>
        <v>OTHER</v>
      </c>
      <c r="X5" s="214" t="str">
        <f>IF(AND(Bills!Y5=""),"",Bills!Y5)</f>
        <v>Total Ded.</v>
      </c>
      <c r="Y5" s="389"/>
      <c r="Z5" s="384"/>
      <c r="AA5" s="404"/>
      <c r="AE5" s="215"/>
    </row>
    <row r="6" spans="1:89" ht="22.5" customHeight="1">
      <c r="A6" s="216">
        <v>1</v>
      </c>
      <c r="B6" s="217">
        <f>IF(AND(Bills!C7=""),"",Bills!C7)</f>
        <v>43525</v>
      </c>
      <c r="C6" s="218">
        <f>IF(AND(Bills!D7=""),"",Bills!D7)</f>
        <v>47900</v>
      </c>
      <c r="D6" s="218">
        <f>IF(AND(Bills!E7=""),"",Bills!E7)</f>
        <v>5748</v>
      </c>
      <c r="E6" s="218">
        <f>IF(AND(Bills!F7=""),"",Bills!F7)</f>
        <v>3832</v>
      </c>
      <c r="F6" s="218" t="str">
        <f>IF(AND(Bills!G7=""),"",Bills!G7)</f>
        <v/>
      </c>
      <c r="G6" s="218" t="str">
        <f>IF(AND(Bills!H7=""),"",Bills!H7)</f>
        <v/>
      </c>
      <c r="H6" s="218" t="str">
        <f>IF(AND(Bills!I7=""),"",Bills!I7)</f>
        <v/>
      </c>
      <c r="I6" s="218" t="str">
        <f>IF(AND(Bills!J7=""),"",Bills!J7)</f>
        <v/>
      </c>
      <c r="J6" s="218">
        <f>IF(AND(Bills!K7=""),"",Bills!K7)</f>
        <v>5365</v>
      </c>
      <c r="K6" s="218" t="str">
        <f>IF(AND(Bills!L7=""),"",Bills!L7)</f>
        <v/>
      </c>
      <c r="L6" s="218">
        <f>IF(AND(Bills!M7=""),"",Bills!M7)</f>
        <v>57480</v>
      </c>
      <c r="M6" s="218">
        <f>IF(AND(Bills!N7=""),"",Bills!N7)</f>
        <v>4000</v>
      </c>
      <c r="N6" s="218">
        <f>IF(AND(Bills!O7=""),"",Bills!O7)</f>
        <v>3575</v>
      </c>
      <c r="O6" s="218">
        <f>IF(AND(Bills!P7=""),"",Bills!P7)</f>
        <v>568</v>
      </c>
      <c r="P6" s="218">
        <f>IF(AND(Bills!Q7=""),"",Bills!Q7)</f>
        <v>5365</v>
      </c>
      <c r="Q6" s="218">
        <f>IF(AND(Bills!R7=""),"",Bills!R7)</f>
        <v>2158</v>
      </c>
      <c r="R6" s="218" t="str">
        <f>IF(AND(Bills!S7=""),"",Bills!S7)</f>
        <v/>
      </c>
      <c r="S6" s="218" t="str">
        <f>IF(AND(Bills!T7=""),"",Bills!T7)</f>
        <v/>
      </c>
      <c r="T6" s="218" t="str">
        <f>IF(AND(Bills!U7=""),"",Bills!U7)</f>
        <v/>
      </c>
      <c r="U6" s="218">
        <f>IF(AND(Bills!V7=""),"",Bills!V7)</f>
        <v>500</v>
      </c>
      <c r="V6" s="218" t="str">
        <f>IF(AND(Bills!W7=""),"",Bills!W7)</f>
        <v/>
      </c>
      <c r="W6" s="218" t="str">
        <f>IF(AND(Bills!X7=""),"",Bills!X7)</f>
        <v/>
      </c>
      <c r="X6" s="218">
        <f>IF(AND(Bills!Y7=""),"",Bills!Y7)</f>
        <v>16166</v>
      </c>
      <c r="Y6" s="218">
        <f>IF(AND(Bills!Z7=""),"",Bills!Z7)</f>
        <v>41314</v>
      </c>
      <c r="Z6" s="218" t="str">
        <f>IF(AND(Bills!AA7=""),"",Bills!AA7)</f>
        <v/>
      </c>
      <c r="AA6" s="470" t="str">
        <f>IF(AND(Bills!AB7=""),"",Bills!AB7)</f>
        <v/>
      </c>
      <c r="CK6" s="23" t="s">
        <v>4</v>
      </c>
    </row>
    <row r="7" spans="1:89" ht="20.100000000000001" customHeight="1">
      <c r="A7" s="216">
        <v>2</v>
      </c>
      <c r="B7" s="217">
        <f>IF(AND(Bills!C8=""),"",Bills!C8)</f>
        <v>43556</v>
      </c>
      <c r="C7" s="218">
        <f>IF(AND(Bills!D8=""),"",Bills!D8)</f>
        <v>47900</v>
      </c>
      <c r="D7" s="218">
        <f>IF(AND(Bills!E8=""),"",Bills!E8)</f>
        <v>5748</v>
      </c>
      <c r="E7" s="218">
        <f>IF(AND(Bills!F8=""),"",Bills!F8)</f>
        <v>3832</v>
      </c>
      <c r="F7" s="218" t="str">
        <f>IF(AND(Bills!G8=""),"",Bills!G8)</f>
        <v/>
      </c>
      <c r="G7" s="218" t="str">
        <f>IF(AND(Bills!H8=""),"",Bills!H8)</f>
        <v/>
      </c>
      <c r="H7" s="218" t="str">
        <f>IF(AND(Bills!I8=""),"",Bills!I8)</f>
        <v/>
      </c>
      <c r="I7" s="218" t="str">
        <f>IF(AND(Bills!J8=""),"",Bills!J8)</f>
        <v/>
      </c>
      <c r="J7" s="218">
        <f>IF(AND(Bills!K8=""),"",Bills!K8)</f>
        <v>5365</v>
      </c>
      <c r="K7" s="218" t="str">
        <f>IF(AND(Bills!L8=""),"",Bills!L8)</f>
        <v/>
      </c>
      <c r="L7" s="218">
        <f>IF(AND(Bills!M8=""),"",Bills!M8)</f>
        <v>57480</v>
      </c>
      <c r="M7" s="218">
        <f>IF(AND(Bills!N8=""),"",Bills!N8)</f>
        <v>4000</v>
      </c>
      <c r="N7" s="218">
        <f>IF(AND(Bills!O8=""),"",Bills!O8)</f>
        <v>3575</v>
      </c>
      <c r="O7" s="218">
        <f>IF(AND(Bills!P8=""),"",Bills!P8)</f>
        <v>602</v>
      </c>
      <c r="P7" s="218">
        <f>IF(AND(Bills!Q8=""),"",Bills!Q8)</f>
        <v>5365</v>
      </c>
      <c r="Q7" s="218">
        <f>IF(AND(Bills!R8=""),"",Bills!R8)</f>
        <v>2158</v>
      </c>
      <c r="R7" s="218" t="str">
        <f>IF(AND(Bills!S8=""),"",Bills!S8)</f>
        <v/>
      </c>
      <c r="S7" s="218" t="str">
        <f>IF(AND(Bills!T8=""),"",Bills!T8)</f>
        <v/>
      </c>
      <c r="T7" s="218" t="str">
        <f>IF(AND(Bills!U8=""),"",Bills!U8)</f>
        <v/>
      </c>
      <c r="U7" s="218">
        <f>IF(AND(Bills!V8=""),"",Bills!V8)</f>
        <v>500</v>
      </c>
      <c r="V7" s="218">
        <f>IF(AND(Bills!W8=""),"",Bills!W8)</f>
        <v>220</v>
      </c>
      <c r="W7" s="218" t="str">
        <f>IF(AND(Bills!X8=""),"",Bills!X8)</f>
        <v/>
      </c>
      <c r="X7" s="218">
        <f>IF(AND(Bills!Y8=""),"",Bills!Y8)</f>
        <v>16420</v>
      </c>
      <c r="Y7" s="218">
        <f>IF(AND(Bills!Z8=""),"",Bills!Z8)</f>
        <v>41060</v>
      </c>
      <c r="Z7" s="218" t="str">
        <f>IF(AND(Bills!AA8=""),"",Bills!AA8)</f>
        <v/>
      </c>
      <c r="AA7" s="470" t="str">
        <f>IF(AND(Bills!AB8=""),"",Bills!AB8)</f>
        <v/>
      </c>
      <c r="CK7" s="23" t="s">
        <v>32</v>
      </c>
    </row>
    <row r="8" spans="1:89" ht="20.100000000000001" customHeight="1">
      <c r="A8" s="216">
        <v>3</v>
      </c>
      <c r="B8" s="217">
        <f>IF(AND(Bills!C9=""),"",Bills!C9)</f>
        <v>43586</v>
      </c>
      <c r="C8" s="218">
        <f>IF(AND(Bills!D9=""),"",Bills!D9)</f>
        <v>47900</v>
      </c>
      <c r="D8" s="218">
        <f>IF(AND(Bills!E9=""),"",Bills!E9)</f>
        <v>5748</v>
      </c>
      <c r="E8" s="218">
        <f>IF(AND(Bills!F9=""),"",Bills!F9)</f>
        <v>3832</v>
      </c>
      <c r="F8" s="218" t="str">
        <f>IF(AND(Bills!G9=""),"",Bills!G9)</f>
        <v/>
      </c>
      <c r="G8" s="218" t="str">
        <f>IF(AND(Bills!H9=""),"",Bills!H9)</f>
        <v/>
      </c>
      <c r="H8" s="218" t="str">
        <f>IF(AND(Bills!I9=""),"",Bills!I9)</f>
        <v/>
      </c>
      <c r="I8" s="218" t="str">
        <f>IF(AND(Bills!J9=""),"",Bills!J9)</f>
        <v/>
      </c>
      <c r="J8" s="218">
        <f>IF(AND(Bills!K9=""),"",Bills!K9)</f>
        <v>5365</v>
      </c>
      <c r="K8" s="218" t="str">
        <f>IF(AND(Bills!L9=""),"",Bills!L9)</f>
        <v/>
      </c>
      <c r="L8" s="218">
        <f>IF(AND(Bills!M9=""),"",Bills!M9)</f>
        <v>57480</v>
      </c>
      <c r="M8" s="218">
        <f>IF(AND(Bills!N9=""),"",Bills!N9)</f>
        <v>4000</v>
      </c>
      <c r="N8" s="218">
        <f>IF(AND(Bills!O9=""),"",Bills!O9)</f>
        <v>3575</v>
      </c>
      <c r="O8" s="218">
        <f>IF(AND(Bills!P9=""),"",Bills!P9)</f>
        <v>602</v>
      </c>
      <c r="P8" s="218">
        <f>IF(AND(Bills!Q9=""),"",Bills!Q9)</f>
        <v>5365</v>
      </c>
      <c r="Q8" s="218">
        <f>IF(AND(Bills!R9=""),"",Bills!R9)</f>
        <v>2158</v>
      </c>
      <c r="R8" s="218" t="str">
        <f>IF(AND(Bills!S9=""),"",Bills!S9)</f>
        <v/>
      </c>
      <c r="S8" s="218" t="str">
        <f>IF(AND(Bills!T9=""),"",Bills!T9)</f>
        <v/>
      </c>
      <c r="T8" s="218" t="str">
        <f>IF(AND(Bills!U9=""),"",Bills!U9)</f>
        <v/>
      </c>
      <c r="U8" s="218">
        <f>IF(AND(Bills!V9=""),"",Bills!V9)</f>
        <v>500</v>
      </c>
      <c r="V8" s="218" t="str">
        <f>IF(AND(Bills!W9=""),"",Bills!W9)</f>
        <v/>
      </c>
      <c r="W8" s="218" t="str">
        <f>IF(AND(Bills!X9=""),"",Bills!X9)</f>
        <v/>
      </c>
      <c r="X8" s="218">
        <f>IF(AND(Bills!Y9=""),"",Bills!Y9)</f>
        <v>16200</v>
      </c>
      <c r="Y8" s="218">
        <f>IF(AND(Bills!Z9=""),"",Bills!Z9)</f>
        <v>41280</v>
      </c>
      <c r="Z8" s="218" t="str">
        <f>IF(AND(Bills!AA9=""),"",Bills!AA9)</f>
        <v/>
      </c>
      <c r="AA8" s="470" t="str">
        <f>IF(AND(Bills!AB9=""),"",Bills!AB9)</f>
        <v/>
      </c>
      <c r="CK8" s="23" t="s">
        <v>33</v>
      </c>
    </row>
    <row r="9" spans="1:89" ht="20.100000000000001" customHeight="1">
      <c r="A9" s="216">
        <v>4</v>
      </c>
      <c r="B9" s="217">
        <f>IF(AND(Bills!C10=""),"",Bills!C10)</f>
        <v>43617</v>
      </c>
      <c r="C9" s="218">
        <f>IF(AND(Bills!D10=""),"",Bills!D10)</f>
        <v>47900</v>
      </c>
      <c r="D9" s="218">
        <f>IF(AND(Bills!E10=""),"",Bills!E10)</f>
        <v>5748</v>
      </c>
      <c r="E9" s="218">
        <f>IF(AND(Bills!F10=""),"",Bills!F10)</f>
        <v>3832</v>
      </c>
      <c r="F9" s="218" t="str">
        <f>IF(AND(Bills!G10=""),"",Bills!G10)</f>
        <v/>
      </c>
      <c r="G9" s="218" t="str">
        <f>IF(AND(Bills!H10=""),"",Bills!H10)</f>
        <v/>
      </c>
      <c r="H9" s="218" t="str">
        <f>IF(AND(Bills!I10=""),"",Bills!I10)</f>
        <v/>
      </c>
      <c r="I9" s="218" t="str">
        <f>IF(AND(Bills!J10=""),"",Bills!J10)</f>
        <v/>
      </c>
      <c r="J9" s="218">
        <f>IF(AND(Bills!K10=""),"",Bills!K10)</f>
        <v>5365</v>
      </c>
      <c r="K9" s="218" t="str">
        <f>IF(AND(Bills!L10=""),"",Bills!L10)</f>
        <v/>
      </c>
      <c r="L9" s="218">
        <f>IF(AND(Bills!M10=""),"",Bills!M10)</f>
        <v>57480</v>
      </c>
      <c r="M9" s="218">
        <f>IF(AND(Bills!N10=""),"",Bills!N10)</f>
        <v>4000</v>
      </c>
      <c r="N9" s="218">
        <f>IF(AND(Bills!O10=""),"",Bills!O10)</f>
        <v>3575</v>
      </c>
      <c r="O9" s="218">
        <f>IF(AND(Bills!P10=""),"",Bills!P10)</f>
        <v>602</v>
      </c>
      <c r="P9" s="218">
        <f>IF(AND(Bills!Q10=""),"",Bills!Q10)</f>
        <v>5365</v>
      </c>
      <c r="Q9" s="218">
        <f>IF(AND(Bills!R10=""),"",Bills!R10)</f>
        <v>2158</v>
      </c>
      <c r="R9" s="218" t="str">
        <f>IF(AND(Bills!S10=""),"",Bills!S10)</f>
        <v/>
      </c>
      <c r="S9" s="218" t="str">
        <f>IF(AND(Bills!T10=""),"",Bills!T10)</f>
        <v/>
      </c>
      <c r="T9" s="218" t="str">
        <f>IF(AND(Bills!U10=""),"",Bills!U10)</f>
        <v/>
      </c>
      <c r="U9" s="218">
        <f>IF(AND(Bills!V10=""),"",Bills!V10)</f>
        <v>500</v>
      </c>
      <c r="V9" s="218" t="str">
        <f>IF(AND(Bills!W10=""),"",Bills!W10)</f>
        <v/>
      </c>
      <c r="W9" s="218" t="str">
        <f>IF(AND(Bills!X10=""),"",Bills!X10)</f>
        <v/>
      </c>
      <c r="X9" s="218">
        <f>IF(AND(Bills!Y10=""),"",Bills!Y10)</f>
        <v>16200</v>
      </c>
      <c r="Y9" s="218">
        <f>IF(AND(Bills!Z10=""),"",Bills!Z10)</f>
        <v>41280</v>
      </c>
      <c r="Z9" s="218">
        <f>IF(AND(Bills!AA10=""),"",Bills!AA10)</f>
        <v>31093</v>
      </c>
      <c r="AA9" s="470">
        <f>IF(AND(Bills!AB10=""),"",Bills!AB10)</f>
        <v>43293</v>
      </c>
    </row>
    <row r="10" spans="1:89" ht="20.100000000000001" customHeight="1">
      <c r="A10" s="216">
        <v>5</v>
      </c>
      <c r="B10" s="217">
        <f>IF(AND(Bills!C11=""),"",Bills!C11)</f>
        <v>43647</v>
      </c>
      <c r="C10" s="218">
        <f>IF(AND(Bills!D11=""),"",Bills!D11)</f>
        <v>49300</v>
      </c>
      <c r="D10" s="218">
        <f>IF(AND(Bills!E11=""),"",Bills!E11)</f>
        <v>5916</v>
      </c>
      <c r="E10" s="218">
        <f>IF(AND(Bills!F11=""),"",Bills!F11)</f>
        <v>3944</v>
      </c>
      <c r="F10" s="218" t="str">
        <f>IF(AND(Bills!G11=""),"",Bills!G11)</f>
        <v/>
      </c>
      <c r="G10" s="218" t="str">
        <f>IF(AND(Bills!H11=""),"",Bills!H11)</f>
        <v/>
      </c>
      <c r="H10" s="218" t="str">
        <f>IF(AND(Bills!I11=""),"",Bills!I11)</f>
        <v/>
      </c>
      <c r="I10" s="218" t="str">
        <f>IF(AND(Bills!J11=""),"",Bills!J11)</f>
        <v/>
      </c>
      <c r="J10" s="218">
        <f>IF(AND(Bills!K11=""),"",Bills!K11)</f>
        <v>5522</v>
      </c>
      <c r="K10" s="218" t="str">
        <f>IF(AND(Bills!L11=""),"",Bills!L11)</f>
        <v/>
      </c>
      <c r="L10" s="218">
        <f>IF(AND(Bills!M11=""),"",Bills!M11)</f>
        <v>59160</v>
      </c>
      <c r="M10" s="218">
        <f>IF(AND(Bills!N11=""),"",Bills!N11)</f>
        <v>4000</v>
      </c>
      <c r="N10" s="218">
        <f>IF(AND(Bills!O11=""),"",Bills!O11)</f>
        <v>3575</v>
      </c>
      <c r="O10" s="218">
        <f>IF(AND(Bills!P11=""),"",Bills!P11)</f>
        <v>602</v>
      </c>
      <c r="P10" s="218">
        <f>IF(AND(Bills!Q11=""),"",Bills!Q11)</f>
        <v>5522</v>
      </c>
      <c r="Q10" s="218">
        <f>IF(AND(Bills!R11=""),"",Bills!R11)</f>
        <v>2158</v>
      </c>
      <c r="R10" s="218" t="str">
        <f>IF(AND(Bills!S11=""),"",Bills!S11)</f>
        <v/>
      </c>
      <c r="S10" s="218" t="str">
        <f>IF(AND(Bills!T11=""),"",Bills!T11)</f>
        <v/>
      </c>
      <c r="T10" s="218" t="str">
        <f>IF(AND(Bills!U11=""),"",Bills!U11)</f>
        <v/>
      </c>
      <c r="U10" s="218">
        <f>IF(AND(Bills!V11=""),"",Bills!V11)</f>
        <v>500</v>
      </c>
      <c r="V10" s="218" t="str">
        <f>IF(AND(Bills!W11=""),"",Bills!W11)</f>
        <v/>
      </c>
      <c r="W10" s="218" t="str">
        <f>IF(AND(Bills!X11=""),"",Bills!X11)</f>
        <v/>
      </c>
      <c r="X10" s="218">
        <f>IF(AND(Bills!Y11=""),"",Bills!Y11)</f>
        <v>16357</v>
      </c>
      <c r="Y10" s="218">
        <f>IF(AND(Bills!Z11=""),"",Bills!Z11)</f>
        <v>42803</v>
      </c>
      <c r="Z10" s="218">
        <f>IF(AND(Bills!AA11=""),"",Bills!AA11)</f>
        <v>36066</v>
      </c>
      <c r="AA10" s="470">
        <f>IF(AND(Bills!AB11=""),"",Bills!AB11)</f>
        <v>43313</v>
      </c>
    </row>
    <row r="11" spans="1:89" ht="20.100000000000001" customHeight="1">
      <c r="A11" s="216">
        <v>6</v>
      </c>
      <c r="B11" s="217">
        <f>IF(AND(Bills!C12=""),"",Bills!C12)</f>
        <v>43678</v>
      </c>
      <c r="C11" s="218">
        <f>IF(AND(Bills!D12=""),"",Bills!D12)</f>
        <v>49300</v>
      </c>
      <c r="D11" s="218">
        <f>IF(AND(Bills!E12=""),"",Bills!E12)</f>
        <v>5916</v>
      </c>
      <c r="E11" s="218">
        <f>IF(AND(Bills!F12=""),"",Bills!F12)</f>
        <v>3944</v>
      </c>
      <c r="F11" s="218" t="str">
        <f>IF(AND(Bills!G12=""),"",Bills!G12)</f>
        <v/>
      </c>
      <c r="G11" s="218" t="str">
        <f>IF(AND(Bills!H12=""),"",Bills!H12)</f>
        <v/>
      </c>
      <c r="H11" s="218" t="str">
        <f>IF(AND(Bills!I12=""),"",Bills!I12)</f>
        <v/>
      </c>
      <c r="I11" s="218" t="str">
        <f>IF(AND(Bills!J12=""),"",Bills!J12)</f>
        <v/>
      </c>
      <c r="J11" s="218">
        <f>IF(AND(Bills!K12=""),"",Bills!K12)</f>
        <v>5522</v>
      </c>
      <c r="K11" s="218" t="str">
        <f>IF(AND(Bills!L12=""),"",Bills!L12)</f>
        <v/>
      </c>
      <c r="L11" s="218">
        <f>IF(AND(Bills!M12=""),"",Bills!M12)</f>
        <v>59160</v>
      </c>
      <c r="M11" s="218">
        <f>IF(AND(Bills!N12=""),"",Bills!N12)</f>
        <v>4000</v>
      </c>
      <c r="N11" s="218">
        <f>IF(AND(Bills!O12=""),"",Bills!O12)</f>
        <v>3575</v>
      </c>
      <c r="O11" s="218">
        <f>IF(AND(Bills!P12=""),"",Bills!P12)</f>
        <v>602</v>
      </c>
      <c r="P11" s="218">
        <f>IF(AND(Bills!Q12=""),"",Bills!Q12)</f>
        <v>5522</v>
      </c>
      <c r="Q11" s="218">
        <f>IF(AND(Bills!R12=""),"",Bills!R12)</f>
        <v>2158</v>
      </c>
      <c r="R11" s="218" t="str">
        <f>IF(AND(Bills!S12=""),"",Bills!S12)</f>
        <v/>
      </c>
      <c r="S11" s="218" t="str">
        <f>IF(AND(Bills!T12=""),"",Bills!T12)</f>
        <v/>
      </c>
      <c r="T11" s="218" t="str">
        <f>IF(AND(Bills!U12=""),"",Bills!U12)</f>
        <v/>
      </c>
      <c r="U11" s="218">
        <f>IF(AND(Bills!V12=""),"",Bills!V12)</f>
        <v>500</v>
      </c>
      <c r="V11" s="218" t="str">
        <f>IF(AND(Bills!W12=""),"",Bills!W12)</f>
        <v/>
      </c>
      <c r="W11" s="218" t="str">
        <f>IF(AND(Bills!X12=""),"",Bills!X12)</f>
        <v/>
      </c>
      <c r="X11" s="218">
        <f>IF(AND(Bills!Y12=""),"",Bills!Y12)</f>
        <v>16357</v>
      </c>
      <c r="Y11" s="218">
        <f>IF(AND(Bills!Z12=""),"",Bills!Z12)</f>
        <v>42803</v>
      </c>
      <c r="Z11" s="218">
        <f>IF(AND(Bills!AA12=""),"",Bills!AA12)</f>
        <v>51985</v>
      </c>
      <c r="AA11" s="470">
        <f>IF(AND(Bills!AB12=""),"",Bills!AB12)</f>
        <v>43344</v>
      </c>
    </row>
    <row r="12" spans="1:89" ht="20.100000000000001" customHeight="1">
      <c r="A12" s="216">
        <v>7</v>
      </c>
      <c r="B12" s="217">
        <f>IF(AND(Bills!C13=""),"",Bills!C13)</f>
        <v>43709</v>
      </c>
      <c r="C12" s="218">
        <f>IF(AND(Bills!D13=""),"",Bills!D13)</f>
        <v>49300</v>
      </c>
      <c r="D12" s="218">
        <f>IF(AND(Bills!E13=""),"",Bills!E13)</f>
        <v>5916</v>
      </c>
      <c r="E12" s="218">
        <f>IF(AND(Bills!F13=""),"",Bills!F13)</f>
        <v>3944</v>
      </c>
      <c r="F12" s="218" t="str">
        <f>IF(AND(Bills!G13=""),"",Bills!G13)</f>
        <v/>
      </c>
      <c r="G12" s="218" t="str">
        <f>IF(AND(Bills!H13=""),"",Bills!H13)</f>
        <v/>
      </c>
      <c r="H12" s="218" t="str">
        <f>IF(AND(Bills!I13=""),"",Bills!I13)</f>
        <v/>
      </c>
      <c r="I12" s="218" t="str">
        <f>IF(AND(Bills!J13=""),"",Bills!J13)</f>
        <v/>
      </c>
      <c r="J12" s="218">
        <f>IF(AND(Bills!K13=""),"",Bills!K13)</f>
        <v>5522</v>
      </c>
      <c r="K12" s="218" t="str">
        <f>IF(AND(Bills!L13=""),"",Bills!L13)</f>
        <v/>
      </c>
      <c r="L12" s="218">
        <f>IF(AND(Bills!M13=""),"",Bills!M13)</f>
        <v>59160</v>
      </c>
      <c r="M12" s="218">
        <f>IF(AND(Bills!N13=""),"",Bills!N13)</f>
        <v>4000</v>
      </c>
      <c r="N12" s="218">
        <f>IF(AND(Bills!O13=""),"",Bills!O13)</f>
        <v>3575</v>
      </c>
      <c r="O12" s="218">
        <f>IF(AND(Bills!P13=""),"",Bills!P13)</f>
        <v>602</v>
      </c>
      <c r="P12" s="218">
        <f>IF(AND(Bills!Q13=""),"",Bills!Q13)</f>
        <v>5522</v>
      </c>
      <c r="Q12" s="218">
        <f>IF(AND(Bills!R13=""),"",Bills!R13)</f>
        <v>2158</v>
      </c>
      <c r="R12" s="218" t="str">
        <f>IF(AND(Bills!S13=""),"",Bills!S13)</f>
        <v/>
      </c>
      <c r="S12" s="218" t="str">
        <f>IF(AND(Bills!T13=""),"",Bills!T13)</f>
        <v/>
      </c>
      <c r="T12" s="218" t="str">
        <f>IF(AND(Bills!U13=""),"",Bills!U13)</f>
        <v/>
      </c>
      <c r="U12" s="218">
        <f>IF(AND(Bills!V13=""),"",Bills!V13)</f>
        <v>500</v>
      </c>
      <c r="V12" s="218" t="str">
        <f>IF(AND(Bills!W13=""),"",Bills!W13)</f>
        <v/>
      </c>
      <c r="W12" s="218" t="str">
        <f>IF(AND(Bills!X13=""),"",Bills!X13)</f>
        <v/>
      </c>
      <c r="X12" s="218">
        <f>IF(AND(Bills!Y13=""),"",Bills!Y13)</f>
        <v>16357</v>
      </c>
      <c r="Y12" s="218">
        <f>IF(AND(Bills!Z13=""),"",Bills!Z13)</f>
        <v>42803</v>
      </c>
      <c r="Z12" s="218">
        <f>IF(AND(Bills!AA13=""),"",Bills!AA13)</f>
        <v>61201</v>
      </c>
      <c r="AA12" s="470">
        <f>IF(AND(Bills!AB13=""),"",Bills!AB13)</f>
        <v>43377</v>
      </c>
    </row>
    <row r="13" spans="1:89" ht="20.100000000000001" customHeight="1">
      <c r="A13" s="216">
        <v>8</v>
      </c>
      <c r="B13" s="217">
        <f>IF(AND(Bills!C14=""),"",Bills!C14)</f>
        <v>43739</v>
      </c>
      <c r="C13" s="218">
        <f>IF(AND(Bills!D14=""),"",Bills!D14)</f>
        <v>49300</v>
      </c>
      <c r="D13" s="218">
        <f>IF(AND(Bills!E14=""),"",Bills!E14)</f>
        <v>5916</v>
      </c>
      <c r="E13" s="218">
        <f>IF(AND(Bills!F14=""),"",Bills!F14)</f>
        <v>3944</v>
      </c>
      <c r="F13" s="218" t="str">
        <f>IF(AND(Bills!G14=""),"",Bills!G14)</f>
        <v/>
      </c>
      <c r="G13" s="218" t="str">
        <f>IF(AND(Bills!H14=""),"",Bills!H14)</f>
        <v/>
      </c>
      <c r="H13" s="218" t="str">
        <f>IF(AND(Bills!I14=""),"",Bills!I14)</f>
        <v/>
      </c>
      <c r="I13" s="218" t="str">
        <f>IF(AND(Bills!J14=""),"",Bills!J14)</f>
        <v/>
      </c>
      <c r="J13" s="218">
        <f>IF(AND(Bills!K14=""),"",Bills!K14)</f>
        <v>5522</v>
      </c>
      <c r="K13" s="218" t="str">
        <f>IF(AND(Bills!L14=""),"",Bills!L14)</f>
        <v/>
      </c>
      <c r="L13" s="218">
        <f>IF(AND(Bills!M14=""),"",Bills!M14)</f>
        <v>59160</v>
      </c>
      <c r="M13" s="218">
        <f>IF(AND(Bills!N14=""),"",Bills!N14)</f>
        <v>4000</v>
      </c>
      <c r="N13" s="218">
        <f>IF(AND(Bills!O14=""),"",Bills!O14)</f>
        <v>3575</v>
      </c>
      <c r="O13" s="218">
        <f>IF(AND(Bills!P14=""),"",Bills!P14)</f>
        <v>602</v>
      </c>
      <c r="P13" s="218">
        <f>IF(AND(Bills!Q14=""),"",Bills!Q14)</f>
        <v>5522</v>
      </c>
      <c r="Q13" s="218">
        <f>IF(AND(Bills!R14=""),"",Bills!R14)</f>
        <v>2158</v>
      </c>
      <c r="R13" s="218" t="str">
        <f>IF(AND(Bills!S14=""),"",Bills!S14)</f>
        <v/>
      </c>
      <c r="S13" s="218" t="str">
        <f>IF(AND(Bills!T14=""),"",Bills!T14)</f>
        <v/>
      </c>
      <c r="T13" s="218" t="str">
        <f>IF(AND(Bills!U14=""),"",Bills!U14)</f>
        <v/>
      </c>
      <c r="U13" s="218">
        <f>IF(AND(Bills!V14=""),"",Bills!V14)</f>
        <v>500</v>
      </c>
      <c r="V13" s="218" t="str">
        <f>IF(AND(Bills!W14=""),"",Bills!W14)</f>
        <v/>
      </c>
      <c r="W13" s="218" t="str">
        <f>IF(AND(Bills!X14=""),"",Bills!X14)</f>
        <v/>
      </c>
      <c r="X13" s="218">
        <f>IF(AND(Bills!Y14=""),"",Bills!Y14)</f>
        <v>16357</v>
      </c>
      <c r="Y13" s="218">
        <f>IF(AND(Bills!Z14=""),"",Bills!Z14)</f>
        <v>42803</v>
      </c>
      <c r="Z13" s="218" t="str">
        <f>IF(AND(Bills!AA14=""),"",Bills!AA14)</f>
        <v/>
      </c>
      <c r="AA13" s="470" t="str">
        <f>IF(AND(Bills!AB14=""),"",Bills!AB14)</f>
        <v/>
      </c>
    </row>
    <row r="14" spans="1:89" ht="20.100000000000001" customHeight="1">
      <c r="A14" s="216">
        <v>9</v>
      </c>
      <c r="B14" s="217">
        <f>IF(AND(Bills!C15=""),"",Bills!C15)</f>
        <v>43770</v>
      </c>
      <c r="C14" s="218">
        <f>IF(AND(Bills!D15=""),"",Bills!D15)</f>
        <v>49300</v>
      </c>
      <c r="D14" s="218">
        <f>IF(AND(Bills!E15=""),"",Bills!E15)</f>
        <v>5916</v>
      </c>
      <c r="E14" s="218">
        <f>IF(AND(Bills!F15=""),"",Bills!F15)</f>
        <v>3944</v>
      </c>
      <c r="F14" s="218" t="str">
        <f>IF(AND(Bills!G15=""),"",Bills!G15)</f>
        <v/>
      </c>
      <c r="G14" s="218" t="str">
        <f>IF(AND(Bills!H15=""),"",Bills!H15)</f>
        <v/>
      </c>
      <c r="H14" s="218" t="str">
        <f>IF(AND(Bills!I15=""),"",Bills!I15)</f>
        <v/>
      </c>
      <c r="I14" s="218" t="str">
        <f>IF(AND(Bills!J15=""),"",Bills!J15)</f>
        <v/>
      </c>
      <c r="J14" s="218">
        <f>IF(AND(Bills!K15=""),"",Bills!K15)</f>
        <v>5522</v>
      </c>
      <c r="K14" s="218" t="str">
        <f>IF(AND(Bills!L15=""),"",Bills!L15)</f>
        <v/>
      </c>
      <c r="L14" s="218">
        <f>IF(AND(Bills!M15=""),"",Bills!M15)</f>
        <v>59160</v>
      </c>
      <c r="M14" s="218">
        <f>IF(AND(Bills!N15=""),"",Bills!N15)</f>
        <v>4000</v>
      </c>
      <c r="N14" s="218">
        <f>IF(AND(Bills!O15=""),"",Bills!O15)</f>
        <v>3575</v>
      </c>
      <c r="O14" s="218">
        <f>IF(AND(Bills!P15=""),"",Bills!P15)</f>
        <v>602</v>
      </c>
      <c r="P14" s="218">
        <f>IF(AND(Bills!Q15=""),"",Bills!Q15)</f>
        <v>5522</v>
      </c>
      <c r="Q14" s="218">
        <f>IF(AND(Bills!R15=""),"",Bills!R15)</f>
        <v>2158</v>
      </c>
      <c r="R14" s="218" t="str">
        <f>IF(AND(Bills!S15=""),"",Bills!S15)</f>
        <v/>
      </c>
      <c r="S14" s="218" t="str">
        <f>IF(AND(Bills!T15=""),"",Bills!T15)</f>
        <v/>
      </c>
      <c r="T14" s="218" t="str">
        <f>IF(AND(Bills!U15=""),"",Bills!U15)</f>
        <v/>
      </c>
      <c r="U14" s="218">
        <f>IF(AND(Bills!V15=""),"",Bills!V15)</f>
        <v>500</v>
      </c>
      <c r="V14" s="218" t="str">
        <f>IF(AND(Bills!W15=""),"",Bills!W15)</f>
        <v/>
      </c>
      <c r="W14" s="218" t="str">
        <f>IF(AND(Bills!X15=""),"",Bills!X15)</f>
        <v/>
      </c>
      <c r="X14" s="218">
        <f>IF(AND(Bills!Y15=""),"",Bills!Y15)</f>
        <v>16357</v>
      </c>
      <c r="Y14" s="218">
        <f>IF(AND(Bills!Z15=""),"",Bills!Z15)</f>
        <v>42803</v>
      </c>
      <c r="Z14" s="218" t="str">
        <f>IF(AND(Bills!AA15=""),"",Bills!AA15)</f>
        <v/>
      </c>
      <c r="AA14" s="470" t="str">
        <f>IF(AND(Bills!AB15=""),"",Bills!AB15)</f>
        <v/>
      </c>
      <c r="AD14" s="219"/>
    </row>
    <row r="15" spans="1:89" ht="20.100000000000001" customHeight="1">
      <c r="A15" s="216">
        <v>10</v>
      </c>
      <c r="B15" s="217">
        <f>IF(AND(Bills!C16=""),"",Bills!C16)</f>
        <v>43800</v>
      </c>
      <c r="C15" s="218">
        <f>IF(AND(Bills!D16=""),"",Bills!D16)</f>
        <v>49300</v>
      </c>
      <c r="D15" s="218">
        <f>IF(AND(Bills!E16=""),"",Bills!E16)</f>
        <v>5916</v>
      </c>
      <c r="E15" s="218">
        <f>IF(AND(Bills!F16=""),"",Bills!F16)</f>
        <v>3944</v>
      </c>
      <c r="F15" s="218" t="str">
        <f>IF(AND(Bills!G16=""),"",Bills!G16)</f>
        <v/>
      </c>
      <c r="G15" s="218" t="str">
        <f>IF(AND(Bills!H16=""),"",Bills!H16)</f>
        <v/>
      </c>
      <c r="H15" s="218" t="str">
        <f>IF(AND(Bills!I16=""),"",Bills!I16)</f>
        <v/>
      </c>
      <c r="I15" s="218" t="str">
        <f>IF(AND(Bills!J16=""),"",Bills!J16)</f>
        <v/>
      </c>
      <c r="J15" s="218">
        <f>IF(AND(Bills!K16=""),"",Bills!K16)</f>
        <v>5522</v>
      </c>
      <c r="K15" s="218" t="str">
        <f>IF(AND(Bills!L16=""),"",Bills!L16)</f>
        <v/>
      </c>
      <c r="L15" s="218">
        <f>IF(AND(Bills!M16=""),"",Bills!M16)</f>
        <v>59160</v>
      </c>
      <c r="M15" s="218">
        <f>IF(AND(Bills!N16=""),"",Bills!N16)</f>
        <v>4000</v>
      </c>
      <c r="N15" s="218">
        <f>IF(AND(Bills!O16=""),"",Bills!O16)</f>
        <v>3575</v>
      </c>
      <c r="O15" s="218">
        <f>IF(AND(Bills!P16=""),"",Bills!P16)</f>
        <v>602</v>
      </c>
      <c r="P15" s="218">
        <f>IF(AND(Bills!Q16=""),"",Bills!Q16)</f>
        <v>5522</v>
      </c>
      <c r="Q15" s="218">
        <f>IF(AND(Bills!R16=""),"",Bills!R16)</f>
        <v>2158</v>
      </c>
      <c r="R15" s="218" t="str">
        <f>IF(AND(Bills!S16=""),"",Bills!S16)</f>
        <v/>
      </c>
      <c r="S15" s="218" t="str">
        <f>IF(AND(Bills!T16=""),"",Bills!T16)</f>
        <v/>
      </c>
      <c r="T15" s="218" t="str">
        <f>IF(AND(Bills!U16=""),"",Bills!U16)</f>
        <v/>
      </c>
      <c r="U15" s="218">
        <f>IF(AND(Bills!V16=""),"",Bills!V16)</f>
        <v>500</v>
      </c>
      <c r="V15" s="218" t="str">
        <f>IF(AND(Bills!W16=""),"",Bills!W16)</f>
        <v/>
      </c>
      <c r="W15" s="218" t="str">
        <f>IF(AND(Bills!X16=""),"",Bills!X16)</f>
        <v/>
      </c>
      <c r="X15" s="218">
        <f>IF(AND(Bills!Y16=""),"",Bills!Y16)</f>
        <v>16357</v>
      </c>
      <c r="Y15" s="218">
        <f>IF(AND(Bills!Z16=""),"",Bills!Z16)</f>
        <v>42803</v>
      </c>
      <c r="Z15" s="218" t="str">
        <f>IF(AND(Bills!AA16=""),"",Bills!AA16)</f>
        <v/>
      </c>
      <c r="AA15" s="470" t="str">
        <f>IF(AND(Bills!AB16=""),"",Bills!AB16)</f>
        <v/>
      </c>
    </row>
    <row r="16" spans="1:89" ht="20.100000000000001" customHeight="1">
      <c r="A16" s="216">
        <v>11</v>
      </c>
      <c r="B16" s="217">
        <f>IF(AND(Bills!C17=""),"",Bills!C17)</f>
        <v>43831</v>
      </c>
      <c r="C16" s="218">
        <f>IF(AND(Bills!D17=""),"",Bills!D17)</f>
        <v>49300</v>
      </c>
      <c r="D16" s="218">
        <f>IF(AND(Bills!E17=""),"",Bills!E17)</f>
        <v>5916</v>
      </c>
      <c r="E16" s="218">
        <f>IF(AND(Bills!F17=""),"",Bills!F17)</f>
        <v>3944</v>
      </c>
      <c r="F16" s="218" t="str">
        <f>IF(AND(Bills!G17=""),"",Bills!G17)</f>
        <v/>
      </c>
      <c r="G16" s="218" t="str">
        <f>IF(AND(Bills!H17=""),"",Bills!H17)</f>
        <v/>
      </c>
      <c r="H16" s="218" t="str">
        <f>IF(AND(Bills!I17=""),"",Bills!I17)</f>
        <v/>
      </c>
      <c r="I16" s="218" t="str">
        <f>IF(AND(Bills!J17=""),"",Bills!J17)</f>
        <v/>
      </c>
      <c r="J16" s="218">
        <f>IF(AND(Bills!K17=""),"",Bills!K17)</f>
        <v>5522</v>
      </c>
      <c r="K16" s="218" t="str">
        <f>IF(AND(Bills!L17=""),"",Bills!L17)</f>
        <v/>
      </c>
      <c r="L16" s="218">
        <f>IF(AND(Bills!M17=""),"",Bills!M17)</f>
        <v>59160</v>
      </c>
      <c r="M16" s="218">
        <f>IF(AND(Bills!N17=""),"",Bills!N17)</f>
        <v>4000</v>
      </c>
      <c r="N16" s="218">
        <f>IF(AND(Bills!O17=""),"",Bills!O17)</f>
        <v>3575</v>
      </c>
      <c r="O16" s="218">
        <f>IF(AND(Bills!P17=""),"",Bills!P17)</f>
        <v>602</v>
      </c>
      <c r="P16" s="218">
        <f>IF(AND(Bills!Q17=""),"",Bills!Q17)</f>
        <v>5522</v>
      </c>
      <c r="Q16" s="218">
        <f>IF(AND(Bills!R17=""),"",Bills!R17)</f>
        <v>2158</v>
      </c>
      <c r="R16" s="218" t="str">
        <f>IF(AND(Bills!S17=""),"",Bills!S17)</f>
        <v/>
      </c>
      <c r="S16" s="218" t="str">
        <f>IF(AND(Bills!T17=""),"",Bills!T17)</f>
        <v/>
      </c>
      <c r="T16" s="218" t="str">
        <f>IF(AND(Bills!U17=""),"",Bills!U17)</f>
        <v/>
      </c>
      <c r="U16" s="218">
        <f>IF(AND(Bills!V17=""),"",Bills!V17)</f>
        <v>500</v>
      </c>
      <c r="V16" s="218" t="str">
        <f>IF(AND(Bills!W17=""),"",Bills!W17)</f>
        <v/>
      </c>
      <c r="W16" s="218" t="str">
        <f>IF(AND(Bills!X17=""),"",Bills!X17)</f>
        <v/>
      </c>
      <c r="X16" s="218">
        <f>IF(AND(Bills!Y17=""),"",Bills!Y17)</f>
        <v>16357</v>
      </c>
      <c r="Y16" s="218">
        <f>IF(AND(Bills!Z17=""),"",Bills!Z17)</f>
        <v>42803</v>
      </c>
      <c r="Z16" s="218" t="str">
        <f>IF(AND(Bills!AA17=""),"",Bills!AA17)</f>
        <v/>
      </c>
      <c r="AA16" s="470" t="str">
        <f>IF(AND(Bills!AB17=""),"",Bills!AB17)</f>
        <v/>
      </c>
    </row>
    <row r="17" spans="1:27" ht="20.100000000000001" customHeight="1">
      <c r="A17" s="216">
        <v>12</v>
      </c>
      <c r="B17" s="217">
        <f>IF(AND(Bills!C18=""),"",Bills!C18)</f>
        <v>43862</v>
      </c>
      <c r="C17" s="218">
        <f>IF(AND(Bills!D18=""),"",Bills!D18)</f>
        <v>49300</v>
      </c>
      <c r="D17" s="218">
        <f>IF(AND(Bills!E18=""),"",Bills!E18)</f>
        <v>5916</v>
      </c>
      <c r="E17" s="218">
        <f>IF(AND(Bills!F18=""),"",Bills!F18)</f>
        <v>3944</v>
      </c>
      <c r="F17" s="218" t="str">
        <f>IF(AND(Bills!G18=""),"",Bills!G18)</f>
        <v/>
      </c>
      <c r="G17" s="218" t="str">
        <f>IF(AND(Bills!H18=""),"",Bills!H18)</f>
        <v/>
      </c>
      <c r="H17" s="218" t="str">
        <f>IF(AND(Bills!I18=""),"",Bills!I18)</f>
        <v/>
      </c>
      <c r="I17" s="218" t="str">
        <f>IF(AND(Bills!J18=""),"",Bills!J18)</f>
        <v/>
      </c>
      <c r="J17" s="218">
        <f>IF(AND(Bills!K18=""),"",Bills!K18)</f>
        <v>5522</v>
      </c>
      <c r="K17" s="218" t="str">
        <f>IF(AND(Bills!L18=""),"",Bills!L18)</f>
        <v/>
      </c>
      <c r="L17" s="218">
        <f>IF(AND(Bills!M18=""),"",Bills!M18)</f>
        <v>59160</v>
      </c>
      <c r="M17" s="218">
        <f>IF(AND(Bills!N18=""),"",Bills!N18)</f>
        <v>4000</v>
      </c>
      <c r="N17" s="218">
        <f>IF(AND(Bills!O18=""),"",Bills!O18)</f>
        <v>3575</v>
      </c>
      <c r="O17" s="218">
        <f>IF(AND(Bills!P18=""),"",Bills!P18)</f>
        <v>602</v>
      </c>
      <c r="P17" s="218">
        <f>IF(AND(Bills!Q18=""),"",Bills!Q18)</f>
        <v>5522</v>
      </c>
      <c r="Q17" s="218">
        <f>IF(AND(Bills!R18=""),"",Bills!R18)</f>
        <v>2158</v>
      </c>
      <c r="R17" s="218" t="str">
        <f>IF(AND(Bills!S18=""),"",Bills!S18)</f>
        <v/>
      </c>
      <c r="S17" s="218" t="str">
        <f>IF(AND(Bills!T18=""),"",Bills!T18)</f>
        <v/>
      </c>
      <c r="T17" s="218" t="str">
        <f>IF(AND(Bills!U18=""),"",Bills!U18)</f>
        <v/>
      </c>
      <c r="U17" s="218">
        <f>IF(AND(Bills!V18=""),"",Bills!V18)</f>
        <v>500</v>
      </c>
      <c r="V17" s="218" t="str">
        <f>IF(AND(Bills!W18=""),"",Bills!W18)</f>
        <v/>
      </c>
      <c r="W17" s="218" t="str">
        <f>IF(AND(Bills!X18=""),"",Bills!X18)</f>
        <v/>
      </c>
      <c r="X17" s="218">
        <f>IF(AND(Bills!Y18=""),"",Bills!Y18)</f>
        <v>16357</v>
      </c>
      <c r="Y17" s="218">
        <f>IF(AND(Bills!Z18=""),"",Bills!Z18)</f>
        <v>42803</v>
      </c>
      <c r="Z17" s="218" t="str">
        <f>IF(AND(Bills!AA18=""),"",Bills!AA18)</f>
        <v/>
      </c>
      <c r="AA17" s="470" t="str">
        <f>IF(AND(Bills!AB18=""),"",Bills!AB18)</f>
        <v/>
      </c>
    </row>
    <row r="18" spans="1:27" ht="20.100000000000001" customHeight="1">
      <c r="A18" s="216">
        <v>13</v>
      </c>
      <c r="B18" s="217" t="str">
        <f>IF(AND(Bills!C19=""),"",Bills!C19)</f>
        <v>Bonus</v>
      </c>
      <c r="C18" s="218" t="str">
        <f>IF(AND(Bills!D19=""),"",Bills!D19)</f>
        <v/>
      </c>
      <c r="D18" s="218" t="str">
        <f>IF(AND(Bills!E19=""),"",Bills!E19)</f>
        <v/>
      </c>
      <c r="E18" s="218" t="str">
        <f>IF(AND(Bills!F19=""),"",Bills!F19)</f>
        <v/>
      </c>
      <c r="F18" s="218" t="str">
        <f>IF(AND(Bills!G19=""),"",Bills!G19)</f>
        <v/>
      </c>
      <c r="G18" s="218" t="str">
        <f>IF(AND(Bills!H19=""),"",Bills!H19)</f>
        <v/>
      </c>
      <c r="H18" s="218">
        <f>IF(AND(Bills!I19=""),"",Bills!I19)</f>
        <v>6774</v>
      </c>
      <c r="I18" s="218" t="str">
        <f>IF(AND(Bills!J19=""),"",Bills!J19)</f>
        <v/>
      </c>
      <c r="J18" s="218" t="str">
        <f>IF(AND(Bills!K19=""),"",Bills!K19)</f>
        <v/>
      </c>
      <c r="K18" s="218" t="str">
        <f>IF(AND(Bills!L19=""),"",Bills!L19)</f>
        <v/>
      </c>
      <c r="L18" s="218">
        <f>IF(AND(Bills!M19=""),"",Bills!M19)</f>
        <v>6774</v>
      </c>
      <c r="M18" s="218" t="str">
        <f>IF(AND(Bills!N19=""),"",Bills!N19)</f>
        <v/>
      </c>
      <c r="N18" s="218" t="str">
        <f>IF(AND(Bills!O19=""),"",Bills!O19)</f>
        <v/>
      </c>
      <c r="O18" s="218" t="str">
        <f>IF(AND(Bills!P19=""),"",Bills!P19)</f>
        <v/>
      </c>
      <c r="P18" s="218" t="str">
        <f>IF(AND(Bills!Q19=""),"",Bills!Q19)</f>
        <v/>
      </c>
      <c r="Q18" s="218" t="str">
        <f>IF(AND(Bills!R19=""),"",Bills!R19)</f>
        <v/>
      </c>
      <c r="R18" s="218" t="str">
        <f>IF(AND(Bills!S19=""),"",Bills!S19)</f>
        <v/>
      </c>
      <c r="S18" s="218" t="str">
        <f>IF(AND(Bills!T19=""),"",Bills!T19)</f>
        <v/>
      </c>
      <c r="T18" s="218" t="str">
        <f>IF(AND(Bills!U19=""),"",Bills!U19)</f>
        <v/>
      </c>
      <c r="U18" s="218" t="str">
        <f>IF(AND(Bills!V19=""),"",Bills!V19)</f>
        <v/>
      </c>
      <c r="V18" s="218" t="str">
        <f>IF(AND(Bills!W19=""),"",Bills!W19)</f>
        <v/>
      </c>
      <c r="W18" s="218" t="str">
        <f>IF(AND(Bills!X19=""),"",Bills!X19)</f>
        <v/>
      </c>
      <c r="X18" s="218">
        <f>IF(AND(Bills!Y19=""),"",Bills!Y19)</f>
        <v>0</v>
      </c>
      <c r="Y18" s="218">
        <f>IF(AND(Bills!Z19=""),"",Bills!Z19)</f>
        <v>6774</v>
      </c>
      <c r="Z18" s="218" t="str">
        <f>IF(AND(Bills!AA19=""),"",Bills!AA19)</f>
        <v/>
      </c>
      <c r="AA18" s="470" t="str">
        <f>IF(AND(Bills!AB19=""),"",Bills!AB19)</f>
        <v/>
      </c>
    </row>
    <row r="19" spans="1:27" ht="24" customHeight="1">
      <c r="A19" s="216">
        <v>14</v>
      </c>
      <c r="B19" s="217" t="str">
        <f>IF(AND(Bills!C20=""),"",Bills!C20)</f>
        <v xml:space="preserve">PL  Surrender </v>
      </c>
      <c r="C19" s="218">
        <f>IF(AND(Bills!D20=""),"",Bills!D20)</f>
        <v>24650</v>
      </c>
      <c r="D19" s="218">
        <f>IF(AND(Bills!E20=""),"",Bills!E20)</f>
        <v>2958</v>
      </c>
      <c r="E19" s="218" t="str">
        <f>IF(AND(Bills!F20=""),"",Bills!F20)</f>
        <v/>
      </c>
      <c r="F19" s="218" t="str">
        <f>IF(AND(Bills!G20=""),"",Bills!G20)</f>
        <v/>
      </c>
      <c r="G19" s="218" t="str">
        <f>IF(AND(Bills!H20=""),"",Bills!H20)</f>
        <v/>
      </c>
      <c r="H19" s="218" t="str">
        <f>IF(AND(Bills!I20=""),"",Bills!I20)</f>
        <v/>
      </c>
      <c r="I19" s="218" t="str">
        <f>IF(AND(Bills!J20=""),"",Bills!J20)</f>
        <v/>
      </c>
      <c r="J19" s="218" t="str">
        <f>IF(AND(Bills!K20=""),"",Bills!K20)</f>
        <v/>
      </c>
      <c r="K19" s="218" t="str">
        <f>IF(AND(Bills!L20=""),"",Bills!L20)</f>
        <v/>
      </c>
      <c r="L19" s="218">
        <f>IF(AND(Bills!M20=""),"",Bills!M20)</f>
        <v>27608</v>
      </c>
      <c r="M19" s="218" t="str">
        <f>IF(AND(Bills!N20=""),"",Bills!N20)</f>
        <v/>
      </c>
      <c r="N19" s="218" t="str">
        <f>IF(AND(Bills!O20=""),"",Bills!O20)</f>
        <v/>
      </c>
      <c r="O19" s="218" t="str">
        <f>IF(AND(Bills!P20=""),"",Bills!P20)</f>
        <v/>
      </c>
      <c r="P19" s="218" t="str">
        <f>IF(AND(Bills!Q20=""),"",Bills!Q20)</f>
        <v/>
      </c>
      <c r="Q19" s="218" t="str">
        <f>IF(AND(Bills!R20=""),"",Bills!R20)</f>
        <v/>
      </c>
      <c r="R19" s="218" t="str">
        <f>IF(AND(Bills!S20=""),"",Bills!S20)</f>
        <v/>
      </c>
      <c r="S19" s="218" t="str">
        <f>IF(AND(Bills!T20=""),"",Bills!T20)</f>
        <v/>
      </c>
      <c r="T19" s="218" t="str">
        <f>IF(AND(Bills!U20=""),"",Bills!U20)</f>
        <v/>
      </c>
      <c r="U19" s="218" t="str">
        <f>IF(AND(Bills!V20=""),"",Bills!V20)</f>
        <v/>
      </c>
      <c r="V19" s="218" t="str">
        <f>IF(AND(Bills!W20=""),"",Bills!W20)</f>
        <v/>
      </c>
      <c r="W19" s="218" t="str">
        <f>IF(AND(Bills!X20=""),"",Bills!X20)</f>
        <v/>
      </c>
      <c r="X19" s="218">
        <f>IF(AND(Bills!Y20=""),"",Bills!Y20)</f>
        <v>0</v>
      </c>
      <c r="Y19" s="218">
        <f>IF(AND(Bills!Z20=""),"",Bills!Z20)</f>
        <v>27608</v>
      </c>
      <c r="Z19" s="218" t="str">
        <f>IF(AND(Bills!AA20=""),"",Bills!AA20)</f>
        <v/>
      </c>
      <c r="AA19" s="470" t="str">
        <f>IF(AND(Bills!AB20=""),"",Bills!AB20)</f>
        <v/>
      </c>
    </row>
    <row r="20" spans="1:27" ht="24" customHeight="1">
      <c r="A20" s="216">
        <v>15</v>
      </c>
      <c r="B20" s="217" t="str">
        <f>IF(AND(Bills!C21=""),"",Bills!C21)</f>
        <v>DA Arrear 12%</v>
      </c>
      <c r="C20" s="218" t="str">
        <f>IF(AND(Bills!D21=""),"",Bills!D21)</f>
        <v/>
      </c>
      <c r="D20" s="218">
        <f>IF(AND(Bills!E21=""),"",Bills!E21)</f>
        <v>2874</v>
      </c>
      <c r="E20" s="218" t="str">
        <f>IF(AND(Bills!F21=""),"",Bills!F21)</f>
        <v/>
      </c>
      <c r="F20" s="218" t="str">
        <f>IF(AND(Bills!G21=""),"",Bills!G21)</f>
        <v/>
      </c>
      <c r="G20" s="218" t="str">
        <f>IF(AND(Bills!H21=""),"",Bills!H21)</f>
        <v/>
      </c>
      <c r="H20" s="218" t="str">
        <f>IF(AND(Bills!I21=""),"",Bills!I21)</f>
        <v/>
      </c>
      <c r="I20" s="218" t="str">
        <f>IF(AND(Bills!J21=""),"",Bills!J21)</f>
        <v/>
      </c>
      <c r="J20" s="218" t="str">
        <f>IF(AND(Bills!K21=""),"",Bills!K21)</f>
        <v/>
      </c>
      <c r="K20" s="218" t="str">
        <f>IF(AND(Bills!L21=""),"",Bills!L21)</f>
        <v/>
      </c>
      <c r="L20" s="218">
        <f>IF(AND(Bills!M21=""),"",Bills!M21)</f>
        <v>2874</v>
      </c>
      <c r="M20" s="218" t="str">
        <f>IF(AND(Bills!N21=""),"",Bills!N21)</f>
        <v/>
      </c>
      <c r="N20" s="218" t="str">
        <f>IF(AND(Bills!O21=""),"",Bills!O21)</f>
        <v/>
      </c>
      <c r="O20" s="218" t="str">
        <f>IF(AND(Bills!P21=""),"",Bills!P21)</f>
        <v/>
      </c>
      <c r="P20" s="218" t="str">
        <f>IF(AND(Bills!Q21=""),"",Bills!Q21)</f>
        <v/>
      </c>
      <c r="Q20" s="218" t="str">
        <f>IF(AND(Bills!R21=""),"",Bills!R21)</f>
        <v/>
      </c>
      <c r="R20" s="218" t="str">
        <f>IF(AND(Bills!S21=""),"",Bills!S21)</f>
        <v/>
      </c>
      <c r="S20" s="218" t="str">
        <f>IF(AND(Bills!T21=""),"",Bills!T21)</f>
        <v/>
      </c>
      <c r="T20" s="218" t="str">
        <f>IF(AND(Bills!U21=""),"",Bills!U21)</f>
        <v/>
      </c>
      <c r="U20" s="218" t="str">
        <f>IF(AND(Bills!V21=""),"",Bills!V21)</f>
        <v/>
      </c>
      <c r="V20" s="218" t="str">
        <f>IF(AND(Bills!W21=""),"",Bills!W21)</f>
        <v/>
      </c>
      <c r="W20" s="218" t="str">
        <f>IF(AND(Bills!X21=""),"",Bills!X21)</f>
        <v/>
      </c>
      <c r="X20" s="218">
        <f>IF(AND(Bills!Y21=""),"",Bills!Y21)</f>
        <v>0</v>
      </c>
      <c r="Y20" s="218">
        <f>IF(AND(Bills!Z21=""),"",Bills!Z21)</f>
        <v>2874</v>
      </c>
      <c r="Z20" s="218" t="str">
        <f>IF(AND(Bills!AA21=""),"",Bills!AA21)</f>
        <v/>
      </c>
      <c r="AA20" s="470" t="str">
        <f>IF(AND(Bills!AB21=""),"",Bills!AB21)</f>
        <v/>
      </c>
    </row>
    <row r="21" spans="1:27" ht="21" customHeight="1">
      <c r="A21" s="216">
        <v>16</v>
      </c>
      <c r="B21" s="217" t="str">
        <f>IF(AND(Bills!C22=""),"",Bills!C22)</f>
        <v>DA Arrear 17%</v>
      </c>
      <c r="C21" s="218" t="str">
        <f>IF(AND(Bills!D22=""),"",Bills!D22)</f>
        <v/>
      </c>
      <c r="D21" s="218" t="str">
        <f>IF(AND(Bills!E22=""),"",Bills!E22)</f>
        <v/>
      </c>
      <c r="E21" s="218" t="str">
        <f>IF(AND(Bills!F22=""),"",Bills!F22)</f>
        <v/>
      </c>
      <c r="F21" s="218" t="str">
        <f>IF(AND(Bills!G22=""),"",Bills!G22)</f>
        <v/>
      </c>
      <c r="G21" s="218" t="str">
        <f>IF(AND(Bills!H22=""),"",Bills!H22)</f>
        <v/>
      </c>
      <c r="H21" s="218" t="str">
        <f>IF(AND(Bills!I22=""),"",Bills!I22)</f>
        <v/>
      </c>
      <c r="I21" s="218" t="str">
        <f>IF(AND(Bills!J22=""),"",Bills!J22)</f>
        <v/>
      </c>
      <c r="J21" s="218" t="str">
        <f>IF(AND(Bills!K22=""),"",Bills!K22)</f>
        <v/>
      </c>
      <c r="K21" s="218" t="str">
        <f>IF(AND(Bills!L22=""),"",Bills!L22)</f>
        <v/>
      </c>
      <c r="L21" s="218">
        <f>IF(AND(Bills!M22=""),"",Bills!M22)</f>
        <v>0</v>
      </c>
      <c r="M21" s="218" t="str">
        <f>IF(AND(Bills!N22=""),"",Bills!N22)</f>
        <v/>
      </c>
      <c r="N21" s="218" t="str">
        <f>IF(AND(Bills!O22=""),"",Bills!O22)</f>
        <v/>
      </c>
      <c r="O21" s="218" t="str">
        <f>IF(AND(Bills!P22=""),"",Bills!P22)</f>
        <v/>
      </c>
      <c r="P21" s="218" t="str">
        <f>IF(AND(Bills!Q22=""),"",Bills!Q22)</f>
        <v/>
      </c>
      <c r="Q21" s="218" t="str">
        <f>IF(AND(Bills!R22=""),"",Bills!R22)</f>
        <v/>
      </c>
      <c r="R21" s="218" t="str">
        <f>IF(AND(Bills!S22=""),"",Bills!S22)</f>
        <v/>
      </c>
      <c r="S21" s="218" t="str">
        <f>IF(AND(Bills!T22=""),"",Bills!T22)</f>
        <v/>
      </c>
      <c r="T21" s="218" t="str">
        <f>IF(AND(Bills!U22=""),"",Bills!U22)</f>
        <v/>
      </c>
      <c r="U21" s="218" t="str">
        <f>IF(AND(Bills!V22=""),"",Bills!V22)</f>
        <v/>
      </c>
      <c r="V21" s="218" t="str">
        <f>IF(AND(Bills!W22=""),"",Bills!W22)</f>
        <v/>
      </c>
      <c r="W21" s="218" t="str">
        <f>IF(AND(Bills!X22=""),"",Bills!X22)</f>
        <v/>
      </c>
      <c r="X21" s="218">
        <f>IF(AND(Bills!Y22=""),"",Bills!Y22)</f>
        <v>0</v>
      </c>
      <c r="Y21" s="218">
        <f>IF(AND(Bills!Z22=""),"",Bills!Z22)</f>
        <v>0</v>
      </c>
      <c r="Z21" s="218" t="str">
        <f>IF(AND(Bills!AA22=""),"",Bills!AA22)</f>
        <v/>
      </c>
      <c r="AA21" s="470" t="str">
        <f>IF(AND(Bills!AB22=""),"",Bills!AB22)</f>
        <v/>
      </c>
    </row>
    <row r="22" spans="1:27" ht="18.75" customHeight="1">
      <c r="A22" s="216">
        <v>17</v>
      </c>
      <c r="B22" s="217" t="str">
        <f>IF(AND(Bills!C23=""),"",Bills!C23)</f>
        <v xml:space="preserve"> Arrear</v>
      </c>
      <c r="C22" s="218" t="str">
        <f>IF(AND(Bills!D23=""),"",Bills!D23)</f>
        <v/>
      </c>
      <c r="D22" s="218" t="str">
        <f>IF(AND(Bills!E23=""),"",Bills!E23)</f>
        <v/>
      </c>
      <c r="E22" s="218" t="str">
        <f>IF(AND(Bills!F23=""),"",Bills!F23)</f>
        <v/>
      </c>
      <c r="F22" s="218" t="str">
        <f>IF(AND(Bills!G23=""),"",Bills!G23)</f>
        <v/>
      </c>
      <c r="G22" s="218" t="str">
        <f>IF(AND(Bills!H23=""),"",Bills!H23)</f>
        <v/>
      </c>
      <c r="H22" s="218" t="str">
        <f>IF(AND(Bills!I23=""),"",Bills!I23)</f>
        <v/>
      </c>
      <c r="I22" s="218" t="str">
        <f>IF(AND(Bills!J23=""),"",Bills!J23)</f>
        <v/>
      </c>
      <c r="J22" s="218" t="str">
        <f>IF(AND(Bills!K23=""),"",Bills!K23)</f>
        <v/>
      </c>
      <c r="K22" s="218" t="str">
        <f>IF(AND(Bills!L23=""),"",Bills!L23)</f>
        <v/>
      </c>
      <c r="L22" s="218">
        <f>IF(AND(Bills!M23=""),"",Bills!M23)</f>
        <v>0</v>
      </c>
      <c r="M22" s="218" t="str">
        <f>IF(AND(Bills!N23=""),"",Bills!N23)</f>
        <v/>
      </c>
      <c r="N22" s="218" t="str">
        <f>IF(AND(Bills!O23=""),"",Bills!O23)</f>
        <v/>
      </c>
      <c r="O22" s="218" t="str">
        <f>IF(AND(Bills!P23=""),"",Bills!P23)</f>
        <v/>
      </c>
      <c r="P22" s="218" t="str">
        <f>IF(AND(Bills!Q23=""),"",Bills!Q23)</f>
        <v/>
      </c>
      <c r="Q22" s="218" t="str">
        <f>IF(AND(Bills!R23=""),"",Bills!R23)</f>
        <v/>
      </c>
      <c r="R22" s="218" t="str">
        <f>IF(AND(Bills!S23=""),"",Bills!S23)</f>
        <v/>
      </c>
      <c r="S22" s="218" t="str">
        <f>IF(AND(Bills!T23=""),"",Bills!T23)</f>
        <v/>
      </c>
      <c r="T22" s="218" t="str">
        <f>IF(AND(Bills!U23=""),"",Bills!U23)</f>
        <v/>
      </c>
      <c r="U22" s="218" t="str">
        <f>IF(AND(Bills!V23=""),"",Bills!V23)</f>
        <v/>
      </c>
      <c r="V22" s="218" t="str">
        <f>IF(AND(Bills!W23=""),"",Bills!W23)</f>
        <v/>
      </c>
      <c r="W22" s="218" t="str">
        <f>IF(AND(Bills!X23=""),"",Bills!X23)</f>
        <v/>
      </c>
      <c r="X22" s="218">
        <f>IF(AND(Bills!Y23=""),"",Bills!Y23)</f>
        <v>0</v>
      </c>
      <c r="Y22" s="218">
        <f>IF(AND(Bills!Z23=""),"",Bills!Z23)</f>
        <v>0</v>
      </c>
      <c r="Z22" s="218" t="str">
        <f>IF(AND(Bills!AA23=""),"",Bills!AA23)</f>
        <v/>
      </c>
      <c r="AA22" s="470" t="str">
        <f>IF(AND(Bills!AB23=""),"",Bills!AB23)</f>
        <v/>
      </c>
    </row>
    <row r="23" spans="1:27" ht="17.25" customHeight="1">
      <c r="A23" s="216">
        <v>18</v>
      </c>
      <c r="B23" s="217" t="str">
        <f>IF(AND(Bills!C24=""),"",Bills!C24)</f>
        <v>Other</v>
      </c>
      <c r="C23" s="218" t="str">
        <f>IF(AND(Bills!D24=""),"",Bills!D24)</f>
        <v/>
      </c>
      <c r="D23" s="218" t="str">
        <f>IF(AND(Bills!E24=""),"",Bills!E24)</f>
        <v/>
      </c>
      <c r="E23" s="218" t="str">
        <f>IF(AND(Bills!F24=""),"",Bills!F24)</f>
        <v/>
      </c>
      <c r="F23" s="218" t="str">
        <f>IF(AND(Bills!G24=""),"",Bills!G24)</f>
        <v/>
      </c>
      <c r="G23" s="218" t="str">
        <f>IF(AND(Bills!H24=""),"",Bills!H24)</f>
        <v/>
      </c>
      <c r="H23" s="218" t="str">
        <f>IF(AND(Bills!I24=""),"",Bills!I24)</f>
        <v/>
      </c>
      <c r="I23" s="218" t="str">
        <f>IF(AND(Bills!J24=""),"",Bills!J24)</f>
        <v/>
      </c>
      <c r="J23" s="218" t="str">
        <f>IF(AND(Bills!K24=""),"",Bills!K24)</f>
        <v/>
      </c>
      <c r="K23" s="218" t="str">
        <f>IF(AND(Bills!L24=""),"",Bills!L24)</f>
        <v/>
      </c>
      <c r="L23" s="218">
        <f>IF(AND(Bills!M24=""),"",Bills!M24)</f>
        <v>0</v>
      </c>
      <c r="M23" s="218" t="str">
        <f>IF(AND(Bills!N24=""),"",Bills!N24)</f>
        <v/>
      </c>
      <c r="N23" s="218" t="str">
        <f>IF(AND(Bills!O24=""),"",Bills!O24)</f>
        <v/>
      </c>
      <c r="O23" s="218" t="str">
        <f>IF(AND(Bills!P24=""),"",Bills!P24)</f>
        <v/>
      </c>
      <c r="P23" s="218" t="str">
        <f>IF(AND(Bills!Q24=""),"",Bills!Q24)</f>
        <v/>
      </c>
      <c r="Q23" s="218" t="str">
        <f>IF(AND(Bills!R24=""),"",Bills!R24)</f>
        <v/>
      </c>
      <c r="R23" s="218" t="str">
        <f>IF(AND(Bills!S24=""),"",Bills!S24)</f>
        <v/>
      </c>
      <c r="S23" s="218" t="str">
        <f>IF(AND(Bills!T24=""),"",Bills!T24)</f>
        <v/>
      </c>
      <c r="T23" s="218" t="str">
        <f>IF(AND(Bills!U24=""),"",Bills!U24)</f>
        <v/>
      </c>
      <c r="U23" s="218" t="str">
        <f>IF(AND(Bills!V24=""),"",Bills!V24)</f>
        <v/>
      </c>
      <c r="V23" s="218" t="str">
        <f>IF(AND(Bills!W24=""),"",Bills!W24)</f>
        <v/>
      </c>
      <c r="W23" s="218" t="str">
        <f>IF(AND(Bills!X24=""),"",Bills!X24)</f>
        <v/>
      </c>
      <c r="X23" s="218">
        <f>IF(AND(Bills!Y24=""),"",Bills!Y24)</f>
        <v>0</v>
      </c>
      <c r="Y23" s="218">
        <f>IF(AND(Bills!Z24=""),"",Bills!Z24)</f>
        <v>0</v>
      </c>
      <c r="Z23" s="218" t="str">
        <f>IF(AND(Bills!AA24=""),"",Bills!AA24)</f>
        <v/>
      </c>
      <c r="AA23" s="470" t="str">
        <f>IF(AND(Bills!AB24=""),"",Bills!AB24)</f>
        <v/>
      </c>
    </row>
    <row r="24" spans="1:27" ht="17.25" customHeight="1">
      <c r="A24" s="216">
        <v>19</v>
      </c>
      <c r="B24" s="217" t="str">
        <f>IF(AND(Bills!C25=""),"",Bills!C25)</f>
        <v/>
      </c>
      <c r="C24" s="218" t="str">
        <f>IF(AND(Bills!D25=""),"",Bills!D25)</f>
        <v/>
      </c>
      <c r="D24" s="218" t="str">
        <f>IF(AND(Bills!E25=""),"",Bills!E25)</f>
        <v/>
      </c>
      <c r="E24" s="218" t="str">
        <f>IF(AND(Bills!F25=""),"",Bills!F25)</f>
        <v/>
      </c>
      <c r="F24" s="218" t="str">
        <f>IF(AND(Bills!G25=""),"",Bills!G25)</f>
        <v/>
      </c>
      <c r="G24" s="218" t="str">
        <f>IF(AND(Bills!H25=""),"",Bills!H25)</f>
        <v/>
      </c>
      <c r="H24" s="218" t="str">
        <f>IF(AND(Bills!I25=""),"",Bills!I25)</f>
        <v/>
      </c>
      <c r="I24" s="218" t="str">
        <f>IF(AND(Bills!J25=""),"",Bills!J25)</f>
        <v/>
      </c>
      <c r="J24" s="218" t="str">
        <f>IF(AND(Bills!K25=""),"",Bills!K25)</f>
        <v/>
      </c>
      <c r="K24" s="218" t="str">
        <f>IF(AND(Bills!L25=""),"",Bills!L25)</f>
        <v/>
      </c>
      <c r="L24" s="218" t="str">
        <f>IF(AND(Bills!M25=""),"",Bills!M25)</f>
        <v/>
      </c>
      <c r="M24" s="218" t="str">
        <f>IF(AND(Bills!N25=""),"",Bills!N25)</f>
        <v/>
      </c>
      <c r="N24" s="218" t="str">
        <f>IF(AND(Bills!O25=""),"",Bills!O25)</f>
        <v/>
      </c>
      <c r="O24" s="218" t="str">
        <f>IF(AND(Bills!P25=""),"",Bills!P25)</f>
        <v/>
      </c>
      <c r="P24" s="218" t="str">
        <f>IF(AND(Bills!Q25=""),"",Bills!Q25)</f>
        <v/>
      </c>
      <c r="Q24" s="218" t="str">
        <f>IF(AND(Bills!R25=""),"",Bills!R25)</f>
        <v/>
      </c>
      <c r="R24" s="218" t="str">
        <f>IF(AND(Bills!S25=""),"",Bills!S25)</f>
        <v/>
      </c>
      <c r="S24" s="218" t="str">
        <f>IF(AND(Bills!T25=""),"",Bills!T25)</f>
        <v/>
      </c>
      <c r="T24" s="218" t="str">
        <f>IF(AND(Bills!U25=""),"",Bills!U25)</f>
        <v/>
      </c>
      <c r="U24" s="218" t="str">
        <f>IF(AND(Bills!V25=""),"",Bills!V25)</f>
        <v/>
      </c>
      <c r="V24" s="218" t="str">
        <f>IF(AND(Bills!W25=""),"",Bills!W25)</f>
        <v/>
      </c>
      <c r="W24" s="218" t="str">
        <f>IF(AND(Bills!X25=""),"",Bills!X25)</f>
        <v/>
      </c>
      <c r="X24" s="218" t="str">
        <f>IF(AND(Bills!Y25=""),"",Bills!Y25)</f>
        <v/>
      </c>
      <c r="Y24" s="218" t="str">
        <f>IF(AND(Bills!Z25=""),"",Bills!Z25)</f>
        <v/>
      </c>
      <c r="Z24" s="218" t="str">
        <f>IF(AND(Bills!AA25=""),"",Bills!AA25)</f>
        <v/>
      </c>
      <c r="AA24" s="470" t="str">
        <f>IF(AND(Bills!AB25=""),"",Bills!AB25)</f>
        <v/>
      </c>
    </row>
    <row r="25" spans="1:27" ht="17.25" customHeight="1">
      <c r="A25" s="216">
        <v>20</v>
      </c>
      <c r="B25" s="217" t="str">
        <f>IF(AND(Bills!C26=""),"",Bills!C26)</f>
        <v/>
      </c>
      <c r="C25" s="218" t="str">
        <f>IF(AND(Bills!D26=""),"",Bills!D26)</f>
        <v/>
      </c>
      <c r="D25" s="218" t="str">
        <f>IF(AND(Bills!E26=""),"",Bills!E26)</f>
        <v/>
      </c>
      <c r="E25" s="218" t="str">
        <f>IF(AND(Bills!F26=""),"",Bills!F26)</f>
        <v/>
      </c>
      <c r="F25" s="218" t="str">
        <f>IF(AND(Bills!G26=""),"",Bills!G26)</f>
        <v/>
      </c>
      <c r="G25" s="218" t="str">
        <f>IF(AND(Bills!H26=""),"",Bills!H26)</f>
        <v/>
      </c>
      <c r="H25" s="218" t="str">
        <f>IF(AND(Bills!I26=""),"",Bills!I26)</f>
        <v/>
      </c>
      <c r="I25" s="218" t="str">
        <f>IF(AND(Bills!J26=""),"",Bills!J26)</f>
        <v/>
      </c>
      <c r="J25" s="218" t="str">
        <f>IF(AND(Bills!K26=""),"",Bills!K26)</f>
        <v/>
      </c>
      <c r="K25" s="218" t="str">
        <f>IF(AND(Bills!L26=""),"",Bills!L26)</f>
        <v/>
      </c>
      <c r="L25" s="218" t="str">
        <f>IF(AND(Bills!M26=""),"",Bills!M26)</f>
        <v/>
      </c>
      <c r="M25" s="218" t="str">
        <f>IF(AND(Bills!N26=""),"",Bills!N26)</f>
        <v/>
      </c>
      <c r="N25" s="218" t="str">
        <f>IF(AND(Bills!O26=""),"",Bills!O26)</f>
        <v/>
      </c>
      <c r="O25" s="218" t="str">
        <f>IF(AND(Bills!P26=""),"",Bills!P26)</f>
        <v/>
      </c>
      <c r="P25" s="218" t="str">
        <f>IF(AND(Bills!Q26=""),"",Bills!Q26)</f>
        <v/>
      </c>
      <c r="Q25" s="218" t="str">
        <f>IF(AND(Bills!R26=""),"",Bills!R26)</f>
        <v/>
      </c>
      <c r="R25" s="218" t="str">
        <f>IF(AND(Bills!S26=""),"",Bills!S26)</f>
        <v/>
      </c>
      <c r="S25" s="218" t="str">
        <f>IF(AND(Bills!T26=""),"",Bills!T26)</f>
        <v/>
      </c>
      <c r="T25" s="218" t="str">
        <f>IF(AND(Bills!U26=""),"",Bills!U26)</f>
        <v/>
      </c>
      <c r="U25" s="218" t="str">
        <f>IF(AND(Bills!V26=""),"",Bills!V26)</f>
        <v/>
      </c>
      <c r="V25" s="218" t="str">
        <f>IF(AND(Bills!W26=""),"",Bills!W26)</f>
        <v/>
      </c>
      <c r="W25" s="218" t="str">
        <f>IF(AND(Bills!X26=""),"",Bills!X26)</f>
        <v/>
      </c>
      <c r="X25" s="218" t="str">
        <f>IF(AND(Bills!Y26=""),"",Bills!Y26)</f>
        <v/>
      </c>
      <c r="Y25" s="218" t="str">
        <f>IF(AND(Bills!Z26=""),"",Bills!Z26)</f>
        <v/>
      </c>
      <c r="Z25" s="218" t="str">
        <f>IF(AND(Bills!AA26=""),"",Bills!AA26)</f>
        <v/>
      </c>
      <c r="AA25" s="470" t="str">
        <f>IF(AND(Bills!AB26=""),"",Bills!AB26)</f>
        <v/>
      </c>
    </row>
    <row r="26" spans="1:27" ht="28.5" customHeight="1">
      <c r="A26" s="220"/>
      <c r="B26" s="217" t="s">
        <v>154</v>
      </c>
      <c r="C26" s="218">
        <f>SUM(C6:C25)</f>
        <v>610650</v>
      </c>
      <c r="D26" s="218">
        <f t="shared" ref="D26:Y26" si="0">SUM(D6:D25)</f>
        <v>76152</v>
      </c>
      <c r="E26" s="218">
        <f t="shared" si="0"/>
        <v>46880</v>
      </c>
      <c r="F26" s="218">
        <f t="shared" si="0"/>
        <v>0</v>
      </c>
      <c r="G26" s="218">
        <f t="shared" si="0"/>
        <v>0</v>
      </c>
      <c r="H26" s="218">
        <f t="shared" si="0"/>
        <v>6774</v>
      </c>
      <c r="I26" s="218">
        <f t="shared" si="0"/>
        <v>0</v>
      </c>
      <c r="J26" s="218">
        <f t="shared" si="0"/>
        <v>65636</v>
      </c>
      <c r="K26" s="218">
        <f t="shared" si="0"/>
        <v>0</v>
      </c>
      <c r="L26" s="218">
        <f t="shared" si="0"/>
        <v>740456</v>
      </c>
      <c r="M26" s="218">
        <f t="shared" si="0"/>
        <v>48000</v>
      </c>
      <c r="N26" s="218">
        <f t="shared" si="0"/>
        <v>42900</v>
      </c>
      <c r="O26" s="218">
        <f t="shared" si="0"/>
        <v>7190</v>
      </c>
      <c r="P26" s="218">
        <f t="shared" si="0"/>
        <v>65636</v>
      </c>
      <c r="Q26" s="218">
        <f t="shared" si="0"/>
        <v>25896</v>
      </c>
      <c r="R26" s="218">
        <f t="shared" si="0"/>
        <v>0</v>
      </c>
      <c r="S26" s="218">
        <f t="shared" si="0"/>
        <v>0</v>
      </c>
      <c r="T26" s="218">
        <f t="shared" si="0"/>
        <v>0</v>
      </c>
      <c r="U26" s="218">
        <f t="shared" si="0"/>
        <v>6000</v>
      </c>
      <c r="V26" s="218">
        <f t="shared" si="0"/>
        <v>220</v>
      </c>
      <c r="W26" s="218">
        <f t="shared" si="0"/>
        <v>0</v>
      </c>
      <c r="X26" s="218">
        <f t="shared" si="0"/>
        <v>195842</v>
      </c>
      <c r="Y26" s="218">
        <f t="shared" si="0"/>
        <v>544614</v>
      </c>
      <c r="Z26" s="218"/>
      <c r="AA26" s="471"/>
    </row>
    <row r="27" spans="1:27" ht="30" customHeight="1">
      <c r="A27" s="221"/>
      <c r="B27" s="222"/>
      <c r="C27" s="223"/>
      <c r="D27" s="223"/>
      <c r="E27" s="223"/>
      <c r="F27" s="223"/>
      <c r="G27" s="223"/>
      <c r="H27" s="223"/>
      <c r="I27" s="223"/>
      <c r="J27" s="223"/>
      <c r="K27" s="223"/>
      <c r="L27" s="223"/>
      <c r="M27" s="223"/>
      <c r="N27" s="223"/>
      <c r="O27" s="223"/>
      <c r="P27" s="223"/>
      <c r="Q27" s="223"/>
      <c r="R27" s="223"/>
      <c r="S27" s="223"/>
      <c r="T27" s="223"/>
      <c r="U27" s="223"/>
      <c r="V27" s="223"/>
      <c r="W27" s="223"/>
      <c r="X27" s="223"/>
      <c r="Y27" s="223"/>
      <c r="Z27" s="224"/>
      <c r="AA27" s="225"/>
    </row>
    <row r="28" spans="1:27" ht="20.25" customHeight="1">
      <c r="A28" s="221"/>
      <c r="B28" s="222"/>
      <c r="C28" s="382" t="str">
        <f>UPPER(IF(Master!D9="","",Master!D9))</f>
        <v>HEERALAL JAT</v>
      </c>
      <c r="D28" s="382"/>
      <c r="E28" s="382"/>
      <c r="F28" s="382"/>
      <c r="G28" s="382"/>
      <c r="H28" s="382"/>
      <c r="I28" s="222"/>
      <c r="J28" s="222"/>
      <c r="K28" s="222"/>
      <c r="L28" s="222"/>
      <c r="M28" s="222"/>
      <c r="N28" s="222"/>
      <c r="O28" s="222"/>
      <c r="P28" s="224"/>
      <c r="Q28" s="224"/>
      <c r="R28" s="383" t="str">
        <f>IF(AND(Master!H10=""),"",CONCATENATE("( ",UPPER(Master!H10)," )", ))</f>
        <v>( MISHRILAL )</v>
      </c>
      <c r="S28" s="383"/>
      <c r="T28" s="383"/>
      <c r="U28" s="383"/>
      <c r="V28" s="383"/>
      <c r="W28" s="383"/>
      <c r="X28" s="383"/>
      <c r="Y28" s="383"/>
      <c r="Z28" s="226"/>
      <c r="AA28" s="225"/>
    </row>
    <row r="29" spans="1:27" ht="21" customHeight="1">
      <c r="A29" s="227"/>
      <c r="B29" s="228"/>
      <c r="C29" s="228"/>
      <c r="D29" s="381" t="s">
        <v>58</v>
      </c>
      <c r="E29" s="381"/>
      <c r="F29" s="381"/>
      <c r="G29" s="381"/>
      <c r="H29" s="229"/>
      <c r="I29" s="229"/>
      <c r="J29" s="229"/>
      <c r="K29" s="228"/>
      <c r="L29" s="228"/>
      <c r="M29" s="228"/>
      <c r="N29" s="228"/>
      <c r="O29" s="228"/>
      <c r="P29" s="230"/>
      <c r="Q29" s="230"/>
      <c r="R29" s="380" t="s">
        <v>59</v>
      </c>
      <c r="S29" s="380"/>
      <c r="T29" s="380"/>
      <c r="U29" s="380"/>
      <c r="V29" s="380"/>
      <c r="W29" s="380"/>
      <c r="X29" s="380"/>
      <c r="Y29" s="380"/>
      <c r="Z29" s="231"/>
      <c r="AA29" s="232"/>
    </row>
    <row r="30" spans="1:27" ht="15">
      <c r="Y30" s="26"/>
      <c r="Z30" s="26"/>
    </row>
    <row r="31" spans="1:27" ht="15">
      <c r="Y31" s="26"/>
      <c r="Z31" s="26"/>
    </row>
  </sheetData>
  <sheetProtection password="C1FB" sheet="1" objects="1" scenarios="1" formatCells="0" formatColumns="0" formatRows="0" sort="0" autoFilter="0"/>
  <mergeCells count="26">
    <mergeCell ref="V1:X1"/>
    <mergeCell ref="AA4:AA5"/>
    <mergeCell ref="G3:I3"/>
    <mergeCell ref="P2:S2"/>
    <mergeCell ref="Y1:AA1"/>
    <mergeCell ref="L2:O2"/>
    <mergeCell ref="A4:L4"/>
    <mergeCell ref="Y4:Y5"/>
    <mergeCell ref="A3:B3"/>
    <mergeCell ref="T2:Y2"/>
    <mergeCell ref="M4:X4"/>
    <mergeCell ref="K3:M3"/>
    <mergeCell ref="D2:H2"/>
    <mergeCell ref="Y3:AA3"/>
    <mergeCell ref="I2:K2"/>
    <mergeCell ref="V3:X3"/>
    <mergeCell ref="Z2:AA2"/>
    <mergeCell ref="Q3:U3"/>
    <mergeCell ref="N3:P3"/>
    <mergeCell ref="C3:E3"/>
    <mergeCell ref="A2:C2"/>
    <mergeCell ref="R29:Y29"/>
    <mergeCell ref="D29:G29"/>
    <mergeCell ref="C28:H28"/>
    <mergeCell ref="R28:Y28"/>
    <mergeCell ref="Z4:Z5"/>
  </mergeCells>
  <dataValidations count="1">
    <dataValidation type="list" allowBlank="1" showInputMessage="1" showErrorMessage="1" sqref="J3">
      <formula1>$CH$3:$CH$5</formula1>
    </dataValidation>
  </dataValidations>
  <pageMargins left="0.45" right="0.2" top="0.5" bottom="0.5" header="0.3" footer="0.3"/>
  <pageSetup paperSize="9" scale="80"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251"/>
  <sheetViews>
    <sheetView workbookViewId="0">
      <selection activeCell="CY251" sqref="CY251"/>
    </sheetView>
  </sheetViews>
  <sheetFormatPr defaultColWidth="10" defaultRowHeight="15"/>
  <sheetData>
    <row r="1" spans="1:256">
      <c r="A1" t="e">
        <f>IF(#REF!,"AAAAAG7sOAA=",0)</f>
        <v>#REF!</v>
      </c>
      <c r="B1" t="e">
        <f>AND(#REF!,"AAAAAG7sOAE=")</f>
        <v>#REF!</v>
      </c>
      <c r="C1" t="e">
        <f>AND(#REF!,"AAAAAG7sOAI=")</f>
        <v>#REF!</v>
      </c>
      <c r="D1" t="e">
        <f>AND(#REF!,"AAAAAG7sOAM=")</f>
        <v>#REF!</v>
      </c>
      <c r="E1" t="e">
        <f>AND(#REF!,"AAAAAG7sOAQ=")</f>
        <v>#REF!</v>
      </c>
      <c r="F1" t="e">
        <f>AND(#REF!,"AAAAAG7sOAU=")</f>
        <v>#REF!</v>
      </c>
      <c r="G1" t="e">
        <f>AND(#REF!,"AAAAAG7sOAY=")</f>
        <v>#REF!</v>
      </c>
      <c r="H1" t="e">
        <f>AND(#REF!,"AAAAAG7sOAc=")</f>
        <v>#REF!</v>
      </c>
      <c r="I1" t="e">
        <f>AND(#REF!,"AAAAAG7sOAg=")</f>
        <v>#REF!</v>
      </c>
      <c r="J1" t="e">
        <f>AND(#REF!,"AAAAAG7sOAk=")</f>
        <v>#REF!</v>
      </c>
      <c r="K1" t="e">
        <f>AND(#REF!,"AAAAAG7sOAo=")</f>
        <v>#REF!</v>
      </c>
      <c r="L1" t="e">
        <f>AND(#REF!,"AAAAAG7sOAs=")</f>
        <v>#REF!</v>
      </c>
      <c r="M1" t="e">
        <f>AND(#REF!,"AAAAAG7sOAw=")</f>
        <v>#REF!</v>
      </c>
      <c r="N1" t="e">
        <f>AND(#REF!,"AAAAAG7sOA0=")</f>
        <v>#REF!</v>
      </c>
      <c r="O1" t="e">
        <f>AND(#REF!,"AAAAAG7sOA4=")</f>
        <v>#REF!</v>
      </c>
      <c r="P1" t="e">
        <f>AND(#REF!,"AAAAAG7sOA8=")</f>
        <v>#REF!</v>
      </c>
      <c r="Q1" t="e">
        <f>AND(#REF!,"AAAAAG7sOBA=")</f>
        <v>#REF!</v>
      </c>
      <c r="R1" t="e">
        <f>AND(#REF!,"AAAAAG7sOBE=")</f>
        <v>#REF!</v>
      </c>
      <c r="S1" t="e">
        <f>AND(#REF!,"AAAAAG7sOBI=")</f>
        <v>#REF!</v>
      </c>
      <c r="T1" t="e">
        <f>AND(#REF!,"AAAAAG7sOBM=")</f>
        <v>#REF!</v>
      </c>
      <c r="U1" t="e">
        <f>AND(#REF!,"AAAAAG7sOBQ=")</f>
        <v>#REF!</v>
      </c>
      <c r="V1" t="e">
        <f>AND(#REF!,"AAAAAG7sOBU=")</f>
        <v>#REF!</v>
      </c>
      <c r="W1" t="e">
        <f>AND(#REF!,"AAAAAG7sOBY=")</f>
        <v>#REF!</v>
      </c>
      <c r="X1" t="e">
        <f>AND(#REF!,"AAAAAG7sOBc=")</f>
        <v>#REF!</v>
      </c>
      <c r="Y1" t="e">
        <f>IF(#REF!,"AAAAAG7sOBg=",0)</f>
        <v>#REF!</v>
      </c>
      <c r="Z1" t="e">
        <f>AND(#REF!,"AAAAAG7sOBk=")</f>
        <v>#REF!</v>
      </c>
      <c r="AA1" t="e">
        <f>AND(#REF!,"AAAAAG7sOBo=")</f>
        <v>#REF!</v>
      </c>
      <c r="AB1" t="e">
        <f>AND(#REF!,"AAAAAG7sOBs=")</f>
        <v>#REF!</v>
      </c>
      <c r="AC1" t="e">
        <f>AND(#REF!,"AAAAAG7sOBw=")</f>
        <v>#REF!</v>
      </c>
      <c r="AD1" t="e">
        <f>AND(#REF!,"AAAAAG7sOB0=")</f>
        <v>#REF!</v>
      </c>
      <c r="AE1" t="e">
        <f>AND(#REF!,"AAAAAG7sOB4=")</f>
        <v>#REF!</v>
      </c>
      <c r="AF1" t="e">
        <f>AND(#REF!,"AAAAAG7sOB8=")</f>
        <v>#REF!</v>
      </c>
      <c r="AG1" t="e">
        <f>AND(#REF!,"AAAAAG7sOCA=")</f>
        <v>#REF!</v>
      </c>
      <c r="AH1" t="e">
        <f>AND(#REF!,"AAAAAG7sOCE=")</f>
        <v>#REF!</v>
      </c>
      <c r="AI1" t="e">
        <f>AND(#REF!,"AAAAAG7sOCI=")</f>
        <v>#REF!</v>
      </c>
      <c r="AJ1" t="e">
        <f>AND(#REF!,"AAAAAG7sOCM=")</f>
        <v>#REF!</v>
      </c>
      <c r="AK1" t="e">
        <f>AND(#REF!,"AAAAAG7sOCQ=")</f>
        <v>#REF!</v>
      </c>
      <c r="AL1" t="e">
        <f>AND(#REF!,"AAAAAG7sOCU=")</f>
        <v>#REF!</v>
      </c>
      <c r="AM1" t="e">
        <f>AND(#REF!,"AAAAAG7sOCY=")</f>
        <v>#REF!</v>
      </c>
      <c r="AN1" t="e">
        <f>AND(#REF!,"AAAAAG7sOCc=")</f>
        <v>#REF!</v>
      </c>
      <c r="AO1" t="e">
        <f>AND(#REF!,"AAAAAG7sOCg=")</f>
        <v>#REF!</v>
      </c>
      <c r="AP1" t="e">
        <f>AND(#REF!,"AAAAAG7sOCk=")</f>
        <v>#REF!</v>
      </c>
      <c r="AQ1" t="e">
        <f>AND(#REF!,"AAAAAG7sOCo=")</f>
        <v>#REF!</v>
      </c>
      <c r="AR1" t="e">
        <f>AND(#REF!,"AAAAAG7sOCs=")</f>
        <v>#REF!</v>
      </c>
      <c r="AS1" t="e">
        <f>AND(#REF!,"AAAAAG7sOCw=")</f>
        <v>#REF!</v>
      </c>
      <c r="AT1" t="e">
        <f>AND(#REF!,"AAAAAG7sOC0=")</f>
        <v>#REF!</v>
      </c>
      <c r="AU1" t="e">
        <f>AND(#REF!,"AAAAAG7sOC4=")</f>
        <v>#REF!</v>
      </c>
      <c r="AV1" t="e">
        <f>AND(#REF!,"AAAAAG7sOC8=")</f>
        <v>#REF!</v>
      </c>
      <c r="AW1" t="e">
        <f>IF(#REF!,"AAAAAG7sODA=",0)</f>
        <v>#REF!</v>
      </c>
      <c r="AX1" t="e">
        <f>AND(#REF!,"AAAAAG7sODE=")</f>
        <v>#REF!</v>
      </c>
      <c r="AY1" t="e">
        <f>AND(#REF!,"AAAAAG7sODI=")</f>
        <v>#REF!</v>
      </c>
      <c r="AZ1" t="e">
        <f>AND(#REF!,"AAAAAG7sODM=")</f>
        <v>#REF!</v>
      </c>
      <c r="BA1" t="e">
        <f>AND(#REF!,"AAAAAG7sODQ=")</f>
        <v>#REF!</v>
      </c>
      <c r="BB1" t="e">
        <f>AND(#REF!,"AAAAAG7sODU=")</f>
        <v>#REF!</v>
      </c>
      <c r="BC1" t="e">
        <f>AND(#REF!,"AAAAAG7sODY=")</f>
        <v>#REF!</v>
      </c>
      <c r="BD1" t="e">
        <f>AND(#REF!,"AAAAAG7sODc=")</f>
        <v>#REF!</v>
      </c>
      <c r="BE1" t="e">
        <f>AND(#REF!,"AAAAAG7sODg=")</f>
        <v>#REF!</v>
      </c>
      <c r="BF1" t="e">
        <f>AND(#REF!,"AAAAAG7sODk=")</f>
        <v>#REF!</v>
      </c>
      <c r="BG1" t="e">
        <f>AND(#REF!,"AAAAAG7sODo=")</f>
        <v>#REF!</v>
      </c>
      <c r="BH1" t="e">
        <f>AND(#REF!,"AAAAAG7sODs=")</f>
        <v>#REF!</v>
      </c>
      <c r="BI1" t="e">
        <f>AND(#REF!,"AAAAAG7sODw=")</f>
        <v>#REF!</v>
      </c>
      <c r="BJ1" t="e">
        <f>AND(#REF!,"AAAAAG7sOD0=")</f>
        <v>#REF!</v>
      </c>
      <c r="BK1" t="e">
        <f>AND(#REF!,"AAAAAG7sOD4=")</f>
        <v>#REF!</v>
      </c>
      <c r="BL1" t="e">
        <f>AND(#REF!,"AAAAAG7sOD8=")</f>
        <v>#REF!</v>
      </c>
      <c r="BM1" t="e">
        <f>AND(#REF!,"AAAAAG7sOEA=")</f>
        <v>#REF!</v>
      </c>
      <c r="BN1" t="e">
        <f>AND(#REF!,"AAAAAG7sOEE=")</f>
        <v>#REF!</v>
      </c>
      <c r="BO1" t="e">
        <f>AND(#REF!,"AAAAAG7sOEI=")</f>
        <v>#REF!</v>
      </c>
      <c r="BP1" t="e">
        <f>AND(#REF!,"AAAAAG7sOEM=")</f>
        <v>#REF!</v>
      </c>
      <c r="BQ1" t="e">
        <f>AND(#REF!,"AAAAAG7sOEQ=")</f>
        <v>#REF!</v>
      </c>
      <c r="BR1" t="e">
        <f>AND(#REF!,"AAAAAG7sOEU=")</f>
        <v>#REF!</v>
      </c>
      <c r="BS1" t="e">
        <f>AND(#REF!,"AAAAAG7sOEY=")</f>
        <v>#REF!</v>
      </c>
      <c r="BT1" t="e">
        <f>AND(#REF!,"AAAAAG7sOEc=")</f>
        <v>#REF!</v>
      </c>
      <c r="BU1" t="e">
        <f>IF(#REF!,"AAAAAG7sOEg=",0)</f>
        <v>#REF!</v>
      </c>
      <c r="BV1" t="e">
        <f>AND(#REF!,"AAAAAG7sOEk=")</f>
        <v>#REF!</v>
      </c>
      <c r="BW1" t="e">
        <f>AND(#REF!,"AAAAAG7sOEo=")</f>
        <v>#REF!</v>
      </c>
      <c r="BX1" t="e">
        <f>AND(#REF!,"AAAAAG7sOEs=")</f>
        <v>#REF!</v>
      </c>
      <c r="BY1" t="e">
        <f>AND(#REF!,"AAAAAG7sOEw=")</f>
        <v>#REF!</v>
      </c>
      <c r="BZ1" t="e">
        <f>AND(#REF!,"AAAAAG7sOE0=")</f>
        <v>#REF!</v>
      </c>
      <c r="CA1" t="e">
        <f>AND(#REF!,"AAAAAG7sOE4=")</f>
        <v>#REF!</v>
      </c>
      <c r="CB1" t="e">
        <f>AND(#REF!,"AAAAAG7sOE8=")</f>
        <v>#REF!</v>
      </c>
      <c r="CC1" t="e">
        <f>AND(#REF!,"AAAAAG7sOFA=")</f>
        <v>#REF!</v>
      </c>
      <c r="CD1" t="e">
        <f>AND(#REF!,"AAAAAG7sOFE=")</f>
        <v>#REF!</v>
      </c>
      <c r="CE1" t="e">
        <f>AND(#REF!,"AAAAAG7sOFI=")</f>
        <v>#REF!</v>
      </c>
      <c r="CF1" t="e">
        <f>AND(#REF!,"AAAAAG7sOFM=")</f>
        <v>#REF!</v>
      </c>
      <c r="CG1" t="e">
        <f>AND(#REF!,"AAAAAG7sOFQ=")</f>
        <v>#REF!</v>
      </c>
      <c r="CH1" t="e">
        <f>AND(#REF!,"AAAAAG7sOFU=")</f>
        <v>#REF!</v>
      </c>
      <c r="CI1" t="e">
        <f>AND(#REF!,"AAAAAG7sOFY=")</f>
        <v>#REF!</v>
      </c>
      <c r="CJ1" t="e">
        <f>AND(#REF!,"AAAAAG7sOFc=")</f>
        <v>#REF!</v>
      </c>
      <c r="CK1" t="e">
        <f>AND(#REF!,"AAAAAG7sOFg=")</f>
        <v>#REF!</v>
      </c>
      <c r="CL1" t="e">
        <f>AND(#REF!,"AAAAAG7sOFk=")</f>
        <v>#REF!</v>
      </c>
      <c r="CM1" t="e">
        <f>AND(#REF!,"AAAAAG7sOFo=")</f>
        <v>#REF!</v>
      </c>
      <c r="CN1" t="e">
        <f>AND(#REF!,"AAAAAG7sOFs=")</f>
        <v>#REF!</v>
      </c>
      <c r="CO1" t="e">
        <f>AND(#REF!,"AAAAAG7sOFw=")</f>
        <v>#REF!</v>
      </c>
      <c r="CP1" t="e">
        <f>AND(#REF!,"AAAAAG7sOF0=")</f>
        <v>#REF!</v>
      </c>
      <c r="CQ1" t="e">
        <f>AND(#REF!,"AAAAAG7sOF4=")</f>
        <v>#REF!</v>
      </c>
      <c r="CR1" t="e">
        <f>AND(#REF!,"AAAAAG7sOF8=")</f>
        <v>#REF!</v>
      </c>
      <c r="CS1" t="e">
        <f>IF(#REF!,"AAAAAG7sOGA=",0)</f>
        <v>#REF!</v>
      </c>
      <c r="CT1" t="e">
        <f>AND(#REF!,"AAAAAG7sOGE=")</f>
        <v>#REF!</v>
      </c>
      <c r="CU1" t="e">
        <f>AND(#REF!,"AAAAAG7sOGI=")</f>
        <v>#REF!</v>
      </c>
      <c r="CV1" t="e">
        <f>AND(#REF!,"AAAAAG7sOGM=")</f>
        <v>#REF!</v>
      </c>
      <c r="CW1" t="e">
        <f>AND(#REF!,"AAAAAG7sOGQ=")</f>
        <v>#REF!</v>
      </c>
      <c r="CX1" t="e">
        <f>AND(#REF!,"AAAAAG7sOGU=")</f>
        <v>#REF!</v>
      </c>
      <c r="CY1" t="e">
        <f>AND(#REF!,"AAAAAG7sOGY=")</f>
        <v>#REF!</v>
      </c>
      <c r="CZ1" t="e">
        <f>AND(#REF!,"AAAAAG7sOGc=")</f>
        <v>#REF!</v>
      </c>
      <c r="DA1" t="e">
        <f>AND(#REF!,"AAAAAG7sOGg=")</f>
        <v>#REF!</v>
      </c>
      <c r="DB1" t="e">
        <f>AND(#REF!,"AAAAAG7sOGk=")</f>
        <v>#REF!</v>
      </c>
      <c r="DC1" t="e">
        <f>AND(#REF!,"AAAAAG7sOGo=")</f>
        <v>#REF!</v>
      </c>
      <c r="DD1" t="e">
        <f>AND(#REF!,"AAAAAG7sOGs=")</f>
        <v>#REF!</v>
      </c>
      <c r="DE1" t="e">
        <f>AND(#REF!,"AAAAAG7sOGw=")</f>
        <v>#REF!</v>
      </c>
      <c r="DF1" t="e">
        <f>AND(#REF!,"AAAAAG7sOG0=")</f>
        <v>#REF!</v>
      </c>
      <c r="DG1" t="e">
        <f>AND(#REF!,"AAAAAG7sOG4=")</f>
        <v>#REF!</v>
      </c>
      <c r="DH1" t="e">
        <f>AND(#REF!,"AAAAAG7sOG8=")</f>
        <v>#REF!</v>
      </c>
      <c r="DI1" t="e">
        <f>AND(#REF!,"AAAAAG7sOHA=")</f>
        <v>#REF!</v>
      </c>
      <c r="DJ1" t="e">
        <f>AND(#REF!,"AAAAAG7sOHE=")</f>
        <v>#REF!</v>
      </c>
      <c r="DK1" t="e">
        <f>AND(#REF!,"AAAAAG7sOHI=")</f>
        <v>#REF!</v>
      </c>
      <c r="DL1" t="e">
        <f>AND(#REF!,"AAAAAG7sOHM=")</f>
        <v>#REF!</v>
      </c>
      <c r="DM1" t="e">
        <f>AND(#REF!,"AAAAAG7sOHQ=")</f>
        <v>#REF!</v>
      </c>
      <c r="DN1" t="e">
        <f>AND(#REF!,"AAAAAG7sOHU=")</f>
        <v>#REF!</v>
      </c>
      <c r="DO1" t="e">
        <f>AND(#REF!,"AAAAAG7sOHY=")</f>
        <v>#REF!</v>
      </c>
      <c r="DP1" t="e">
        <f>AND(#REF!,"AAAAAG7sOHc=")</f>
        <v>#REF!</v>
      </c>
      <c r="DQ1" t="e">
        <f>IF(#REF!,"AAAAAG7sOHg=",0)</f>
        <v>#REF!</v>
      </c>
      <c r="DR1" t="e">
        <f>AND(#REF!,"AAAAAG7sOHk=")</f>
        <v>#REF!</v>
      </c>
      <c r="DS1" t="e">
        <f>AND(#REF!,"AAAAAG7sOHo=")</f>
        <v>#REF!</v>
      </c>
      <c r="DT1" t="e">
        <f>AND(#REF!,"AAAAAG7sOHs=")</f>
        <v>#REF!</v>
      </c>
      <c r="DU1" t="e">
        <f>AND(#REF!,"AAAAAG7sOHw=")</f>
        <v>#REF!</v>
      </c>
      <c r="DV1" t="e">
        <f>AND(#REF!,"AAAAAG7sOH0=")</f>
        <v>#REF!</v>
      </c>
      <c r="DW1" t="e">
        <f>AND(#REF!,"AAAAAG7sOH4=")</f>
        <v>#REF!</v>
      </c>
      <c r="DX1" t="e">
        <f>AND(#REF!,"AAAAAG7sOH8=")</f>
        <v>#REF!</v>
      </c>
      <c r="DY1" t="e">
        <f>AND(#REF!,"AAAAAG7sOIA=")</f>
        <v>#REF!</v>
      </c>
      <c r="DZ1" t="e">
        <f>AND(#REF!,"AAAAAG7sOIE=")</f>
        <v>#REF!</v>
      </c>
      <c r="EA1" t="e">
        <f>AND(#REF!,"AAAAAG7sOII=")</f>
        <v>#REF!</v>
      </c>
      <c r="EB1" t="e">
        <f>AND(#REF!,"AAAAAG7sOIM=")</f>
        <v>#REF!</v>
      </c>
      <c r="EC1" t="e">
        <f>AND(#REF!,"AAAAAG7sOIQ=")</f>
        <v>#REF!</v>
      </c>
      <c r="ED1" t="e">
        <f>AND(#REF!,"AAAAAG7sOIU=")</f>
        <v>#REF!</v>
      </c>
      <c r="EE1" t="e">
        <f>AND(#REF!,"AAAAAG7sOIY=")</f>
        <v>#REF!</v>
      </c>
      <c r="EF1" t="e">
        <f>AND(#REF!,"AAAAAG7sOIc=")</f>
        <v>#REF!</v>
      </c>
      <c r="EG1" t="e">
        <f>AND(#REF!,"AAAAAG7sOIg=")</f>
        <v>#REF!</v>
      </c>
      <c r="EH1" t="e">
        <f>AND(#REF!,"AAAAAG7sOIk=")</f>
        <v>#REF!</v>
      </c>
      <c r="EI1" t="e">
        <f>AND(#REF!,"AAAAAG7sOIo=")</f>
        <v>#REF!</v>
      </c>
      <c r="EJ1" t="e">
        <f>AND(#REF!,"AAAAAG7sOIs=")</f>
        <v>#REF!</v>
      </c>
      <c r="EK1" t="e">
        <f>AND(#REF!,"AAAAAG7sOIw=")</f>
        <v>#REF!</v>
      </c>
      <c r="EL1" t="e">
        <f>AND(#REF!,"AAAAAG7sOI0=")</f>
        <v>#REF!</v>
      </c>
      <c r="EM1" t="e">
        <f>AND(#REF!,"AAAAAG7sOI4=")</f>
        <v>#REF!</v>
      </c>
      <c r="EN1" t="e">
        <f>AND(#REF!,"AAAAAG7sOI8=")</f>
        <v>#REF!</v>
      </c>
      <c r="EO1" t="e">
        <f>IF(#REF!,"AAAAAG7sOJA=",0)</f>
        <v>#REF!</v>
      </c>
      <c r="EP1" t="e">
        <f>AND(#REF!,"AAAAAG7sOJE=")</f>
        <v>#REF!</v>
      </c>
      <c r="EQ1" t="e">
        <f>AND(#REF!,"AAAAAG7sOJI=")</f>
        <v>#REF!</v>
      </c>
      <c r="ER1" t="e">
        <f>AND(#REF!,"AAAAAG7sOJM=")</f>
        <v>#REF!</v>
      </c>
      <c r="ES1" t="e">
        <f>AND(#REF!,"AAAAAG7sOJQ=")</f>
        <v>#REF!</v>
      </c>
      <c r="ET1" t="e">
        <f>AND(#REF!,"AAAAAG7sOJU=")</f>
        <v>#REF!</v>
      </c>
      <c r="EU1" t="e">
        <f>AND(#REF!,"AAAAAG7sOJY=")</f>
        <v>#REF!</v>
      </c>
      <c r="EV1" t="e">
        <f>AND(#REF!,"AAAAAG7sOJc=")</f>
        <v>#REF!</v>
      </c>
      <c r="EW1" t="e">
        <f>AND(#REF!,"AAAAAG7sOJg=")</f>
        <v>#REF!</v>
      </c>
      <c r="EX1" t="e">
        <f>AND(#REF!,"AAAAAG7sOJk=")</f>
        <v>#REF!</v>
      </c>
      <c r="EY1" t="e">
        <f>AND(#REF!,"AAAAAG7sOJo=")</f>
        <v>#REF!</v>
      </c>
      <c r="EZ1" t="e">
        <f>AND(#REF!,"AAAAAG7sOJs=")</f>
        <v>#REF!</v>
      </c>
      <c r="FA1" t="e">
        <f>AND(#REF!,"AAAAAG7sOJw=")</f>
        <v>#REF!</v>
      </c>
      <c r="FB1" t="e">
        <f>AND(#REF!,"AAAAAG7sOJ0=")</f>
        <v>#REF!</v>
      </c>
      <c r="FC1" t="e">
        <f>AND(#REF!,"AAAAAG7sOJ4=")</f>
        <v>#REF!</v>
      </c>
      <c r="FD1" t="e">
        <f>AND(#REF!,"AAAAAG7sOJ8=")</f>
        <v>#REF!</v>
      </c>
      <c r="FE1" t="e">
        <f>AND(#REF!,"AAAAAG7sOKA=")</f>
        <v>#REF!</v>
      </c>
      <c r="FF1" t="e">
        <f>AND(#REF!,"AAAAAG7sOKE=")</f>
        <v>#REF!</v>
      </c>
      <c r="FG1" t="e">
        <f>AND(#REF!,"AAAAAG7sOKI=")</f>
        <v>#REF!</v>
      </c>
      <c r="FH1" t="e">
        <f>AND(#REF!,"AAAAAG7sOKM=")</f>
        <v>#REF!</v>
      </c>
      <c r="FI1" t="e">
        <f>AND(#REF!,"AAAAAG7sOKQ=")</f>
        <v>#REF!</v>
      </c>
      <c r="FJ1" t="e">
        <f>AND(#REF!,"AAAAAG7sOKU=")</f>
        <v>#REF!</v>
      </c>
      <c r="FK1" t="e">
        <f>AND(#REF!,"AAAAAG7sOKY=")</f>
        <v>#REF!</v>
      </c>
      <c r="FL1" t="e">
        <f>AND(#REF!,"AAAAAG7sOKc=")</f>
        <v>#REF!</v>
      </c>
      <c r="FM1" t="e">
        <f>IF(#REF!,"AAAAAG7sOKg=",0)</f>
        <v>#REF!</v>
      </c>
      <c r="FN1" t="e">
        <f>AND(#REF!,"AAAAAG7sOKk=")</f>
        <v>#REF!</v>
      </c>
      <c r="FO1" t="e">
        <f>AND(#REF!,"AAAAAG7sOKo=")</f>
        <v>#REF!</v>
      </c>
      <c r="FP1" t="e">
        <f>AND(#REF!,"AAAAAG7sOKs=")</f>
        <v>#REF!</v>
      </c>
      <c r="FQ1" t="e">
        <f>AND(#REF!,"AAAAAG7sOKw=")</f>
        <v>#REF!</v>
      </c>
      <c r="FR1" t="e">
        <f>AND(#REF!,"AAAAAG7sOK0=")</f>
        <v>#REF!</v>
      </c>
      <c r="FS1" t="e">
        <f>AND(#REF!,"AAAAAG7sOK4=")</f>
        <v>#REF!</v>
      </c>
      <c r="FT1" t="e">
        <f>AND(#REF!,"AAAAAG7sOK8=")</f>
        <v>#REF!</v>
      </c>
      <c r="FU1" t="e">
        <f>AND(#REF!,"AAAAAG7sOLA=")</f>
        <v>#REF!</v>
      </c>
      <c r="FV1" t="e">
        <f>AND(#REF!,"AAAAAG7sOLE=")</f>
        <v>#REF!</v>
      </c>
      <c r="FW1" t="e">
        <f>AND(#REF!,"AAAAAG7sOLI=")</f>
        <v>#REF!</v>
      </c>
      <c r="FX1" t="e">
        <f>AND(#REF!,"AAAAAG7sOLM=")</f>
        <v>#REF!</v>
      </c>
      <c r="FY1" t="e">
        <f>AND(#REF!,"AAAAAG7sOLQ=")</f>
        <v>#REF!</v>
      </c>
      <c r="FZ1" t="e">
        <f>AND(#REF!,"AAAAAG7sOLU=")</f>
        <v>#REF!</v>
      </c>
      <c r="GA1" t="e">
        <f>AND(#REF!,"AAAAAG7sOLY=")</f>
        <v>#REF!</v>
      </c>
      <c r="GB1" t="e">
        <f>AND(#REF!,"AAAAAG7sOLc=")</f>
        <v>#REF!</v>
      </c>
      <c r="GC1" t="e">
        <f>AND(#REF!,"AAAAAG7sOLg=")</f>
        <v>#REF!</v>
      </c>
      <c r="GD1" t="e">
        <f>AND(#REF!,"AAAAAG7sOLk=")</f>
        <v>#REF!</v>
      </c>
      <c r="GE1" t="e">
        <f>AND(#REF!,"AAAAAG7sOLo=")</f>
        <v>#REF!</v>
      </c>
      <c r="GF1" t="e">
        <f>AND(#REF!,"AAAAAG7sOLs=")</f>
        <v>#REF!</v>
      </c>
      <c r="GG1" t="e">
        <f>AND(#REF!,"AAAAAG7sOLw=")</f>
        <v>#REF!</v>
      </c>
      <c r="GH1" t="e">
        <f>AND(#REF!,"AAAAAG7sOL0=")</f>
        <v>#REF!</v>
      </c>
      <c r="GI1" t="e">
        <f>AND(#REF!,"AAAAAG7sOL4=")</f>
        <v>#REF!</v>
      </c>
      <c r="GJ1" t="e">
        <f>AND(#REF!,"AAAAAG7sOL8=")</f>
        <v>#REF!</v>
      </c>
      <c r="GK1" t="e">
        <f>IF(#REF!,"AAAAAG7sOMA=",0)</f>
        <v>#REF!</v>
      </c>
      <c r="GL1" t="e">
        <f>AND(#REF!,"AAAAAG7sOME=")</f>
        <v>#REF!</v>
      </c>
      <c r="GM1" t="e">
        <f>AND(#REF!,"AAAAAG7sOMI=")</f>
        <v>#REF!</v>
      </c>
      <c r="GN1" t="e">
        <f>AND(#REF!,"AAAAAG7sOMM=")</f>
        <v>#REF!</v>
      </c>
      <c r="GO1" t="e">
        <f>AND(#REF!,"AAAAAG7sOMQ=")</f>
        <v>#REF!</v>
      </c>
      <c r="GP1" t="e">
        <f>AND(#REF!,"AAAAAG7sOMU=")</f>
        <v>#REF!</v>
      </c>
      <c r="GQ1" t="e">
        <f>AND(#REF!,"AAAAAG7sOMY=")</f>
        <v>#REF!</v>
      </c>
      <c r="GR1" t="e">
        <f>AND(#REF!,"AAAAAG7sOMc=")</f>
        <v>#REF!</v>
      </c>
      <c r="GS1" t="e">
        <f>AND(#REF!,"AAAAAG7sOMg=")</f>
        <v>#REF!</v>
      </c>
      <c r="GT1" t="e">
        <f>AND(#REF!,"AAAAAG7sOMk=")</f>
        <v>#REF!</v>
      </c>
      <c r="GU1" t="e">
        <f>AND(#REF!,"AAAAAG7sOMo=")</f>
        <v>#REF!</v>
      </c>
      <c r="GV1" t="e">
        <f>AND(#REF!,"AAAAAG7sOMs=")</f>
        <v>#REF!</v>
      </c>
      <c r="GW1" t="e">
        <f>AND(#REF!,"AAAAAG7sOMw=")</f>
        <v>#REF!</v>
      </c>
      <c r="GX1" t="e">
        <f>AND(#REF!,"AAAAAG7sOM0=")</f>
        <v>#REF!</v>
      </c>
      <c r="GY1" t="e">
        <f>AND(#REF!,"AAAAAG7sOM4=")</f>
        <v>#REF!</v>
      </c>
      <c r="GZ1" t="e">
        <f>AND(#REF!,"AAAAAG7sOM8=")</f>
        <v>#REF!</v>
      </c>
      <c r="HA1" t="e">
        <f>AND(#REF!,"AAAAAG7sONA=")</f>
        <v>#REF!</v>
      </c>
      <c r="HB1" t="e">
        <f>AND(#REF!,"AAAAAG7sONE=")</f>
        <v>#REF!</v>
      </c>
      <c r="HC1" t="e">
        <f>AND(#REF!,"AAAAAG7sONI=")</f>
        <v>#REF!</v>
      </c>
      <c r="HD1" t="e">
        <f>AND(#REF!,"AAAAAG7sONM=")</f>
        <v>#REF!</v>
      </c>
      <c r="HE1" t="e">
        <f>AND(#REF!,"AAAAAG7sONQ=")</f>
        <v>#REF!</v>
      </c>
      <c r="HF1" t="e">
        <f>AND(#REF!,"AAAAAG7sONU=")</f>
        <v>#REF!</v>
      </c>
      <c r="HG1" t="e">
        <f>AND(#REF!,"AAAAAG7sONY=")</f>
        <v>#REF!</v>
      </c>
      <c r="HH1" t="e">
        <f>AND(#REF!,"AAAAAG7sONc=")</f>
        <v>#REF!</v>
      </c>
      <c r="HI1" t="e">
        <f>IF(#REF!,"AAAAAG7sONg=",0)</f>
        <v>#REF!</v>
      </c>
      <c r="HJ1" t="e">
        <f>AND(#REF!,"AAAAAG7sONk=")</f>
        <v>#REF!</v>
      </c>
      <c r="HK1" t="e">
        <f>AND(#REF!,"AAAAAG7sONo=")</f>
        <v>#REF!</v>
      </c>
      <c r="HL1" t="e">
        <f>AND(#REF!,"AAAAAG7sONs=")</f>
        <v>#REF!</v>
      </c>
      <c r="HM1" t="e">
        <f>AND(#REF!,"AAAAAG7sONw=")</f>
        <v>#REF!</v>
      </c>
      <c r="HN1" t="e">
        <f>AND(#REF!,"AAAAAG7sON0=")</f>
        <v>#REF!</v>
      </c>
      <c r="HO1" t="e">
        <f>AND(#REF!,"AAAAAG7sON4=")</f>
        <v>#REF!</v>
      </c>
      <c r="HP1" t="e">
        <f>AND(#REF!,"AAAAAG7sON8=")</f>
        <v>#REF!</v>
      </c>
      <c r="HQ1" t="e">
        <f>AND(#REF!,"AAAAAG7sOOA=")</f>
        <v>#REF!</v>
      </c>
      <c r="HR1" t="e">
        <f>AND(#REF!,"AAAAAG7sOOE=")</f>
        <v>#REF!</v>
      </c>
      <c r="HS1" t="e">
        <f>AND(#REF!,"AAAAAG7sOOI=")</f>
        <v>#REF!</v>
      </c>
      <c r="HT1" t="e">
        <f>AND(#REF!,"AAAAAG7sOOM=")</f>
        <v>#REF!</v>
      </c>
      <c r="HU1" t="e">
        <f>AND(#REF!,"AAAAAG7sOOQ=")</f>
        <v>#REF!</v>
      </c>
      <c r="HV1" t="e">
        <f>AND(#REF!,"AAAAAG7sOOU=")</f>
        <v>#REF!</v>
      </c>
      <c r="HW1" t="e">
        <f>AND(#REF!,"AAAAAG7sOOY=")</f>
        <v>#REF!</v>
      </c>
      <c r="HX1" t="e">
        <f>AND(#REF!,"AAAAAG7sOOc=")</f>
        <v>#REF!</v>
      </c>
      <c r="HY1" t="e">
        <f>AND(#REF!,"AAAAAG7sOOg=")</f>
        <v>#REF!</v>
      </c>
      <c r="HZ1" t="e">
        <f>AND(#REF!,"AAAAAG7sOOk=")</f>
        <v>#REF!</v>
      </c>
      <c r="IA1" t="e">
        <f>AND(#REF!,"AAAAAG7sOOo=")</f>
        <v>#REF!</v>
      </c>
      <c r="IB1" t="e">
        <f>AND(#REF!,"AAAAAG7sOOs=")</f>
        <v>#REF!</v>
      </c>
      <c r="IC1" t="e">
        <f>AND(#REF!,"AAAAAG7sOOw=")</f>
        <v>#REF!</v>
      </c>
      <c r="ID1" t="e">
        <f>AND(#REF!,"AAAAAG7sOO0=")</f>
        <v>#REF!</v>
      </c>
      <c r="IE1" t="e">
        <f>AND(#REF!,"AAAAAG7sOO4=")</f>
        <v>#REF!</v>
      </c>
      <c r="IF1" t="e">
        <f>AND(#REF!,"AAAAAG7sOO8=")</f>
        <v>#REF!</v>
      </c>
      <c r="IG1" t="e">
        <f>IF(#REF!,"AAAAAG7sOPA=",0)</f>
        <v>#REF!</v>
      </c>
      <c r="IH1" t="e">
        <f>AND(#REF!,"AAAAAG7sOPE=")</f>
        <v>#REF!</v>
      </c>
      <c r="II1" t="e">
        <f>AND(#REF!,"AAAAAG7sOPI=")</f>
        <v>#REF!</v>
      </c>
      <c r="IJ1" t="e">
        <f>AND(#REF!,"AAAAAG7sOPM=")</f>
        <v>#REF!</v>
      </c>
      <c r="IK1" t="e">
        <f>AND(#REF!,"AAAAAG7sOPQ=")</f>
        <v>#REF!</v>
      </c>
      <c r="IL1" t="e">
        <f>AND(#REF!,"AAAAAG7sOPU=")</f>
        <v>#REF!</v>
      </c>
      <c r="IM1" t="e">
        <f>AND(#REF!,"AAAAAG7sOPY=")</f>
        <v>#REF!</v>
      </c>
      <c r="IN1" t="e">
        <f>AND(#REF!,"AAAAAG7sOPc=")</f>
        <v>#REF!</v>
      </c>
      <c r="IO1" t="e">
        <f>AND(#REF!,"AAAAAG7sOPg=")</f>
        <v>#REF!</v>
      </c>
      <c r="IP1" t="e">
        <f>AND(#REF!,"AAAAAG7sOPk=")</f>
        <v>#REF!</v>
      </c>
      <c r="IQ1" t="e">
        <f>AND(#REF!,"AAAAAG7sOPo=")</f>
        <v>#REF!</v>
      </c>
      <c r="IR1" t="e">
        <f>AND(#REF!,"AAAAAG7sOPs=")</f>
        <v>#REF!</v>
      </c>
      <c r="IS1" t="e">
        <f>AND(#REF!,"AAAAAG7sOPw=")</f>
        <v>#REF!</v>
      </c>
      <c r="IT1" t="e">
        <f>AND(#REF!,"AAAAAG7sOP0=")</f>
        <v>#REF!</v>
      </c>
      <c r="IU1" t="e">
        <f>AND(#REF!,"AAAAAG7sOP4=")</f>
        <v>#REF!</v>
      </c>
      <c r="IV1" t="e">
        <f>AND(#REF!,"AAAAAG7sOP8=")</f>
        <v>#REF!</v>
      </c>
    </row>
    <row r="2" spans="1:256">
      <c r="A2" t="e">
        <f>AND(#REF!,"AAAAAG7pMgA=")</f>
        <v>#REF!</v>
      </c>
      <c r="B2" t="e">
        <f>AND(#REF!,"AAAAAG7pMgE=")</f>
        <v>#REF!</v>
      </c>
      <c r="C2" t="e">
        <f>AND(#REF!,"AAAAAG7pMgI=")</f>
        <v>#REF!</v>
      </c>
      <c r="D2" t="e">
        <f>AND(#REF!,"AAAAAG7pMgM=")</f>
        <v>#REF!</v>
      </c>
      <c r="E2" t="e">
        <f>AND(#REF!,"AAAAAG7pMgQ=")</f>
        <v>#REF!</v>
      </c>
      <c r="F2" t="e">
        <f>AND(#REF!,"AAAAAG7pMgU=")</f>
        <v>#REF!</v>
      </c>
      <c r="G2" t="e">
        <f>AND(#REF!,"AAAAAG7pMgY=")</f>
        <v>#REF!</v>
      </c>
      <c r="H2" t="e">
        <f>AND(#REF!,"AAAAAG7pMgc=")</f>
        <v>#REF!</v>
      </c>
      <c r="I2" t="e">
        <f>IF(#REF!,"AAAAAG7pMgg=",0)</f>
        <v>#REF!</v>
      </c>
      <c r="J2" t="e">
        <f>AND(#REF!,"AAAAAG7pMgk=")</f>
        <v>#REF!</v>
      </c>
      <c r="K2" t="e">
        <f>AND(#REF!,"AAAAAG7pMgo=")</f>
        <v>#REF!</v>
      </c>
      <c r="L2" t="e">
        <f>AND(#REF!,"AAAAAG7pMgs=")</f>
        <v>#REF!</v>
      </c>
      <c r="M2" t="e">
        <f>AND(#REF!,"AAAAAG7pMgw=")</f>
        <v>#REF!</v>
      </c>
      <c r="N2" t="e">
        <f>AND(#REF!,"AAAAAG7pMg0=")</f>
        <v>#REF!</v>
      </c>
      <c r="O2" t="e">
        <f>AND(#REF!,"AAAAAG7pMg4=")</f>
        <v>#REF!</v>
      </c>
      <c r="P2" t="e">
        <f>AND(#REF!,"AAAAAG7pMg8=")</f>
        <v>#REF!</v>
      </c>
      <c r="Q2" t="e">
        <f>AND(#REF!,"AAAAAG7pMhA=")</f>
        <v>#REF!</v>
      </c>
      <c r="R2" t="e">
        <f>AND(#REF!,"AAAAAG7pMhE=")</f>
        <v>#REF!</v>
      </c>
      <c r="S2" t="e">
        <f>AND(#REF!,"AAAAAG7pMhI=")</f>
        <v>#REF!</v>
      </c>
      <c r="T2" t="e">
        <f>AND(#REF!,"AAAAAG7pMhM=")</f>
        <v>#REF!</v>
      </c>
      <c r="U2" t="e">
        <f>AND(#REF!,"AAAAAG7pMhQ=")</f>
        <v>#REF!</v>
      </c>
      <c r="V2" t="e">
        <f>AND(#REF!,"AAAAAG7pMhU=")</f>
        <v>#REF!</v>
      </c>
      <c r="W2" t="e">
        <f>AND(#REF!,"AAAAAG7pMhY=")</f>
        <v>#REF!</v>
      </c>
      <c r="X2" t="e">
        <f>AND(#REF!,"AAAAAG7pMhc=")</f>
        <v>#REF!</v>
      </c>
      <c r="Y2" t="e">
        <f>AND(#REF!,"AAAAAG7pMhg=")</f>
        <v>#REF!</v>
      </c>
      <c r="Z2" t="e">
        <f>AND(#REF!,"AAAAAG7pMhk=")</f>
        <v>#REF!</v>
      </c>
      <c r="AA2" t="e">
        <f>AND(#REF!,"AAAAAG7pMho=")</f>
        <v>#REF!</v>
      </c>
      <c r="AB2" t="e">
        <f>AND(#REF!,"AAAAAG7pMhs=")</f>
        <v>#REF!</v>
      </c>
      <c r="AC2" t="e">
        <f>AND(#REF!,"AAAAAG7pMhw=")</f>
        <v>#REF!</v>
      </c>
      <c r="AD2" t="e">
        <f>AND(#REF!,"AAAAAG7pMh0=")</f>
        <v>#REF!</v>
      </c>
      <c r="AE2" t="e">
        <f>AND(#REF!,"AAAAAG7pMh4=")</f>
        <v>#REF!</v>
      </c>
      <c r="AF2" t="e">
        <f>AND(#REF!,"AAAAAG7pMh8=")</f>
        <v>#REF!</v>
      </c>
      <c r="AG2" t="e">
        <f>IF(#REF!,"AAAAAG7pMiA=",0)</f>
        <v>#REF!</v>
      </c>
      <c r="AH2" t="e">
        <f>AND(#REF!,"AAAAAG7pMiE=")</f>
        <v>#REF!</v>
      </c>
      <c r="AI2" t="e">
        <f>AND(#REF!,"AAAAAG7pMiI=")</f>
        <v>#REF!</v>
      </c>
      <c r="AJ2" t="e">
        <f>AND(#REF!,"AAAAAG7pMiM=")</f>
        <v>#REF!</v>
      </c>
      <c r="AK2" t="e">
        <f>AND(#REF!,"AAAAAG7pMiQ=")</f>
        <v>#REF!</v>
      </c>
      <c r="AL2" t="e">
        <f>AND(#REF!,"AAAAAG7pMiU=")</f>
        <v>#REF!</v>
      </c>
      <c r="AM2" t="e">
        <f>AND(#REF!,"AAAAAG7pMiY=")</f>
        <v>#REF!</v>
      </c>
      <c r="AN2" t="e">
        <f>AND(#REF!,"AAAAAG7pMic=")</f>
        <v>#REF!</v>
      </c>
      <c r="AO2" t="e">
        <f>AND(#REF!,"AAAAAG7pMig=")</f>
        <v>#REF!</v>
      </c>
      <c r="AP2" t="e">
        <f>AND(#REF!,"AAAAAG7pMik=")</f>
        <v>#REF!</v>
      </c>
      <c r="AQ2" t="e">
        <f>AND(#REF!,"AAAAAG7pMio=")</f>
        <v>#REF!</v>
      </c>
      <c r="AR2" t="e">
        <f>AND(#REF!,"AAAAAG7pMis=")</f>
        <v>#REF!</v>
      </c>
      <c r="AS2" t="e">
        <f>AND(#REF!,"AAAAAG7pMiw=")</f>
        <v>#REF!</v>
      </c>
      <c r="AT2" t="e">
        <f>AND(#REF!,"AAAAAG7pMi0=")</f>
        <v>#REF!</v>
      </c>
      <c r="AU2" t="e">
        <f>AND(#REF!,"AAAAAG7pMi4=")</f>
        <v>#REF!</v>
      </c>
      <c r="AV2" t="e">
        <f>AND(#REF!,"AAAAAG7pMi8=")</f>
        <v>#REF!</v>
      </c>
      <c r="AW2" t="e">
        <f>AND(#REF!,"AAAAAG7pMjA=")</f>
        <v>#REF!</v>
      </c>
      <c r="AX2" t="e">
        <f>AND(#REF!,"AAAAAG7pMjE=")</f>
        <v>#REF!</v>
      </c>
      <c r="AY2" t="e">
        <f>AND(#REF!,"AAAAAG7pMjI=")</f>
        <v>#REF!</v>
      </c>
      <c r="AZ2" t="e">
        <f>AND(#REF!,"AAAAAG7pMjM=")</f>
        <v>#REF!</v>
      </c>
      <c r="BA2" t="e">
        <f>AND(#REF!,"AAAAAG7pMjQ=")</f>
        <v>#REF!</v>
      </c>
      <c r="BB2" t="e">
        <f>AND(#REF!,"AAAAAG7pMjU=")</f>
        <v>#REF!</v>
      </c>
      <c r="BC2" t="e">
        <f>AND(#REF!,"AAAAAG7pMjY=")</f>
        <v>#REF!</v>
      </c>
      <c r="BD2" t="e">
        <f>AND(#REF!,"AAAAAG7pMjc=")</f>
        <v>#REF!</v>
      </c>
      <c r="BE2" t="e">
        <f>IF(#REF!,"AAAAAG7pMjg=",0)</f>
        <v>#REF!</v>
      </c>
      <c r="BF2" t="e">
        <f>AND(#REF!,"AAAAAG7pMjk=")</f>
        <v>#REF!</v>
      </c>
      <c r="BG2" t="e">
        <f>AND(#REF!,"AAAAAG7pMjo=")</f>
        <v>#REF!</v>
      </c>
      <c r="BH2" t="e">
        <f>AND(#REF!,"AAAAAG7pMjs=")</f>
        <v>#REF!</v>
      </c>
      <c r="BI2" t="e">
        <f>AND(#REF!,"AAAAAG7pMjw=")</f>
        <v>#REF!</v>
      </c>
      <c r="BJ2" t="e">
        <f>AND(#REF!,"AAAAAG7pMj0=")</f>
        <v>#REF!</v>
      </c>
      <c r="BK2" t="e">
        <f>AND(#REF!,"AAAAAG7pMj4=")</f>
        <v>#REF!</v>
      </c>
      <c r="BL2" t="e">
        <f>AND(#REF!,"AAAAAG7pMj8=")</f>
        <v>#REF!</v>
      </c>
      <c r="BM2" t="e">
        <f>AND(#REF!,"AAAAAG7pMkA=")</f>
        <v>#REF!</v>
      </c>
      <c r="BN2" t="e">
        <f>AND(#REF!,"AAAAAG7pMkE=")</f>
        <v>#REF!</v>
      </c>
      <c r="BO2" t="e">
        <f>AND(#REF!,"AAAAAG7pMkI=")</f>
        <v>#REF!</v>
      </c>
      <c r="BP2" t="e">
        <f>AND(#REF!,"AAAAAG7pMkM=")</f>
        <v>#REF!</v>
      </c>
      <c r="BQ2" t="e">
        <f>AND(#REF!,"AAAAAG7pMkQ=")</f>
        <v>#REF!</v>
      </c>
      <c r="BR2" t="e">
        <f>AND(#REF!,"AAAAAG7pMkU=")</f>
        <v>#REF!</v>
      </c>
      <c r="BS2" t="e">
        <f>AND(#REF!,"AAAAAG7pMkY=")</f>
        <v>#REF!</v>
      </c>
      <c r="BT2" t="e">
        <f>AND(#REF!,"AAAAAG7pMkc=")</f>
        <v>#REF!</v>
      </c>
      <c r="BU2" t="e">
        <f>AND(#REF!,"AAAAAG7pMkg=")</f>
        <v>#REF!</v>
      </c>
      <c r="BV2" t="e">
        <f>AND(#REF!,"AAAAAG7pMkk=")</f>
        <v>#REF!</v>
      </c>
      <c r="BW2" t="e">
        <f>AND(#REF!,"AAAAAG7pMko=")</f>
        <v>#REF!</v>
      </c>
      <c r="BX2" t="e">
        <f>AND(#REF!,"AAAAAG7pMks=")</f>
        <v>#REF!</v>
      </c>
      <c r="BY2" t="e">
        <f>AND(#REF!,"AAAAAG7pMkw=")</f>
        <v>#REF!</v>
      </c>
      <c r="BZ2" t="e">
        <f>AND(#REF!,"AAAAAG7pMk0=")</f>
        <v>#REF!</v>
      </c>
      <c r="CA2" t="e">
        <f>AND(#REF!,"AAAAAG7pMk4=")</f>
        <v>#REF!</v>
      </c>
      <c r="CB2" t="e">
        <f>AND(#REF!,"AAAAAG7pMk8=")</f>
        <v>#REF!</v>
      </c>
      <c r="CC2" t="e">
        <f>IF(#REF!,"AAAAAG7pMlA=",0)</f>
        <v>#REF!</v>
      </c>
      <c r="CD2" t="e">
        <f>AND(#REF!,"AAAAAG7pMlE=")</f>
        <v>#REF!</v>
      </c>
      <c r="CE2" t="e">
        <f>AND(#REF!,"AAAAAG7pMlI=")</f>
        <v>#REF!</v>
      </c>
      <c r="CF2" t="e">
        <f>AND(#REF!,"AAAAAG7pMlM=")</f>
        <v>#REF!</v>
      </c>
      <c r="CG2" t="e">
        <f>AND(#REF!,"AAAAAG7pMlQ=")</f>
        <v>#REF!</v>
      </c>
      <c r="CH2" t="e">
        <f>AND(#REF!,"AAAAAG7pMlU=")</f>
        <v>#REF!</v>
      </c>
      <c r="CI2" t="e">
        <f>AND(#REF!,"AAAAAG7pMlY=")</f>
        <v>#REF!</v>
      </c>
      <c r="CJ2" t="e">
        <f>AND(#REF!,"AAAAAG7pMlc=")</f>
        <v>#REF!</v>
      </c>
      <c r="CK2" t="e">
        <f>AND(#REF!,"AAAAAG7pMlg=")</f>
        <v>#REF!</v>
      </c>
      <c r="CL2" t="e">
        <f>AND(#REF!,"AAAAAG7pMlk=")</f>
        <v>#REF!</v>
      </c>
      <c r="CM2" t="e">
        <f>AND(#REF!,"AAAAAG7pMlo=")</f>
        <v>#REF!</v>
      </c>
      <c r="CN2" t="e">
        <f>AND(#REF!,"AAAAAG7pMls=")</f>
        <v>#REF!</v>
      </c>
      <c r="CO2" t="e">
        <f>AND(#REF!,"AAAAAG7pMlw=")</f>
        <v>#REF!</v>
      </c>
      <c r="CP2" t="e">
        <f>AND(#REF!,"AAAAAG7pMl0=")</f>
        <v>#REF!</v>
      </c>
      <c r="CQ2" t="e">
        <f>AND(#REF!,"AAAAAG7pMl4=")</f>
        <v>#REF!</v>
      </c>
      <c r="CR2" t="e">
        <f>AND(#REF!,"AAAAAG7pMl8=")</f>
        <v>#REF!</v>
      </c>
      <c r="CS2" t="e">
        <f>AND(#REF!,"AAAAAG7pMmA=")</f>
        <v>#REF!</v>
      </c>
      <c r="CT2" t="e">
        <f>AND(#REF!,"AAAAAG7pMmE=")</f>
        <v>#REF!</v>
      </c>
      <c r="CU2" t="e">
        <f>AND(#REF!,"AAAAAG7pMmI=")</f>
        <v>#REF!</v>
      </c>
      <c r="CV2" t="e">
        <f>AND(#REF!,"AAAAAG7pMmM=")</f>
        <v>#REF!</v>
      </c>
      <c r="CW2" t="e">
        <f>AND(#REF!,"AAAAAG7pMmQ=")</f>
        <v>#REF!</v>
      </c>
      <c r="CX2" t="e">
        <f>AND(#REF!,"AAAAAG7pMmU=")</f>
        <v>#REF!</v>
      </c>
      <c r="CY2" t="e">
        <f>AND(#REF!,"AAAAAG7pMmY=")</f>
        <v>#REF!</v>
      </c>
      <c r="CZ2" t="e">
        <f>AND(#REF!,"AAAAAG7pMmc=")</f>
        <v>#REF!</v>
      </c>
      <c r="DA2" t="e">
        <f>IF(#REF!,"AAAAAG7pMmg=",0)</f>
        <v>#REF!</v>
      </c>
      <c r="DB2" t="e">
        <f>AND(#REF!,"AAAAAG7pMmk=")</f>
        <v>#REF!</v>
      </c>
      <c r="DC2" t="e">
        <f>AND(#REF!,"AAAAAG7pMmo=")</f>
        <v>#REF!</v>
      </c>
      <c r="DD2" t="e">
        <f>AND(#REF!,"AAAAAG7pMms=")</f>
        <v>#REF!</v>
      </c>
      <c r="DE2" t="e">
        <f>AND(#REF!,"AAAAAG7pMmw=")</f>
        <v>#REF!</v>
      </c>
      <c r="DF2" t="e">
        <f>AND(#REF!,"AAAAAG7pMm0=")</f>
        <v>#REF!</v>
      </c>
      <c r="DG2" t="e">
        <f>AND(#REF!,"AAAAAG7pMm4=")</f>
        <v>#REF!</v>
      </c>
      <c r="DH2" t="e">
        <f>AND(#REF!,"AAAAAG7pMm8=")</f>
        <v>#REF!</v>
      </c>
      <c r="DI2" t="e">
        <f>AND(#REF!,"AAAAAG7pMnA=")</f>
        <v>#REF!</v>
      </c>
      <c r="DJ2" t="e">
        <f>AND(#REF!,"AAAAAG7pMnE=")</f>
        <v>#REF!</v>
      </c>
      <c r="DK2" t="e">
        <f>AND(#REF!,"AAAAAG7pMnI=")</f>
        <v>#REF!</v>
      </c>
      <c r="DL2" t="e">
        <f>AND(#REF!,"AAAAAG7pMnM=")</f>
        <v>#REF!</v>
      </c>
      <c r="DM2" t="e">
        <f>AND(#REF!,"AAAAAG7pMnQ=")</f>
        <v>#REF!</v>
      </c>
      <c r="DN2" t="e">
        <f>AND(#REF!,"AAAAAG7pMnU=")</f>
        <v>#REF!</v>
      </c>
      <c r="DO2" t="e">
        <f>AND(#REF!,"AAAAAG7pMnY=")</f>
        <v>#REF!</v>
      </c>
      <c r="DP2" t="e">
        <f>AND(#REF!,"AAAAAG7pMnc=")</f>
        <v>#REF!</v>
      </c>
      <c r="DQ2" t="e">
        <f>AND(#REF!,"AAAAAG7pMng=")</f>
        <v>#REF!</v>
      </c>
      <c r="DR2" t="e">
        <f>AND(#REF!,"AAAAAG7pMnk=")</f>
        <v>#REF!</v>
      </c>
      <c r="DS2" t="e">
        <f>AND(#REF!,"AAAAAG7pMno=")</f>
        <v>#REF!</v>
      </c>
      <c r="DT2" t="e">
        <f>AND(#REF!,"AAAAAG7pMns=")</f>
        <v>#REF!</v>
      </c>
      <c r="DU2" t="e">
        <f>AND(#REF!,"AAAAAG7pMnw=")</f>
        <v>#REF!</v>
      </c>
      <c r="DV2" t="e">
        <f>AND(#REF!,"AAAAAG7pMn0=")</f>
        <v>#REF!</v>
      </c>
      <c r="DW2" t="e">
        <f>AND(#REF!,"AAAAAG7pMn4=")</f>
        <v>#REF!</v>
      </c>
      <c r="DX2" t="e">
        <f>AND(#REF!,"AAAAAG7pMn8=")</f>
        <v>#REF!</v>
      </c>
      <c r="DY2" t="e">
        <f>IF(#REF!,"AAAAAG7pMoA=",0)</f>
        <v>#REF!</v>
      </c>
      <c r="DZ2" t="e">
        <f>AND(#REF!,"AAAAAG7pMoE=")</f>
        <v>#REF!</v>
      </c>
      <c r="EA2" t="e">
        <f>AND(#REF!,"AAAAAG7pMoI=")</f>
        <v>#REF!</v>
      </c>
      <c r="EB2" t="e">
        <f>AND(#REF!,"AAAAAG7pMoM=")</f>
        <v>#REF!</v>
      </c>
      <c r="EC2" t="e">
        <f>AND(#REF!,"AAAAAG7pMoQ=")</f>
        <v>#REF!</v>
      </c>
      <c r="ED2" t="e">
        <f>AND(#REF!,"AAAAAG7pMoU=")</f>
        <v>#REF!</v>
      </c>
      <c r="EE2" t="e">
        <f>AND(#REF!,"AAAAAG7pMoY=")</f>
        <v>#REF!</v>
      </c>
      <c r="EF2" t="e">
        <f>AND(#REF!,"AAAAAG7pMoc=")</f>
        <v>#REF!</v>
      </c>
      <c r="EG2" t="e">
        <f>AND(#REF!,"AAAAAG7pMog=")</f>
        <v>#REF!</v>
      </c>
      <c r="EH2" t="e">
        <f>AND(#REF!,"AAAAAG7pMok=")</f>
        <v>#REF!</v>
      </c>
      <c r="EI2" t="e">
        <f>AND(#REF!,"AAAAAG7pMoo=")</f>
        <v>#REF!</v>
      </c>
      <c r="EJ2" t="e">
        <f>AND(#REF!,"AAAAAG7pMos=")</f>
        <v>#REF!</v>
      </c>
      <c r="EK2" t="e">
        <f>AND(#REF!,"AAAAAG7pMow=")</f>
        <v>#REF!</v>
      </c>
      <c r="EL2" t="e">
        <f>AND(#REF!,"AAAAAG7pMo0=")</f>
        <v>#REF!</v>
      </c>
      <c r="EM2" t="e">
        <f>AND(#REF!,"AAAAAG7pMo4=")</f>
        <v>#REF!</v>
      </c>
      <c r="EN2" t="e">
        <f>AND(#REF!,"AAAAAG7pMo8=")</f>
        <v>#REF!</v>
      </c>
      <c r="EO2" t="e">
        <f>AND(#REF!,"AAAAAG7pMpA=")</f>
        <v>#REF!</v>
      </c>
      <c r="EP2" t="e">
        <f>AND(#REF!,"AAAAAG7pMpE=")</f>
        <v>#REF!</v>
      </c>
      <c r="EQ2" t="e">
        <f>AND(#REF!,"AAAAAG7pMpI=")</f>
        <v>#REF!</v>
      </c>
      <c r="ER2" t="e">
        <f>AND(#REF!,"AAAAAG7pMpM=")</f>
        <v>#REF!</v>
      </c>
      <c r="ES2" t="e">
        <f>AND(#REF!,"AAAAAG7pMpQ=")</f>
        <v>#REF!</v>
      </c>
      <c r="ET2" t="e">
        <f>AND(#REF!,"AAAAAG7pMpU=")</f>
        <v>#REF!</v>
      </c>
      <c r="EU2" t="e">
        <f>AND(#REF!,"AAAAAG7pMpY=")</f>
        <v>#REF!</v>
      </c>
      <c r="EV2" t="e">
        <f>AND(#REF!,"AAAAAG7pMpc=")</f>
        <v>#REF!</v>
      </c>
      <c r="EW2" t="e">
        <f>IF(#REF!,"AAAAAG7pMpg=",0)</f>
        <v>#REF!</v>
      </c>
      <c r="EX2" t="e">
        <f>AND(#REF!,"AAAAAG7pMpk=")</f>
        <v>#REF!</v>
      </c>
      <c r="EY2" t="e">
        <f>AND(#REF!,"AAAAAG7pMpo=")</f>
        <v>#REF!</v>
      </c>
      <c r="EZ2" t="e">
        <f>AND(#REF!,"AAAAAG7pMps=")</f>
        <v>#REF!</v>
      </c>
      <c r="FA2" t="e">
        <f>AND(#REF!,"AAAAAG7pMpw=")</f>
        <v>#REF!</v>
      </c>
      <c r="FB2" t="e">
        <f>AND(#REF!,"AAAAAG7pMp0=")</f>
        <v>#REF!</v>
      </c>
      <c r="FC2" t="e">
        <f>AND(#REF!,"AAAAAG7pMp4=")</f>
        <v>#REF!</v>
      </c>
      <c r="FD2" t="e">
        <f>AND(#REF!,"AAAAAG7pMp8=")</f>
        <v>#REF!</v>
      </c>
      <c r="FE2" t="e">
        <f>AND(#REF!,"AAAAAG7pMqA=")</f>
        <v>#REF!</v>
      </c>
      <c r="FF2" t="e">
        <f>AND(#REF!,"AAAAAG7pMqE=")</f>
        <v>#REF!</v>
      </c>
      <c r="FG2" t="e">
        <f>AND(#REF!,"AAAAAG7pMqI=")</f>
        <v>#REF!</v>
      </c>
      <c r="FH2" t="e">
        <f>AND(#REF!,"AAAAAG7pMqM=")</f>
        <v>#REF!</v>
      </c>
      <c r="FI2" t="e">
        <f>AND(#REF!,"AAAAAG7pMqQ=")</f>
        <v>#REF!</v>
      </c>
      <c r="FJ2" t="e">
        <f>AND(#REF!,"AAAAAG7pMqU=")</f>
        <v>#REF!</v>
      </c>
      <c r="FK2" t="e">
        <f>AND(#REF!,"AAAAAG7pMqY=")</f>
        <v>#REF!</v>
      </c>
      <c r="FL2" t="e">
        <f>AND(#REF!,"AAAAAG7pMqc=")</f>
        <v>#REF!</v>
      </c>
      <c r="FM2" t="e">
        <f>AND(#REF!,"AAAAAG7pMqg=")</f>
        <v>#REF!</v>
      </c>
      <c r="FN2" t="e">
        <f>AND(#REF!,"AAAAAG7pMqk=")</f>
        <v>#REF!</v>
      </c>
      <c r="FO2" t="e">
        <f>AND(#REF!,"AAAAAG7pMqo=")</f>
        <v>#REF!</v>
      </c>
      <c r="FP2" t="e">
        <f>AND(#REF!,"AAAAAG7pMqs=")</f>
        <v>#REF!</v>
      </c>
      <c r="FQ2" t="e">
        <f>AND(#REF!,"AAAAAG7pMqw=")</f>
        <v>#REF!</v>
      </c>
      <c r="FR2" t="e">
        <f>AND(#REF!,"AAAAAG7pMq0=")</f>
        <v>#REF!</v>
      </c>
      <c r="FS2" t="e">
        <f>AND(#REF!,"AAAAAG7pMq4=")</f>
        <v>#REF!</v>
      </c>
      <c r="FT2" t="e">
        <f>AND(#REF!,"AAAAAG7pMq8=")</f>
        <v>#REF!</v>
      </c>
      <c r="FU2" t="e">
        <f>IF(#REF!,"AAAAAG7pMrA=",0)</f>
        <v>#REF!</v>
      </c>
      <c r="FV2" t="e">
        <f>AND(#REF!,"AAAAAG7pMrE=")</f>
        <v>#REF!</v>
      </c>
      <c r="FW2" t="e">
        <f>AND(#REF!,"AAAAAG7pMrI=")</f>
        <v>#REF!</v>
      </c>
      <c r="FX2" t="e">
        <f>AND(#REF!,"AAAAAG7pMrM=")</f>
        <v>#REF!</v>
      </c>
      <c r="FY2" t="e">
        <f>AND(#REF!,"AAAAAG7pMrQ=")</f>
        <v>#REF!</v>
      </c>
      <c r="FZ2" t="e">
        <f>AND(#REF!,"AAAAAG7pMrU=")</f>
        <v>#REF!</v>
      </c>
      <c r="GA2" t="e">
        <f>AND(#REF!,"AAAAAG7pMrY=")</f>
        <v>#REF!</v>
      </c>
      <c r="GB2" t="e">
        <f>AND(#REF!,"AAAAAG7pMrc=")</f>
        <v>#REF!</v>
      </c>
      <c r="GC2" t="e">
        <f>AND(#REF!,"AAAAAG7pMrg=")</f>
        <v>#REF!</v>
      </c>
      <c r="GD2" t="e">
        <f>AND(#REF!,"AAAAAG7pMrk=")</f>
        <v>#REF!</v>
      </c>
      <c r="GE2" t="e">
        <f>AND(#REF!,"AAAAAG7pMro=")</f>
        <v>#REF!</v>
      </c>
      <c r="GF2" t="e">
        <f>AND(#REF!,"AAAAAG7pMrs=")</f>
        <v>#REF!</v>
      </c>
      <c r="GG2" t="e">
        <f>AND(#REF!,"AAAAAG7pMrw=")</f>
        <v>#REF!</v>
      </c>
      <c r="GH2" t="e">
        <f>AND(#REF!,"AAAAAG7pMr0=")</f>
        <v>#REF!</v>
      </c>
      <c r="GI2" t="e">
        <f>AND(#REF!,"AAAAAG7pMr4=")</f>
        <v>#REF!</v>
      </c>
      <c r="GJ2" t="e">
        <f>AND(#REF!,"AAAAAG7pMr8=")</f>
        <v>#REF!</v>
      </c>
      <c r="GK2" t="e">
        <f>AND(#REF!,"AAAAAG7pMsA=")</f>
        <v>#REF!</v>
      </c>
      <c r="GL2" t="e">
        <f>AND(#REF!,"AAAAAG7pMsE=")</f>
        <v>#REF!</v>
      </c>
      <c r="GM2" t="e">
        <f>AND(#REF!,"AAAAAG7pMsI=")</f>
        <v>#REF!</v>
      </c>
      <c r="GN2" t="e">
        <f>AND(#REF!,"AAAAAG7pMsM=")</f>
        <v>#REF!</v>
      </c>
      <c r="GO2" t="e">
        <f>AND(#REF!,"AAAAAG7pMsQ=")</f>
        <v>#REF!</v>
      </c>
      <c r="GP2" t="e">
        <f>AND(#REF!,"AAAAAG7pMsU=")</f>
        <v>#REF!</v>
      </c>
      <c r="GQ2" t="e">
        <f>AND(#REF!,"AAAAAG7pMsY=")</f>
        <v>#REF!</v>
      </c>
      <c r="GR2" t="e">
        <f>AND(#REF!,"AAAAAG7pMsc=")</f>
        <v>#REF!</v>
      </c>
      <c r="GS2" t="e">
        <f>IF(#REF!,"AAAAAG7pMsg=",0)</f>
        <v>#REF!</v>
      </c>
      <c r="GT2" t="e">
        <f>AND(#REF!,"AAAAAG7pMsk=")</f>
        <v>#REF!</v>
      </c>
      <c r="GU2" t="e">
        <f>AND(#REF!,"AAAAAG7pMso=")</f>
        <v>#REF!</v>
      </c>
      <c r="GV2" t="e">
        <f>AND(#REF!,"AAAAAG7pMss=")</f>
        <v>#REF!</v>
      </c>
      <c r="GW2" t="e">
        <f>AND(#REF!,"AAAAAG7pMsw=")</f>
        <v>#REF!</v>
      </c>
      <c r="GX2" t="e">
        <f>AND(#REF!,"AAAAAG7pMs0=")</f>
        <v>#REF!</v>
      </c>
      <c r="GY2" t="e">
        <f>AND(#REF!,"AAAAAG7pMs4=")</f>
        <v>#REF!</v>
      </c>
      <c r="GZ2" t="e">
        <f>AND(#REF!,"AAAAAG7pMs8=")</f>
        <v>#REF!</v>
      </c>
      <c r="HA2" t="e">
        <f>AND(#REF!,"AAAAAG7pMtA=")</f>
        <v>#REF!</v>
      </c>
      <c r="HB2" t="e">
        <f>AND(#REF!,"AAAAAG7pMtE=")</f>
        <v>#REF!</v>
      </c>
      <c r="HC2" t="e">
        <f>AND(#REF!,"AAAAAG7pMtI=")</f>
        <v>#REF!</v>
      </c>
      <c r="HD2" t="e">
        <f>AND(#REF!,"AAAAAG7pMtM=")</f>
        <v>#REF!</v>
      </c>
      <c r="HE2" t="e">
        <f>AND(#REF!,"AAAAAG7pMtQ=")</f>
        <v>#REF!</v>
      </c>
      <c r="HF2" t="e">
        <f>AND(#REF!,"AAAAAG7pMtU=")</f>
        <v>#REF!</v>
      </c>
      <c r="HG2" t="e">
        <f>AND(#REF!,"AAAAAG7pMtY=")</f>
        <v>#REF!</v>
      </c>
      <c r="HH2" t="e">
        <f>AND(#REF!,"AAAAAG7pMtc=")</f>
        <v>#REF!</v>
      </c>
      <c r="HI2" t="e">
        <f>AND(#REF!,"AAAAAG7pMtg=")</f>
        <v>#REF!</v>
      </c>
      <c r="HJ2" t="e">
        <f>AND(#REF!,"AAAAAG7pMtk=")</f>
        <v>#REF!</v>
      </c>
      <c r="HK2" t="e">
        <f>AND(#REF!,"AAAAAG7pMto=")</f>
        <v>#REF!</v>
      </c>
      <c r="HL2" t="e">
        <f>AND(#REF!,"AAAAAG7pMts=")</f>
        <v>#REF!</v>
      </c>
      <c r="HM2" t="e">
        <f>AND(#REF!,"AAAAAG7pMtw=")</f>
        <v>#REF!</v>
      </c>
      <c r="HN2" t="e">
        <f>AND(#REF!,"AAAAAG7pMt0=")</f>
        <v>#REF!</v>
      </c>
      <c r="HO2" t="e">
        <f>AND(#REF!,"AAAAAG7pMt4=")</f>
        <v>#REF!</v>
      </c>
      <c r="HP2" t="e">
        <f>AND(#REF!,"AAAAAG7pMt8=")</f>
        <v>#REF!</v>
      </c>
      <c r="HQ2" t="e">
        <f>IF(#REF!,"AAAAAG7pMuA=",0)</f>
        <v>#REF!</v>
      </c>
      <c r="HR2" t="e">
        <f>AND(#REF!,"AAAAAG7pMuE=")</f>
        <v>#REF!</v>
      </c>
      <c r="HS2" t="e">
        <f>AND(#REF!,"AAAAAG7pMuI=")</f>
        <v>#REF!</v>
      </c>
      <c r="HT2" t="e">
        <f>AND(#REF!,"AAAAAG7pMuM=")</f>
        <v>#REF!</v>
      </c>
      <c r="HU2" t="e">
        <f>AND(#REF!,"AAAAAG7pMuQ=")</f>
        <v>#REF!</v>
      </c>
      <c r="HV2" t="e">
        <f>AND(#REF!,"AAAAAG7pMuU=")</f>
        <v>#REF!</v>
      </c>
      <c r="HW2" t="e">
        <f>AND(#REF!,"AAAAAG7pMuY=")</f>
        <v>#REF!</v>
      </c>
      <c r="HX2" t="e">
        <f>AND(#REF!,"AAAAAG7pMuc=")</f>
        <v>#REF!</v>
      </c>
      <c r="HY2" t="e">
        <f>AND(#REF!,"AAAAAG7pMug=")</f>
        <v>#REF!</v>
      </c>
      <c r="HZ2" t="e">
        <f>AND(#REF!,"AAAAAG7pMuk=")</f>
        <v>#REF!</v>
      </c>
      <c r="IA2" t="e">
        <f>AND(#REF!,"AAAAAG7pMuo=")</f>
        <v>#REF!</v>
      </c>
      <c r="IB2" t="e">
        <f>AND(#REF!,"AAAAAG7pMus=")</f>
        <v>#REF!</v>
      </c>
      <c r="IC2" t="e">
        <f>AND(#REF!,"AAAAAG7pMuw=")</f>
        <v>#REF!</v>
      </c>
      <c r="ID2" t="e">
        <f>AND(#REF!,"AAAAAG7pMu0=")</f>
        <v>#REF!</v>
      </c>
      <c r="IE2" t="e">
        <f>AND(#REF!,"AAAAAG7pMu4=")</f>
        <v>#REF!</v>
      </c>
      <c r="IF2" t="e">
        <f>AND(#REF!,"AAAAAG7pMu8=")</f>
        <v>#REF!</v>
      </c>
      <c r="IG2" t="e">
        <f>AND(#REF!,"AAAAAG7pMvA=")</f>
        <v>#REF!</v>
      </c>
      <c r="IH2" t="e">
        <f>AND(#REF!,"AAAAAG7pMvE=")</f>
        <v>#REF!</v>
      </c>
      <c r="II2" t="e">
        <f>AND(#REF!,"AAAAAG7pMvI=")</f>
        <v>#REF!</v>
      </c>
      <c r="IJ2" t="e">
        <f>AND(#REF!,"AAAAAG7pMvM=")</f>
        <v>#REF!</v>
      </c>
      <c r="IK2" t="e">
        <f>AND(#REF!,"AAAAAG7pMvQ=")</f>
        <v>#REF!</v>
      </c>
      <c r="IL2" t="e">
        <f>AND(#REF!,"AAAAAG7pMvU=")</f>
        <v>#REF!</v>
      </c>
      <c r="IM2" t="e">
        <f>AND(#REF!,"AAAAAG7pMvY=")</f>
        <v>#REF!</v>
      </c>
      <c r="IN2" t="e">
        <f>AND(#REF!,"AAAAAG7pMvc=")</f>
        <v>#REF!</v>
      </c>
      <c r="IO2" t="e">
        <f>IF(#REF!,"AAAAAG7pMvg=",0)</f>
        <v>#REF!</v>
      </c>
      <c r="IP2" t="e">
        <f>AND(#REF!,"AAAAAG7pMvk=")</f>
        <v>#REF!</v>
      </c>
      <c r="IQ2" t="e">
        <f>AND(#REF!,"AAAAAG7pMvo=")</f>
        <v>#REF!</v>
      </c>
      <c r="IR2" t="e">
        <f>AND(#REF!,"AAAAAG7pMvs=")</f>
        <v>#REF!</v>
      </c>
      <c r="IS2" t="e">
        <f>AND(#REF!,"AAAAAG7pMvw=")</f>
        <v>#REF!</v>
      </c>
      <c r="IT2" t="e">
        <f>AND(#REF!,"AAAAAG7pMv0=")</f>
        <v>#REF!</v>
      </c>
      <c r="IU2" t="e">
        <f>AND(#REF!,"AAAAAG7pMv4=")</f>
        <v>#REF!</v>
      </c>
      <c r="IV2" t="e">
        <f>AND(#REF!,"AAAAAG7pMv8=")</f>
        <v>#REF!</v>
      </c>
    </row>
    <row r="3" spans="1:256">
      <c r="A3" t="e">
        <f>AND(#REF!,"AAAAACF/6QA=")</f>
        <v>#REF!</v>
      </c>
      <c r="B3" t="e">
        <f>AND(#REF!,"AAAAACF/6QE=")</f>
        <v>#REF!</v>
      </c>
      <c r="C3" t="e">
        <f>AND(#REF!,"AAAAACF/6QI=")</f>
        <v>#REF!</v>
      </c>
      <c r="D3" t="e">
        <f>AND(#REF!,"AAAAACF/6QM=")</f>
        <v>#REF!</v>
      </c>
      <c r="E3" t="e">
        <f>AND(#REF!,"AAAAACF/6QQ=")</f>
        <v>#REF!</v>
      </c>
      <c r="F3" t="e">
        <f>AND(#REF!,"AAAAACF/6QU=")</f>
        <v>#REF!</v>
      </c>
      <c r="G3" t="e">
        <f>AND(#REF!,"AAAAACF/6QY=")</f>
        <v>#REF!</v>
      </c>
      <c r="H3" t="e">
        <f>AND(#REF!,"AAAAACF/6Qc=")</f>
        <v>#REF!</v>
      </c>
      <c r="I3" t="e">
        <f>AND(#REF!,"AAAAACF/6Qg=")</f>
        <v>#REF!</v>
      </c>
      <c r="J3" t="e">
        <f>AND(#REF!,"AAAAACF/6Qk=")</f>
        <v>#REF!</v>
      </c>
      <c r="K3" t="e">
        <f>AND(#REF!,"AAAAACF/6Qo=")</f>
        <v>#REF!</v>
      </c>
      <c r="L3" t="e">
        <f>AND(#REF!,"AAAAACF/6Qs=")</f>
        <v>#REF!</v>
      </c>
      <c r="M3" t="e">
        <f>AND(#REF!,"AAAAACF/6Qw=")</f>
        <v>#REF!</v>
      </c>
      <c r="N3" t="e">
        <f>AND(#REF!,"AAAAACF/6Q0=")</f>
        <v>#REF!</v>
      </c>
      <c r="O3" t="e">
        <f>AND(#REF!,"AAAAACF/6Q4=")</f>
        <v>#REF!</v>
      </c>
      <c r="P3" t="e">
        <f>AND(#REF!,"AAAAACF/6Q8=")</f>
        <v>#REF!</v>
      </c>
      <c r="Q3" t="e">
        <f>IF(#REF!,"AAAAACF/6RA=",0)</f>
        <v>#REF!</v>
      </c>
      <c r="R3" t="e">
        <f>AND(#REF!,"AAAAACF/6RE=")</f>
        <v>#REF!</v>
      </c>
      <c r="S3" t="e">
        <f>AND(#REF!,"AAAAACF/6RI=")</f>
        <v>#REF!</v>
      </c>
      <c r="T3" t="e">
        <f>AND(#REF!,"AAAAACF/6RM=")</f>
        <v>#REF!</v>
      </c>
      <c r="U3" t="e">
        <f>AND(#REF!,"AAAAACF/6RQ=")</f>
        <v>#REF!</v>
      </c>
      <c r="V3" t="e">
        <f>AND(#REF!,"AAAAACF/6RU=")</f>
        <v>#REF!</v>
      </c>
      <c r="W3" t="e">
        <f>AND(#REF!,"AAAAACF/6RY=")</f>
        <v>#REF!</v>
      </c>
      <c r="X3" t="e">
        <f>AND(#REF!,"AAAAACF/6Rc=")</f>
        <v>#REF!</v>
      </c>
      <c r="Y3" t="e">
        <f>AND(#REF!,"AAAAACF/6Rg=")</f>
        <v>#REF!</v>
      </c>
      <c r="Z3" t="e">
        <f>AND(#REF!,"AAAAACF/6Rk=")</f>
        <v>#REF!</v>
      </c>
      <c r="AA3" t="e">
        <f>AND(#REF!,"AAAAACF/6Ro=")</f>
        <v>#REF!</v>
      </c>
      <c r="AB3" t="e">
        <f>AND(#REF!,"AAAAACF/6Rs=")</f>
        <v>#REF!</v>
      </c>
      <c r="AC3" t="e">
        <f>AND(#REF!,"AAAAACF/6Rw=")</f>
        <v>#REF!</v>
      </c>
      <c r="AD3" t="e">
        <f>AND(#REF!,"AAAAACF/6R0=")</f>
        <v>#REF!</v>
      </c>
      <c r="AE3" t="e">
        <f>AND(#REF!,"AAAAACF/6R4=")</f>
        <v>#REF!</v>
      </c>
      <c r="AF3" t="e">
        <f>AND(#REF!,"AAAAACF/6R8=")</f>
        <v>#REF!</v>
      </c>
      <c r="AG3" t="e">
        <f>AND(#REF!,"AAAAACF/6SA=")</f>
        <v>#REF!</v>
      </c>
      <c r="AH3" t="e">
        <f>AND(#REF!,"AAAAACF/6SE=")</f>
        <v>#REF!</v>
      </c>
      <c r="AI3" t="e">
        <f>AND(#REF!,"AAAAACF/6SI=")</f>
        <v>#REF!</v>
      </c>
      <c r="AJ3" t="e">
        <f>AND(#REF!,"AAAAACF/6SM=")</f>
        <v>#REF!</v>
      </c>
      <c r="AK3" t="e">
        <f>AND(#REF!,"AAAAACF/6SQ=")</f>
        <v>#REF!</v>
      </c>
      <c r="AL3" t="e">
        <f>AND(#REF!,"AAAAACF/6SU=")</f>
        <v>#REF!</v>
      </c>
      <c r="AM3" t="e">
        <f>AND(#REF!,"AAAAACF/6SY=")</f>
        <v>#REF!</v>
      </c>
      <c r="AN3" t="e">
        <f>AND(#REF!,"AAAAACF/6Sc=")</f>
        <v>#REF!</v>
      </c>
      <c r="AO3" t="e">
        <f>IF(#REF!,"AAAAACF/6Sg=",0)</f>
        <v>#REF!</v>
      </c>
      <c r="AP3" t="e">
        <f>AND(#REF!,"AAAAACF/6Sk=")</f>
        <v>#REF!</v>
      </c>
      <c r="AQ3" t="e">
        <f>AND(#REF!,"AAAAACF/6So=")</f>
        <v>#REF!</v>
      </c>
      <c r="AR3" t="e">
        <f>AND(#REF!,"AAAAACF/6Ss=")</f>
        <v>#REF!</v>
      </c>
      <c r="AS3" t="e">
        <f>AND(#REF!,"AAAAACF/6Sw=")</f>
        <v>#REF!</v>
      </c>
      <c r="AT3" t="e">
        <f>AND(#REF!,"AAAAACF/6S0=")</f>
        <v>#REF!</v>
      </c>
      <c r="AU3" t="e">
        <f>AND(#REF!,"AAAAACF/6S4=")</f>
        <v>#REF!</v>
      </c>
      <c r="AV3" t="e">
        <f>AND(#REF!,"AAAAACF/6S8=")</f>
        <v>#REF!</v>
      </c>
      <c r="AW3" t="e">
        <f>AND(#REF!,"AAAAACF/6TA=")</f>
        <v>#REF!</v>
      </c>
      <c r="AX3" t="e">
        <f>AND(#REF!,"AAAAACF/6TE=")</f>
        <v>#REF!</v>
      </c>
      <c r="AY3" t="e">
        <f>AND(#REF!,"AAAAACF/6TI=")</f>
        <v>#REF!</v>
      </c>
      <c r="AZ3" t="e">
        <f>AND(#REF!,"AAAAACF/6TM=")</f>
        <v>#REF!</v>
      </c>
      <c r="BA3" t="e">
        <f>AND(#REF!,"AAAAACF/6TQ=")</f>
        <v>#REF!</v>
      </c>
      <c r="BB3" t="e">
        <f>AND(#REF!,"AAAAACF/6TU=")</f>
        <v>#REF!</v>
      </c>
      <c r="BC3" t="e">
        <f>AND(#REF!,"AAAAACF/6TY=")</f>
        <v>#REF!</v>
      </c>
      <c r="BD3" t="e">
        <f>AND(#REF!,"AAAAACF/6Tc=")</f>
        <v>#REF!</v>
      </c>
      <c r="BE3" t="e">
        <f>AND(#REF!,"AAAAACF/6Tg=")</f>
        <v>#REF!</v>
      </c>
      <c r="BF3" t="e">
        <f>AND(#REF!,"AAAAACF/6Tk=")</f>
        <v>#REF!</v>
      </c>
      <c r="BG3" t="e">
        <f>AND(#REF!,"AAAAACF/6To=")</f>
        <v>#REF!</v>
      </c>
      <c r="BH3" t="e">
        <f>AND(#REF!,"AAAAACF/6Ts=")</f>
        <v>#REF!</v>
      </c>
      <c r="BI3" t="e">
        <f>AND(#REF!,"AAAAACF/6Tw=")</f>
        <v>#REF!</v>
      </c>
      <c r="BJ3" t="e">
        <f>AND(#REF!,"AAAAACF/6T0=")</f>
        <v>#REF!</v>
      </c>
      <c r="BK3" t="e">
        <f>AND(#REF!,"AAAAACF/6T4=")</f>
        <v>#REF!</v>
      </c>
      <c r="BL3" t="e">
        <f>AND(#REF!,"AAAAACF/6T8=")</f>
        <v>#REF!</v>
      </c>
      <c r="BM3" t="e">
        <f>IF(#REF!,"AAAAACF/6UA=",0)</f>
        <v>#REF!</v>
      </c>
      <c r="BN3" t="e">
        <f>AND(#REF!,"AAAAACF/6UE=")</f>
        <v>#REF!</v>
      </c>
      <c r="BO3" t="e">
        <f>AND(#REF!,"AAAAACF/6UI=")</f>
        <v>#REF!</v>
      </c>
      <c r="BP3" t="e">
        <f>AND(#REF!,"AAAAACF/6UM=")</f>
        <v>#REF!</v>
      </c>
      <c r="BQ3" t="e">
        <f>AND(#REF!,"AAAAACF/6UQ=")</f>
        <v>#REF!</v>
      </c>
      <c r="BR3" t="e">
        <f>AND(#REF!,"AAAAACF/6UU=")</f>
        <v>#REF!</v>
      </c>
      <c r="BS3" t="e">
        <f>AND(#REF!,"AAAAACF/6UY=")</f>
        <v>#REF!</v>
      </c>
      <c r="BT3" t="e">
        <f>AND(#REF!,"AAAAACF/6Uc=")</f>
        <v>#REF!</v>
      </c>
      <c r="BU3" t="e">
        <f>AND(#REF!,"AAAAACF/6Ug=")</f>
        <v>#REF!</v>
      </c>
      <c r="BV3" t="e">
        <f>AND(#REF!,"AAAAACF/6Uk=")</f>
        <v>#REF!</v>
      </c>
      <c r="BW3" t="e">
        <f>AND(#REF!,"AAAAACF/6Uo=")</f>
        <v>#REF!</v>
      </c>
      <c r="BX3" t="e">
        <f>AND(#REF!,"AAAAACF/6Us=")</f>
        <v>#REF!</v>
      </c>
      <c r="BY3" t="e">
        <f>AND(#REF!,"AAAAACF/6Uw=")</f>
        <v>#REF!</v>
      </c>
      <c r="BZ3" t="e">
        <f>AND(#REF!,"AAAAACF/6U0=")</f>
        <v>#REF!</v>
      </c>
      <c r="CA3" t="e">
        <f>AND(#REF!,"AAAAACF/6U4=")</f>
        <v>#REF!</v>
      </c>
      <c r="CB3" t="e">
        <f>AND(#REF!,"AAAAACF/6U8=")</f>
        <v>#REF!</v>
      </c>
      <c r="CC3" t="e">
        <f>AND(#REF!,"AAAAACF/6VA=")</f>
        <v>#REF!</v>
      </c>
      <c r="CD3" t="e">
        <f>AND(#REF!,"AAAAACF/6VE=")</f>
        <v>#REF!</v>
      </c>
      <c r="CE3" t="e">
        <f>AND(#REF!,"AAAAACF/6VI=")</f>
        <v>#REF!</v>
      </c>
      <c r="CF3" t="e">
        <f>AND(#REF!,"AAAAACF/6VM=")</f>
        <v>#REF!</v>
      </c>
      <c r="CG3" t="e">
        <f>AND(#REF!,"AAAAACF/6VQ=")</f>
        <v>#REF!</v>
      </c>
      <c r="CH3" t="e">
        <f>AND(#REF!,"AAAAACF/6VU=")</f>
        <v>#REF!</v>
      </c>
      <c r="CI3" t="e">
        <f>AND(#REF!,"AAAAACF/6VY=")</f>
        <v>#REF!</v>
      </c>
      <c r="CJ3" t="e">
        <f>AND(#REF!,"AAAAACF/6Vc=")</f>
        <v>#REF!</v>
      </c>
      <c r="CK3" t="e">
        <f>IF(#REF!,"AAAAACF/6Vg=",0)</f>
        <v>#REF!</v>
      </c>
      <c r="CL3" t="e">
        <f>AND(#REF!,"AAAAACF/6Vk=")</f>
        <v>#REF!</v>
      </c>
      <c r="CM3" t="e">
        <f>AND(#REF!,"AAAAACF/6Vo=")</f>
        <v>#REF!</v>
      </c>
      <c r="CN3" t="e">
        <f>AND(#REF!,"AAAAACF/6Vs=")</f>
        <v>#REF!</v>
      </c>
      <c r="CO3" t="e">
        <f>AND(#REF!,"AAAAACF/6Vw=")</f>
        <v>#REF!</v>
      </c>
      <c r="CP3" t="e">
        <f>AND(#REF!,"AAAAACF/6V0=")</f>
        <v>#REF!</v>
      </c>
      <c r="CQ3" t="e">
        <f>AND(#REF!,"AAAAACF/6V4=")</f>
        <v>#REF!</v>
      </c>
      <c r="CR3" t="e">
        <f>AND(#REF!,"AAAAACF/6V8=")</f>
        <v>#REF!</v>
      </c>
      <c r="CS3" t="e">
        <f>AND(#REF!,"AAAAACF/6WA=")</f>
        <v>#REF!</v>
      </c>
      <c r="CT3" t="e">
        <f>AND(#REF!,"AAAAACF/6WE=")</f>
        <v>#REF!</v>
      </c>
      <c r="CU3" t="e">
        <f>AND(#REF!,"AAAAACF/6WI=")</f>
        <v>#REF!</v>
      </c>
      <c r="CV3" t="e">
        <f>AND(#REF!,"AAAAACF/6WM=")</f>
        <v>#REF!</v>
      </c>
      <c r="CW3" t="e">
        <f>AND(#REF!,"AAAAACF/6WQ=")</f>
        <v>#REF!</v>
      </c>
      <c r="CX3" t="e">
        <f>AND(#REF!,"AAAAACF/6WU=")</f>
        <v>#REF!</v>
      </c>
      <c r="CY3" t="e">
        <f>AND(#REF!,"AAAAACF/6WY=")</f>
        <v>#REF!</v>
      </c>
      <c r="CZ3" t="e">
        <f>AND(#REF!,"AAAAACF/6Wc=")</f>
        <v>#REF!</v>
      </c>
      <c r="DA3" t="e">
        <f>AND(#REF!,"AAAAACF/6Wg=")</f>
        <v>#REF!</v>
      </c>
      <c r="DB3" t="e">
        <f>AND(#REF!,"AAAAACF/6Wk=")</f>
        <v>#REF!</v>
      </c>
      <c r="DC3" t="e">
        <f>AND(#REF!,"AAAAACF/6Wo=")</f>
        <v>#REF!</v>
      </c>
      <c r="DD3" t="e">
        <f>AND(#REF!,"AAAAACF/6Ws=")</f>
        <v>#REF!</v>
      </c>
      <c r="DE3" t="e">
        <f>AND(#REF!,"AAAAACF/6Ww=")</f>
        <v>#REF!</v>
      </c>
      <c r="DF3" t="e">
        <f>AND(#REF!,"AAAAACF/6W0=")</f>
        <v>#REF!</v>
      </c>
      <c r="DG3" t="e">
        <f>AND(#REF!,"AAAAACF/6W4=")</f>
        <v>#REF!</v>
      </c>
      <c r="DH3" t="e">
        <f>AND(#REF!,"AAAAACF/6W8=")</f>
        <v>#REF!</v>
      </c>
      <c r="DI3" t="e">
        <f>IF(#REF!,"AAAAACF/6XA=",0)</f>
        <v>#REF!</v>
      </c>
      <c r="DJ3" t="e">
        <f>AND(#REF!,"AAAAACF/6XE=")</f>
        <v>#REF!</v>
      </c>
      <c r="DK3" t="e">
        <f>AND(#REF!,"AAAAACF/6XI=")</f>
        <v>#REF!</v>
      </c>
      <c r="DL3" t="e">
        <f>AND(#REF!,"AAAAACF/6XM=")</f>
        <v>#REF!</v>
      </c>
      <c r="DM3" t="e">
        <f>AND(#REF!,"AAAAACF/6XQ=")</f>
        <v>#REF!</v>
      </c>
      <c r="DN3" t="e">
        <f>AND(#REF!,"AAAAACF/6XU=")</f>
        <v>#REF!</v>
      </c>
      <c r="DO3" t="e">
        <f>AND(#REF!,"AAAAACF/6XY=")</f>
        <v>#REF!</v>
      </c>
      <c r="DP3" t="e">
        <f>AND(#REF!,"AAAAACF/6Xc=")</f>
        <v>#REF!</v>
      </c>
      <c r="DQ3" t="e">
        <f>AND(#REF!,"AAAAACF/6Xg=")</f>
        <v>#REF!</v>
      </c>
      <c r="DR3" t="e">
        <f>AND(#REF!,"AAAAACF/6Xk=")</f>
        <v>#REF!</v>
      </c>
      <c r="DS3" t="e">
        <f>AND(#REF!,"AAAAACF/6Xo=")</f>
        <v>#REF!</v>
      </c>
      <c r="DT3" t="e">
        <f>AND(#REF!,"AAAAACF/6Xs=")</f>
        <v>#REF!</v>
      </c>
      <c r="DU3" t="e">
        <f>AND(#REF!,"AAAAACF/6Xw=")</f>
        <v>#REF!</v>
      </c>
      <c r="DV3" t="e">
        <f>AND(#REF!,"AAAAACF/6X0=")</f>
        <v>#REF!</v>
      </c>
      <c r="DW3" t="e">
        <f>AND(#REF!,"AAAAACF/6X4=")</f>
        <v>#REF!</v>
      </c>
      <c r="DX3" t="e">
        <f>AND(#REF!,"AAAAACF/6X8=")</f>
        <v>#REF!</v>
      </c>
      <c r="DY3" t="e">
        <f>AND(#REF!,"AAAAACF/6YA=")</f>
        <v>#REF!</v>
      </c>
      <c r="DZ3" t="e">
        <f>AND(#REF!,"AAAAACF/6YE=")</f>
        <v>#REF!</v>
      </c>
      <c r="EA3" t="e">
        <f>AND(#REF!,"AAAAACF/6YI=")</f>
        <v>#REF!</v>
      </c>
      <c r="EB3" t="e">
        <f>AND(#REF!,"AAAAACF/6YM=")</f>
        <v>#REF!</v>
      </c>
      <c r="EC3" t="e">
        <f>AND(#REF!,"AAAAACF/6YQ=")</f>
        <v>#REF!</v>
      </c>
      <c r="ED3" t="e">
        <f>AND(#REF!,"AAAAACF/6YU=")</f>
        <v>#REF!</v>
      </c>
      <c r="EE3" t="e">
        <f>AND(#REF!,"AAAAACF/6YY=")</f>
        <v>#REF!</v>
      </c>
      <c r="EF3" t="e">
        <f>AND(#REF!,"AAAAACF/6Yc=")</f>
        <v>#REF!</v>
      </c>
      <c r="EG3" t="e">
        <f>IF(#REF!,"AAAAACF/6Yg=",0)</f>
        <v>#REF!</v>
      </c>
      <c r="EH3" t="e">
        <f>AND(#REF!,"AAAAACF/6Yk=")</f>
        <v>#REF!</v>
      </c>
      <c r="EI3" t="e">
        <f>AND(#REF!,"AAAAACF/6Yo=")</f>
        <v>#REF!</v>
      </c>
      <c r="EJ3" t="e">
        <f>AND(#REF!,"AAAAACF/6Ys=")</f>
        <v>#REF!</v>
      </c>
      <c r="EK3" t="e">
        <f>AND(#REF!,"AAAAACF/6Yw=")</f>
        <v>#REF!</v>
      </c>
      <c r="EL3" t="e">
        <f>AND(#REF!,"AAAAACF/6Y0=")</f>
        <v>#REF!</v>
      </c>
      <c r="EM3" t="e">
        <f>AND(#REF!,"AAAAACF/6Y4=")</f>
        <v>#REF!</v>
      </c>
      <c r="EN3" t="e">
        <f>AND(#REF!,"AAAAACF/6Y8=")</f>
        <v>#REF!</v>
      </c>
      <c r="EO3" t="e">
        <f>AND(#REF!,"AAAAACF/6ZA=")</f>
        <v>#REF!</v>
      </c>
      <c r="EP3" t="e">
        <f>AND(#REF!,"AAAAACF/6ZE=")</f>
        <v>#REF!</v>
      </c>
      <c r="EQ3" t="e">
        <f>AND(#REF!,"AAAAACF/6ZI=")</f>
        <v>#REF!</v>
      </c>
      <c r="ER3" t="e">
        <f>AND(#REF!,"AAAAACF/6ZM=")</f>
        <v>#REF!</v>
      </c>
      <c r="ES3" t="e">
        <f>AND(#REF!,"AAAAACF/6ZQ=")</f>
        <v>#REF!</v>
      </c>
      <c r="ET3" t="e">
        <f>AND(#REF!,"AAAAACF/6ZU=")</f>
        <v>#REF!</v>
      </c>
      <c r="EU3" t="e">
        <f>AND(#REF!,"AAAAACF/6ZY=")</f>
        <v>#REF!</v>
      </c>
      <c r="EV3" t="e">
        <f>AND(#REF!,"AAAAACF/6Zc=")</f>
        <v>#REF!</v>
      </c>
      <c r="EW3" t="e">
        <f>AND(#REF!,"AAAAACF/6Zg=")</f>
        <v>#REF!</v>
      </c>
      <c r="EX3" t="e">
        <f>AND(#REF!,"AAAAACF/6Zk=")</f>
        <v>#REF!</v>
      </c>
      <c r="EY3" t="e">
        <f>AND(#REF!,"AAAAACF/6Zo=")</f>
        <v>#REF!</v>
      </c>
      <c r="EZ3" t="e">
        <f>AND(#REF!,"AAAAACF/6Zs=")</f>
        <v>#REF!</v>
      </c>
      <c r="FA3" t="e">
        <f>AND(#REF!,"AAAAACF/6Zw=")</f>
        <v>#REF!</v>
      </c>
      <c r="FB3" t="e">
        <f>AND(#REF!,"AAAAACF/6Z0=")</f>
        <v>#REF!</v>
      </c>
      <c r="FC3" t="e">
        <f>AND(#REF!,"AAAAACF/6Z4=")</f>
        <v>#REF!</v>
      </c>
      <c r="FD3" t="e">
        <f>AND(#REF!,"AAAAACF/6Z8=")</f>
        <v>#REF!</v>
      </c>
      <c r="FE3" t="e">
        <f>IF(#REF!,"AAAAACF/6aA=",0)</f>
        <v>#REF!</v>
      </c>
      <c r="FF3" t="e">
        <f>AND(#REF!,"AAAAACF/6aE=")</f>
        <v>#REF!</v>
      </c>
      <c r="FG3" t="e">
        <f>AND(#REF!,"AAAAACF/6aI=")</f>
        <v>#REF!</v>
      </c>
      <c r="FH3" t="e">
        <f>AND(#REF!,"AAAAACF/6aM=")</f>
        <v>#REF!</v>
      </c>
      <c r="FI3" t="e">
        <f>AND(#REF!,"AAAAACF/6aQ=")</f>
        <v>#REF!</v>
      </c>
      <c r="FJ3" t="e">
        <f>AND(#REF!,"AAAAACF/6aU=")</f>
        <v>#REF!</v>
      </c>
      <c r="FK3" t="e">
        <f>AND(#REF!,"AAAAACF/6aY=")</f>
        <v>#REF!</v>
      </c>
      <c r="FL3" t="e">
        <f>AND(#REF!,"AAAAACF/6ac=")</f>
        <v>#REF!</v>
      </c>
      <c r="FM3" t="e">
        <f>AND(#REF!,"AAAAACF/6ag=")</f>
        <v>#REF!</v>
      </c>
      <c r="FN3" t="e">
        <f>AND(#REF!,"AAAAACF/6ak=")</f>
        <v>#REF!</v>
      </c>
      <c r="FO3" t="e">
        <f>AND(#REF!,"AAAAACF/6ao=")</f>
        <v>#REF!</v>
      </c>
      <c r="FP3" t="e">
        <f>AND(#REF!,"AAAAACF/6as=")</f>
        <v>#REF!</v>
      </c>
      <c r="FQ3" t="e">
        <f>AND(#REF!,"AAAAACF/6aw=")</f>
        <v>#REF!</v>
      </c>
      <c r="FR3" t="e">
        <f>AND(#REF!,"AAAAACF/6a0=")</f>
        <v>#REF!</v>
      </c>
      <c r="FS3" t="e">
        <f>AND(#REF!,"AAAAACF/6a4=")</f>
        <v>#REF!</v>
      </c>
      <c r="FT3" t="e">
        <f>AND(#REF!,"AAAAACF/6a8=")</f>
        <v>#REF!</v>
      </c>
      <c r="FU3" t="e">
        <f>AND(#REF!,"AAAAACF/6bA=")</f>
        <v>#REF!</v>
      </c>
      <c r="FV3" t="e">
        <f>AND(#REF!,"AAAAACF/6bE=")</f>
        <v>#REF!</v>
      </c>
      <c r="FW3" t="e">
        <f>AND(#REF!,"AAAAACF/6bI=")</f>
        <v>#REF!</v>
      </c>
      <c r="FX3" t="e">
        <f>AND(#REF!,"AAAAACF/6bM=")</f>
        <v>#REF!</v>
      </c>
      <c r="FY3" t="e">
        <f>AND(#REF!,"AAAAACF/6bQ=")</f>
        <v>#REF!</v>
      </c>
      <c r="FZ3" t="e">
        <f>AND(#REF!,"AAAAACF/6bU=")</f>
        <v>#REF!</v>
      </c>
      <c r="GA3" t="e">
        <f>AND(#REF!,"AAAAACF/6bY=")</f>
        <v>#REF!</v>
      </c>
      <c r="GB3" t="e">
        <f>AND(#REF!,"AAAAACF/6bc=")</f>
        <v>#REF!</v>
      </c>
      <c r="GC3" t="e">
        <f>IF(#REF!,"AAAAACF/6bg=",0)</f>
        <v>#REF!</v>
      </c>
      <c r="GD3" t="e">
        <f>AND(#REF!,"AAAAACF/6bk=")</f>
        <v>#REF!</v>
      </c>
      <c r="GE3" t="e">
        <f>AND(#REF!,"AAAAACF/6bo=")</f>
        <v>#REF!</v>
      </c>
      <c r="GF3" t="e">
        <f>AND(#REF!,"AAAAACF/6bs=")</f>
        <v>#REF!</v>
      </c>
      <c r="GG3" t="e">
        <f>AND(#REF!,"AAAAACF/6bw=")</f>
        <v>#REF!</v>
      </c>
      <c r="GH3" t="e">
        <f>AND(#REF!,"AAAAACF/6b0=")</f>
        <v>#REF!</v>
      </c>
      <c r="GI3" t="e">
        <f>AND(#REF!,"AAAAACF/6b4=")</f>
        <v>#REF!</v>
      </c>
      <c r="GJ3" t="e">
        <f>AND(#REF!,"AAAAACF/6b8=")</f>
        <v>#REF!</v>
      </c>
      <c r="GK3" t="e">
        <f>AND(#REF!,"AAAAACF/6cA=")</f>
        <v>#REF!</v>
      </c>
      <c r="GL3" t="e">
        <f>AND(#REF!,"AAAAACF/6cE=")</f>
        <v>#REF!</v>
      </c>
      <c r="GM3" t="e">
        <f>AND(#REF!,"AAAAACF/6cI=")</f>
        <v>#REF!</v>
      </c>
      <c r="GN3" t="e">
        <f>AND(#REF!,"AAAAACF/6cM=")</f>
        <v>#REF!</v>
      </c>
      <c r="GO3" t="e">
        <f>AND(#REF!,"AAAAACF/6cQ=")</f>
        <v>#REF!</v>
      </c>
      <c r="GP3" t="e">
        <f>AND(#REF!,"AAAAACF/6cU=")</f>
        <v>#REF!</v>
      </c>
      <c r="GQ3" t="e">
        <f>AND(#REF!,"AAAAACF/6cY=")</f>
        <v>#REF!</v>
      </c>
      <c r="GR3" t="e">
        <f>AND(#REF!,"AAAAACF/6cc=")</f>
        <v>#REF!</v>
      </c>
      <c r="GS3" t="e">
        <f>AND(#REF!,"AAAAACF/6cg=")</f>
        <v>#REF!</v>
      </c>
      <c r="GT3" t="e">
        <f>AND(#REF!,"AAAAACF/6ck=")</f>
        <v>#REF!</v>
      </c>
      <c r="GU3" t="e">
        <f>AND(#REF!,"AAAAACF/6co=")</f>
        <v>#REF!</v>
      </c>
      <c r="GV3" t="e">
        <f>AND(#REF!,"AAAAACF/6cs=")</f>
        <v>#REF!</v>
      </c>
      <c r="GW3" t="e">
        <f>AND(#REF!,"AAAAACF/6cw=")</f>
        <v>#REF!</v>
      </c>
      <c r="GX3" t="e">
        <f>AND(#REF!,"AAAAACF/6c0=")</f>
        <v>#REF!</v>
      </c>
      <c r="GY3" t="e">
        <f>AND(#REF!,"AAAAACF/6c4=")</f>
        <v>#REF!</v>
      </c>
      <c r="GZ3" t="e">
        <f>AND(#REF!,"AAAAACF/6c8=")</f>
        <v>#REF!</v>
      </c>
      <c r="HA3" t="e">
        <f>IF(#REF!,"AAAAACF/6dA=",0)</f>
        <v>#REF!</v>
      </c>
      <c r="HB3" t="e">
        <f>AND(#REF!,"AAAAACF/6dE=")</f>
        <v>#REF!</v>
      </c>
      <c r="HC3" t="e">
        <f>AND(#REF!,"AAAAACF/6dI=")</f>
        <v>#REF!</v>
      </c>
      <c r="HD3" t="e">
        <f>AND(#REF!,"AAAAACF/6dM=")</f>
        <v>#REF!</v>
      </c>
      <c r="HE3" t="e">
        <f>AND(#REF!,"AAAAACF/6dQ=")</f>
        <v>#REF!</v>
      </c>
      <c r="HF3" t="e">
        <f>AND(#REF!,"AAAAACF/6dU=")</f>
        <v>#REF!</v>
      </c>
      <c r="HG3" t="e">
        <f>AND(#REF!,"AAAAACF/6dY=")</f>
        <v>#REF!</v>
      </c>
      <c r="HH3" t="e">
        <f>AND(#REF!,"AAAAACF/6dc=")</f>
        <v>#REF!</v>
      </c>
      <c r="HI3" t="e">
        <f>AND(#REF!,"AAAAACF/6dg=")</f>
        <v>#REF!</v>
      </c>
      <c r="HJ3" t="e">
        <f>AND(#REF!,"AAAAACF/6dk=")</f>
        <v>#REF!</v>
      </c>
      <c r="HK3" t="e">
        <f>AND(#REF!,"AAAAACF/6do=")</f>
        <v>#REF!</v>
      </c>
      <c r="HL3" t="e">
        <f>AND(#REF!,"AAAAACF/6ds=")</f>
        <v>#REF!</v>
      </c>
      <c r="HM3" t="e">
        <f>AND(#REF!,"AAAAACF/6dw=")</f>
        <v>#REF!</v>
      </c>
      <c r="HN3" t="e">
        <f>AND(#REF!,"AAAAACF/6d0=")</f>
        <v>#REF!</v>
      </c>
      <c r="HO3" t="e">
        <f>AND(#REF!,"AAAAACF/6d4=")</f>
        <v>#REF!</v>
      </c>
      <c r="HP3" t="e">
        <f>AND(#REF!,"AAAAACF/6d8=")</f>
        <v>#REF!</v>
      </c>
      <c r="HQ3" t="e">
        <f>AND(#REF!,"AAAAACF/6eA=")</f>
        <v>#REF!</v>
      </c>
      <c r="HR3" t="e">
        <f>AND(#REF!,"AAAAACF/6eE=")</f>
        <v>#REF!</v>
      </c>
      <c r="HS3" t="e">
        <f>AND(#REF!,"AAAAACF/6eI=")</f>
        <v>#REF!</v>
      </c>
      <c r="HT3" t="e">
        <f>AND(#REF!,"AAAAACF/6eM=")</f>
        <v>#REF!</v>
      </c>
      <c r="HU3" t="e">
        <f>AND(#REF!,"AAAAACF/6eQ=")</f>
        <v>#REF!</v>
      </c>
      <c r="HV3" t="e">
        <f>AND(#REF!,"AAAAACF/6eU=")</f>
        <v>#REF!</v>
      </c>
      <c r="HW3" t="e">
        <f>AND(#REF!,"AAAAACF/6eY=")</f>
        <v>#REF!</v>
      </c>
      <c r="HX3" t="e">
        <f>AND(#REF!,"AAAAACF/6ec=")</f>
        <v>#REF!</v>
      </c>
      <c r="HY3" t="e">
        <f>IF(#REF!,"AAAAACF/6eg=",0)</f>
        <v>#REF!</v>
      </c>
      <c r="HZ3" t="e">
        <f>AND(#REF!,"AAAAACF/6ek=")</f>
        <v>#REF!</v>
      </c>
      <c r="IA3" t="e">
        <f>AND(#REF!,"AAAAACF/6eo=")</f>
        <v>#REF!</v>
      </c>
      <c r="IB3" t="e">
        <f>AND(#REF!,"AAAAACF/6es=")</f>
        <v>#REF!</v>
      </c>
      <c r="IC3" t="e">
        <f>AND(#REF!,"AAAAACF/6ew=")</f>
        <v>#REF!</v>
      </c>
      <c r="ID3" t="e">
        <f>AND(#REF!,"AAAAACF/6e0=")</f>
        <v>#REF!</v>
      </c>
      <c r="IE3" t="e">
        <f>AND(#REF!,"AAAAACF/6e4=")</f>
        <v>#REF!</v>
      </c>
      <c r="IF3" t="e">
        <f>AND(#REF!,"AAAAACF/6e8=")</f>
        <v>#REF!</v>
      </c>
      <c r="IG3" t="e">
        <f>AND(#REF!,"AAAAACF/6fA=")</f>
        <v>#REF!</v>
      </c>
      <c r="IH3" t="e">
        <f>AND(#REF!,"AAAAACF/6fE=")</f>
        <v>#REF!</v>
      </c>
      <c r="II3" t="e">
        <f>AND(#REF!,"AAAAACF/6fI=")</f>
        <v>#REF!</v>
      </c>
      <c r="IJ3" t="e">
        <f>AND(#REF!,"AAAAACF/6fM=")</f>
        <v>#REF!</v>
      </c>
      <c r="IK3" t="e">
        <f>AND(#REF!,"AAAAACF/6fQ=")</f>
        <v>#REF!</v>
      </c>
      <c r="IL3" t="e">
        <f>AND(#REF!,"AAAAACF/6fU=")</f>
        <v>#REF!</v>
      </c>
      <c r="IM3" t="e">
        <f>AND(#REF!,"AAAAACF/6fY=")</f>
        <v>#REF!</v>
      </c>
      <c r="IN3" t="e">
        <f>AND(#REF!,"AAAAACF/6fc=")</f>
        <v>#REF!</v>
      </c>
      <c r="IO3" t="e">
        <f>AND(#REF!,"AAAAACF/6fg=")</f>
        <v>#REF!</v>
      </c>
      <c r="IP3" t="e">
        <f>AND(#REF!,"AAAAACF/6fk=")</f>
        <v>#REF!</v>
      </c>
      <c r="IQ3" t="e">
        <f>AND(#REF!,"AAAAACF/6fo=")</f>
        <v>#REF!</v>
      </c>
      <c r="IR3" t="e">
        <f>AND(#REF!,"AAAAACF/6fs=")</f>
        <v>#REF!</v>
      </c>
      <c r="IS3" t="e">
        <f>AND(#REF!,"AAAAACF/6fw=")</f>
        <v>#REF!</v>
      </c>
      <c r="IT3" t="e">
        <f>AND(#REF!,"AAAAACF/6f0=")</f>
        <v>#REF!</v>
      </c>
      <c r="IU3" t="e">
        <f>AND(#REF!,"AAAAACF/6f4=")</f>
        <v>#REF!</v>
      </c>
      <c r="IV3" t="e">
        <f>AND(#REF!,"AAAAACF/6f8=")</f>
        <v>#REF!</v>
      </c>
    </row>
    <row r="4" spans="1:256">
      <c r="A4" t="e">
        <f>IF(#REF!,"AAAAAEn/9gA=",0)</f>
        <v>#REF!</v>
      </c>
      <c r="B4" t="e">
        <f>AND(#REF!,"AAAAAEn/9gE=")</f>
        <v>#REF!</v>
      </c>
      <c r="C4" t="e">
        <f>AND(#REF!,"AAAAAEn/9gI=")</f>
        <v>#REF!</v>
      </c>
      <c r="D4" t="e">
        <f>AND(#REF!,"AAAAAEn/9gM=")</f>
        <v>#REF!</v>
      </c>
      <c r="E4" t="e">
        <f>AND(#REF!,"AAAAAEn/9gQ=")</f>
        <v>#REF!</v>
      </c>
      <c r="F4" t="e">
        <f>AND(#REF!,"AAAAAEn/9gU=")</f>
        <v>#REF!</v>
      </c>
      <c r="G4" t="e">
        <f>AND(#REF!,"AAAAAEn/9gY=")</f>
        <v>#REF!</v>
      </c>
      <c r="H4" t="e">
        <f>AND(#REF!,"AAAAAEn/9gc=")</f>
        <v>#REF!</v>
      </c>
      <c r="I4" t="e">
        <f>AND(#REF!,"AAAAAEn/9gg=")</f>
        <v>#REF!</v>
      </c>
      <c r="J4" t="e">
        <f>AND(#REF!,"AAAAAEn/9gk=")</f>
        <v>#REF!</v>
      </c>
      <c r="K4" t="e">
        <f>AND(#REF!,"AAAAAEn/9go=")</f>
        <v>#REF!</v>
      </c>
      <c r="L4" t="e">
        <f>AND(#REF!,"AAAAAEn/9gs=")</f>
        <v>#REF!</v>
      </c>
      <c r="M4" t="e">
        <f>AND(#REF!,"AAAAAEn/9gw=")</f>
        <v>#REF!</v>
      </c>
      <c r="N4" t="e">
        <f>AND(#REF!,"AAAAAEn/9g0=")</f>
        <v>#REF!</v>
      </c>
      <c r="O4" t="e">
        <f>AND(#REF!,"AAAAAEn/9g4=")</f>
        <v>#REF!</v>
      </c>
      <c r="P4" t="e">
        <f>AND(#REF!,"AAAAAEn/9g8=")</f>
        <v>#REF!</v>
      </c>
      <c r="Q4" t="e">
        <f>AND(#REF!,"AAAAAEn/9hA=")</f>
        <v>#REF!</v>
      </c>
      <c r="R4" t="e">
        <f>AND(#REF!,"AAAAAEn/9hE=")</f>
        <v>#REF!</v>
      </c>
      <c r="S4" t="e">
        <f>AND(#REF!,"AAAAAEn/9hI=")</f>
        <v>#REF!</v>
      </c>
      <c r="T4" t="e">
        <f>AND(#REF!,"AAAAAEn/9hM=")</f>
        <v>#REF!</v>
      </c>
      <c r="U4" t="e">
        <f>AND(#REF!,"AAAAAEn/9hQ=")</f>
        <v>#REF!</v>
      </c>
      <c r="V4" t="e">
        <f>AND(#REF!,"AAAAAEn/9hU=")</f>
        <v>#REF!</v>
      </c>
      <c r="W4" t="e">
        <f>AND(#REF!,"AAAAAEn/9hY=")</f>
        <v>#REF!</v>
      </c>
      <c r="X4" t="e">
        <f>AND(#REF!,"AAAAAEn/9hc=")</f>
        <v>#REF!</v>
      </c>
      <c r="Y4" t="e">
        <f>IF(#REF!,"AAAAAEn/9hg=",0)</f>
        <v>#REF!</v>
      </c>
      <c r="Z4" t="e">
        <f>AND(#REF!,"AAAAAEn/9hk=")</f>
        <v>#REF!</v>
      </c>
      <c r="AA4" t="e">
        <f>AND(#REF!,"AAAAAEn/9ho=")</f>
        <v>#REF!</v>
      </c>
      <c r="AB4" t="e">
        <f>AND(#REF!,"AAAAAEn/9hs=")</f>
        <v>#REF!</v>
      </c>
      <c r="AC4" t="e">
        <f>AND(#REF!,"AAAAAEn/9hw=")</f>
        <v>#REF!</v>
      </c>
      <c r="AD4" t="e">
        <f>AND(#REF!,"AAAAAEn/9h0=")</f>
        <v>#REF!</v>
      </c>
      <c r="AE4" t="e">
        <f>AND(#REF!,"AAAAAEn/9h4=")</f>
        <v>#REF!</v>
      </c>
      <c r="AF4" t="e">
        <f>AND(#REF!,"AAAAAEn/9h8=")</f>
        <v>#REF!</v>
      </c>
      <c r="AG4" t="e">
        <f>AND(#REF!,"AAAAAEn/9iA=")</f>
        <v>#REF!</v>
      </c>
      <c r="AH4" t="e">
        <f>AND(#REF!,"AAAAAEn/9iE=")</f>
        <v>#REF!</v>
      </c>
      <c r="AI4" t="e">
        <f>AND(#REF!,"AAAAAEn/9iI=")</f>
        <v>#REF!</v>
      </c>
      <c r="AJ4" t="e">
        <f>AND(#REF!,"AAAAAEn/9iM=")</f>
        <v>#REF!</v>
      </c>
      <c r="AK4" t="e">
        <f>AND(#REF!,"AAAAAEn/9iQ=")</f>
        <v>#REF!</v>
      </c>
      <c r="AL4" t="e">
        <f>AND(#REF!,"AAAAAEn/9iU=")</f>
        <v>#REF!</v>
      </c>
      <c r="AM4" t="e">
        <f>AND(#REF!,"AAAAAEn/9iY=")</f>
        <v>#REF!</v>
      </c>
      <c r="AN4" t="e">
        <f>AND(#REF!,"AAAAAEn/9ic=")</f>
        <v>#REF!</v>
      </c>
      <c r="AO4" t="e">
        <f>AND(#REF!,"AAAAAEn/9ig=")</f>
        <v>#REF!</v>
      </c>
      <c r="AP4" t="e">
        <f>AND(#REF!,"AAAAAEn/9ik=")</f>
        <v>#REF!</v>
      </c>
      <c r="AQ4" t="e">
        <f>AND(#REF!,"AAAAAEn/9io=")</f>
        <v>#REF!</v>
      </c>
      <c r="AR4" t="e">
        <f>AND(#REF!,"AAAAAEn/9is=")</f>
        <v>#REF!</v>
      </c>
      <c r="AS4" t="e">
        <f>AND(#REF!,"AAAAAEn/9iw=")</f>
        <v>#REF!</v>
      </c>
      <c r="AT4" t="e">
        <f>AND(#REF!,"AAAAAEn/9i0=")</f>
        <v>#REF!</v>
      </c>
      <c r="AU4" t="e">
        <f>AND(#REF!,"AAAAAEn/9i4=")</f>
        <v>#REF!</v>
      </c>
      <c r="AV4" t="e">
        <f>AND(#REF!,"AAAAAEn/9i8=")</f>
        <v>#REF!</v>
      </c>
      <c r="AW4" t="e">
        <f>IF(#REF!,"AAAAAEn/9jA=",0)</f>
        <v>#REF!</v>
      </c>
      <c r="AX4" t="e">
        <f>AND(#REF!,"AAAAAEn/9jE=")</f>
        <v>#REF!</v>
      </c>
      <c r="AY4" t="e">
        <f>AND(#REF!,"AAAAAEn/9jI=")</f>
        <v>#REF!</v>
      </c>
      <c r="AZ4" t="e">
        <f>AND(#REF!,"AAAAAEn/9jM=")</f>
        <v>#REF!</v>
      </c>
      <c r="BA4" t="e">
        <f>AND(#REF!,"AAAAAEn/9jQ=")</f>
        <v>#REF!</v>
      </c>
      <c r="BB4" t="e">
        <f>AND(#REF!,"AAAAAEn/9jU=")</f>
        <v>#REF!</v>
      </c>
      <c r="BC4" t="e">
        <f>AND(#REF!,"AAAAAEn/9jY=")</f>
        <v>#REF!</v>
      </c>
      <c r="BD4" t="e">
        <f>AND(#REF!,"AAAAAEn/9jc=")</f>
        <v>#REF!</v>
      </c>
      <c r="BE4" t="e">
        <f>AND(#REF!,"AAAAAEn/9jg=")</f>
        <v>#REF!</v>
      </c>
      <c r="BF4" t="e">
        <f>AND(#REF!,"AAAAAEn/9jk=")</f>
        <v>#REF!</v>
      </c>
      <c r="BG4" t="e">
        <f>AND(#REF!,"AAAAAEn/9jo=")</f>
        <v>#REF!</v>
      </c>
      <c r="BH4" t="e">
        <f>AND(#REF!,"AAAAAEn/9js=")</f>
        <v>#REF!</v>
      </c>
      <c r="BI4" t="e">
        <f>AND(#REF!,"AAAAAEn/9jw=")</f>
        <v>#REF!</v>
      </c>
      <c r="BJ4" t="e">
        <f>AND(#REF!,"AAAAAEn/9j0=")</f>
        <v>#REF!</v>
      </c>
      <c r="BK4" t="e">
        <f>AND(#REF!,"AAAAAEn/9j4=")</f>
        <v>#REF!</v>
      </c>
      <c r="BL4" t="e">
        <f>AND(#REF!,"AAAAAEn/9j8=")</f>
        <v>#REF!</v>
      </c>
      <c r="BM4" t="e">
        <f>AND(#REF!,"AAAAAEn/9kA=")</f>
        <v>#REF!</v>
      </c>
      <c r="BN4" t="e">
        <f>AND(#REF!,"AAAAAEn/9kE=")</f>
        <v>#REF!</v>
      </c>
      <c r="BO4" t="e">
        <f>AND(#REF!,"AAAAAEn/9kI=")</f>
        <v>#REF!</v>
      </c>
      <c r="BP4" t="e">
        <f>AND(#REF!,"AAAAAEn/9kM=")</f>
        <v>#REF!</v>
      </c>
      <c r="BQ4" t="e">
        <f>AND(#REF!,"AAAAAEn/9kQ=")</f>
        <v>#REF!</v>
      </c>
      <c r="BR4" t="e">
        <f>AND(#REF!,"AAAAAEn/9kU=")</f>
        <v>#REF!</v>
      </c>
      <c r="BS4" t="e">
        <f>AND(#REF!,"AAAAAEn/9kY=")</f>
        <v>#REF!</v>
      </c>
      <c r="BT4" t="e">
        <f>AND(#REF!,"AAAAAEn/9kc=")</f>
        <v>#REF!</v>
      </c>
      <c r="BU4" t="e">
        <f>IF(#REF!,"AAAAAEn/9kg=",0)</f>
        <v>#REF!</v>
      </c>
      <c r="BV4" t="e">
        <f>AND(#REF!,"AAAAAEn/9kk=")</f>
        <v>#REF!</v>
      </c>
      <c r="BW4" t="e">
        <f>AND(#REF!,"AAAAAEn/9ko=")</f>
        <v>#REF!</v>
      </c>
      <c r="BX4" t="e">
        <f>AND(#REF!,"AAAAAEn/9ks=")</f>
        <v>#REF!</v>
      </c>
      <c r="BY4" t="e">
        <f>AND(#REF!,"AAAAAEn/9kw=")</f>
        <v>#REF!</v>
      </c>
      <c r="BZ4" t="e">
        <f>AND(#REF!,"AAAAAEn/9k0=")</f>
        <v>#REF!</v>
      </c>
      <c r="CA4" t="e">
        <f>AND(#REF!,"AAAAAEn/9k4=")</f>
        <v>#REF!</v>
      </c>
      <c r="CB4" t="e">
        <f>AND(#REF!,"AAAAAEn/9k8=")</f>
        <v>#REF!</v>
      </c>
      <c r="CC4" t="e">
        <f>AND(#REF!,"AAAAAEn/9lA=")</f>
        <v>#REF!</v>
      </c>
      <c r="CD4" t="e">
        <f>AND(#REF!,"AAAAAEn/9lE=")</f>
        <v>#REF!</v>
      </c>
      <c r="CE4" t="e">
        <f>AND(#REF!,"AAAAAEn/9lI=")</f>
        <v>#REF!</v>
      </c>
      <c r="CF4" t="e">
        <f>AND(#REF!,"AAAAAEn/9lM=")</f>
        <v>#REF!</v>
      </c>
      <c r="CG4" t="e">
        <f>AND(#REF!,"AAAAAEn/9lQ=")</f>
        <v>#REF!</v>
      </c>
      <c r="CH4" t="e">
        <f>AND(#REF!,"AAAAAEn/9lU=")</f>
        <v>#REF!</v>
      </c>
      <c r="CI4" t="e">
        <f>AND(#REF!,"AAAAAEn/9lY=")</f>
        <v>#REF!</v>
      </c>
      <c r="CJ4" t="e">
        <f>AND(#REF!,"AAAAAEn/9lc=")</f>
        <v>#REF!</v>
      </c>
      <c r="CK4" t="e">
        <f>AND(#REF!,"AAAAAEn/9lg=")</f>
        <v>#REF!</v>
      </c>
      <c r="CL4" t="e">
        <f>AND(#REF!,"AAAAAEn/9lk=")</f>
        <v>#REF!</v>
      </c>
      <c r="CM4" t="e">
        <f>AND(#REF!,"AAAAAEn/9lo=")</f>
        <v>#REF!</v>
      </c>
      <c r="CN4" t="e">
        <f>AND(#REF!,"AAAAAEn/9ls=")</f>
        <v>#REF!</v>
      </c>
      <c r="CO4" t="e">
        <f>AND(#REF!,"AAAAAEn/9lw=")</f>
        <v>#REF!</v>
      </c>
      <c r="CP4" t="e">
        <f>AND(#REF!,"AAAAAEn/9l0=")</f>
        <v>#REF!</v>
      </c>
      <c r="CQ4" t="e">
        <f>AND(#REF!,"AAAAAEn/9l4=")</f>
        <v>#REF!</v>
      </c>
      <c r="CR4" t="e">
        <f>AND(#REF!,"AAAAAEn/9l8=")</f>
        <v>#REF!</v>
      </c>
      <c r="CS4" t="e">
        <f>IF(#REF!,"AAAAAEn/9mA=",0)</f>
        <v>#REF!</v>
      </c>
      <c r="CT4" t="e">
        <f>AND(#REF!,"AAAAAEn/9mE=")</f>
        <v>#REF!</v>
      </c>
      <c r="CU4" t="e">
        <f>AND(#REF!,"AAAAAEn/9mI=")</f>
        <v>#REF!</v>
      </c>
      <c r="CV4" t="e">
        <f>AND(#REF!,"AAAAAEn/9mM=")</f>
        <v>#REF!</v>
      </c>
      <c r="CW4" t="e">
        <f>AND(#REF!,"AAAAAEn/9mQ=")</f>
        <v>#REF!</v>
      </c>
      <c r="CX4" t="e">
        <f>AND(#REF!,"AAAAAEn/9mU=")</f>
        <v>#REF!</v>
      </c>
      <c r="CY4" t="e">
        <f>AND(#REF!,"AAAAAEn/9mY=")</f>
        <v>#REF!</v>
      </c>
      <c r="CZ4" t="e">
        <f>AND(#REF!,"AAAAAEn/9mc=")</f>
        <v>#REF!</v>
      </c>
      <c r="DA4" t="e">
        <f>AND(#REF!,"AAAAAEn/9mg=")</f>
        <v>#REF!</v>
      </c>
      <c r="DB4" t="e">
        <f>AND(#REF!,"AAAAAEn/9mk=")</f>
        <v>#REF!</v>
      </c>
      <c r="DC4" t="e">
        <f>AND(#REF!,"AAAAAEn/9mo=")</f>
        <v>#REF!</v>
      </c>
      <c r="DD4" t="e">
        <f>AND(#REF!,"AAAAAEn/9ms=")</f>
        <v>#REF!</v>
      </c>
      <c r="DE4" t="e">
        <f>AND(#REF!,"AAAAAEn/9mw=")</f>
        <v>#REF!</v>
      </c>
      <c r="DF4" t="e">
        <f>AND(#REF!,"AAAAAEn/9m0=")</f>
        <v>#REF!</v>
      </c>
      <c r="DG4" t="e">
        <f>AND(#REF!,"AAAAAEn/9m4=")</f>
        <v>#REF!</v>
      </c>
      <c r="DH4" t="e">
        <f>AND(#REF!,"AAAAAEn/9m8=")</f>
        <v>#REF!</v>
      </c>
      <c r="DI4" t="e">
        <f>AND(#REF!,"AAAAAEn/9nA=")</f>
        <v>#REF!</v>
      </c>
      <c r="DJ4" t="e">
        <f>AND(#REF!,"AAAAAEn/9nE=")</f>
        <v>#REF!</v>
      </c>
      <c r="DK4" t="e">
        <f>AND(#REF!,"AAAAAEn/9nI=")</f>
        <v>#REF!</v>
      </c>
      <c r="DL4" t="e">
        <f>AND(#REF!,"AAAAAEn/9nM=")</f>
        <v>#REF!</v>
      </c>
      <c r="DM4" t="e">
        <f>AND(#REF!,"AAAAAEn/9nQ=")</f>
        <v>#REF!</v>
      </c>
      <c r="DN4" t="e">
        <f>AND(#REF!,"AAAAAEn/9nU=")</f>
        <v>#REF!</v>
      </c>
      <c r="DO4" t="e">
        <f>AND(#REF!,"AAAAAEn/9nY=")</f>
        <v>#REF!</v>
      </c>
      <c r="DP4" t="e">
        <f>AND(#REF!,"AAAAAEn/9nc=")</f>
        <v>#REF!</v>
      </c>
      <c r="DQ4" t="e">
        <f>IF(#REF!,"AAAAAEn/9ng=",0)</f>
        <v>#REF!</v>
      </c>
      <c r="DR4" t="e">
        <f>AND(#REF!,"AAAAAEn/9nk=")</f>
        <v>#REF!</v>
      </c>
      <c r="DS4" t="e">
        <f>AND(#REF!,"AAAAAEn/9no=")</f>
        <v>#REF!</v>
      </c>
      <c r="DT4" t="e">
        <f>AND(#REF!,"AAAAAEn/9ns=")</f>
        <v>#REF!</v>
      </c>
      <c r="DU4" t="e">
        <f>AND(#REF!,"AAAAAEn/9nw=")</f>
        <v>#REF!</v>
      </c>
      <c r="DV4" t="e">
        <f>AND(#REF!,"AAAAAEn/9n0=")</f>
        <v>#REF!</v>
      </c>
      <c r="DW4" t="e">
        <f>AND(#REF!,"AAAAAEn/9n4=")</f>
        <v>#REF!</v>
      </c>
      <c r="DX4" t="e">
        <f>AND(#REF!,"AAAAAEn/9n8=")</f>
        <v>#REF!</v>
      </c>
      <c r="DY4" t="e">
        <f>AND(#REF!,"AAAAAEn/9oA=")</f>
        <v>#REF!</v>
      </c>
      <c r="DZ4" t="e">
        <f>AND(#REF!,"AAAAAEn/9oE=")</f>
        <v>#REF!</v>
      </c>
      <c r="EA4" t="e">
        <f>AND(#REF!,"AAAAAEn/9oI=")</f>
        <v>#REF!</v>
      </c>
      <c r="EB4" t="e">
        <f>AND(#REF!,"AAAAAEn/9oM=")</f>
        <v>#REF!</v>
      </c>
      <c r="EC4" t="e">
        <f>AND(#REF!,"AAAAAEn/9oQ=")</f>
        <v>#REF!</v>
      </c>
      <c r="ED4" t="e">
        <f>AND(#REF!,"AAAAAEn/9oU=")</f>
        <v>#REF!</v>
      </c>
      <c r="EE4" t="e">
        <f>AND(#REF!,"AAAAAEn/9oY=")</f>
        <v>#REF!</v>
      </c>
      <c r="EF4" t="e">
        <f>AND(#REF!,"AAAAAEn/9oc=")</f>
        <v>#REF!</v>
      </c>
      <c r="EG4" t="e">
        <f>AND(#REF!,"AAAAAEn/9og=")</f>
        <v>#REF!</v>
      </c>
      <c r="EH4" t="e">
        <f>AND(#REF!,"AAAAAEn/9ok=")</f>
        <v>#REF!</v>
      </c>
      <c r="EI4" t="e">
        <f>AND(#REF!,"AAAAAEn/9oo=")</f>
        <v>#REF!</v>
      </c>
      <c r="EJ4" t="e">
        <f>AND(#REF!,"AAAAAEn/9os=")</f>
        <v>#REF!</v>
      </c>
      <c r="EK4" t="e">
        <f>AND(#REF!,"AAAAAEn/9ow=")</f>
        <v>#REF!</v>
      </c>
      <c r="EL4" t="e">
        <f>AND(#REF!,"AAAAAEn/9o0=")</f>
        <v>#REF!</v>
      </c>
      <c r="EM4" t="e">
        <f>AND(#REF!,"AAAAAEn/9o4=")</f>
        <v>#REF!</v>
      </c>
      <c r="EN4" t="e">
        <f>AND(#REF!,"AAAAAEn/9o8=")</f>
        <v>#REF!</v>
      </c>
      <c r="EO4" t="e">
        <f>IF(#REF!,"AAAAAEn/9pA=",0)</f>
        <v>#REF!</v>
      </c>
      <c r="EP4" t="e">
        <f>AND(#REF!,"AAAAAEn/9pE=")</f>
        <v>#REF!</v>
      </c>
      <c r="EQ4" t="e">
        <f>AND(#REF!,"AAAAAEn/9pI=")</f>
        <v>#REF!</v>
      </c>
      <c r="ER4" t="e">
        <f>AND(#REF!,"AAAAAEn/9pM=")</f>
        <v>#REF!</v>
      </c>
      <c r="ES4" t="e">
        <f>AND(#REF!,"AAAAAEn/9pQ=")</f>
        <v>#REF!</v>
      </c>
      <c r="ET4" t="e">
        <f>AND(#REF!,"AAAAAEn/9pU=")</f>
        <v>#REF!</v>
      </c>
      <c r="EU4" t="e">
        <f>AND(#REF!,"AAAAAEn/9pY=")</f>
        <v>#REF!</v>
      </c>
      <c r="EV4" t="e">
        <f>AND(#REF!,"AAAAAEn/9pc=")</f>
        <v>#REF!</v>
      </c>
      <c r="EW4" t="e">
        <f>AND(#REF!,"AAAAAEn/9pg=")</f>
        <v>#REF!</v>
      </c>
      <c r="EX4" t="e">
        <f>AND(#REF!,"AAAAAEn/9pk=")</f>
        <v>#REF!</v>
      </c>
      <c r="EY4" t="e">
        <f>AND(#REF!,"AAAAAEn/9po=")</f>
        <v>#REF!</v>
      </c>
      <c r="EZ4" t="e">
        <f>AND(#REF!,"AAAAAEn/9ps=")</f>
        <v>#REF!</v>
      </c>
      <c r="FA4" t="e">
        <f>AND(#REF!,"AAAAAEn/9pw=")</f>
        <v>#REF!</v>
      </c>
      <c r="FB4" t="e">
        <f>AND(#REF!,"AAAAAEn/9p0=")</f>
        <v>#REF!</v>
      </c>
      <c r="FC4" t="e">
        <f>AND(#REF!,"AAAAAEn/9p4=")</f>
        <v>#REF!</v>
      </c>
      <c r="FD4" t="e">
        <f>AND(#REF!,"AAAAAEn/9p8=")</f>
        <v>#REF!</v>
      </c>
      <c r="FE4" t="e">
        <f>AND(#REF!,"AAAAAEn/9qA=")</f>
        <v>#REF!</v>
      </c>
      <c r="FF4" t="e">
        <f>AND(#REF!,"AAAAAEn/9qE=")</f>
        <v>#REF!</v>
      </c>
      <c r="FG4" t="e">
        <f>AND(#REF!,"AAAAAEn/9qI=")</f>
        <v>#REF!</v>
      </c>
      <c r="FH4" t="e">
        <f>AND(#REF!,"AAAAAEn/9qM=")</f>
        <v>#REF!</v>
      </c>
      <c r="FI4" t="e">
        <f>AND(#REF!,"AAAAAEn/9qQ=")</f>
        <v>#REF!</v>
      </c>
      <c r="FJ4" t="e">
        <f>AND(#REF!,"AAAAAEn/9qU=")</f>
        <v>#REF!</v>
      </c>
      <c r="FK4" t="e">
        <f>AND(#REF!,"AAAAAEn/9qY=")</f>
        <v>#REF!</v>
      </c>
      <c r="FL4" t="e">
        <f>AND(#REF!,"AAAAAEn/9qc=")</f>
        <v>#REF!</v>
      </c>
      <c r="FM4" t="e">
        <f>IF(#REF!,"AAAAAEn/9qg=",0)</f>
        <v>#REF!</v>
      </c>
      <c r="FN4" t="e">
        <f>AND(#REF!,"AAAAAEn/9qk=")</f>
        <v>#REF!</v>
      </c>
      <c r="FO4" t="e">
        <f>AND(#REF!,"AAAAAEn/9qo=")</f>
        <v>#REF!</v>
      </c>
      <c r="FP4" t="e">
        <f>AND(#REF!,"AAAAAEn/9qs=")</f>
        <v>#REF!</v>
      </c>
      <c r="FQ4" t="e">
        <f>AND(#REF!,"AAAAAEn/9qw=")</f>
        <v>#REF!</v>
      </c>
      <c r="FR4" t="e">
        <f>AND(#REF!,"AAAAAEn/9q0=")</f>
        <v>#REF!</v>
      </c>
      <c r="FS4" t="e">
        <f>AND(#REF!,"AAAAAEn/9q4=")</f>
        <v>#REF!</v>
      </c>
      <c r="FT4" t="e">
        <f>AND(#REF!,"AAAAAEn/9q8=")</f>
        <v>#REF!</v>
      </c>
      <c r="FU4" t="e">
        <f>AND(#REF!,"AAAAAEn/9rA=")</f>
        <v>#REF!</v>
      </c>
      <c r="FV4" t="e">
        <f>AND(#REF!,"AAAAAEn/9rE=")</f>
        <v>#REF!</v>
      </c>
      <c r="FW4" t="e">
        <f>AND(#REF!,"AAAAAEn/9rI=")</f>
        <v>#REF!</v>
      </c>
      <c r="FX4" t="e">
        <f>AND(#REF!,"AAAAAEn/9rM=")</f>
        <v>#REF!</v>
      </c>
      <c r="FY4" t="e">
        <f>AND(#REF!,"AAAAAEn/9rQ=")</f>
        <v>#REF!</v>
      </c>
      <c r="FZ4" t="e">
        <f>AND(#REF!,"AAAAAEn/9rU=")</f>
        <v>#REF!</v>
      </c>
      <c r="GA4" t="e">
        <f>AND(#REF!,"AAAAAEn/9rY=")</f>
        <v>#REF!</v>
      </c>
      <c r="GB4" t="e">
        <f>AND(#REF!,"AAAAAEn/9rc=")</f>
        <v>#REF!</v>
      </c>
      <c r="GC4" t="e">
        <f>AND(#REF!,"AAAAAEn/9rg=")</f>
        <v>#REF!</v>
      </c>
      <c r="GD4" t="e">
        <f>AND(#REF!,"AAAAAEn/9rk=")</f>
        <v>#REF!</v>
      </c>
      <c r="GE4" t="e">
        <f>AND(#REF!,"AAAAAEn/9ro=")</f>
        <v>#REF!</v>
      </c>
      <c r="GF4" t="e">
        <f>AND(#REF!,"AAAAAEn/9rs=")</f>
        <v>#REF!</v>
      </c>
      <c r="GG4" t="e">
        <f>AND(#REF!,"AAAAAEn/9rw=")</f>
        <v>#REF!</v>
      </c>
      <c r="GH4" t="e">
        <f>AND(#REF!,"AAAAAEn/9r0=")</f>
        <v>#REF!</v>
      </c>
      <c r="GI4" t="e">
        <f>AND(#REF!,"AAAAAEn/9r4=")</f>
        <v>#REF!</v>
      </c>
      <c r="GJ4" t="e">
        <f>AND(#REF!,"AAAAAEn/9r8=")</f>
        <v>#REF!</v>
      </c>
      <c r="GK4" t="e">
        <f>IF(#REF!,"AAAAAEn/9sA=",0)</f>
        <v>#REF!</v>
      </c>
      <c r="GL4" t="e">
        <f>AND(#REF!,"AAAAAEn/9sE=")</f>
        <v>#REF!</v>
      </c>
      <c r="GM4" t="e">
        <f>AND(#REF!,"AAAAAEn/9sI=")</f>
        <v>#REF!</v>
      </c>
      <c r="GN4" t="e">
        <f>AND(#REF!,"AAAAAEn/9sM=")</f>
        <v>#REF!</v>
      </c>
      <c r="GO4" t="e">
        <f>AND(#REF!,"AAAAAEn/9sQ=")</f>
        <v>#REF!</v>
      </c>
      <c r="GP4" t="e">
        <f>AND(#REF!,"AAAAAEn/9sU=")</f>
        <v>#REF!</v>
      </c>
      <c r="GQ4" t="e">
        <f>AND(#REF!,"AAAAAEn/9sY=")</f>
        <v>#REF!</v>
      </c>
      <c r="GR4" t="e">
        <f>AND(#REF!,"AAAAAEn/9sc=")</f>
        <v>#REF!</v>
      </c>
      <c r="GS4" t="e">
        <f>AND(#REF!,"AAAAAEn/9sg=")</f>
        <v>#REF!</v>
      </c>
      <c r="GT4" t="e">
        <f>AND(#REF!,"AAAAAEn/9sk=")</f>
        <v>#REF!</v>
      </c>
      <c r="GU4" t="e">
        <f>AND(#REF!,"AAAAAEn/9so=")</f>
        <v>#REF!</v>
      </c>
      <c r="GV4" t="e">
        <f>AND(#REF!,"AAAAAEn/9ss=")</f>
        <v>#REF!</v>
      </c>
      <c r="GW4" t="e">
        <f>AND(#REF!,"AAAAAEn/9sw=")</f>
        <v>#REF!</v>
      </c>
      <c r="GX4" t="e">
        <f>AND(#REF!,"AAAAAEn/9s0=")</f>
        <v>#REF!</v>
      </c>
      <c r="GY4" t="e">
        <f>AND(#REF!,"AAAAAEn/9s4=")</f>
        <v>#REF!</v>
      </c>
      <c r="GZ4" t="e">
        <f>AND(#REF!,"AAAAAEn/9s8=")</f>
        <v>#REF!</v>
      </c>
      <c r="HA4" t="e">
        <f>AND(#REF!,"AAAAAEn/9tA=")</f>
        <v>#REF!</v>
      </c>
      <c r="HB4" t="e">
        <f>AND(#REF!,"AAAAAEn/9tE=")</f>
        <v>#REF!</v>
      </c>
      <c r="HC4" t="e">
        <f>AND(#REF!,"AAAAAEn/9tI=")</f>
        <v>#REF!</v>
      </c>
      <c r="HD4" t="e">
        <f>AND(#REF!,"AAAAAEn/9tM=")</f>
        <v>#REF!</v>
      </c>
      <c r="HE4" t="e">
        <f>AND(#REF!,"AAAAAEn/9tQ=")</f>
        <v>#REF!</v>
      </c>
      <c r="HF4" t="e">
        <f>AND(#REF!,"AAAAAEn/9tU=")</f>
        <v>#REF!</v>
      </c>
      <c r="HG4" t="e">
        <f>AND(#REF!,"AAAAAEn/9tY=")</f>
        <v>#REF!</v>
      </c>
      <c r="HH4" t="e">
        <f>AND(#REF!,"AAAAAEn/9tc=")</f>
        <v>#REF!</v>
      </c>
      <c r="HI4" t="e">
        <f>IF(#REF!,"AAAAAEn/9tg=",0)</f>
        <v>#REF!</v>
      </c>
      <c r="HJ4" t="e">
        <f>AND(#REF!,"AAAAAEn/9tk=")</f>
        <v>#REF!</v>
      </c>
      <c r="HK4" t="e">
        <f>AND(#REF!,"AAAAAEn/9to=")</f>
        <v>#REF!</v>
      </c>
      <c r="HL4" t="e">
        <f>AND(#REF!,"AAAAAEn/9ts=")</f>
        <v>#REF!</v>
      </c>
      <c r="HM4" t="e">
        <f>AND(#REF!,"AAAAAEn/9tw=")</f>
        <v>#REF!</v>
      </c>
      <c r="HN4" t="e">
        <f>AND(#REF!,"AAAAAEn/9t0=")</f>
        <v>#REF!</v>
      </c>
      <c r="HO4" t="e">
        <f>AND(#REF!,"AAAAAEn/9t4=")</f>
        <v>#REF!</v>
      </c>
      <c r="HP4" t="e">
        <f>AND(#REF!,"AAAAAEn/9t8=")</f>
        <v>#REF!</v>
      </c>
      <c r="HQ4" t="e">
        <f>AND(#REF!,"AAAAAEn/9uA=")</f>
        <v>#REF!</v>
      </c>
      <c r="HR4" t="e">
        <f>AND(#REF!,"AAAAAEn/9uE=")</f>
        <v>#REF!</v>
      </c>
      <c r="HS4" t="e">
        <f>AND(#REF!,"AAAAAEn/9uI=")</f>
        <v>#REF!</v>
      </c>
      <c r="HT4" t="e">
        <f>AND(#REF!,"AAAAAEn/9uM=")</f>
        <v>#REF!</v>
      </c>
      <c r="HU4" t="e">
        <f>AND(#REF!,"AAAAAEn/9uQ=")</f>
        <v>#REF!</v>
      </c>
      <c r="HV4" t="e">
        <f>AND(#REF!,"AAAAAEn/9uU=")</f>
        <v>#REF!</v>
      </c>
      <c r="HW4" t="e">
        <f>AND(#REF!,"AAAAAEn/9uY=")</f>
        <v>#REF!</v>
      </c>
      <c r="HX4" t="e">
        <f>AND(#REF!,"AAAAAEn/9uc=")</f>
        <v>#REF!</v>
      </c>
      <c r="HY4" t="e">
        <f>AND(#REF!,"AAAAAEn/9ug=")</f>
        <v>#REF!</v>
      </c>
      <c r="HZ4" t="e">
        <f>AND(#REF!,"AAAAAEn/9uk=")</f>
        <v>#REF!</v>
      </c>
      <c r="IA4" t="e">
        <f>AND(#REF!,"AAAAAEn/9uo=")</f>
        <v>#REF!</v>
      </c>
      <c r="IB4" t="e">
        <f>AND(#REF!,"AAAAAEn/9us=")</f>
        <v>#REF!</v>
      </c>
      <c r="IC4" t="e">
        <f>AND(#REF!,"AAAAAEn/9uw=")</f>
        <v>#REF!</v>
      </c>
      <c r="ID4" t="e">
        <f>AND(#REF!,"AAAAAEn/9u0=")</f>
        <v>#REF!</v>
      </c>
      <c r="IE4" t="e">
        <f>AND(#REF!,"AAAAAEn/9u4=")</f>
        <v>#REF!</v>
      </c>
      <c r="IF4" t="e">
        <f>AND(#REF!,"AAAAAEn/9u8=")</f>
        <v>#REF!</v>
      </c>
      <c r="IG4" t="e">
        <f>IF(#REF!,"AAAAAEn/9vA=",0)</f>
        <v>#REF!</v>
      </c>
      <c r="IH4" t="e">
        <f>AND(#REF!,"AAAAAEn/9vE=")</f>
        <v>#REF!</v>
      </c>
      <c r="II4" t="e">
        <f>AND(#REF!,"AAAAAEn/9vI=")</f>
        <v>#REF!</v>
      </c>
      <c r="IJ4" t="e">
        <f>AND(#REF!,"AAAAAEn/9vM=")</f>
        <v>#REF!</v>
      </c>
      <c r="IK4" t="e">
        <f>AND(#REF!,"AAAAAEn/9vQ=")</f>
        <v>#REF!</v>
      </c>
      <c r="IL4" t="e">
        <f>AND(#REF!,"AAAAAEn/9vU=")</f>
        <v>#REF!</v>
      </c>
      <c r="IM4" t="e">
        <f>AND(#REF!,"AAAAAEn/9vY=")</f>
        <v>#REF!</v>
      </c>
      <c r="IN4" t="e">
        <f>AND(#REF!,"AAAAAEn/9vc=")</f>
        <v>#REF!</v>
      </c>
      <c r="IO4" t="e">
        <f>AND(#REF!,"AAAAAEn/9vg=")</f>
        <v>#REF!</v>
      </c>
      <c r="IP4" t="e">
        <f>AND(#REF!,"AAAAAEn/9vk=")</f>
        <v>#REF!</v>
      </c>
      <c r="IQ4" t="e">
        <f>AND(#REF!,"AAAAAEn/9vo=")</f>
        <v>#REF!</v>
      </c>
      <c r="IR4" t="e">
        <f>AND(#REF!,"AAAAAEn/9vs=")</f>
        <v>#REF!</v>
      </c>
      <c r="IS4" t="e">
        <f>AND(#REF!,"AAAAAEn/9vw=")</f>
        <v>#REF!</v>
      </c>
      <c r="IT4" t="e">
        <f>AND(#REF!,"AAAAAEn/9v0=")</f>
        <v>#REF!</v>
      </c>
      <c r="IU4" t="e">
        <f>AND(#REF!,"AAAAAEn/9v4=")</f>
        <v>#REF!</v>
      </c>
      <c r="IV4" t="e">
        <f>AND(#REF!,"AAAAAEn/9v8=")</f>
        <v>#REF!</v>
      </c>
    </row>
    <row r="5" spans="1:256">
      <c r="A5" t="e">
        <f>AND(#REF!,"AAAAABea8wA=")</f>
        <v>#REF!</v>
      </c>
      <c r="B5" t="e">
        <f>AND(#REF!,"AAAAABea8wE=")</f>
        <v>#REF!</v>
      </c>
      <c r="C5" t="e">
        <f>AND(#REF!,"AAAAABea8wI=")</f>
        <v>#REF!</v>
      </c>
      <c r="D5" t="e">
        <f>AND(#REF!,"AAAAABea8wM=")</f>
        <v>#REF!</v>
      </c>
      <c r="E5" t="e">
        <f>AND(#REF!,"AAAAABea8wQ=")</f>
        <v>#REF!</v>
      </c>
      <c r="F5" t="e">
        <f>AND(#REF!,"AAAAABea8wU=")</f>
        <v>#REF!</v>
      </c>
      <c r="G5" t="e">
        <f>AND(#REF!,"AAAAABea8wY=")</f>
        <v>#REF!</v>
      </c>
      <c r="H5" t="e">
        <f>AND(#REF!,"AAAAABea8wc=")</f>
        <v>#REF!</v>
      </c>
      <c r="I5" t="e">
        <f>IF(#REF!,"AAAAABea8wg=",0)</f>
        <v>#REF!</v>
      </c>
      <c r="J5" t="e">
        <f>AND(#REF!,"AAAAABea8wk=")</f>
        <v>#REF!</v>
      </c>
      <c r="K5" t="e">
        <f>AND(#REF!,"AAAAABea8wo=")</f>
        <v>#REF!</v>
      </c>
      <c r="L5" t="e">
        <f>AND(#REF!,"AAAAABea8ws=")</f>
        <v>#REF!</v>
      </c>
      <c r="M5" t="e">
        <f>AND(#REF!,"AAAAABea8ww=")</f>
        <v>#REF!</v>
      </c>
      <c r="N5" t="e">
        <f>AND(#REF!,"AAAAABea8w0=")</f>
        <v>#REF!</v>
      </c>
      <c r="O5" t="e">
        <f>AND(#REF!,"AAAAABea8w4=")</f>
        <v>#REF!</v>
      </c>
      <c r="P5" t="e">
        <f>AND(#REF!,"AAAAABea8w8=")</f>
        <v>#REF!</v>
      </c>
      <c r="Q5" t="e">
        <f>AND(#REF!,"AAAAABea8xA=")</f>
        <v>#REF!</v>
      </c>
      <c r="R5" t="e">
        <f>AND(#REF!,"AAAAABea8xE=")</f>
        <v>#REF!</v>
      </c>
      <c r="S5" t="e">
        <f>AND(#REF!,"AAAAABea8xI=")</f>
        <v>#REF!</v>
      </c>
      <c r="T5" t="e">
        <f>AND(#REF!,"AAAAABea8xM=")</f>
        <v>#REF!</v>
      </c>
      <c r="U5" t="e">
        <f>AND(#REF!,"AAAAABea8xQ=")</f>
        <v>#REF!</v>
      </c>
      <c r="V5" t="e">
        <f>AND(#REF!,"AAAAABea8xU=")</f>
        <v>#REF!</v>
      </c>
      <c r="W5" t="e">
        <f>AND(#REF!,"AAAAABea8xY=")</f>
        <v>#REF!</v>
      </c>
      <c r="X5" t="e">
        <f>AND(#REF!,"AAAAABea8xc=")</f>
        <v>#REF!</v>
      </c>
      <c r="Y5" t="e">
        <f>AND(#REF!,"AAAAABea8xg=")</f>
        <v>#REF!</v>
      </c>
      <c r="Z5" t="e">
        <f>AND(#REF!,"AAAAABea8xk=")</f>
        <v>#REF!</v>
      </c>
      <c r="AA5" t="e">
        <f>AND(#REF!,"AAAAABea8xo=")</f>
        <v>#REF!</v>
      </c>
      <c r="AB5" t="e">
        <f>AND(#REF!,"AAAAABea8xs=")</f>
        <v>#REF!</v>
      </c>
      <c r="AC5" t="e">
        <f>AND(#REF!,"AAAAABea8xw=")</f>
        <v>#REF!</v>
      </c>
      <c r="AD5" t="e">
        <f>AND(#REF!,"AAAAABea8x0=")</f>
        <v>#REF!</v>
      </c>
      <c r="AE5" t="e">
        <f>AND(#REF!,"AAAAABea8x4=")</f>
        <v>#REF!</v>
      </c>
      <c r="AF5" t="e">
        <f>AND(#REF!,"AAAAABea8x8=")</f>
        <v>#REF!</v>
      </c>
      <c r="AG5" t="e">
        <f>IF(#REF!,"AAAAABea8yA=",0)</f>
        <v>#REF!</v>
      </c>
      <c r="AH5" t="e">
        <f>AND(#REF!,"AAAAABea8yE=")</f>
        <v>#REF!</v>
      </c>
      <c r="AI5" t="e">
        <f>AND(#REF!,"AAAAABea8yI=")</f>
        <v>#REF!</v>
      </c>
      <c r="AJ5" t="e">
        <f>AND(#REF!,"AAAAABea8yM=")</f>
        <v>#REF!</v>
      </c>
      <c r="AK5" t="e">
        <f>AND(#REF!,"AAAAABea8yQ=")</f>
        <v>#REF!</v>
      </c>
      <c r="AL5" t="e">
        <f>AND(#REF!,"AAAAABea8yU=")</f>
        <v>#REF!</v>
      </c>
      <c r="AM5" t="e">
        <f>AND(#REF!,"AAAAABea8yY=")</f>
        <v>#REF!</v>
      </c>
      <c r="AN5" t="e">
        <f>AND(#REF!,"AAAAABea8yc=")</f>
        <v>#REF!</v>
      </c>
      <c r="AO5" t="e">
        <f>AND(#REF!,"AAAAABea8yg=")</f>
        <v>#REF!</v>
      </c>
      <c r="AP5" t="e">
        <f>AND(#REF!,"AAAAABea8yk=")</f>
        <v>#REF!</v>
      </c>
      <c r="AQ5" t="e">
        <f>AND(#REF!,"AAAAABea8yo=")</f>
        <v>#REF!</v>
      </c>
      <c r="AR5" t="e">
        <f>AND(#REF!,"AAAAABea8ys=")</f>
        <v>#REF!</v>
      </c>
      <c r="AS5" t="e">
        <f>AND(#REF!,"AAAAABea8yw=")</f>
        <v>#REF!</v>
      </c>
      <c r="AT5" t="e">
        <f>AND(#REF!,"AAAAABea8y0=")</f>
        <v>#REF!</v>
      </c>
      <c r="AU5" t="e">
        <f>AND(#REF!,"AAAAABea8y4=")</f>
        <v>#REF!</v>
      </c>
      <c r="AV5" t="e">
        <f>AND(#REF!,"AAAAABea8y8=")</f>
        <v>#REF!</v>
      </c>
      <c r="AW5" t="e">
        <f>AND(#REF!,"AAAAABea8zA=")</f>
        <v>#REF!</v>
      </c>
      <c r="AX5" t="e">
        <f>AND(#REF!,"AAAAABea8zE=")</f>
        <v>#REF!</v>
      </c>
      <c r="AY5" t="e">
        <f>AND(#REF!,"AAAAABea8zI=")</f>
        <v>#REF!</v>
      </c>
      <c r="AZ5" t="e">
        <f>AND(#REF!,"AAAAABea8zM=")</f>
        <v>#REF!</v>
      </c>
      <c r="BA5" t="e">
        <f>AND(#REF!,"AAAAABea8zQ=")</f>
        <v>#REF!</v>
      </c>
      <c r="BB5" t="e">
        <f>AND(#REF!,"AAAAABea8zU=")</f>
        <v>#REF!</v>
      </c>
      <c r="BC5" t="e">
        <f>AND(#REF!,"AAAAABea8zY=")</f>
        <v>#REF!</v>
      </c>
      <c r="BD5" t="e">
        <f>AND(#REF!,"AAAAABea8zc=")</f>
        <v>#REF!</v>
      </c>
      <c r="BE5" t="e">
        <f>IF(#REF!,"AAAAABea8zg=",0)</f>
        <v>#REF!</v>
      </c>
      <c r="BF5" t="e">
        <f>AND(#REF!,"AAAAABea8zk=")</f>
        <v>#REF!</v>
      </c>
      <c r="BG5" t="e">
        <f>AND(#REF!,"AAAAABea8zo=")</f>
        <v>#REF!</v>
      </c>
      <c r="BH5" t="e">
        <f>AND(#REF!,"AAAAABea8zs=")</f>
        <v>#REF!</v>
      </c>
      <c r="BI5" t="e">
        <f>AND(#REF!,"AAAAABea8zw=")</f>
        <v>#REF!</v>
      </c>
      <c r="BJ5" t="e">
        <f>AND(#REF!,"AAAAABea8z0=")</f>
        <v>#REF!</v>
      </c>
      <c r="BK5" t="e">
        <f>AND(#REF!,"AAAAABea8z4=")</f>
        <v>#REF!</v>
      </c>
      <c r="BL5" t="e">
        <f>AND(#REF!,"AAAAABea8z8=")</f>
        <v>#REF!</v>
      </c>
      <c r="BM5" t="e">
        <f>AND(#REF!,"AAAAABea80A=")</f>
        <v>#REF!</v>
      </c>
      <c r="BN5" t="e">
        <f>AND(#REF!,"AAAAABea80E=")</f>
        <v>#REF!</v>
      </c>
      <c r="BO5" t="e">
        <f>AND(#REF!,"AAAAABea80I=")</f>
        <v>#REF!</v>
      </c>
      <c r="BP5" t="e">
        <f>AND(#REF!,"AAAAABea80M=")</f>
        <v>#REF!</v>
      </c>
      <c r="BQ5" t="e">
        <f>AND(#REF!,"AAAAABea80Q=")</f>
        <v>#REF!</v>
      </c>
      <c r="BR5" t="e">
        <f>AND(#REF!,"AAAAABea80U=")</f>
        <v>#REF!</v>
      </c>
      <c r="BS5" t="e">
        <f>AND(#REF!,"AAAAABea80Y=")</f>
        <v>#REF!</v>
      </c>
      <c r="BT5" t="e">
        <f>AND(#REF!,"AAAAABea80c=")</f>
        <v>#REF!</v>
      </c>
      <c r="BU5" t="e">
        <f>AND(#REF!,"AAAAABea80g=")</f>
        <v>#REF!</v>
      </c>
      <c r="BV5" t="e">
        <f>AND(#REF!,"AAAAABea80k=")</f>
        <v>#REF!</v>
      </c>
      <c r="BW5" t="e">
        <f>AND(#REF!,"AAAAABea80o=")</f>
        <v>#REF!</v>
      </c>
      <c r="BX5" t="e">
        <f>AND(#REF!,"AAAAABea80s=")</f>
        <v>#REF!</v>
      </c>
      <c r="BY5" t="e">
        <f>AND(#REF!,"AAAAABea80w=")</f>
        <v>#REF!</v>
      </c>
      <c r="BZ5" t="e">
        <f>AND(#REF!,"AAAAABea800=")</f>
        <v>#REF!</v>
      </c>
      <c r="CA5" t="e">
        <f>AND(#REF!,"AAAAABea804=")</f>
        <v>#REF!</v>
      </c>
      <c r="CB5" t="e">
        <f>AND(#REF!,"AAAAABea808=")</f>
        <v>#REF!</v>
      </c>
      <c r="CC5" t="e">
        <f>IF(#REF!,"AAAAABea81A=",0)</f>
        <v>#REF!</v>
      </c>
      <c r="CD5" t="e">
        <f>AND(#REF!,"AAAAABea81E=")</f>
        <v>#REF!</v>
      </c>
      <c r="CE5" t="e">
        <f>AND(#REF!,"AAAAABea81I=")</f>
        <v>#REF!</v>
      </c>
      <c r="CF5" t="e">
        <f>AND(#REF!,"AAAAABea81M=")</f>
        <v>#REF!</v>
      </c>
      <c r="CG5" t="e">
        <f>AND(#REF!,"AAAAABea81Q=")</f>
        <v>#REF!</v>
      </c>
      <c r="CH5" t="e">
        <f>AND(#REF!,"AAAAABea81U=")</f>
        <v>#REF!</v>
      </c>
      <c r="CI5" t="e">
        <f>AND(#REF!,"AAAAABea81Y=")</f>
        <v>#REF!</v>
      </c>
      <c r="CJ5" t="e">
        <f>AND(#REF!,"AAAAABea81c=")</f>
        <v>#REF!</v>
      </c>
      <c r="CK5" t="e">
        <f>AND(#REF!,"AAAAABea81g=")</f>
        <v>#REF!</v>
      </c>
      <c r="CL5" t="e">
        <f>AND(#REF!,"AAAAABea81k=")</f>
        <v>#REF!</v>
      </c>
      <c r="CM5" t="e">
        <f>AND(#REF!,"AAAAABea81o=")</f>
        <v>#REF!</v>
      </c>
      <c r="CN5" t="e">
        <f>AND(#REF!,"AAAAABea81s=")</f>
        <v>#REF!</v>
      </c>
      <c r="CO5" t="e">
        <f>AND(#REF!,"AAAAABea81w=")</f>
        <v>#REF!</v>
      </c>
      <c r="CP5" t="e">
        <f>AND(#REF!,"AAAAABea810=")</f>
        <v>#REF!</v>
      </c>
      <c r="CQ5" t="e">
        <f>AND(#REF!,"AAAAABea814=")</f>
        <v>#REF!</v>
      </c>
      <c r="CR5" t="e">
        <f>AND(#REF!,"AAAAABea818=")</f>
        <v>#REF!</v>
      </c>
      <c r="CS5" t="e">
        <f>AND(#REF!,"AAAAABea82A=")</f>
        <v>#REF!</v>
      </c>
      <c r="CT5" t="e">
        <f>AND(#REF!,"AAAAABea82E=")</f>
        <v>#REF!</v>
      </c>
      <c r="CU5" t="e">
        <f>AND(#REF!,"AAAAABea82I=")</f>
        <v>#REF!</v>
      </c>
      <c r="CV5" t="e">
        <f>AND(#REF!,"AAAAABea82M=")</f>
        <v>#REF!</v>
      </c>
      <c r="CW5" t="e">
        <f>AND(#REF!,"AAAAABea82Q=")</f>
        <v>#REF!</v>
      </c>
      <c r="CX5" t="e">
        <f>AND(#REF!,"AAAAABea82U=")</f>
        <v>#REF!</v>
      </c>
      <c r="CY5" t="e">
        <f>AND(#REF!,"AAAAABea82Y=")</f>
        <v>#REF!</v>
      </c>
      <c r="CZ5" t="e">
        <f>AND(#REF!,"AAAAABea82c=")</f>
        <v>#REF!</v>
      </c>
      <c r="DA5" t="e">
        <f>IF(#REF!,"AAAAABea82g=",0)</f>
        <v>#REF!</v>
      </c>
      <c r="DB5" t="e">
        <f>AND(#REF!,"AAAAABea82k=")</f>
        <v>#REF!</v>
      </c>
      <c r="DC5" t="e">
        <f>AND(#REF!,"AAAAABea82o=")</f>
        <v>#REF!</v>
      </c>
      <c r="DD5" t="e">
        <f>AND(#REF!,"AAAAABea82s=")</f>
        <v>#REF!</v>
      </c>
      <c r="DE5" t="e">
        <f>AND(#REF!,"AAAAABea82w=")</f>
        <v>#REF!</v>
      </c>
      <c r="DF5" t="e">
        <f>AND(#REF!,"AAAAABea820=")</f>
        <v>#REF!</v>
      </c>
      <c r="DG5" t="e">
        <f>AND(#REF!,"AAAAABea824=")</f>
        <v>#REF!</v>
      </c>
      <c r="DH5" t="e">
        <f>AND(#REF!,"AAAAABea828=")</f>
        <v>#REF!</v>
      </c>
      <c r="DI5" t="e">
        <f>AND(#REF!,"AAAAABea83A=")</f>
        <v>#REF!</v>
      </c>
      <c r="DJ5" t="e">
        <f>AND(#REF!,"AAAAABea83E=")</f>
        <v>#REF!</v>
      </c>
      <c r="DK5" t="e">
        <f>AND(#REF!,"AAAAABea83I=")</f>
        <v>#REF!</v>
      </c>
      <c r="DL5" t="e">
        <f>AND(#REF!,"AAAAABea83M=")</f>
        <v>#REF!</v>
      </c>
      <c r="DM5" t="e">
        <f>AND(#REF!,"AAAAABea83Q=")</f>
        <v>#REF!</v>
      </c>
      <c r="DN5" t="e">
        <f>AND(#REF!,"AAAAABea83U=")</f>
        <v>#REF!</v>
      </c>
      <c r="DO5" t="e">
        <f>AND(#REF!,"AAAAABea83Y=")</f>
        <v>#REF!</v>
      </c>
      <c r="DP5" t="e">
        <f>AND(#REF!,"AAAAABea83c=")</f>
        <v>#REF!</v>
      </c>
      <c r="DQ5" t="e">
        <f>AND(#REF!,"AAAAABea83g=")</f>
        <v>#REF!</v>
      </c>
      <c r="DR5" t="e">
        <f>AND(#REF!,"AAAAABea83k=")</f>
        <v>#REF!</v>
      </c>
      <c r="DS5" t="e">
        <f>AND(#REF!,"AAAAABea83o=")</f>
        <v>#REF!</v>
      </c>
      <c r="DT5" t="e">
        <f>AND(#REF!,"AAAAABea83s=")</f>
        <v>#REF!</v>
      </c>
      <c r="DU5" t="e">
        <f>AND(#REF!,"AAAAABea83w=")</f>
        <v>#REF!</v>
      </c>
      <c r="DV5" t="e">
        <f>AND(#REF!,"AAAAABea830=")</f>
        <v>#REF!</v>
      </c>
      <c r="DW5" t="e">
        <f>AND(#REF!,"AAAAABea834=")</f>
        <v>#REF!</v>
      </c>
      <c r="DX5" t="e">
        <f>AND(#REF!,"AAAAABea838=")</f>
        <v>#REF!</v>
      </c>
      <c r="DY5" t="e">
        <f>IF(#REF!,"AAAAABea84A=",0)</f>
        <v>#REF!</v>
      </c>
      <c r="DZ5" t="e">
        <f>AND(#REF!,"AAAAABea84E=")</f>
        <v>#REF!</v>
      </c>
      <c r="EA5" t="e">
        <f>AND(#REF!,"AAAAABea84I=")</f>
        <v>#REF!</v>
      </c>
      <c r="EB5" t="e">
        <f>AND(#REF!,"AAAAABea84M=")</f>
        <v>#REF!</v>
      </c>
      <c r="EC5" t="e">
        <f>AND(#REF!,"AAAAABea84Q=")</f>
        <v>#REF!</v>
      </c>
      <c r="ED5" t="e">
        <f>AND(#REF!,"AAAAABea84U=")</f>
        <v>#REF!</v>
      </c>
      <c r="EE5" t="e">
        <f>AND(#REF!,"AAAAABea84Y=")</f>
        <v>#REF!</v>
      </c>
      <c r="EF5" t="e">
        <f>AND(#REF!,"AAAAABea84c=")</f>
        <v>#REF!</v>
      </c>
      <c r="EG5" t="e">
        <f>AND(#REF!,"AAAAABea84g=")</f>
        <v>#REF!</v>
      </c>
      <c r="EH5" t="e">
        <f>AND(#REF!,"AAAAABea84k=")</f>
        <v>#REF!</v>
      </c>
      <c r="EI5" t="e">
        <f>AND(#REF!,"AAAAABea84o=")</f>
        <v>#REF!</v>
      </c>
      <c r="EJ5" t="e">
        <f>AND(#REF!,"AAAAABea84s=")</f>
        <v>#REF!</v>
      </c>
      <c r="EK5" t="e">
        <f>AND(#REF!,"AAAAABea84w=")</f>
        <v>#REF!</v>
      </c>
      <c r="EL5" t="e">
        <f>AND(#REF!,"AAAAABea840=")</f>
        <v>#REF!</v>
      </c>
      <c r="EM5" t="e">
        <f>AND(#REF!,"AAAAABea844=")</f>
        <v>#REF!</v>
      </c>
      <c r="EN5" t="e">
        <f>AND(#REF!,"AAAAABea848=")</f>
        <v>#REF!</v>
      </c>
      <c r="EO5" t="e">
        <f>AND(#REF!,"AAAAABea85A=")</f>
        <v>#REF!</v>
      </c>
      <c r="EP5" t="e">
        <f>AND(#REF!,"AAAAABea85E=")</f>
        <v>#REF!</v>
      </c>
      <c r="EQ5" t="e">
        <f>AND(#REF!,"AAAAABea85I=")</f>
        <v>#REF!</v>
      </c>
      <c r="ER5" t="e">
        <f>AND(#REF!,"AAAAABea85M=")</f>
        <v>#REF!</v>
      </c>
      <c r="ES5" t="e">
        <f>AND(#REF!,"AAAAABea85Q=")</f>
        <v>#REF!</v>
      </c>
      <c r="ET5" t="e">
        <f>AND(#REF!,"AAAAABea85U=")</f>
        <v>#REF!</v>
      </c>
      <c r="EU5" t="e">
        <f>AND(#REF!,"AAAAABea85Y=")</f>
        <v>#REF!</v>
      </c>
      <c r="EV5" t="e">
        <f>AND(#REF!,"AAAAABea85c=")</f>
        <v>#REF!</v>
      </c>
      <c r="EW5" t="e">
        <f>IF(#REF!,"AAAAABea85g=",0)</f>
        <v>#REF!</v>
      </c>
      <c r="EX5" t="e">
        <f>AND(#REF!,"AAAAABea85k=")</f>
        <v>#REF!</v>
      </c>
      <c r="EY5" t="e">
        <f>AND(#REF!,"AAAAABea85o=")</f>
        <v>#REF!</v>
      </c>
      <c r="EZ5" t="e">
        <f>AND(#REF!,"AAAAABea85s=")</f>
        <v>#REF!</v>
      </c>
      <c r="FA5" t="e">
        <f>AND(#REF!,"AAAAABea85w=")</f>
        <v>#REF!</v>
      </c>
      <c r="FB5" t="e">
        <f>AND(#REF!,"AAAAABea850=")</f>
        <v>#REF!</v>
      </c>
      <c r="FC5" t="e">
        <f>AND(#REF!,"AAAAABea854=")</f>
        <v>#REF!</v>
      </c>
      <c r="FD5" t="e">
        <f>AND(#REF!,"AAAAABea858=")</f>
        <v>#REF!</v>
      </c>
      <c r="FE5" t="e">
        <f>AND(#REF!,"AAAAABea86A=")</f>
        <v>#REF!</v>
      </c>
      <c r="FF5" t="e">
        <f>AND(#REF!,"AAAAABea86E=")</f>
        <v>#REF!</v>
      </c>
      <c r="FG5" t="e">
        <f>AND(#REF!,"AAAAABea86I=")</f>
        <v>#REF!</v>
      </c>
      <c r="FH5" t="e">
        <f>AND(#REF!,"AAAAABea86M=")</f>
        <v>#REF!</v>
      </c>
      <c r="FI5" t="e">
        <f>AND(#REF!,"AAAAABea86Q=")</f>
        <v>#REF!</v>
      </c>
      <c r="FJ5" t="e">
        <f>AND(#REF!,"AAAAABea86U=")</f>
        <v>#REF!</v>
      </c>
      <c r="FK5" t="e">
        <f>AND(#REF!,"AAAAABea86Y=")</f>
        <v>#REF!</v>
      </c>
      <c r="FL5" t="e">
        <f>AND(#REF!,"AAAAABea86c=")</f>
        <v>#REF!</v>
      </c>
      <c r="FM5" t="e">
        <f>AND(#REF!,"AAAAABea86g=")</f>
        <v>#REF!</v>
      </c>
      <c r="FN5" t="e">
        <f>AND(#REF!,"AAAAABea86k=")</f>
        <v>#REF!</v>
      </c>
      <c r="FO5" t="e">
        <f>AND(#REF!,"AAAAABea86o=")</f>
        <v>#REF!</v>
      </c>
      <c r="FP5" t="e">
        <f>AND(#REF!,"AAAAABea86s=")</f>
        <v>#REF!</v>
      </c>
      <c r="FQ5" t="e">
        <f>AND(#REF!,"AAAAABea86w=")</f>
        <v>#REF!</v>
      </c>
      <c r="FR5" t="e">
        <f>AND(#REF!,"AAAAABea860=")</f>
        <v>#REF!</v>
      </c>
      <c r="FS5" t="e">
        <f>AND(#REF!,"AAAAABea864=")</f>
        <v>#REF!</v>
      </c>
      <c r="FT5" t="e">
        <f>AND(#REF!,"AAAAABea868=")</f>
        <v>#REF!</v>
      </c>
      <c r="FU5" t="e">
        <f>IF(#REF!,"AAAAABea87A=",0)</f>
        <v>#REF!</v>
      </c>
      <c r="FV5" t="e">
        <f>AND(#REF!,"AAAAABea87E=")</f>
        <v>#REF!</v>
      </c>
      <c r="FW5" t="e">
        <f>AND(#REF!,"AAAAABea87I=")</f>
        <v>#REF!</v>
      </c>
      <c r="FX5" t="e">
        <f>AND(#REF!,"AAAAABea87M=")</f>
        <v>#REF!</v>
      </c>
      <c r="FY5" t="e">
        <f>AND(#REF!,"AAAAABea87Q=")</f>
        <v>#REF!</v>
      </c>
      <c r="FZ5" t="e">
        <f>AND(#REF!,"AAAAABea87U=")</f>
        <v>#REF!</v>
      </c>
      <c r="GA5" t="e">
        <f>AND(#REF!,"AAAAABea87Y=")</f>
        <v>#REF!</v>
      </c>
      <c r="GB5" t="e">
        <f>AND(#REF!,"AAAAABea87c=")</f>
        <v>#REF!</v>
      </c>
      <c r="GC5" t="e">
        <f>AND(#REF!,"AAAAABea87g=")</f>
        <v>#REF!</v>
      </c>
      <c r="GD5" t="e">
        <f>AND(#REF!,"AAAAABea87k=")</f>
        <v>#REF!</v>
      </c>
      <c r="GE5" t="e">
        <f>AND(#REF!,"AAAAABea87o=")</f>
        <v>#REF!</v>
      </c>
      <c r="GF5" t="e">
        <f>AND(#REF!,"AAAAABea87s=")</f>
        <v>#REF!</v>
      </c>
      <c r="GG5" t="e">
        <f>AND(#REF!,"AAAAABea87w=")</f>
        <v>#REF!</v>
      </c>
      <c r="GH5" t="e">
        <f>AND(#REF!,"AAAAABea870=")</f>
        <v>#REF!</v>
      </c>
      <c r="GI5" t="e">
        <f>AND(#REF!,"AAAAABea874=")</f>
        <v>#REF!</v>
      </c>
      <c r="GJ5" t="e">
        <f>AND(#REF!,"AAAAABea878=")</f>
        <v>#REF!</v>
      </c>
      <c r="GK5" t="e">
        <f>AND(#REF!,"AAAAABea88A=")</f>
        <v>#REF!</v>
      </c>
      <c r="GL5" t="e">
        <f>AND(#REF!,"AAAAABea88E=")</f>
        <v>#REF!</v>
      </c>
      <c r="GM5" t="e">
        <f>AND(#REF!,"AAAAABea88I=")</f>
        <v>#REF!</v>
      </c>
      <c r="GN5" t="e">
        <f>AND(#REF!,"AAAAABea88M=")</f>
        <v>#REF!</v>
      </c>
      <c r="GO5" t="e">
        <f>AND(#REF!,"AAAAABea88Q=")</f>
        <v>#REF!</v>
      </c>
      <c r="GP5" t="e">
        <f>AND(#REF!,"AAAAABea88U=")</f>
        <v>#REF!</v>
      </c>
      <c r="GQ5" t="e">
        <f>AND(#REF!,"AAAAABea88Y=")</f>
        <v>#REF!</v>
      </c>
      <c r="GR5" t="e">
        <f>AND(#REF!,"AAAAABea88c=")</f>
        <v>#REF!</v>
      </c>
      <c r="GS5" t="e">
        <f>IF(#REF!,"AAAAABea88g=",0)</f>
        <v>#REF!</v>
      </c>
      <c r="GT5" t="e">
        <f>AND(#REF!,"AAAAABea88k=")</f>
        <v>#REF!</v>
      </c>
      <c r="GU5" t="e">
        <f>AND(#REF!,"AAAAABea88o=")</f>
        <v>#REF!</v>
      </c>
      <c r="GV5" t="e">
        <f>AND(#REF!,"AAAAABea88s=")</f>
        <v>#REF!</v>
      </c>
      <c r="GW5" t="e">
        <f>AND(#REF!,"AAAAABea88w=")</f>
        <v>#REF!</v>
      </c>
      <c r="GX5" t="e">
        <f>AND(#REF!,"AAAAABea880=")</f>
        <v>#REF!</v>
      </c>
      <c r="GY5" t="e">
        <f>AND(#REF!,"AAAAABea884=")</f>
        <v>#REF!</v>
      </c>
      <c r="GZ5" t="e">
        <f>AND(#REF!,"AAAAABea888=")</f>
        <v>#REF!</v>
      </c>
      <c r="HA5" t="e">
        <f>AND(#REF!,"AAAAABea89A=")</f>
        <v>#REF!</v>
      </c>
      <c r="HB5" t="e">
        <f>AND(#REF!,"AAAAABea89E=")</f>
        <v>#REF!</v>
      </c>
      <c r="HC5" t="e">
        <f>AND(#REF!,"AAAAABea89I=")</f>
        <v>#REF!</v>
      </c>
      <c r="HD5" t="e">
        <f>AND(#REF!,"AAAAABea89M=")</f>
        <v>#REF!</v>
      </c>
      <c r="HE5" t="e">
        <f>AND(#REF!,"AAAAABea89Q=")</f>
        <v>#REF!</v>
      </c>
      <c r="HF5" t="e">
        <f>AND(#REF!,"AAAAABea89U=")</f>
        <v>#REF!</v>
      </c>
      <c r="HG5" t="e">
        <f>AND(#REF!,"AAAAABea89Y=")</f>
        <v>#REF!</v>
      </c>
      <c r="HH5" t="e">
        <f>AND(#REF!,"AAAAABea89c=")</f>
        <v>#REF!</v>
      </c>
      <c r="HI5" t="e">
        <f>AND(#REF!,"AAAAABea89g=")</f>
        <v>#REF!</v>
      </c>
      <c r="HJ5" t="e">
        <f>AND(#REF!,"AAAAABea89k=")</f>
        <v>#REF!</v>
      </c>
      <c r="HK5" t="e">
        <f>AND(#REF!,"AAAAABea89o=")</f>
        <v>#REF!</v>
      </c>
      <c r="HL5" t="e">
        <f>AND(#REF!,"AAAAABea89s=")</f>
        <v>#REF!</v>
      </c>
      <c r="HM5" t="e">
        <f>AND(#REF!,"AAAAABea89w=")</f>
        <v>#REF!</v>
      </c>
      <c r="HN5" t="e">
        <f>AND(#REF!,"AAAAABea890=")</f>
        <v>#REF!</v>
      </c>
      <c r="HO5" t="e">
        <f>AND(#REF!,"AAAAABea894=")</f>
        <v>#REF!</v>
      </c>
      <c r="HP5" t="e">
        <f>AND(#REF!,"AAAAABea898=")</f>
        <v>#REF!</v>
      </c>
      <c r="HQ5" t="e">
        <f>IF(#REF!,"AAAAABea8+A=",0)</f>
        <v>#REF!</v>
      </c>
      <c r="HR5" t="e">
        <f>AND(#REF!,"AAAAABea8+E=")</f>
        <v>#REF!</v>
      </c>
      <c r="HS5" t="e">
        <f>AND(#REF!,"AAAAABea8+I=")</f>
        <v>#REF!</v>
      </c>
      <c r="HT5" t="e">
        <f>AND(#REF!,"AAAAABea8+M=")</f>
        <v>#REF!</v>
      </c>
      <c r="HU5" t="e">
        <f>AND(#REF!,"AAAAABea8+Q=")</f>
        <v>#REF!</v>
      </c>
      <c r="HV5" t="e">
        <f>AND(#REF!,"AAAAABea8+U=")</f>
        <v>#REF!</v>
      </c>
      <c r="HW5" t="e">
        <f>AND(#REF!,"AAAAABea8+Y=")</f>
        <v>#REF!</v>
      </c>
      <c r="HX5" t="e">
        <f>AND(#REF!,"AAAAABea8+c=")</f>
        <v>#REF!</v>
      </c>
      <c r="HY5" t="e">
        <f>AND(#REF!,"AAAAABea8+g=")</f>
        <v>#REF!</v>
      </c>
      <c r="HZ5" t="e">
        <f>AND(#REF!,"AAAAABea8+k=")</f>
        <v>#REF!</v>
      </c>
      <c r="IA5" t="e">
        <f>AND(#REF!,"AAAAABea8+o=")</f>
        <v>#REF!</v>
      </c>
      <c r="IB5" t="e">
        <f>AND(#REF!,"AAAAABea8+s=")</f>
        <v>#REF!</v>
      </c>
      <c r="IC5" t="e">
        <f>AND(#REF!,"AAAAABea8+w=")</f>
        <v>#REF!</v>
      </c>
      <c r="ID5" t="e">
        <f>AND(#REF!,"AAAAABea8+0=")</f>
        <v>#REF!</v>
      </c>
      <c r="IE5" t="e">
        <f>AND(#REF!,"AAAAABea8+4=")</f>
        <v>#REF!</v>
      </c>
      <c r="IF5" t="e">
        <f>AND(#REF!,"AAAAABea8+8=")</f>
        <v>#REF!</v>
      </c>
      <c r="IG5" t="e">
        <f>AND(#REF!,"AAAAABea8/A=")</f>
        <v>#REF!</v>
      </c>
      <c r="IH5" t="e">
        <f>AND(#REF!,"AAAAABea8/E=")</f>
        <v>#REF!</v>
      </c>
      <c r="II5" t="e">
        <f>AND(#REF!,"AAAAABea8/I=")</f>
        <v>#REF!</v>
      </c>
      <c r="IJ5" t="e">
        <f>AND(#REF!,"AAAAABea8/M=")</f>
        <v>#REF!</v>
      </c>
      <c r="IK5" t="e">
        <f>AND(#REF!,"AAAAABea8/Q=")</f>
        <v>#REF!</v>
      </c>
      <c r="IL5" t="e">
        <f>AND(#REF!,"AAAAABea8/U=")</f>
        <v>#REF!</v>
      </c>
      <c r="IM5" t="e">
        <f>AND(#REF!,"AAAAABea8/Y=")</f>
        <v>#REF!</v>
      </c>
      <c r="IN5" t="e">
        <f>AND(#REF!,"AAAAABea8/c=")</f>
        <v>#REF!</v>
      </c>
      <c r="IO5" t="e">
        <f>IF(#REF!,"AAAAABea8/g=",0)</f>
        <v>#REF!</v>
      </c>
      <c r="IP5" t="e">
        <f>AND(#REF!,"AAAAABea8/k=")</f>
        <v>#REF!</v>
      </c>
      <c r="IQ5" t="e">
        <f>AND(#REF!,"AAAAABea8/o=")</f>
        <v>#REF!</v>
      </c>
      <c r="IR5" t="e">
        <f>AND(#REF!,"AAAAABea8/s=")</f>
        <v>#REF!</v>
      </c>
      <c r="IS5" t="e">
        <f>AND(#REF!,"AAAAABea8/w=")</f>
        <v>#REF!</v>
      </c>
      <c r="IT5" t="e">
        <f>AND(#REF!,"AAAAABea8/0=")</f>
        <v>#REF!</v>
      </c>
      <c r="IU5" t="e">
        <f>AND(#REF!,"AAAAABea8/4=")</f>
        <v>#REF!</v>
      </c>
      <c r="IV5" t="e">
        <f>AND(#REF!,"AAAAABea8/8=")</f>
        <v>#REF!</v>
      </c>
    </row>
    <row r="6" spans="1:256">
      <c r="A6" t="e">
        <f>AND(#REF!,"AAAAADvv3gA=")</f>
        <v>#REF!</v>
      </c>
      <c r="B6" t="e">
        <f>AND(#REF!,"AAAAADvv3gE=")</f>
        <v>#REF!</v>
      </c>
      <c r="C6" t="e">
        <f>AND(#REF!,"AAAAADvv3gI=")</f>
        <v>#REF!</v>
      </c>
      <c r="D6" t="e">
        <f>AND(#REF!,"AAAAADvv3gM=")</f>
        <v>#REF!</v>
      </c>
      <c r="E6" t="e">
        <f>AND(#REF!,"AAAAADvv3gQ=")</f>
        <v>#REF!</v>
      </c>
      <c r="F6" t="e">
        <f>AND(#REF!,"AAAAADvv3gU=")</f>
        <v>#REF!</v>
      </c>
      <c r="G6" t="e">
        <f>AND(#REF!,"AAAAADvv3gY=")</f>
        <v>#REF!</v>
      </c>
      <c r="H6" t="e">
        <f>AND(#REF!,"AAAAADvv3gc=")</f>
        <v>#REF!</v>
      </c>
      <c r="I6" t="e">
        <f>AND(#REF!,"AAAAADvv3gg=")</f>
        <v>#REF!</v>
      </c>
      <c r="J6" t="e">
        <f>AND(#REF!,"AAAAADvv3gk=")</f>
        <v>#REF!</v>
      </c>
      <c r="K6" t="e">
        <f>AND(#REF!,"AAAAADvv3go=")</f>
        <v>#REF!</v>
      </c>
      <c r="L6" t="e">
        <f>AND(#REF!,"AAAAADvv3gs=")</f>
        <v>#REF!</v>
      </c>
      <c r="M6" t="e">
        <f>AND(#REF!,"AAAAADvv3gw=")</f>
        <v>#REF!</v>
      </c>
      <c r="N6" t="e">
        <f>AND(#REF!,"AAAAADvv3g0=")</f>
        <v>#REF!</v>
      </c>
      <c r="O6" t="e">
        <f>AND(#REF!,"AAAAADvv3g4=")</f>
        <v>#REF!</v>
      </c>
      <c r="P6" t="e">
        <f>AND(#REF!,"AAAAADvv3g8=")</f>
        <v>#REF!</v>
      </c>
      <c r="Q6" t="e">
        <f>IF(#REF!,"AAAAADvv3hA=",0)</f>
        <v>#REF!</v>
      </c>
      <c r="R6" t="e">
        <f>AND(#REF!,"AAAAADvv3hE=")</f>
        <v>#REF!</v>
      </c>
      <c r="S6" t="e">
        <f>AND(#REF!,"AAAAADvv3hI=")</f>
        <v>#REF!</v>
      </c>
      <c r="T6" t="e">
        <f>AND(#REF!,"AAAAADvv3hM=")</f>
        <v>#REF!</v>
      </c>
      <c r="U6" t="e">
        <f>AND(#REF!,"AAAAADvv3hQ=")</f>
        <v>#REF!</v>
      </c>
      <c r="V6" t="e">
        <f>AND(#REF!,"AAAAADvv3hU=")</f>
        <v>#REF!</v>
      </c>
      <c r="W6" t="e">
        <f>AND(#REF!,"AAAAADvv3hY=")</f>
        <v>#REF!</v>
      </c>
      <c r="X6" t="e">
        <f>AND(#REF!,"AAAAADvv3hc=")</f>
        <v>#REF!</v>
      </c>
      <c r="Y6" t="e">
        <f>AND(#REF!,"AAAAADvv3hg=")</f>
        <v>#REF!</v>
      </c>
      <c r="Z6" t="e">
        <f>AND(#REF!,"AAAAADvv3hk=")</f>
        <v>#REF!</v>
      </c>
      <c r="AA6" t="e">
        <f>AND(#REF!,"AAAAADvv3ho=")</f>
        <v>#REF!</v>
      </c>
      <c r="AB6" t="e">
        <f>AND(#REF!,"AAAAADvv3hs=")</f>
        <v>#REF!</v>
      </c>
      <c r="AC6" t="e">
        <f>AND(#REF!,"AAAAADvv3hw=")</f>
        <v>#REF!</v>
      </c>
      <c r="AD6" t="e">
        <f>AND(#REF!,"AAAAADvv3h0=")</f>
        <v>#REF!</v>
      </c>
      <c r="AE6" t="e">
        <f>AND(#REF!,"AAAAADvv3h4=")</f>
        <v>#REF!</v>
      </c>
      <c r="AF6" t="e">
        <f>AND(#REF!,"AAAAADvv3h8=")</f>
        <v>#REF!</v>
      </c>
      <c r="AG6" t="e">
        <f>AND(#REF!,"AAAAADvv3iA=")</f>
        <v>#REF!</v>
      </c>
      <c r="AH6" t="e">
        <f>AND(#REF!,"AAAAADvv3iE=")</f>
        <v>#REF!</v>
      </c>
      <c r="AI6" t="e">
        <f>AND(#REF!,"AAAAADvv3iI=")</f>
        <v>#REF!</v>
      </c>
      <c r="AJ6" t="e">
        <f>AND(#REF!,"AAAAADvv3iM=")</f>
        <v>#REF!</v>
      </c>
      <c r="AK6" t="e">
        <f>AND(#REF!,"AAAAADvv3iQ=")</f>
        <v>#REF!</v>
      </c>
      <c r="AL6" t="e">
        <f>AND(#REF!,"AAAAADvv3iU=")</f>
        <v>#REF!</v>
      </c>
      <c r="AM6" t="e">
        <f>AND(#REF!,"AAAAADvv3iY=")</f>
        <v>#REF!</v>
      </c>
      <c r="AN6" t="e">
        <f>AND(#REF!,"AAAAADvv3ic=")</f>
        <v>#REF!</v>
      </c>
      <c r="AO6" t="e">
        <f>IF(#REF!,"AAAAADvv3ig=",0)</f>
        <v>#REF!</v>
      </c>
      <c r="AP6" t="e">
        <f>AND(#REF!,"AAAAADvv3ik=")</f>
        <v>#REF!</v>
      </c>
      <c r="AQ6" t="e">
        <f>AND(#REF!,"AAAAADvv3io=")</f>
        <v>#REF!</v>
      </c>
      <c r="AR6" t="e">
        <f>AND(#REF!,"AAAAADvv3is=")</f>
        <v>#REF!</v>
      </c>
      <c r="AS6" t="e">
        <f>AND(#REF!,"AAAAADvv3iw=")</f>
        <v>#REF!</v>
      </c>
      <c r="AT6" t="e">
        <f>AND(#REF!,"AAAAADvv3i0=")</f>
        <v>#REF!</v>
      </c>
      <c r="AU6" t="e">
        <f>AND(#REF!,"AAAAADvv3i4=")</f>
        <v>#REF!</v>
      </c>
      <c r="AV6" t="e">
        <f>AND(#REF!,"AAAAADvv3i8=")</f>
        <v>#REF!</v>
      </c>
      <c r="AW6" t="e">
        <f>AND(#REF!,"AAAAADvv3jA=")</f>
        <v>#REF!</v>
      </c>
      <c r="AX6" t="e">
        <f>AND(#REF!,"AAAAADvv3jE=")</f>
        <v>#REF!</v>
      </c>
      <c r="AY6" t="e">
        <f>AND(#REF!,"AAAAADvv3jI=")</f>
        <v>#REF!</v>
      </c>
      <c r="AZ6" t="e">
        <f>AND(#REF!,"AAAAADvv3jM=")</f>
        <v>#REF!</v>
      </c>
      <c r="BA6" t="e">
        <f>AND(#REF!,"AAAAADvv3jQ=")</f>
        <v>#REF!</v>
      </c>
      <c r="BB6" t="e">
        <f>AND(#REF!,"AAAAADvv3jU=")</f>
        <v>#REF!</v>
      </c>
      <c r="BC6" t="e">
        <f>AND(#REF!,"AAAAADvv3jY=")</f>
        <v>#REF!</v>
      </c>
      <c r="BD6" t="e">
        <f>AND(#REF!,"AAAAADvv3jc=")</f>
        <v>#REF!</v>
      </c>
      <c r="BE6" t="e">
        <f>AND(#REF!,"AAAAADvv3jg=")</f>
        <v>#REF!</v>
      </c>
      <c r="BF6" t="e">
        <f>AND(#REF!,"AAAAADvv3jk=")</f>
        <v>#REF!</v>
      </c>
      <c r="BG6" t="e">
        <f>AND(#REF!,"AAAAADvv3jo=")</f>
        <v>#REF!</v>
      </c>
      <c r="BH6" t="e">
        <f>AND(#REF!,"AAAAADvv3js=")</f>
        <v>#REF!</v>
      </c>
      <c r="BI6" t="e">
        <f>AND(#REF!,"AAAAADvv3jw=")</f>
        <v>#REF!</v>
      </c>
      <c r="BJ6" t="e">
        <f>AND(#REF!,"AAAAADvv3j0=")</f>
        <v>#REF!</v>
      </c>
      <c r="BK6" t="e">
        <f>AND(#REF!,"AAAAADvv3j4=")</f>
        <v>#REF!</v>
      </c>
      <c r="BL6" t="e">
        <f>AND(#REF!,"AAAAADvv3j8=")</f>
        <v>#REF!</v>
      </c>
      <c r="BM6" t="e">
        <f>IF(#REF!,"AAAAADvv3kA=",0)</f>
        <v>#REF!</v>
      </c>
      <c r="BN6" t="e">
        <f>AND(#REF!,"AAAAADvv3kE=")</f>
        <v>#REF!</v>
      </c>
      <c r="BO6" t="e">
        <f>AND(#REF!,"AAAAADvv3kI=")</f>
        <v>#REF!</v>
      </c>
      <c r="BP6" t="e">
        <f>AND(#REF!,"AAAAADvv3kM=")</f>
        <v>#REF!</v>
      </c>
      <c r="BQ6" t="e">
        <f>AND(#REF!,"AAAAADvv3kQ=")</f>
        <v>#REF!</v>
      </c>
      <c r="BR6" t="e">
        <f>AND(#REF!,"AAAAADvv3kU=")</f>
        <v>#REF!</v>
      </c>
      <c r="BS6" t="e">
        <f>AND(#REF!,"AAAAADvv3kY=")</f>
        <v>#REF!</v>
      </c>
      <c r="BT6" t="e">
        <f>AND(#REF!,"AAAAADvv3kc=")</f>
        <v>#REF!</v>
      </c>
      <c r="BU6" t="e">
        <f>AND(#REF!,"AAAAADvv3kg=")</f>
        <v>#REF!</v>
      </c>
      <c r="BV6" t="e">
        <f>AND(#REF!,"AAAAADvv3kk=")</f>
        <v>#REF!</v>
      </c>
      <c r="BW6" t="e">
        <f>AND(#REF!,"AAAAADvv3ko=")</f>
        <v>#REF!</v>
      </c>
      <c r="BX6" t="e">
        <f>AND(#REF!,"AAAAADvv3ks=")</f>
        <v>#REF!</v>
      </c>
      <c r="BY6" t="e">
        <f>AND(#REF!,"AAAAADvv3kw=")</f>
        <v>#REF!</v>
      </c>
      <c r="BZ6" t="e">
        <f>AND(#REF!,"AAAAADvv3k0=")</f>
        <v>#REF!</v>
      </c>
      <c r="CA6" t="e">
        <f>AND(#REF!,"AAAAADvv3k4=")</f>
        <v>#REF!</v>
      </c>
      <c r="CB6" t="e">
        <f>AND(#REF!,"AAAAADvv3k8=")</f>
        <v>#REF!</v>
      </c>
      <c r="CC6" t="e">
        <f>AND(#REF!,"AAAAADvv3lA=")</f>
        <v>#REF!</v>
      </c>
      <c r="CD6" t="e">
        <f>AND(#REF!,"AAAAADvv3lE=")</f>
        <v>#REF!</v>
      </c>
      <c r="CE6" t="e">
        <f>AND(#REF!,"AAAAADvv3lI=")</f>
        <v>#REF!</v>
      </c>
      <c r="CF6" t="e">
        <f>AND(#REF!,"AAAAADvv3lM=")</f>
        <v>#REF!</v>
      </c>
      <c r="CG6" t="e">
        <f>AND(#REF!,"AAAAADvv3lQ=")</f>
        <v>#REF!</v>
      </c>
      <c r="CH6" t="e">
        <f>AND(#REF!,"AAAAADvv3lU=")</f>
        <v>#REF!</v>
      </c>
      <c r="CI6" t="e">
        <f>AND(#REF!,"AAAAADvv3lY=")</f>
        <v>#REF!</v>
      </c>
      <c r="CJ6" t="e">
        <f>AND(#REF!,"AAAAADvv3lc=")</f>
        <v>#REF!</v>
      </c>
      <c r="CK6" t="e">
        <f>IF(#REF!,"AAAAADvv3lg=",0)</f>
        <v>#REF!</v>
      </c>
      <c r="CL6" t="e">
        <f>AND(#REF!,"AAAAADvv3lk=")</f>
        <v>#REF!</v>
      </c>
      <c r="CM6" t="e">
        <f>AND(#REF!,"AAAAADvv3lo=")</f>
        <v>#REF!</v>
      </c>
      <c r="CN6" t="e">
        <f>AND(#REF!,"AAAAADvv3ls=")</f>
        <v>#REF!</v>
      </c>
      <c r="CO6" t="e">
        <f>AND(#REF!,"AAAAADvv3lw=")</f>
        <v>#REF!</v>
      </c>
      <c r="CP6" t="e">
        <f>AND(#REF!,"AAAAADvv3l0=")</f>
        <v>#REF!</v>
      </c>
      <c r="CQ6" t="e">
        <f>AND(#REF!,"AAAAADvv3l4=")</f>
        <v>#REF!</v>
      </c>
      <c r="CR6" t="e">
        <f>AND(#REF!,"AAAAADvv3l8=")</f>
        <v>#REF!</v>
      </c>
      <c r="CS6" t="e">
        <f>AND(#REF!,"AAAAADvv3mA=")</f>
        <v>#REF!</v>
      </c>
      <c r="CT6" t="e">
        <f>AND(#REF!,"AAAAADvv3mE=")</f>
        <v>#REF!</v>
      </c>
      <c r="CU6" t="e">
        <f>AND(#REF!,"AAAAADvv3mI=")</f>
        <v>#REF!</v>
      </c>
      <c r="CV6" t="e">
        <f>AND(#REF!,"AAAAADvv3mM=")</f>
        <v>#REF!</v>
      </c>
      <c r="CW6" t="e">
        <f>AND(#REF!,"AAAAADvv3mQ=")</f>
        <v>#REF!</v>
      </c>
      <c r="CX6" t="e">
        <f>AND(#REF!,"AAAAADvv3mU=")</f>
        <v>#REF!</v>
      </c>
      <c r="CY6" t="e">
        <f>AND(#REF!,"AAAAADvv3mY=")</f>
        <v>#REF!</v>
      </c>
      <c r="CZ6" t="e">
        <f>AND(#REF!,"AAAAADvv3mc=")</f>
        <v>#REF!</v>
      </c>
      <c r="DA6" t="e">
        <f>AND(#REF!,"AAAAADvv3mg=")</f>
        <v>#REF!</v>
      </c>
      <c r="DB6" t="e">
        <f>AND(#REF!,"AAAAADvv3mk=")</f>
        <v>#REF!</v>
      </c>
      <c r="DC6" t="e">
        <f>AND(#REF!,"AAAAADvv3mo=")</f>
        <v>#REF!</v>
      </c>
      <c r="DD6" t="e">
        <f>AND(#REF!,"AAAAADvv3ms=")</f>
        <v>#REF!</v>
      </c>
      <c r="DE6" t="e">
        <f>AND(#REF!,"AAAAADvv3mw=")</f>
        <v>#REF!</v>
      </c>
      <c r="DF6" t="e">
        <f>AND(#REF!,"AAAAADvv3m0=")</f>
        <v>#REF!</v>
      </c>
      <c r="DG6" t="e">
        <f>AND(#REF!,"AAAAADvv3m4=")</f>
        <v>#REF!</v>
      </c>
      <c r="DH6" t="e">
        <f>AND(#REF!,"AAAAADvv3m8=")</f>
        <v>#REF!</v>
      </c>
      <c r="DI6" t="e">
        <f>IF(#REF!,"AAAAADvv3nA=",0)</f>
        <v>#REF!</v>
      </c>
      <c r="DJ6" t="e">
        <f>AND(#REF!,"AAAAADvv3nE=")</f>
        <v>#REF!</v>
      </c>
      <c r="DK6" t="e">
        <f>AND(#REF!,"AAAAADvv3nI=")</f>
        <v>#REF!</v>
      </c>
      <c r="DL6" t="e">
        <f>AND(#REF!,"AAAAADvv3nM=")</f>
        <v>#REF!</v>
      </c>
      <c r="DM6" t="e">
        <f>AND(#REF!,"AAAAADvv3nQ=")</f>
        <v>#REF!</v>
      </c>
      <c r="DN6" t="e">
        <f>AND(#REF!,"AAAAADvv3nU=")</f>
        <v>#REF!</v>
      </c>
      <c r="DO6" t="e">
        <f>AND(#REF!,"AAAAADvv3nY=")</f>
        <v>#REF!</v>
      </c>
      <c r="DP6" t="e">
        <f>AND(#REF!,"AAAAADvv3nc=")</f>
        <v>#REF!</v>
      </c>
      <c r="DQ6" t="e">
        <f>AND(#REF!,"AAAAADvv3ng=")</f>
        <v>#REF!</v>
      </c>
      <c r="DR6" t="e">
        <f>AND(#REF!,"AAAAADvv3nk=")</f>
        <v>#REF!</v>
      </c>
      <c r="DS6" t="e">
        <f>AND(#REF!,"AAAAADvv3no=")</f>
        <v>#REF!</v>
      </c>
      <c r="DT6" t="e">
        <f>AND(#REF!,"AAAAADvv3ns=")</f>
        <v>#REF!</v>
      </c>
      <c r="DU6" t="e">
        <f>AND(#REF!,"AAAAADvv3nw=")</f>
        <v>#REF!</v>
      </c>
      <c r="DV6" t="e">
        <f>AND(#REF!,"AAAAADvv3n0=")</f>
        <v>#REF!</v>
      </c>
      <c r="DW6" t="e">
        <f>AND(#REF!,"AAAAADvv3n4=")</f>
        <v>#REF!</v>
      </c>
      <c r="DX6" t="e">
        <f>AND(#REF!,"AAAAADvv3n8=")</f>
        <v>#REF!</v>
      </c>
      <c r="DY6" t="e">
        <f>AND(#REF!,"AAAAADvv3oA=")</f>
        <v>#REF!</v>
      </c>
      <c r="DZ6" t="e">
        <f>AND(#REF!,"AAAAADvv3oE=")</f>
        <v>#REF!</v>
      </c>
      <c r="EA6" t="e">
        <f>AND(#REF!,"AAAAADvv3oI=")</f>
        <v>#REF!</v>
      </c>
      <c r="EB6" t="e">
        <f>AND(#REF!,"AAAAADvv3oM=")</f>
        <v>#REF!</v>
      </c>
      <c r="EC6" t="e">
        <f>AND(#REF!,"AAAAADvv3oQ=")</f>
        <v>#REF!</v>
      </c>
      <c r="ED6" t="e">
        <f>AND(#REF!,"AAAAADvv3oU=")</f>
        <v>#REF!</v>
      </c>
      <c r="EE6" t="e">
        <f>AND(#REF!,"AAAAADvv3oY=")</f>
        <v>#REF!</v>
      </c>
      <c r="EF6" t="e">
        <f>AND(#REF!,"AAAAADvv3oc=")</f>
        <v>#REF!</v>
      </c>
      <c r="EG6" t="e">
        <f>IF(#REF!,"AAAAADvv3og=",0)</f>
        <v>#REF!</v>
      </c>
      <c r="EH6" t="e">
        <f>AND(#REF!,"AAAAADvv3ok=")</f>
        <v>#REF!</v>
      </c>
      <c r="EI6" t="e">
        <f>AND(#REF!,"AAAAADvv3oo=")</f>
        <v>#REF!</v>
      </c>
      <c r="EJ6" t="e">
        <f>AND(#REF!,"AAAAADvv3os=")</f>
        <v>#REF!</v>
      </c>
      <c r="EK6" t="e">
        <f>AND(#REF!,"AAAAADvv3ow=")</f>
        <v>#REF!</v>
      </c>
      <c r="EL6" t="e">
        <f>AND(#REF!,"AAAAADvv3o0=")</f>
        <v>#REF!</v>
      </c>
      <c r="EM6" t="e">
        <f>AND(#REF!,"AAAAADvv3o4=")</f>
        <v>#REF!</v>
      </c>
      <c r="EN6" t="e">
        <f>AND(#REF!,"AAAAADvv3o8=")</f>
        <v>#REF!</v>
      </c>
      <c r="EO6" t="e">
        <f>AND(#REF!,"AAAAADvv3pA=")</f>
        <v>#REF!</v>
      </c>
      <c r="EP6" t="e">
        <f>AND(#REF!,"AAAAADvv3pE=")</f>
        <v>#REF!</v>
      </c>
      <c r="EQ6" t="e">
        <f>AND(#REF!,"AAAAADvv3pI=")</f>
        <v>#REF!</v>
      </c>
      <c r="ER6" t="e">
        <f>AND(#REF!,"AAAAADvv3pM=")</f>
        <v>#REF!</v>
      </c>
      <c r="ES6" t="e">
        <f>AND(#REF!,"AAAAADvv3pQ=")</f>
        <v>#REF!</v>
      </c>
      <c r="ET6" t="e">
        <f>AND(#REF!,"AAAAADvv3pU=")</f>
        <v>#REF!</v>
      </c>
      <c r="EU6" t="e">
        <f>AND(#REF!,"AAAAADvv3pY=")</f>
        <v>#REF!</v>
      </c>
      <c r="EV6" t="e">
        <f>AND(#REF!,"AAAAADvv3pc=")</f>
        <v>#REF!</v>
      </c>
      <c r="EW6" t="e">
        <f>AND(#REF!,"AAAAADvv3pg=")</f>
        <v>#REF!</v>
      </c>
      <c r="EX6" t="e">
        <f>AND(#REF!,"AAAAADvv3pk=")</f>
        <v>#REF!</v>
      </c>
      <c r="EY6" t="e">
        <f>AND(#REF!,"AAAAADvv3po=")</f>
        <v>#REF!</v>
      </c>
      <c r="EZ6" t="e">
        <f>AND(#REF!,"AAAAADvv3ps=")</f>
        <v>#REF!</v>
      </c>
      <c r="FA6" t="e">
        <f>AND(#REF!,"AAAAADvv3pw=")</f>
        <v>#REF!</v>
      </c>
      <c r="FB6" t="e">
        <f>AND(#REF!,"AAAAADvv3p0=")</f>
        <v>#REF!</v>
      </c>
      <c r="FC6" t="e">
        <f>AND(#REF!,"AAAAADvv3p4=")</f>
        <v>#REF!</v>
      </c>
      <c r="FD6" t="e">
        <f>AND(#REF!,"AAAAADvv3p8=")</f>
        <v>#REF!</v>
      </c>
      <c r="FE6" t="e">
        <f>IF(#REF!,"AAAAADvv3qA=",0)</f>
        <v>#REF!</v>
      </c>
      <c r="FF6" t="e">
        <f>AND(#REF!,"AAAAADvv3qE=")</f>
        <v>#REF!</v>
      </c>
      <c r="FG6" t="e">
        <f>AND(#REF!,"AAAAADvv3qI=")</f>
        <v>#REF!</v>
      </c>
      <c r="FH6" t="e">
        <f>AND(#REF!,"AAAAADvv3qM=")</f>
        <v>#REF!</v>
      </c>
      <c r="FI6" t="e">
        <f>AND(#REF!,"AAAAADvv3qQ=")</f>
        <v>#REF!</v>
      </c>
      <c r="FJ6" t="e">
        <f>AND(#REF!,"AAAAADvv3qU=")</f>
        <v>#REF!</v>
      </c>
      <c r="FK6" t="e">
        <f>AND(#REF!,"AAAAADvv3qY=")</f>
        <v>#REF!</v>
      </c>
      <c r="FL6" t="e">
        <f>AND(#REF!,"AAAAADvv3qc=")</f>
        <v>#REF!</v>
      </c>
      <c r="FM6" t="e">
        <f>AND(#REF!,"AAAAADvv3qg=")</f>
        <v>#REF!</v>
      </c>
      <c r="FN6" t="e">
        <f>AND(#REF!,"AAAAADvv3qk=")</f>
        <v>#REF!</v>
      </c>
      <c r="FO6" t="e">
        <f>AND(#REF!,"AAAAADvv3qo=")</f>
        <v>#REF!</v>
      </c>
      <c r="FP6" t="e">
        <f>AND(#REF!,"AAAAADvv3qs=")</f>
        <v>#REF!</v>
      </c>
      <c r="FQ6" t="e">
        <f>AND(#REF!,"AAAAADvv3qw=")</f>
        <v>#REF!</v>
      </c>
      <c r="FR6" t="e">
        <f>AND(#REF!,"AAAAADvv3q0=")</f>
        <v>#REF!</v>
      </c>
      <c r="FS6" t="e">
        <f>AND(#REF!,"AAAAADvv3q4=")</f>
        <v>#REF!</v>
      </c>
      <c r="FT6" t="e">
        <f>AND(#REF!,"AAAAADvv3q8=")</f>
        <v>#REF!</v>
      </c>
      <c r="FU6" t="e">
        <f>AND(#REF!,"AAAAADvv3rA=")</f>
        <v>#REF!</v>
      </c>
      <c r="FV6" t="e">
        <f>AND(#REF!,"AAAAADvv3rE=")</f>
        <v>#REF!</v>
      </c>
      <c r="FW6" t="e">
        <f>AND(#REF!,"AAAAADvv3rI=")</f>
        <v>#REF!</v>
      </c>
      <c r="FX6" t="e">
        <f>AND(#REF!,"AAAAADvv3rM=")</f>
        <v>#REF!</v>
      </c>
      <c r="FY6" t="e">
        <f>AND(#REF!,"AAAAADvv3rQ=")</f>
        <v>#REF!</v>
      </c>
      <c r="FZ6" t="e">
        <f>AND(#REF!,"AAAAADvv3rU=")</f>
        <v>#REF!</v>
      </c>
      <c r="GA6" t="e">
        <f>AND(#REF!,"AAAAADvv3rY=")</f>
        <v>#REF!</v>
      </c>
      <c r="GB6" t="e">
        <f>AND(#REF!,"AAAAADvv3rc=")</f>
        <v>#REF!</v>
      </c>
      <c r="GC6" t="e">
        <f>IF(#REF!,"AAAAADvv3rg=",0)</f>
        <v>#REF!</v>
      </c>
      <c r="GD6" t="e">
        <f>AND(#REF!,"AAAAADvv3rk=")</f>
        <v>#REF!</v>
      </c>
      <c r="GE6" t="e">
        <f>AND(#REF!,"AAAAADvv3ro=")</f>
        <v>#REF!</v>
      </c>
      <c r="GF6" t="e">
        <f>AND(#REF!,"AAAAADvv3rs=")</f>
        <v>#REF!</v>
      </c>
      <c r="GG6" t="e">
        <f>AND(#REF!,"AAAAADvv3rw=")</f>
        <v>#REF!</v>
      </c>
      <c r="GH6" t="e">
        <f>AND(#REF!,"AAAAADvv3r0=")</f>
        <v>#REF!</v>
      </c>
      <c r="GI6" t="e">
        <f>AND(#REF!,"AAAAADvv3r4=")</f>
        <v>#REF!</v>
      </c>
      <c r="GJ6" t="e">
        <f>AND(#REF!,"AAAAADvv3r8=")</f>
        <v>#REF!</v>
      </c>
      <c r="GK6" t="e">
        <f>AND(#REF!,"AAAAADvv3sA=")</f>
        <v>#REF!</v>
      </c>
      <c r="GL6" t="e">
        <f>AND(#REF!,"AAAAADvv3sE=")</f>
        <v>#REF!</v>
      </c>
      <c r="GM6" t="e">
        <f>AND(#REF!,"AAAAADvv3sI=")</f>
        <v>#REF!</v>
      </c>
      <c r="GN6" t="e">
        <f>AND(#REF!,"AAAAADvv3sM=")</f>
        <v>#REF!</v>
      </c>
      <c r="GO6" t="e">
        <f>AND(#REF!,"AAAAADvv3sQ=")</f>
        <v>#REF!</v>
      </c>
      <c r="GP6" t="e">
        <f>AND(#REF!,"AAAAADvv3sU=")</f>
        <v>#REF!</v>
      </c>
      <c r="GQ6" t="e">
        <f>AND(#REF!,"AAAAADvv3sY=")</f>
        <v>#REF!</v>
      </c>
      <c r="GR6" t="e">
        <f>AND(#REF!,"AAAAADvv3sc=")</f>
        <v>#REF!</v>
      </c>
      <c r="GS6" t="e">
        <f>AND(#REF!,"AAAAADvv3sg=")</f>
        <v>#REF!</v>
      </c>
      <c r="GT6" t="e">
        <f>AND(#REF!,"AAAAADvv3sk=")</f>
        <v>#REF!</v>
      </c>
      <c r="GU6" t="e">
        <f>AND(#REF!,"AAAAADvv3so=")</f>
        <v>#REF!</v>
      </c>
      <c r="GV6" t="e">
        <f>AND(#REF!,"AAAAADvv3ss=")</f>
        <v>#REF!</v>
      </c>
      <c r="GW6" t="e">
        <f>AND(#REF!,"AAAAADvv3sw=")</f>
        <v>#REF!</v>
      </c>
      <c r="GX6" t="e">
        <f>AND(#REF!,"AAAAADvv3s0=")</f>
        <v>#REF!</v>
      </c>
      <c r="GY6" t="e">
        <f>AND(#REF!,"AAAAADvv3s4=")</f>
        <v>#REF!</v>
      </c>
      <c r="GZ6" t="e">
        <f>AND(#REF!,"AAAAADvv3s8=")</f>
        <v>#REF!</v>
      </c>
      <c r="HA6" t="e">
        <f>IF(#REF!,"AAAAADvv3tA=",0)</f>
        <v>#REF!</v>
      </c>
      <c r="HB6" t="e">
        <f>AND(#REF!,"AAAAADvv3tE=")</f>
        <v>#REF!</v>
      </c>
      <c r="HC6" t="e">
        <f>AND(#REF!,"AAAAADvv3tI=")</f>
        <v>#REF!</v>
      </c>
      <c r="HD6" t="e">
        <f>AND(#REF!,"AAAAADvv3tM=")</f>
        <v>#REF!</v>
      </c>
      <c r="HE6" t="e">
        <f>AND(#REF!,"AAAAADvv3tQ=")</f>
        <v>#REF!</v>
      </c>
      <c r="HF6" t="e">
        <f>AND(#REF!,"AAAAADvv3tU=")</f>
        <v>#REF!</v>
      </c>
      <c r="HG6" t="e">
        <f>AND(#REF!,"AAAAADvv3tY=")</f>
        <v>#REF!</v>
      </c>
      <c r="HH6" t="e">
        <f>AND(#REF!,"AAAAADvv3tc=")</f>
        <v>#REF!</v>
      </c>
      <c r="HI6" t="e">
        <f>AND(#REF!,"AAAAADvv3tg=")</f>
        <v>#REF!</v>
      </c>
      <c r="HJ6" t="e">
        <f>AND(#REF!,"AAAAADvv3tk=")</f>
        <v>#REF!</v>
      </c>
      <c r="HK6" t="e">
        <f>AND(#REF!,"AAAAADvv3to=")</f>
        <v>#REF!</v>
      </c>
      <c r="HL6" t="e">
        <f>AND(#REF!,"AAAAADvv3ts=")</f>
        <v>#REF!</v>
      </c>
      <c r="HM6" t="e">
        <f>AND(#REF!,"AAAAADvv3tw=")</f>
        <v>#REF!</v>
      </c>
      <c r="HN6" t="e">
        <f>AND(#REF!,"AAAAADvv3t0=")</f>
        <v>#REF!</v>
      </c>
      <c r="HO6" t="e">
        <f>AND(#REF!,"AAAAADvv3t4=")</f>
        <v>#REF!</v>
      </c>
      <c r="HP6" t="e">
        <f>AND(#REF!,"AAAAADvv3t8=")</f>
        <v>#REF!</v>
      </c>
      <c r="HQ6" t="e">
        <f>AND(#REF!,"AAAAADvv3uA=")</f>
        <v>#REF!</v>
      </c>
      <c r="HR6" t="e">
        <f>AND(#REF!,"AAAAADvv3uE=")</f>
        <v>#REF!</v>
      </c>
      <c r="HS6" t="e">
        <f>AND(#REF!,"AAAAADvv3uI=")</f>
        <v>#REF!</v>
      </c>
      <c r="HT6" t="e">
        <f>AND(#REF!,"AAAAADvv3uM=")</f>
        <v>#REF!</v>
      </c>
      <c r="HU6" t="e">
        <f>AND(#REF!,"AAAAADvv3uQ=")</f>
        <v>#REF!</v>
      </c>
      <c r="HV6" t="e">
        <f>AND(#REF!,"AAAAADvv3uU=")</f>
        <v>#REF!</v>
      </c>
      <c r="HW6" t="e">
        <f>AND(#REF!,"AAAAADvv3uY=")</f>
        <v>#REF!</v>
      </c>
      <c r="HX6" t="e">
        <f>AND(#REF!,"AAAAADvv3uc=")</f>
        <v>#REF!</v>
      </c>
      <c r="HY6" t="e">
        <f>IF(#REF!,"AAAAADvv3ug=",0)</f>
        <v>#REF!</v>
      </c>
      <c r="HZ6" t="e">
        <f>AND(#REF!,"AAAAADvv3uk=")</f>
        <v>#REF!</v>
      </c>
      <c r="IA6" t="e">
        <f>AND(#REF!,"AAAAADvv3uo=")</f>
        <v>#REF!</v>
      </c>
      <c r="IB6" t="e">
        <f>AND(#REF!,"AAAAADvv3us=")</f>
        <v>#REF!</v>
      </c>
      <c r="IC6" t="e">
        <f>AND(#REF!,"AAAAADvv3uw=")</f>
        <v>#REF!</v>
      </c>
      <c r="ID6" t="e">
        <f>AND(#REF!,"AAAAADvv3u0=")</f>
        <v>#REF!</v>
      </c>
      <c r="IE6" t="e">
        <f>AND(#REF!,"AAAAADvv3u4=")</f>
        <v>#REF!</v>
      </c>
      <c r="IF6" t="e">
        <f>AND(#REF!,"AAAAADvv3u8=")</f>
        <v>#REF!</v>
      </c>
      <c r="IG6" t="e">
        <f>AND(#REF!,"AAAAADvv3vA=")</f>
        <v>#REF!</v>
      </c>
      <c r="IH6" t="e">
        <f>AND(#REF!,"AAAAADvv3vE=")</f>
        <v>#REF!</v>
      </c>
      <c r="II6" t="e">
        <f>AND(#REF!,"AAAAADvv3vI=")</f>
        <v>#REF!</v>
      </c>
      <c r="IJ6" t="e">
        <f>AND(#REF!,"AAAAADvv3vM=")</f>
        <v>#REF!</v>
      </c>
      <c r="IK6" t="e">
        <f>AND(#REF!,"AAAAADvv3vQ=")</f>
        <v>#REF!</v>
      </c>
      <c r="IL6" t="e">
        <f>AND(#REF!,"AAAAADvv3vU=")</f>
        <v>#REF!</v>
      </c>
      <c r="IM6" t="e">
        <f>AND(#REF!,"AAAAADvv3vY=")</f>
        <v>#REF!</v>
      </c>
      <c r="IN6" t="e">
        <f>AND(#REF!,"AAAAADvv3vc=")</f>
        <v>#REF!</v>
      </c>
      <c r="IO6" t="e">
        <f>AND(#REF!,"AAAAADvv3vg=")</f>
        <v>#REF!</v>
      </c>
      <c r="IP6" t="e">
        <f>AND(#REF!,"AAAAADvv3vk=")</f>
        <v>#REF!</v>
      </c>
      <c r="IQ6" t="e">
        <f>AND(#REF!,"AAAAADvv3vo=")</f>
        <v>#REF!</v>
      </c>
      <c r="IR6" t="e">
        <f>AND(#REF!,"AAAAADvv3vs=")</f>
        <v>#REF!</v>
      </c>
      <c r="IS6" t="e">
        <f>AND(#REF!,"AAAAADvv3vw=")</f>
        <v>#REF!</v>
      </c>
      <c r="IT6" t="e">
        <f>AND(#REF!,"AAAAADvv3v0=")</f>
        <v>#REF!</v>
      </c>
      <c r="IU6" t="e">
        <f>AND(#REF!,"AAAAADvv3v4=")</f>
        <v>#REF!</v>
      </c>
      <c r="IV6" t="e">
        <f>AND(#REF!,"AAAAADvv3v8=")</f>
        <v>#REF!</v>
      </c>
    </row>
    <row r="7" spans="1:256">
      <c r="A7" t="e">
        <f>IF(#REF!,"AAAAADP9fQA=",0)</f>
        <v>#REF!</v>
      </c>
      <c r="B7" t="e">
        <f>AND(#REF!,"AAAAADP9fQE=")</f>
        <v>#REF!</v>
      </c>
      <c r="C7" t="e">
        <f>AND(#REF!,"AAAAADP9fQI=")</f>
        <v>#REF!</v>
      </c>
      <c r="D7" t="e">
        <f>AND(#REF!,"AAAAADP9fQM=")</f>
        <v>#REF!</v>
      </c>
      <c r="E7" t="e">
        <f>AND(#REF!,"AAAAADP9fQQ=")</f>
        <v>#REF!</v>
      </c>
      <c r="F7" t="e">
        <f>AND(#REF!,"AAAAADP9fQU=")</f>
        <v>#REF!</v>
      </c>
      <c r="G7" t="e">
        <f>AND(#REF!,"AAAAADP9fQY=")</f>
        <v>#REF!</v>
      </c>
      <c r="H7" t="e">
        <f>AND(#REF!,"AAAAADP9fQc=")</f>
        <v>#REF!</v>
      </c>
      <c r="I7" t="e">
        <f>AND(#REF!,"AAAAADP9fQg=")</f>
        <v>#REF!</v>
      </c>
      <c r="J7" t="e">
        <f>AND(#REF!,"AAAAADP9fQk=")</f>
        <v>#REF!</v>
      </c>
      <c r="K7" t="e">
        <f>AND(#REF!,"AAAAADP9fQo=")</f>
        <v>#REF!</v>
      </c>
      <c r="L7" t="e">
        <f>AND(#REF!,"AAAAADP9fQs=")</f>
        <v>#REF!</v>
      </c>
      <c r="M7" t="e">
        <f>AND(#REF!,"AAAAADP9fQw=")</f>
        <v>#REF!</v>
      </c>
      <c r="N7" t="e">
        <f>AND(#REF!,"AAAAADP9fQ0=")</f>
        <v>#REF!</v>
      </c>
      <c r="O7" t="e">
        <f>AND(#REF!,"AAAAADP9fQ4=")</f>
        <v>#REF!</v>
      </c>
      <c r="P7" t="e">
        <f>AND(#REF!,"AAAAADP9fQ8=")</f>
        <v>#REF!</v>
      </c>
      <c r="Q7" t="e">
        <f>AND(#REF!,"AAAAADP9fRA=")</f>
        <v>#REF!</v>
      </c>
      <c r="R7" t="e">
        <f>AND(#REF!,"AAAAADP9fRE=")</f>
        <v>#REF!</v>
      </c>
      <c r="S7" t="e">
        <f>AND(#REF!,"AAAAADP9fRI=")</f>
        <v>#REF!</v>
      </c>
      <c r="T7" t="e">
        <f>AND(#REF!,"AAAAADP9fRM=")</f>
        <v>#REF!</v>
      </c>
      <c r="U7" t="e">
        <f>AND(#REF!,"AAAAADP9fRQ=")</f>
        <v>#REF!</v>
      </c>
      <c r="V7" t="e">
        <f>AND(#REF!,"AAAAADP9fRU=")</f>
        <v>#REF!</v>
      </c>
      <c r="W7" t="e">
        <f>AND(#REF!,"AAAAADP9fRY=")</f>
        <v>#REF!</v>
      </c>
      <c r="X7" t="e">
        <f>AND(#REF!,"AAAAADP9fRc=")</f>
        <v>#REF!</v>
      </c>
      <c r="Y7" t="e">
        <f>IF(#REF!,"AAAAADP9fRg=",0)</f>
        <v>#REF!</v>
      </c>
      <c r="Z7" t="e">
        <f>AND(#REF!,"AAAAADP9fRk=")</f>
        <v>#REF!</v>
      </c>
      <c r="AA7" t="e">
        <f>AND(#REF!,"AAAAADP9fRo=")</f>
        <v>#REF!</v>
      </c>
      <c r="AB7" t="e">
        <f>AND(#REF!,"AAAAADP9fRs=")</f>
        <v>#REF!</v>
      </c>
      <c r="AC7" t="e">
        <f>AND(#REF!,"AAAAADP9fRw=")</f>
        <v>#REF!</v>
      </c>
      <c r="AD7" t="e">
        <f>AND(#REF!,"AAAAADP9fR0=")</f>
        <v>#REF!</v>
      </c>
      <c r="AE7" t="e">
        <f>AND(#REF!,"AAAAADP9fR4=")</f>
        <v>#REF!</v>
      </c>
      <c r="AF7" t="e">
        <f>AND(#REF!,"AAAAADP9fR8=")</f>
        <v>#REF!</v>
      </c>
      <c r="AG7" t="e">
        <f>AND(#REF!,"AAAAADP9fSA=")</f>
        <v>#REF!</v>
      </c>
      <c r="AH7" t="e">
        <f>AND(#REF!,"AAAAADP9fSE=")</f>
        <v>#REF!</v>
      </c>
      <c r="AI7" t="e">
        <f>AND(#REF!,"AAAAADP9fSI=")</f>
        <v>#REF!</v>
      </c>
      <c r="AJ7" t="e">
        <f>AND(#REF!,"AAAAADP9fSM=")</f>
        <v>#REF!</v>
      </c>
      <c r="AK7" t="e">
        <f>AND(#REF!,"AAAAADP9fSQ=")</f>
        <v>#REF!</v>
      </c>
      <c r="AL7" t="e">
        <f>AND(#REF!,"AAAAADP9fSU=")</f>
        <v>#REF!</v>
      </c>
      <c r="AM7" t="e">
        <f>AND(#REF!,"AAAAADP9fSY=")</f>
        <v>#REF!</v>
      </c>
      <c r="AN7" t="e">
        <f>AND(#REF!,"AAAAADP9fSc=")</f>
        <v>#REF!</v>
      </c>
      <c r="AO7" t="e">
        <f>AND(#REF!,"AAAAADP9fSg=")</f>
        <v>#REF!</v>
      </c>
      <c r="AP7" t="e">
        <f>AND(#REF!,"AAAAADP9fSk=")</f>
        <v>#REF!</v>
      </c>
      <c r="AQ7" t="e">
        <f>AND(#REF!,"AAAAADP9fSo=")</f>
        <v>#REF!</v>
      </c>
      <c r="AR7" t="e">
        <f>AND(#REF!,"AAAAADP9fSs=")</f>
        <v>#REF!</v>
      </c>
      <c r="AS7" t="e">
        <f>AND(#REF!,"AAAAADP9fSw=")</f>
        <v>#REF!</v>
      </c>
      <c r="AT7" t="e">
        <f>AND(#REF!,"AAAAADP9fS0=")</f>
        <v>#REF!</v>
      </c>
      <c r="AU7" t="e">
        <f>AND(#REF!,"AAAAADP9fS4=")</f>
        <v>#REF!</v>
      </c>
      <c r="AV7" t="e">
        <f>AND(#REF!,"AAAAADP9fS8=")</f>
        <v>#REF!</v>
      </c>
      <c r="AW7" t="e">
        <f>IF(#REF!,"AAAAADP9fTA=",0)</f>
        <v>#REF!</v>
      </c>
      <c r="AX7" t="e">
        <f>AND(#REF!,"AAAAADP9fTE=")</f>
        <v>#REF!</v>
      </c>
      <c r="AY7" t="e">
        <f>AND(#REF!,"AAAAADP9fTI=")</f>
        <v>#REF!</v>
      </c>
      <c r="AZ7" t="e">
        <f>AND(#REF!,"AAAAADP9fTM=")</f>
        <v>#REF!</v>
      </c>
      <c r="BA7" t="e">
        <f>AND(#REF!,"AAAAADP9fTQ=")</f>
        <v>#REF!</v>
      </c>
      <c r="BB7" t="e">
        <f>AND(#REF!,"AAAAADP9fTU=")</f>
        <v>#REF!</v>
      </c>
      <c r="BC7" t="e">
        <f>AND(#REF!,"AAAAADP9fTY=")</f>
        <v>#REF!</v>
      </c>
      <c r="BD7" t="e">
        <f>AND(#REF!,"AAAAADP9fTc=")</f>
        <v>#REF!</v>
      </c>
      <c r="BE7" t="e">
        <f>AND(#REF!,"AAAAADP9fTg=")</f>
        <v>#REF!</v>
      </c>
      <c r="BF7" t="e">
        <f>AND(#REF!,"AAAAADP9fTk=")</f>
        <v>#REF!</v>
      </c>
      <c r="BG7" t="e">
        <f>AND(#REF!,"AAAAADP9fTo=")</f>
        <v>#REF!</v>
      </c>
      <c r="BH7" t="e">
        <f>AND(#REF!,"AAAAADP9fTs=")</f>
        <v>#REF!</v>
      </c>
      <c r="BI7" t="e">
        <f>AND(#REF!,"AAAAADP9fTw=")</f>
        <v>#REF!</v>
      </c>
      <c r="BJ7" t="e">
        <f>AND(#REF!,"AAAAADP9fT0=")</f>
        <v>#REF!</v>
      </c>
      <c r="BK7" t="e">
        <f>AND(#REF!,"AAAAADP9fT4=")</f>
        <v>#REF!</v>
      </c>
      <c r="BL7" t="e">
        <f>AND(#REF!,"AAAAADP9fT8=")</f>
        <v>#REF!</v>
      </c>
      <c r="BM7" t="e">
        <f>AND(#REF!,"AAAAADP9fUA=")</f>
        <v>#REF!</v>
      </c>
      <c r="BN7" t="e">
        <f>AND(#REF!,"AAAAADP9fUE=")</f>
        <v>#REF!</v>
      </c>
      <c r="BO7" t="e">
        <f>AND(#REF!,"AAAAADP9fUI=")</f>
        <v>#REF!</v>
      </c>
      <c r="BP7" t="e">
        <f>AND(#REF!,"AAAAADP9fUM=")</f>
        <v>#REF!</v>
      </c>
      <c r="BQ7" t="e">
        <f>AND(#REF!,"AAAAADP9fUQ=")</f>
        <v>#REF!</v>
      </c>
      <c r="BR7" t="e">
        <f>AND(#REF!,"AAAAADP9fUU=")</f>
        <v>#REF!</v>
      </c>
      <c r="BS7" t="e">
        <f>AND(#REF!,"AAAAADP9fUY=")</f>
        <v>#REF!</v>
      </c>
      <c r="BT7" t="e">
        <f>AND(#REF!,"AAAAADP9fUc=")</f>
        <v>#REF!</v>
      </c>
      <c r="BU7" t="e">
        <f>IF(#REF!,"AAAAADP9fUg=",0)</f>
        <v>#REF!</v>
      </c>
      <c r="BV7" t="e">
        <f>AND(#REF!,"AAAAADP9fUk=")</f>
        <v>#REF!</v>
      </c>
      <c r="BW7" t="e">
        <f>AND(#REF!,"AAAAADP9fUo=")</f>
        <v>#REF!</v>
      </c>
      <c r="BX7" t="e">
        <f>AND(#REF!,"AAAAADP9fUs=")</f>
        <v>#REF!</v>
      </c>
      <c r="BY7" t="e">
        <f>AND(#REF!,"AAAAADP9fUw=")</f>
        <v>#REF!</v>
      </c>
      <c r="BZ7" t="e">
        <f>AND(#REF!,"AAAAADP9fU0=")</f>
        <v>#REF!</v>
      </c>
      <c r="CA7" t="e">
        <f>AND(#REF!,"AAAAADP9fU4=")</f>
        <v>#REF!</v>
      </c>
      <c r="CB7" t="e">
        <f>AND(#REF!,"AAAAADP9fU8=")</f>
        <v>#REF!</v>
      </c>
      <c r="CC7" t="e">
        <f>AND(#REF!,"AAAAADP9fVA=")</f>
        <v>#REF!</v>
      </c>
      <c r="CD7" t="e">
        <f>AND(#REF!,"AAAAADP9fVE=")</f>
        <v>#REF!</v>
      </c>
      <c r="CE7" t="e">
        <f>AND(#REF!,"AAAAADP9fVI=")</f>
        <v>#REF!</v>
      </c>
      <c r="CF7" t="e">
        <f>AND(#REF!,"AAAAADP9fVM=")</f>
        <v>#REF!</v>
      </c>
      <c r="CG7" t="e">
        <f>AND(#REF!,"AAAAADP9fVQ=")</f>
        <v>#REF!</v>
      </c>
      <c r="CH7" t="e">
        <f>AND(#REF!,"AAAAADP9fVU=")</f>
        <v>#REF!</v>
      </c>
      <c r="CI7" t="e">
        <f>AND(#REF!,"AAAAADP9fVY=")</f>
        <v>#REF!</v>
      </c>
      <c r="CJ7" t="e">
        <f>AND(#REF!,"AAAAADP9fVc=")</f>
        <v>#REF!</v>
      </c>
      <c r="CK7" t="e">
        <f>AND(#REF!,"AAAAADP9fVg=")</f>
        <v>#REF!</v>
      </c>
      <c r="CL7" t="e">
        <f>AND(#REF!,"AAAAADP9fVk=")</f>
        <v>#REF!</v>
      </c>
      <c r="CM7" t="e">
        <f>AND(#REF!,"AAAAADP9fVo=")</f>
        <v>#REF!</v>
      </c>
      <c r="CN7" t="e">
        <f>AND(#REF!,"AAAAADP9fVs=")</f>
        <v>#REF!</v>
      </c>
      <c r="CO7" t="e">
        <f>AND(#REF!,"AAAAADP9fVw=")</f>
        <v>#REF!</v>
      </c>
      <c r="CP7" t="e">
        <f>AND(#REF!,"AAAAADP9fV0=")</f>
        <v>#REF!</v>
      </c>
      <c r="CQ7" t="e">
        <f>AND(#REF!,"AAAAADP9fV4=")</f>
        <v>#REF!</v>
      </c>
      <c r="CR7" t="e">
        <f>AND(#REF!,"AAAAADP9fV8=")</f>
        <v>#REF!</v>
      </c>
      <c r="CS7" t="e">
        <f>IF(#REF!,"AAAAADP9fWA=",0)</f>
        <v>#REF!</v>
      </c>
      <c r="CT7" t="e">
        <f>AND(#REF!,"AAAAADP9fWE=")</f>
        <v>#REF!</v>
      </c>
      <c r="CU7" t="e">
        <f>AND(#REF!,"AAAAADP9fWI=")</f>
        <v>#REF!</v>
      </c>
      <c r="CV7" t="e">
        <f>AND(#REF!,"AAAAADP9fWM=")</f>
        <v>#REF!</v>
      </c>
      <c r="CW7" t="e">
        <f>AND(#REF!,"AAAAADP9fWQ=")</f>
        <v>#REF!</v>
      </c>
      <c r="CX7" t="e">
        <f>AND(#REF!,"AAAAADP9fWU=")</f>
        <v>#REF!</v>
      </c>
      <c r="CY7" t="e">
        <f>AND(#REF!,"AAAAADP9fWY=")</f>
        <v>#REF!</v>
      </c>
      <c r="CZ7" t="e">
        <f>AND(#REF!,"AAAAADP9fWc=")</f>
        <v>#REF!</v>
      </c>
      <c r="DA7" t="e">
        <f>AND(#REF!,"AAAAADP9fWg=")</f>
        <v>#REF!</v>
      </c>
      <c r="DB7" t="e">
        <f>AND(#REF!,"AAAAADP9fWk=")</f>
        <v>#REF!</v>
      </c>
      <c r="DC7" t="e">
        <f>AND(#REF!,"AAAAADP9fWo=")</f>
        <v>#REF!</v>
      </c>
      <c r="DD7" t="e">
        <f>AND(#REF!,"AAAAADP9fWs=")</f>
        <v>#REF!</v>
      </c>
      <c r="DE7" t="e">
        <f>AND(#REF!,"AAAAADP9fWw=")</f>
        <v>#REF!</v>
      </c>
      <c r="DF7" t="e">
        <f>AND(#REF!,"AAAAADP9fW0=")</f>
        <v>#REF!</v>
      </c>
      <c r="DG7" t="e">
        <f>AND(#REF!,"AAAAADP9fW4=")</f>
        <v>#REF!</v>
      </c>
      <c r="DH7" t="e">
        <f>AND(#REF!,"AAAAADP9fW8=")</f>
        <v>#REF!</v>
      </c>
      <c r="DI7" t="e">
        <f>AND(#REF!,"AAAAADP9fXA=")</f>
        <v>#REF!</v>
      </c>
      <c r="DJ7" t="e">
        <f>AND(#REF!,"AAAAADP9fXE=")</f>
        <v>#REF!</v>
      </c>
      <c r="DK7" t="e">
        <f>AND(#REF!,"AAAAADP9fXI=")</f>
        <v>#REF!</v>
      </c>
      <c r="DL7" t="e">
        <f>AND(#REF!,"AAAAADP9fXM=")</f>
        <v>#REF!</v>
      </c>
      <c r="DM7" t="e">
        <f>AND(#REF!,"AAAAADP9fXQ=")</f>
        <v>#REF!</v>
      </c>
      <c r="DN7" t="e">
        <f>AND(#REF!,"AAAAADP9fXU=")</f>
        <v>#REF!</v>
      </c>
      <c r="DO7" t="e">
        <f>AND(#REF!,"AAAAADP9fXY=")</f>
        <v>#REF!</v>
      </c>
      <c r="DP7" t="e">
        <f>AND(#REF!,"AAAAADP9fXc=")</f>
        <v>#REF!</v>
      </c>
      <c r="DQ7" t="e">
        <f>IF(#REF!,"AAAAADP9fXg=",0)</f>
        <v>#REF!</v>
      </c>
      <c r="DR7" t="e">
        <f>AND(#REF!,"AAAAADP9fXk=")</f>
        <v>#REF!</v>
      </c>
      <c r="DS7" t="e">
        <f>AND(#REF!,"AAAAADP9fXo=")</f>
        <v>#REF!</v>
      </c>
      <c r="DT7" t="e">
        <f>AND(#REF!,"AAAAADP9fXs=")</f>
        <v>#REF!</v>
      </c>
      <c r="DU7" t="e">
        <f>AND(#REF!,"AAAAADP9fXw=")</f>
        <v>#REF!</v>
      </c>
      <c r="DV7" t="e">
        <f>AND(#REF!,"AAAAADP9fX0=")</f>
        <v>#REF!</v>
      </c>
      <c r="DW7" t="e">
        <f>AND(#REF!,"AAAAADP9fX4=")</f>
        <v>#REF!</v>
      </c>
      <c r="DX7" t="e">
        <f>AND(#REF!,"AAAAADP9fX8=")</f>
        <v>#REF!</v>
      </c>
      <c r="DY7" t="e">
        <f>AND(#REF!,"AAAAADP9fYA=")</f>
        <v>#REF!</v>
      </c>
      <c r="DZ7" t="e">
        <f>AND(#REF!,"AAAAADP9fYE=")</f>
        <v>#REF!</v>
      </c>
      <c r="EA7" t="e">
        <f>AND(#REF!,"AAAAADP9fYI=")</f>
        <v>#REF!</v>
      </c>
      <c r="EB7" t="e">
        <f>AND(#REF!,"AAAAADP9fYM=")</f>
        <v>#REF!</v>
      </c>
      <c r="EC7" t="e">
        <f>AND(#REF!,"AAAAADP9fYQ=")</f>
        <v>#REF!</v>
      </c>
      <c r="ED7" t="e">
        <f>AND(#REF!,"AAAAADP9fYU=")</f>
        <v>#REF!</v>
      </c>
      <c r="EE7" t="e">
        <f>AND(#REF!,"AAAAADP9fYY=")</f>
        <v>#REF!</v>
      </c>
      <c r="EF7" t="e">
        <f>AND(#REF!,"AAAAADP9fYc=")</f>
        <v>#REF!</v>
      </c>
      <c r="EG7" t="e">
        <f>AND(#REF!,"AAAAADP9fYg=")</f>
        <v>#REF!</v>
      </c>
      <c r="EH7" t="e">
        <f>AND(#REF!,"AAAAADP9fYk=")</f>
        <v>#REF!</v>
      </c>
      <c r="EI7" t="e">
        <f>AND(#REF!,"AAAAADP9fYo=")</f>
        <v>#REF!</v>
      </c>
      <c r="EJ7" t="e">
        <f>AND(#REF!,"AAAAADP9fYs=")</f>
        <v>#REF!</v>
      </c>
      <c r="EK7" t="e">
        <f>AND(#REF!,"AAAAADP9fYw=")</f>
        <v>#REF!</v>
      </c>
      <c r="EL7" t="e">
        <f>AND(#REF!,"AAAAADP9fY0=")</f>
        <v>#REF!</v>
      </c>
      <c r="EM7" t="e">
        <f>AND(#REF!,"AAAAADP9fY4=")</f>
        <v>#REF!</v>
      </c>
      <c r="EN7" t="e">
        <f>AND(#REF!,"AAAAADP9fY8=")</f>
        <v>#REF!</v>
      </c>
      <c r="EO7" t="e">
        <f>IF(#REF!,"AAAAADP9fZA=",0)</f>
        <v>#REF!</v>
      </c>
      <c r="EP7" t="e">
        <f>AND(#REF!,"AAAAADP9fZE=")</f>
        <v>#REF!</v>
      </c>
      <c r="EQ7" t="e">
        <f>AND(#REF!,"AAAAADP9fZI=")</f>
        <v>#REF!</v>
      </c>
      <c r="ER7" t="e">
        <f>AND(#REF!,"AAAAADP9fZM=")</f>
        <v>#REF!</v>
      </c>
      <c r="ES7" t="e">
        <f>AND(#REF!,"AAAAADP9fZQ=")</f>
        <v>#REF!</v>
      </c>
      <c r="ET7" t="e">
        <f>AND(#REF!,"AAAAADP9fZU=")</f>
        <v>#REF!</v>
      </c>
      <c r="EU7" t="e">
        <f>AND(#REF!,"AAAAADP9fZY=")</f>
        <v>#REF!</v>
      </c>
      <c r="EV7" t="e">
        <f>AND(#REF!,"AAAAADP9fZc=")</f>
        <v>#REF!</v>
      </c>
      <c r="EW7" t="e">
        <f>AND(#REF!,"AAAAADP9fZg=")</f>
        <v>#REF!</v>
      </c>
      <c r="EX7" t="e">
        <f>AND(#REF!,"AAAAADP9fZk=")</f>
        <v>#REF!</v>
      </c>
      <c r="EY7" t="e">
        <f>AND(#REF!,"AAAAADP9fZo=")</f>
        <v>#REF!</v>
      </c>
      <c r="EZ7" t="e">
        <f>AND(#REF!,"AAAAADP9fZs=")</f>
        <v>#REF!</v>
      </c>
      <c r="FA7" t="e">
        <f>AND(#REF!,"AAAAADP9fZw=")</f>
        <v>#REF!</v>
      </c>
      <c r="FB7" t="e">
        <f>AND(#REF!,"AAAAADP9fZ0=")</f>
        <v>#REF!</v>
      </c>
      <c r="FC7" t="e">
        <f>AND(#REF!,"AAAAADP9fZ4=")</f>
        <v>#REF!</v>
      </c>
      <c r="FD7" t="e">
        <f>AND(#REF!,"AAAAADP9fZ8=")</f>
        <v>#REF!</v>
      </c>
      <c r="FE7" t="e">
        <f>AND(#REF!,"AAAAADP9faA=")</f>
        <v>#REF!</v>
      </c>
      <c r="FF7" t="e">
        <f>AND(#REF!,"AAAAADP9faE=")</f>
        <v>#REF!</v>
      </c>
      <c r="FG7" t="e">
        <f>AND(#REF!,"AAAAADP9faI=")</f>
        <v>#REF!</v>
      </c>
      <c r="FH7" t="e">
        <f>AND(#REF!,"AAAAADP9faM=")</f>
        <v>#REF!</v>
      </c>
      <c r="FI7" t="e">
        <f>AND(#REF!,"AAAAADP9faQ=")</f>
        <v>#REF!</v>
      </c>
      <c r="FJ7" t="e">
        <f>AND(#REF!,"AAAAADP9faU=")</f>
        <v>#REF!</v>
      </c>
      <c r="FK7" t="e">
        <f>AND(#REF!,"AAAAADP9faY=")</f>
        <v>#REF!</v>
      </c>
      <c r="FL7" t="e">
        <f>AND(#REF!,"AAAAADP9fac=")</f>
        <v>#REF!</v>
      </c>
      <c r="FM7" t="e">
        <f>IF(#REF!,"AAAAADP9fag=",0)</f>
        <v>#REF!</v>
      </c>
      <c r="FN7" t="e">
        <f>AND(#REF!,"AAAAADP9fak=")</f>
        <v>#REF!</v>
      </c>
      <c r="FO7" t="e">
        <f>AND(#REF!,"AAAAADP9fao=")</f>
        <v>#REF!</v>
      </c>
      <c r="FP7" t="e">
        <f>AND(#REF!,"AAAAADP9fas=")</f>
        <v>#REF!</v>
      </c>
      <c r="FQ7" t="e">
        <f>AND(#REF!,"AAAAADP9faw=")</f>
        <v>#REF!</v>
      </c>
      <c r="FR7" t="e">
        <f>AND(#REF!,"AAAAADP9fa0=")</f>
        <v>#REF!</v>
      </c>
      <c r="FS7" t="e">
        <f>AND(#REF!,"AAAAADP9fa4=")</f>
        <v>#REF!</v>
      </c>
      <c r="FT7" t="e">
        <f>AND(#REF!,"AAAAADP9fa8=")</f>
        <v>#REF!</v>
      </c>
      <c r="FU7" t="e">
        <f>AND(#REF!,"AAAAADP9fbA=")</f>
        <v>#REF!</v>
      </c>
      <c r="FV7" t="e">
        <f>AND(#REF!,"AAAAADP9fbE=")</f>
        <v>#REF!</v>
      </c>
      <c r="FW7" t="e">
        <f>AND(#REF!,"AAAAADP9fbI=")</f>
        <v>#REF!</v>
      </c>
      <c r="FX7" t="e">
        <f>AND(#REF!,"AAAAADP9fbM=")</f>
        <v>#REF!</v>
      </c>
      <c r="FY7" t="e">
        <f>AND(#REF!,"AAAAADP9fbQ=")</f>
        <v>#REF!</v>
      </c>
      <c r="FZ7" t="e">
        <f>AND(#REF!,"AAAAADP9fbU=")</f>
        <v>#REF!</v>
      </c>
      <c r="GA7" t="e">
        <f>AND(#REF!,"AAAAADP9fbY=")</f>
        <v>#REF!</v>
      </c>
      <c r="GB7" t="e">
        <f>AND(#REF!,"AAAAADP9fbc=")</f>
        <v>#REF!</v>
      </c>
      <c r="GC7" t="e">
        <f>AND(#REF!,"AAAAADP9fbg=")</f>
        <v>#REF!</v>
      </c>
      <c r="GD7" t="e">
        <f>AND(#REF!,"AAAAADP9fbk=")</f>
        <v>#REF!</v>
      </c>
      <c r="GE7" t="e">
        <f>AND(#REF!,"AAAAADP9fbo=")</f>
        <v>#REF!</v>
      </c>
      <c r="GF7" t="e">
        <f>AND(#REF!,"AAAAADP9fbs=")</f>
        <v>#REF!</v>
      </c>
      <c r="GG7" t="e">
        <f>AND(#REF!,"AAAAADP9fbw=")</f>
        <v>#REF!</v>
      </c>
      <c r="GH7" t="e">
        <f>AND(#REF!,"AAAAADP9fb0=")</f>
        <v>#REF!</v>
      </c>
      <c r="GI7" t="e">
        <f>AND(#REF!,"AAAAADP9fb4=")</f>
        <v>#REF!</v>
      </c>
      <c r="GJ7" t="e">
        <f>AND(#REF!,"AAAAADP9fb8=")</f>
        <v>#REF!</v>
      </c>
      <c r="GK7" t="e">
        <f>IF(#REF!,"AAAAADP9fcA=",0)</f>
        <v>#REF!</v>
      </c>
      <c r="GL7" t="e">
        <f>AND(#REF!,"AAAAADP9fcE=")</f>
        <v>#REF!</v>
      </c>
      <c r="GM7" t="e">
        <f>AND(#REF!,"AAAAADP9fcI=")</f>
        <v>#REF!</v>
      </c>
      <c r="GN7" t="e">
        <f>AND(#REF!,"AAAAADP9fcM=")</f>
        <v>#REF!</v>
      </c>
      <c r="GO7" t="e">
        <f>AND(#REF!,"AAAAADP9fcQ=")</f>
        <v>#REF!</v>
      </c>
      <c r="GP7" t="e">
        <f>AND(#REF!,"AAAAADP9fcU=")</f>
        <v>#REF!</v>
      </c>
      <c r="GQ7" t="e">
        <f>AND(#REF!,"AAAAADP9fcY=")</f>
        <v>#REF!</v>
      </c>
      <c r="GR7" t="e">
        <f>AND(#REF!,"AAAAADP9fcc=")</f>
        <v>#REF!</v>
      </c>
      <c r="GS7" t="e">
        <f>AND(#REF!,"AAAAADP9fcg=")</f>
        <v>#REF!</v>
      </c>
      <c r="GT7" t="e">
        <f>AND(#REF!,"AAAAADP9fck=")</f>
        <v>#REF!</v>
      </c>
      <c r="GU7" t="e">
        <f>AND(#REF!,"AAAAADP9fco=")</f>
        <v>#REF!</v>
      </c>
      <c r="GV7" t="e">
        <f>AND(#REF!,"AAAAADP9fcs=")</f>
        <v>#REF!</v>
      </c>
      <c r="GW7" t="e">
        <f>AND(#REF!,"AAAAADP9fcw=")</f>
        <v>#REF!</v>
      </c>
      <c r="GX7" t="e">
        <f>AND(#REF!,"AAAAADP9fc0=")</f>
        <v>#REF!</v>
      </c>
      <c r="GY7" t="e">
        <f>AND(#REF!,"AAAAADP9fc4=")</f>
        <v>#REF!</v>
      </c>
      <c r="GZ7" t="e">
        <f>AND(#REF!,"AAAAADP9fc8=")</f>
        <v>#REF!</v>
      </c>
      <c r="HA7" t="e">
        <f>AND(#REF!,"AAAAADP9fdA=")</f>
        <v>#REF!</v>
      </c>
      <c r="HB7" t="e">
        <f>AND(#REF!,"AAAAADP9fdE=")</f>
        <v>#REF!</v>
      </c>
      <c r="HC7" t="e">
        <f>AND(#REF!,"AAAAADP9fdI=")</f>
        <v>#REF!</v>
      </c>
      <c r="HD7" t="e">
        <f>AND(#REF!,"AAAAADP9fdM=")</f>
        <v>#REF!</v>
      </c>
      <c r="HE7" t="e">
        <f>AND(#REF!,"AAAAADP9fdQ=")</f>
        <v>#REF!</v>
      </c>
      <c r="HF7" t="e">
        <f>AND(#REF!,"AAAAADP9fdU=")</f>
        <v>#REF!</v>
      </c>
      <c r="HG7" t="e">
        <f>AND(#REF!,"AAAAADP9fdY=")</f>
        <v>#REF!</v>
      </c>
      <c r="HH7" t="e">
        <f>AND(#REF!,"AAAAADP9fdc=")</f>
        <v>#REF!</v>
      </c>
      <c r="HI7" t="e">
        <f>IF(#REF!,"AAAAADP9fdg=",0)</f>
        <v>#REF!</v>
      </c>
      <c r="HJ7" t="e">
        <f>AND(#REF!,"AAAAADP9fdk=")</f>
        <v>#REF!</v>
      </c>
      <c r="HK7" t="e">
        <f>AND(#REF!,"AAAAADP9fdo=")</f>
        <v>#REF!</v>
      </c>
      <c r="HL7" t="e">
        <f>AND(#REF!,"AAAAADP9fds=")</f>
        <v>#REF!</v>
      </c>
      <c r="HM7" t="e">
        <f>AND(#REF!,"AAAAADP9fdw=")</f>
        <v>#REF!</v>
      </c>
      <c r="HN7" t="e">
        <f>AND(#REF!,"AAAAADP9fd0=")</f>
        <v>#REF!</v>
      </c>
      <c r="HO7" t="e">
        <f>AND(#REF!,"AAAAADP9fd4=")</f>
        <v>#REF!</v>
      </c>
      <c r="HP7" t="e">
        <f>AND(#REF!,"AAAAADP9fd8=")</f>
        <v>#REF!</v>
      </c>
      <c r="HQ7" t="e">
        <f>AND(#REF!,"AAAAADP9feA=")</f>
        <v>#REF!</v>
      </c>
      <c r="HR7" t="e">
        <f>AND(#REF!,"AAAAADP9feE=")</f>
        <v>#REF!</v>
      </c>
      <c r="HS7" t="e">
        <f>AND(#REF!,"AAAAADP9feI=")</f>
        <v>#REF!</v>
      </c>
      <c r="HT7" t="e">
        <f>AND(#REF!,"AAAAADP9feM=")</f>
        <v>#REF!</v>
      </c>
      <c r="HU7" t="e">
        <f>AND(#REF!,"AAAAADP9feQ=")</f>
        <v>#REF!</v>
      </c>
      <c r="HV7" t="e">
        <f>AND(#REF!,"AAAAADP9feU=")</f>
        <v>#REF!</v>
      </c>
      <c r="HW7" t="e">
        <f>AND(#REF!,"AAAAADP9feY=")</f>
        <v>#REF!</v>
      </c>
      <c r="HX7" t="e">
        <f>AND(#REF!,"AAAAADP9fec=")</f>
        <v>#REF!</v>
      </c>
      <c r="HY7" t="e">
        <f>AND(#REF!,"AAAAADP9feg=")</f>
        <v>#REF!</v>
      </c>
      <c r="HZ7" t="e">
        <f>AND(#REF!,"AAAAADP9fek=")</f>
        <v>#REF!</v>
      </c>
      <c r="IA7" t="e">
        <f>AND(#REF!,"AAAAADP9feo=")</f>
        <v>#REF!</v>
      </c>
      <c r="IB7" t="e">
        <f>AND(#REF!,"AAAAADP9fes=")</f>
        <v>#REF!</v>
      </c>
      <c r="IC7" t="e">
        <f>AND(#REF!,"AAAAADP9few=")</f>
        <v>#REF!</v>
      </c>
      <c r="ID7" t="e">
        <f>AND(#REF!,"AAAAADP9fe0=")</f>
        <v>#REF!</v>
      </c>
      <c r="IE7" t="e">
        <f>AND(#REF!,"AAAAADP9fe4=")</f>
        <v>#REF!</v>
      </c>
      <c r="IF7" t="e">
        <f>AND(#REF!,"AAAAADP9fe8=")</f>
        <v>#REF!</v>
      </c>
      <c r="IG7" t="e">
        <f>IF(#REF!,"AAAAADP9ffA=",0)</f>
        <v>#REF!</v>
      </c>
      <c r="IH7" t="e">
        <f>AND(#REF!,"AAAAADP9ffE=")</f>
        <v>#REF!</v>
      </c>
      <c r="II7" t="e">
        <f>AND(#REF!,"AAAAADP9ffI=")</f>
        <v>#REF!</v>
      </c>
      <c r="IJ7" t="e">
        <f>AND(#REF!,"AAAAADP9ffM=")</f>
        <v>#REF!</v>
      </c>
      <c r="IK7" t="e">
        <f>AND(#REF!,"AAAAADP9ffQ=")</f>
        <v>#REF!</v>
      </c>
      <c r="IL7" t="e">
        <f>AND(#REF!,"AAAAADP9ffU=")</f>
        <v>#REF!</v>
      </c>
      <c r="IM7" t="e">
        <f>AND(#REF!,"AAAAADP9ffY=")</f>
        <v>#REF!</v>
      </c>
      <c r="IN7" t="e">
        <f>AND(#REF!,"AAAAADP9ffc=")</f>
        <v>#REF!</v>
      </c>
      <c r="IO7" t="e">
        <f>AND(#REF!,"AAAAADP9ffg=")</f>
        <v>#REF!</v>
      </c>
      <c r="IP7" t="e">
        <f>AND(#REF!,"AAAAADP9ffk=")</f>
        <v>#REF!</v>
      </c>
      <c r="IQ7" t="e">
        <f>AND(#REF!,"AAAAADP9ffo=")</f>
        <v>#REF!</v>
      </c>
      <c r="IR7" t="e">
        <f>AND(#REF!,"AAAAADP9ffs=")</f>
        <v>#REF!</v>
      </c>
      <c r="IS7" t="e">
        <f>AND(#REF!,"AAAAADP9ffw=")</f>
        <v>#REF!</v>
      </c>
      <c r="IT7" t="e">
        <f>AND(#REF!,"AAAAADP9ff0=")</f>
        <v>#REF!</v>
      </c>
      <c r="IU7" t="e">
        <f>AND(#REF!,"AAAAADP9ff4=")</f>
        <v>#REF!</v>
      </c>
      <c r="IV7" t="e">
        <f>AND(#REF!,"AAAAADP9ff8=")</f>
        <v>#REF!</v>
      </c>
    </row>
    <row r="8" spans="1:256">
      <c r="A8" t="e">
        <f>AND(#REF!,"AAAAAH83PgA=")</f>
        <v>#REF!</v>
      </c>
      <c r="B8" t="e">
        <f>AND(#REF!,"AAAAAH83PgE=")</f>
        <v>#REF!</v>
      </c>
      <c r="C8" t="e">
        <f>AND(#REF!,"AAAAAH83PgI=")</f>
        <v>#REF!</v>
      </c>
      <c r="D8" t="e">
        <f>AND(#REF!,"AAAAAH83PgM=")</f>
        <v>#REF!</v>
      </c>
      <c r="E8" t="e">
        <f>AND(#REF!,"AAAAAH83PgQ=")</f>
        <v>#REF!</v>
      </c>
      <c r="F8" t="e">
        <f>AND(#REF!,"AAAAAH83PgU=")</f>
        <v>#REF!</v>
      </c>
      <c r="G8" t="e">
        <f>AND(#REF!,"AAAAAH83PgY=")</f>
        <v>#REF!</v>
      </c>
      <c r="H8" t="e">
        <f>AND(#REF!,"AAAAAH83Pgc=")</f>
        <v>#REF!</v>
      </c>
      <c r="I8" t="e">
        <f>IF(#REF!,"AAAAAH83Pgg=",0)</f>
        <v>#REF!</v>
      </c>
      <c r="J8" t="e">
        <f>AND(#REF!,"AAAAAH83Pgk=")</f>
        <v>#REF!</v>
      </c>
      <c r="K8" t="e">
        <f>AND(#REF!,"AAAAAH83Pgo=")</f>
        <v>#REF!</v>
      </c>
      <c r="L8" t="e">
        <f>AND(#REF!,"AAAAAH83Pgs=")</f>
        <v>#REF!</v>
      </c>
      <c r="M8" t="e">
        <f>AND(#REF!,"AAAAAH83Pgw=")</f>
        <v>#REF!</v>
      </c>
      <c r="N8" t="e">
        <f>AND(#REF!,"AAAAAH83Pg0=")</f>
        <v>#REF!</v>
      </c>
      <c r="O8" t="e">
        <f>AND(#REF!,"AAAAAH83Pg4=")</f>
        <v>#REF!</v>
      </c>
      <c r="P8" t="e">
        <f>AND(#REF!,"AAAAAH83Pg8=")</f>
        <v>#REF!</v>
      </c>
      <c r="Q8" t="e">
        <f>AND(#REF!,"AAAAAH83PhA=")</f>
        <v>#REF!</v>
      </c>
      <c r="R8" t="e">
        <f>AND(#REF!,"AAAAAH83PhE=")</f>
        <v>#REF!</v>
      </c>
      <c r="S8" t="e">
        <f>AND(#REF!,"AAAAAH83PhI=")</f>
        <v>#REF!</v>
      </c>
      <c r="T8" t="e">
        <f>AND(#REF!,"AAAAAH83PhM=")</f>
        <v>#REF!</v>
      </c>
      <c r="U8" t="e">
        <f>AND(#REF!,"AAAAAH83PhQ=")</f>
        <v>#REF!</v>
      </c>
      <c r="V8" t="e">
        <f>AND(#REF!,"AAAAAH83PhU=")</f>
        <v>#REF!</v>
      </c>
      <c r="W8" t="e">
        <f>AND(#REF!,"AAAAAH83PhY=")</f>
        <v>#REF!</v>
      </c>
      <c r="X8" t="e">
        <f>AND(#REF!,"AAAAAH83Phc=")</f>
        <v>#REF!</v>
      </c>
      <c r="Y8" t="e">
        <f>AND(#REF!,"AAAAAH83Phg=")</f>
        <v>#REF!</v>
      </c>
      <c r="Z8" t="e">
        <f>AND(#REF!,"AAAAAH83Phk=")</f>
        <v>#REF!</v>
      </c>
      <c r="AA8" t="e">
        <f>AND(#REF!,"AAAAAH83Pho=")</f>
        <v>#REF!</v>
      </c>
      <c r="AB8" t="e">
        <f>AND(#REF!,"AAAAAH83Phs=")</f>
        <v>#REF!</v>
      </c>
      <c r="AC8" t="e">
        <f>AND(#REF!,"AAAAAH83Phw=")</f>
        <v>#REF!</v>
      </c>
      <c r="AD8" t="e">
        <f>AND(#REF!,"AAAAAH83Ph0=")</f>
        <v>#REF!</v>
      </c>
      <c r="AE8" t="e">
        <f>AND(#REF!,"AAAAAH83Ph4=")</f>
        <v>#REF!</v>
      </c>
      <c r="AF8" t="e">
        <f>AND(#REF!,"AAAAAH83Ph8=")</f>
        <v>#REF!</v>
      </c>
      <c r="AG8" t="e">
        <f>IF(#REF!,"AAAAAH83PiA=",0)</f>
        <v>#REF!</v>
      </c>
      <c r="AH8" t="e">
        <f>AND(#REF!,"AAAAAH83PiE=")</f>
        <v>#REF!</v>
      </c>
      <c r="AI8" t="e">
        <f>AND(#REF!,"AAAAAH83PiI=")</f>
        <v>#REF!</v>
      </c>
      <c r="AJ8" t="e">
        <f>AND(#REF!,"AAAAAH83PiM=")</f>
        <v>#REF!</v>
      </c>
      <c r="AK8" t="e">
        <f>AND(#REF!,"AAAAAH83PiQ=")</f>
        <v>#REF!</v>
      </c>
      <c r="AL8" t="e">
        <f>AND(#REF!,"AAAAAH83PiU=")</f>
        <v>#REF!</v>
      </c>
      <c r="AM8" t="e">
        <f>AND(#REF!,"AAAAAH83PiY=")</f>
        <v>#REF!</v>
      </c>
      <c r="AN8" t="e">
        <f>AND(#REF!,"AAAAAH83Pic=")</f>
        <v>#REF!</v>
      </c>
      <c r="AO8" t="e">
        <f>AND(#REF!,"AAAAAH83Pig=")</f>
        <v>#REF!</v>
      </c>
      <c r="AP8" t="e">
        <f>AND(#REF!,"AAAAAH83Pik=")</f>
        <v>#REF!</v>
      </c>
      <c r="AQ8" t="e">
        <f>AND(#REF!,"AAAAAH83Pio=")</f>
        <v>#REF!</v>
      </c>
      <c r="AR8" t="e">
        <f>AND(#REF!,"AAAAAH83Pis=")</f>
        <v>#REF!</v>
      </c>
      <c r="AS8" t="e">
        <f>AND(#REF!,"AAAAAH83Piw=")</f>
        <v>#REF!</v>
      </c>
      <c r="AT8" t="e">
        <f>AND(#REF!,"AAAAAH83Pi0=")</f>
        <v>#REF!</v>
      </c>
      <c r="AU8" t="e">
        <f>AND(#REF!,"AAAAAH83Pi4=")</f>
        <v>#REF!</v>
      </c>
      <c r="AV8" t="e">
        <f>AND(#REF!,"AAAAAH83Pi8=")</f>
        <v>#REF!</v>
      </c>
      <c r="AW8" t="e">
        <f>AND(#REF!,"AAAAAH83PjA=")</f>
        <v>#REF!</v>
      </c>
      <c r="AX8" t="e">
        <f>AND(#REF!,"AAAAAH83PjE=")</f>
        <v>#REF!</v>
      </c>
      <c r="AY8" t="e">
        <f>AND(#REF!,"AAAAAH83PjI=")</f>
        <v>#REF!</v>
      </c>
      <c r="AZ8" t="e">
        <f>AND(#REF!,"AAAAAH83PjM=")</f>
        <v>#REF!</v>
      </c>
      <c r="BA8" t="e">
        <f>AND(#REF!,"AAAAAH83PjQ=")</f>
        <v>#REF!</v>
      </c>
      <c r="BB8" t="e">
        <f>AND(#REF!,"AAAAAH83PjU=")</f>
        <v>#REF!</v>
      </c>
      <c r="BC8" t="e">
        <f>AND(#REF!,"AAAAAH83PjY=")</f>
        <v>#REF!</v>
      </c>
      <c r="BD8" t="e">
        <f>AND(#REF!,"AAAAAH83Pjc=")</f>
        <v>#REF!</v>
      </c>
      <c r="BE8" t="e">
        <f>IF(#REF!,"AAAAAH83Pjg=",0)</f>
        <v>#REF!</v>
      </c>
      <c r="BF8" t="e">
        <f>AND(#REF!,"AAAAAH83Pjk=")</f>
        <v>#REF!</v>
      </c>
      <c r="BG8" t="e">
        <f>AND(#REF!,"AAAAAH83Pjo=")</f>
        <v>#REF!</v>
      </c>
      <c r="BH8" t="e">
        <f>AND(#REF!,"AAAAAH83Pjs=")</f>
        <v>#REF!</v>
      </c>
      <c r="BI8" t="e">
        <f>AND(#REF!,"AAAAAH83Pjw=")</f>
        <v>#REF!</v>
      </c>
      <c r="BJ8" t="e">
        <f>AND(#REF!,"AAAAAH83Pj0=")</f>
        <v>#REF!</v>
      </c>
      <c r="BK8" t="e">
        <f>AND(#REF!,"AAAAAH83Pj4=")</f>
        <v>#REF!</v>
      </c>
      <c r="BL8" t="e">
        <f>AND(#REF!,"AAAAAH83Pj8=")</f>
        <v>#REF!</v>
      </c>
      <c r="BM8" t="e">
        <f>AND(#REF!,"AAAAAH83PkA=")</f>
        <v>#REF!</v>
      </c>
      <c r="BN8" t="e">
        <f>AND(#REF!,"AAAAAH83PkE=")</f>
        <v>#REF!</v>
      </c>
      <c r="BO8" t="e">
        <f>AND(#REF!,"AAAAAH83PkI=")</f>
        <v>#REF!</v>
      </c>
      <c r="BP8" t="e">
        <f>AND(#REF!,"AAAAAH83PkM=")</f>
        <v>#REF!</v>
      </c>
      <c r="BQ8" t="e">
        <f>AND(#REF!,"AAAAAH83PkQ=")</f>
        <v>#REF!</v>
      </c>
      <c r="BR8" t="e">
        <f>AND(#REF!,"AAAAAH83PkU=")</f>
        <v>#REF!</v>
      </c>
      <c r="BS8" t="e">
        <f>AND(#REF!,"AAAAAH83PkY=")</f>
        <v>#REF!</v>
      </c>
      <c r="BT8" t="e">
        <f>AND(#REF!,"AAAAAH83Pkc=")</f>
        <v>#REF!</v>
      </c>
      <c r="BU8" t="e">
        <f>AND(#REF!,"AAAAAH83Pkg=")</f>
        <v>#REF!</v>
      </c>
      <c r="BV8" t="e">
        <f>AND(#REF!,"AAAAAH83Pkk=")</f>
        <v>#REF!</v>
      </c>
      <c r="BW8" t="e">
        <f>AND(#REF!,"AAAAAH83Pko=")</f>
        <v>#REF!</v>
      </c>
      <c r="BX8" t="e">
        <f>AND(#REF!,"AAAAAH83Pks=")</f>
        <v>#REF!</v>
      </c>
      <c r="BY8" t="e">
        <f>AND(#REF!,"AAAAAH83Pkw=")</f>
        <v>#REF!</v>
      </c>
      <c r="BZ8" t="e">
        <f>AND(#REF!,"AAAAAH83Pk0=")</f>
        <v>#REF!</v>
      </c>
      <c r="CA8" t="e">
        <f>AND(#REF!,"AAAAAH83Pk4=")</f>
        <v>#REF!</v>
      </c>
      <c r="CB8" t="e">
        <f>AND(#REF!,"AAAAAH83Pk8=")</f>
        <v>#REF!</v>
      </c>
      <c r="CC8" t="e">
        <f>IF(#REF!,"AAAAAH83PlA=",0)</f>
        <v>#REF!</v>
      </c>
      <c r="CD8" t="e">
        <f>AND(#REF!,"AAAAAH83PlE=")</f>
        <v>#REF!</v>
      </c>
      <c r="CE8" t="e">
        <f>AND(#REF!,"AAAAAH83PlI=")</f>
        <v>#REF!</v>
      </c>
      <c r="CF8" t="e">
        <f>AND(#REF!,"AAAAAH83PlM=")</f>
        <v>#REF!</v>
      </c>
      <c r="CG8" t="e">
        <f>AND(#REF!,"AAAAAH83PlQ=")</f>
        <v>#REF!</v>
      </c>
      <c r="CH8" t="e">
        <f>AND(#REF!,"AAAAAH83PlU=")</f>
        <v>#REF!</v>
      </c>
      <c r="CI8" t="e">
        <f>AND(#REF!,"AAAAAH83PlY=")</f>
        <v>#REF!</v>
      </c>
      <c r="CJ8" t="e">
        <f>AND(#REF!,"AAAAAH83Plc=")</f>
        <v>#REF!</v>
      </c>
      <c r="CK8" t="e">
        <f>AND(#REF!,"AAAAAH83Plg=")</f>
        <v>#REF!</v>
      </c>
      <c r="CL8" t="e">
        <f>AND(#REF!,"AAAAAH83Plk=")</f>
        <v>#REF!</v>
      </c>
      <c r="CM8" t="e">
        <f>AND(#REF!,"AAAAAH83Plo=")</f>
        <v>#REF!</v>
      </c>
      <c r="CN8" t="e">
        <f>AND(#REF!,"AAAAAH83Pls=")</f>
        <v>#REF!</v>
      </c>
      <c r="CO8" t="e">
        <f>AND(#REF!,"AAAAAH83Plw=")</f>
        <v>#REF!</v>
      </c>
      <c r="CP8" t="e">
        <f>AND(#REF!,"AAAAAH83Pl0=")</f>
        <v>#REF!</v>
      </c>
      <c r="CQ8" t="e">
        <f>AND(#REF!,"AAAAAH83Pl4=")</f>
        <v>#REF!</v>
      </c>
      <c r="CR8" t="e">
        <f>AND(#REF!,"AAAAAH83Pl8=")</f>
        <v>#REF!</v>
      </c>
      <c r="CS8" t="e">
        <f>AND(#REF!,"AAAAAH83PmA=")</f>
        <v>#REF!</v>
      </c>
      <c r="CT8" t="e">
        <f>AND(#REF!,"AAAAAH83PmE=")</f>
        <v>#REF!</v>
      </c>
      <c r="CU8" t="e">
        <f>AND(#REF!,"AAAAAH83PmI=")</f>
        <v>#REF!</v>
      </c>
      <c r="CV8" t="e">
        <f>AND(#REF!,"AAAAAH83PmM=")</f>
        <v>#REF!</v>
      </c>
      <c r="CW8" t="e">
        <f>AND(#REF!,"AAAAAH83PmQ=")</f>
        <v>#REF!</v>
      </c>
      <c r="CX8" t="e">
        <f>AND(#REF!,"AAAAAH83PmU=")</f>
        <v>#REF!</v>
      </c>
      <c r="CY8" t="e">
        <f>AND(#REF!,"AAAAAH83PmY=")</f>
        <v>#REF!</v>
      </c>
      <c r="CZ8" t="e">
        <f>AND(#REF!,"AAAAAH83Pmc=")</f>
        <v>#REF!</v>
      </c>
      <c r="DA8" t="e">
        <f>IF(#REF!,"AAAAAH83Pmg=",0)</f>
        <v>#REF!</v>
      </c>
      <c r="DB8" t="e">
        <f>AND(#REF!,"AAAAAH83Pmk=")</f>
        <v>#REF!</v>
      </c>
      <c r="DC8" t="e">
        <f>AND(#REF!,"AAAAAH83Pmo=")</f>
        <v>#REF!</v>
      </c>
      <c r="DD8" t="e">
        <f>AND(#REF!,"AAAAAH83Pms=")</f>
        <v>#REF!</v>
      </c>
      <c r="DE8" t="e">
        <f>AND(#REF!,"AAAAAH83Pmw=")</f>
        <v>#REF!</v>
      </c>
      <c r="DF8" t="e">
        <f>AND(#REF!,"AAAAAH83Pm0=")</f>
        <v>#REF!</v>
      </c>
      <c r="DG8" t="e">
        <f>AND(#REF!,"AAAAAH83Pm4=")</f>
        <v>#REF!</v>
      </c>
      <c r="DH8" t="e">
        <f>AND(#REF!,"AAAAAH83Pm8=")</f>
        <v>#REF!</v>
      </c>
      <c r="DI8" t="e">
        <f>AND(#REF!,"AAAAAH83PnA=")</f>
        <v>#REF!</v>
      </c>
      <c r="DJ8" t="e">
        <f>AND(#REF!,"AAAAAH83PnE=")</f>
        <v>#REF!</v>
      </c>
      <c r="DK8" t="e">
        <f>AND(#REF!,"AAAAAH83PnI=")</f>
        <v>#REF!</v>
      </c>
      <c r="DL8" t="e">
        <f>AND(#REF!,"AAAAAH83PnM=")</f>
        <v>#REF!</v>
      </c>
      <c r="DM8" t="e">
        <f>AND(#REF!,"AAAAAH83PnQ=")</f>
        <v>#REF!</v>
      </c>
      <c r="DN8" t="e">
        <f>AND(#REF!,"AAAAAH83PnU=")</f>
        <v>#REF!</v>
      </c>
      <c r="DO8" t="e">
        <f>AND(#REF!,"AAAAAH83PnY=")</f>
        <v>#REF!</v>
      </c>
      <c r="DP8" t="e">
        <f>AND(#REF!,"AAAAAH83Pnc=")</f>
        <v>#REF!</v>
      </c>
      <c r="DQ8" t="e">
        <f>AND(#REF!,"AAAAAH83Png=")</f>
        <v>#REF!</v>
      </c>
      <c r="DR8" t="e">
        <f>AND(#REF!,"AAAAAH83Pnk=")</f>
        <v>#REF!</v>
      </c>
      <c r="DS8" t="e">
        <f>AND(#REF!,"AAAAAH83Pno=")</f>
        <v>#REF!</v>
      </c>
      <c r="DT8" t="e">
        <f>AND(#REF!,"AAAAAH83Pns=")</f>
        <v>#REF!</v>
      </c>
      <c r="DU8" t="e">
        <f>AND(#REF!,"AAAAAH83Pnw=")</f>
        <v>#REF!</v>
      </c>
      <c r="DV8" t="e">
        <f>AND(#REF!,"AAAAAH83Pn0=")</f>
        <v>#REF!</v>
      </c>
      <c r="DW8" t="e">
        <f>AND(#REF!,"AAAAAH83Pn4=")</f>
        <v>#REF!</v>
      </c>
      <c r="DX8" t="e">
        <f>AND(#REF!,"AAAAAH83Pn8=")</f>
        <v>#REF!</v>
      </c>
      <c r="DY8" t="e">
        <f>IF(#REF!,"AAAAAH83PoA=",0)</f>
        <v>#REF!</v>
      </c>
      <c r="DZ8" t="e">
        <f>AND(#REF!,"AAAAAH83PoE=")</f>
        <v>#REF!</v>
      </c>
      <c r="EA8" t="e">
        <f>AND(#REF!,"AAAAAH83PoI=")</f>
        <v>#REF!</v>
      </c>
      <c r="EB8" t="e">
        <f>AND(#REF!,"AAAAAH83PoM=")</f>
        <v>#REF!</v>
      </c>
      <c r="EC8" t="e">
        <f>AND(#REF!,"AAAAAH83PoQ=")</f>
        <v>#REF!</v>
      </c>
      <c r="ED8" t="e">
        <f>AND(#REF!,"AAAAAH83PoU=")</f>
        <v>#REF!</v>
      </c>
      <c r="EE8" t="e">
        <f>AND(#REF!,"AAAAAH83PoY=")</f>
        <v>#REF!</v>
      </c>
      <c r="EF8" t="e">
        <f>AND(#REF!,"AAAAAH83Poc=")</f>
        <v>#REF!</v>
      </c>
      <c r="EG8" t="e">
        <f>AND(#REF!,"AAAAAH83Pog=")</f>
        <v>#REF!</v>
      </c>
      <c r="EH8" t="e">
        <f>AND(#REF!,"AAAAAH83Pok=")</f>
        <v>#REF!</v>
      </c>
      <c r="EI8" t="e">
        <f>AND(#REF!,"AAAAAH83Poo=")</f>
        <v>#REF!</v>
      </c>
      <c r="EJ8" t="e">
        <f>AND(#REF!,"AAAAAH83Pos=")</f>
        <v>#REF!</v>
      </c>
      <c r="EK8" t="e">
        <f>AND(#REF!,"AAAAAH83Pow=")</f>
        <v>#REF!</v>
      </c>
      <c r="EL8" t="e">
        <f>AND(#REF!,"AAAAAH83Po0=")</f>
        <v>#REF!</v>
      </c>
      <c r="EM8" t="e">
        <f>AND(#REF!,"AAAAAH83Po4=")</f>
        <v>#REF!</v>
      </c>
      <c r="EN8" t="e">
        <f>AND(#REF!,"AAAAAH83Po8=")</f>
        <v>#REF!</v>
      </c>
      <c r="EO8" t="e">
        <f>AND(#REF!,"AAAAAH83PpA=")</f>
        <v>#REF!</v>
      </c>
      <c r="EP8" t="e">
        <f>AND(#REF!,"AAAAAH83PpE=")</f>
        <v>#REF!</v>
      </c>
      <c r="EQ8" t="e">
        <f>AND(#REF!,"AAAAAH83PpI=")</f>
        <v>#REF!</v>
      </c>
      <c r="ER8" t="e">
        <f>AND(#REF!,"AAAAAH83PpM=")</f>
        <v>#REF!</v>
      </c>
      <c r="ES8" t="e">
        <f>AND(#REF!,"AAAAAH83PpQ=")</f>
        <v>#REF!</v>
      </c>
      <c r="ET8" t="e">
        <f>AND(#REF!,"AAAAAH83PpU=")</f>
        <v>#REF!</v>
      </c>
      <c r="EU8" t="e">
        <f>AND(#REF!,"AAAAAH83PpY=")</f>
        <v>#REF!</v>
      </c>
      <c r="EV8" t="e">
        <f>AND(#REF!,"AAAAAH83Ppc=")</f>
        <v>#REF!</v>
      </c>
      <c r="EW8" t="e">
        <f>IF(#REF!,"AAAAAH83Ppg=",0)</f>
        <v>#REF!</v>
      </c>
      <c r="EX8" t="e">
        <f>AND(#REF!,"AAAAAH83Ppk=")</f>
        <v>#REF!</v>
      </c>
      <c r="EY8" t="e">
        <f>AND(#REF!,"AAAAAH83Ppo=")</f>
        <v>#REF!</v>
      </c>
      <c r="EZ8" t="e">
        <f>AND(#REF!,"AAAAAH83Pps=")</f>
        <v>#REF!</v>
      </c>
      <c r="FA8" t="e">
        <f>AND(#REF!,"AAAAAH83Ppw=")</f>
        <v>#REF!</v>
      </c>
      <c r="FB8" t="e">
        <f>AND(#REF!,"AAAAAH83Pp0=")</f>
        <v>#REF!</v>
      </c>
      <c r="FC8" t="e">
        <f>AND(#REF!,"AAAAAH83Pp4=")</f>
        <v>#REF!</v>
      </c>
      <c r="FD8" t="e">
        <f>AND(#REF!,"AAAAAH83Pp8=")</f>
        <v>#REF!</v>
      </c>
      <c r="FE8" t="e">
        <f>AND(#REF!,"AAAAAH83PqA=")</f>
        <v>#REF!</v>
      </c>
      <c r="FF8" t="e">
        <f>AND(#REF!,"AAAAAH83PqE=")</f>
        <v>#REF!</v>
      </c>
      <c r="FG8" t="e">
        <f>AND(#REF!,"AAAAAH83PqI=")</f>
        <v>#REF!</v>
      </c>
      <c r="FH8" t="e">
        <f>AND(#REF!,"AAAAAH83PqM=")</f>
        <v>#REF!</v>
      </c>
      <c r="FI8" t="e">
        <f>AND(#REF!,"AAAAAH83PqQ=")</f>
        <v>#REF!</v>
      </c>
      <c r="FJ8" t="e">
        <f>AND(#REF!,"AAAAAH83PqU=")</f>
        <v>#REF!</v>
      </c>
      <c r="FK8" t="e">
        <f>AND(#REF!,"AAAAAH83PqY=")</f>
        <v>#REF!</v>
      </c>
      <c r="FL8" t="e">
        <f>AND(#REF!,"AAAAAH83Pqc=")</f>
        <v>#REF!</v>
      </c>
      <c r="FM8" t="e">
        <f>AND(#REF!,"AAAAAH83Pqg=")</f>
        <v>#REF!</v>
      </c>
      <c r="FN8" t="e">
        <f>AND(#REF!,"AAAAAH83Pqk=")</f>
        <v>#REF!</v>
      </c>
      <c r="FO8" t="e">
        <f>AND(#REF!,"AAAAAH83Pqo=")</f>
        <v>#REF!</v>
      </c>
      <c r="FP8" t="e">
        <f>AND(#REF!,"AAAAAH83Pqs=")</f>
        <v>#REF!</v>
      </c>
      <c r="FQ8" t="e">
        <f>AND(#REF!,"AAAAAH83Pqw=")</f>
        <v>#REF!</v>
      </c>
      <c r="FR8" t="e">
        <f>AND(#REF!,"AAAAAH83Pq0=")</f>
        <v>#REF!</v>
      </c>
      <c r="FS8" t="e">
        <f>AND(#REF!,"AAAAAH83Pq4=")</f>
        <v>#REF!</v>
      </c>
      <c r="FT8" t="e">
        <f>AND(#REF!,"AAAAAH83Pq8=")</f>
        <v>#REF!</v>
      </c>
      <c r="FU8" t="e">
        <f>IF(#REF!,"AAAAAH83PrA=",0)</f>
        <v>#REF!</v>
      </c>
      <c r="FV8" t="e">
        <f>AND(#REF!,"AAAAAH83PrE=")</f>
        <v>#REF!</v>
      </c>
      <c r="FW8" t="e">
        <f>AND(#REF!,"AAAAAH83PrI=")</f>
        <v>#REF!</v>
      </c>
      <c r="FX8" t="e">
        <f>AND(#REF!,"AAAAAH83PrM=")</f>
        <v>#REF!</v>
      </c>
      <c r="FY8" t="e">
        <f>AND(#REF!,"AAAAAH83PrQ=")</f>
        <v>#REF!</v>
      </c>
      <c r="FZ8" t="e">
        <f>AND(#REF!,"AAAAAH83PrU=")</f>
        <v>#REF!</v>
      </c>
      <c r="GA8" t="e">
        <f>AND(#REF!,"AAAAAH83PrY=")</f>
        <v>#REF!</v>
      </c>
      <c r="GB8" t="e">
        <f>AND(#REF!,"AAAAAH83Prc=")</f>
        <v>#REF!</v>
      </c>
      <c r="GC8" t="e">
        <f>AND(#REF!,"AAAAAH83Prg=")</f>
        <v>#REF!</v>
      </c>
      <c r="GD8" t="e">
        <f>AND(#REF!,"AAAAAH83Prk=")</f>
        <v>#REF!</v>
      </c>
      <c r="GE8" t="e">
        <f>AND(#REF!,"AAAAAH83Pro=")</f>
        <v>#REF!</v>
      </c>
      <c r="GF8" t="e">
        <f>AND(#REF!,"AAAAAH83Prs=")</f>
        <v>#REF!</v>
      </c>
      <c r="GG8" t="e">
        <f>AND(#REF!,"AAAAAH83Prw=")</f>
        <v>#REF!</v>
      </c>
      <c r="GH8" t="e">
        <f>AND(#REF!,"AAAAAH83Pr0=")</f>
        <v>#REF!</v>
      </c>
      <c r="GI8" t="e">
        <f>AND(#REF!,"AAAAAH83Pr4=")</f>
        <v>#REF!</v>
      </c>
      <c r="GJ8" t="e">
        <f>AND(#REF!,"AAAAAH83Pr8=")</f>
        <v>#REF!</v>
      </c>
      <c r="GK8" t="e">
        <f>AND(#REF!,"AAAAAH83PsA=")</f>
        <v>#REF!</v>
      </c>
      <c r="GL8" t="e">
        <f>AND(#REF!,"AAAAAH83PsE=")</f>
        <v>#REF!</v>
      </c>
      <c r="GM8" t="e">
        <f>AND(#REF!,"AAAAAH83PsI=")</f>
        <v>#REF!</v>
      </c>
      <c r="GN8" t="e">
        <f>AND(#REF!,"AAAAAH83PsM=")</f>
        <v>#REF!</v>
      </c>
      <c r="GO8" t="e">
        <f>AND(#REF!,"AAAAAH83PsQ=")</f>
        <v>#REF!</v>
      </c>
      <c r="GP8" t="e">
        <f>AND(#REF!,"AAAAAH83PsU=")</f>
        <v>#REF!</v>
      </c>
      <c r="GQ8" t="e">
        <f>AND(#REF!,"AAAAAH83PsY=")</f>
        <v>#REF!</v>
      </c>
      <c r="GR8" t="e">
        <f>AND(#REF!,"AAAAAH83Psc=")</f>
        <v>#REF!</v>
      </c>
      <c r="GS8" t="e">
        <f>IF(#REF!,"AAAAAH83Psg=",0)</f>
        <v>#REF!</v>
      </c>
      <c r="GT8" t="e">
        <f>AND(#REF!,"AAAAAH83Psk=")</f>
        <v>#REF!</v>
      </c>
      <c r="GU8" t="e">
        <f>AND(#REF!,"AAAAAH83Pso=")</f>
        <v>#REF!</v>
      </c>
      <c r="GV8" t="e">
        <f>AND(#REF!,"AAAAAH83Pss=")</f>
        <v>#REF!</v>
      </c>
      <c r="GW8" t="e">
        <f>AND(#REF!,"AAAAAH83Psw=")</f>
        <v>#REF!</v>
      </c>
      <c r="GX8" t="e">
        <f>AND(#REF!,"AAAAAH83Ps0=")</f>
        <v>#REF!</v>
      </c>
      <c r="GY8" t="e">
        <f>AND(#REF!,"AAAAAH83Ps4=")</f>
        <v>#REF!</v>
      </c>
      <c r="GZ8" t="e">
        <f>AND(#REF!,"AAAAAH83Ps8=")</f>
        <v>#REF!</v>
      </c>
      <c r="HA8" t="e">
        <f>AND(#REF!,"AAAAAH83PtA=")</f>
        <v>#REF!</v>
      </c>
      <c r="HB8" t="e">
        <f>AND(#REF!,"AAAAAH83PtE=")</f>
        <v>#REF!</v>
      </c>
      <c r="HC8" t="e">
        <f>AND(#REF!,"AAAAAH83PtI=")</f>
        <v>#REF!</v>
      </c>
      <c r="HD8" t="e">
        <f>AND(#REF!,"AAAAAH83PtM=")</f>
        <v>#REF!</v>
      </c>
      <c r="HE8" t="e">
        <f>AND(#REF!,"AAAAAH83PtQ=")</f>
        <v>#REF!</v>
      </c>
      <c r="HF8" t="e">
        <f>AND(#REF!,"AAAAAH83PtU=")</f>
        <v>#REF!</v>
      </c>
      <c r="HG8" t="e">
        <f>AND(#REF!,"AAAAAH83PtY=")</f>
        <v>#REF!</v>
      </c>
      <c r="HH8" t="e">
        <f>AND(#REF!,"AAAAAH83Ptc=")</f>
        <v>#REF!</v>
      </c>
      <c r="HI8" t="e">
        <f>AND(#REF!,"AAAAAH83Ptg=")</f>
        <v>#REF!</v>
      </c>
      <c r="HJ8" t="e">
        <f>AND(#REF!,"AAAAAH83Ptk=")</f>
        <v>#REF!</v>
      </c>
      <c r="HK8" t="e">
        <f>AND(#REF!,"AAAAAH83Pto=")</f>
        <v>#REF!</v>
      </c>
      <c r="HL8" t="e">
        <f>AND(#REF!,"AAAAAH83Pts=")</f>
        <v>#REF!</v>
      </c>
      <c r="HM8" t="e">
        <f>AND(#REF!,"AAAAAH83Ptw=")</f>
        <v>#REF!</v>
      </c>
      <c r="HN8" t="e">
        <f>AND(#REF!,"AAAAAH83Pt0=")</f>
        <v>#REF!</v>
      </c>
      <c r="HO8" t="e">
        <f>AND(#REF!,"AAAAAH83Pt4=")</f>
        <v>#REF!</v>
      </c>
      <c r="HP8" t="e">
        <f>AND(#REF!,"AAAAAH83Pt8=")</f>
        <v>#REF!</v>
      </c>
      <c r="HQ8" t="e">
        <f>IF(#REF!,"AAAAAH83PuA=",0)</f>
        <v>#REF!</v>
      </c>
      <c r="HR8" t="e">
        <f>AND(#REF!,"AAAAAH83PuE=")</f>
        <v>#REF!</v>
      </c>
      <c r="HS8" t="e">
        <f>AND(#REF!,"AAAAAH83PuI=")</f>
        <v>#REF!</v>
      </c>
      <c r="HT8" t="e">
        <f>AND(#REF!,"AAAAAH83PuM=")</f>
        <v>#REF!</v>
      </c>
      <c r="HU8" t="e">
        <f>AND(#REF!,"AAAAAH83PuQ=")</f>
        <v>#REF!</v>
      </c>
      <c r="HV8" t="e">
        <f>AND(#REF!,"AAAAAH83PuU=")</f>
        <v>#REF!</v>
      </c>
      <c r="HW8" t="e">
        <f>AND(#REF!,"AAAAAH83PuY=")</f>
        <v>#REF!</v>
      </c>
      <c r="HX8" t="e">
        <f>AND(#REF!,"AAAAAH83Puc=")</f>
        <v>#REF!</v>
      </c>
      <c r="HY8" t="e">
        <f>AND(#REF!,"AAAAAH83Pug=")</f>
        <v>#REF!</v>
      </c>
      <c r="HZ8" t="e">
        <f>AND(#REF!,"AAAAAH83Puk=")</f>
        <v>#REF!</v>
      </c>
      <c r="IA8" t="e">
        <f>AND(#REF!,"AAAAAH83Puo=")</f>
        <v>#REF!</v>
      </c>
      <c r="IB8" t="e">
        <f>AND(#REF!,"AAAAAH83Pus=")</f>
        <v>#REF!</v>
      </c>
      <c r="IC8" t="e">
        <f>AND(#REF!,"AAAAAH83Puw=")</f>
        <v>#REF!</v>
      </c>
      <c r="ID8" t="e">
        <f>AND(#REF!,"AAAAAH83Pu0=")</f>
        <v>#REF!</v>
      </c>
      <c r="IE8" t="e">
        <f>AND(#REF!,"AAAAAH83Pu4=")</f>
        <v>#REF!</v>
      </c>
      <c r="IF8" t="e">
        <f>AND(#REF!,"AAAAAH83Pu8=")</f>
        <v>#REF!</v>
      </c>
      <c r="IG8" t="e">
        <f>AND(#REF!,"AAAAAH83PvA=")</f>
        <v>#REF!</v>
      </c>
      <c r="IH8" t="e">
        <f>AND(#REF!,"AAAAAH83PvE=")</f>
        <v>#REF!</v>
      </c>
      <c r="II8" t="e">
        <f>AND(#REF!,"AAAAAH83PvI=")</f>
        <v>#REF!</v>
      </c>
      <c r="IJ8" t="e">
        <f>AND(#REF!,"AAAAAH83PvM=")</f>
        <v>#REF!</v>
      </c>
      <c r="IK8" t="e">
        <f>AND(#REF!,"AAAAAH83PvQ=")</f>
        <v>#REF!</v>
      </c>
      <c r="IL8" t="e">
        <f>AND(#REF!,"AAAAAH83PvU=")</f>
        <v>#REF!</v>
      </c>
      <c r="IM8" t="e">
        <f>AND(#REF!,"AAAAAH83PvY=")</f>
        <v>#REF!</v>
      </c>
      <c r="IN8" t="e">
        <f>AND(#REF!,"AAAAAH83Pvc=")</f>
        <v>#REF!</v>
      </c>
      <c r="IO8" t="e">
        <f>IF(#REF!,"AAAAAH83Pvg=",0)</f>
        <v>#REF!</v>
      </c>
      <c r="IP8" t="e">
        <f>AND(#REF!,"AAAAAH83Pvk=")</f>
        <v>#REF!</v>
      </c>
      <c r="IQ8" t="e">
        <f>AND(#REF!,"AAAAAH83Pvo=")</f>
        <v>#REF!</v>
      </c>
      <c r="IR8" t="e">
        <f>AND(#REF!,"AAAAAH83Pvs=")</f>
        <v>#REF!</v>
      </c>
      <c r="IS8" t="e">
        <f>AND(#REF!,"AAAAAH83Pvw=")</f>
        <v>#REF!</v>
      </c>
      <c r="IT8" t="e">
        <f>AND(#REF!,"AAAAAH83Pv0=")</f>
        <v>#REF!</v>
      </c>
      <c r="IU8" t="e">
        <f>AND(#REF!,"AAAAAH83Pv4=")</f>
        <v>#REF!</v>
      </c>
      <c r="IV8" t="e">
        <f>AND(#REF!,"AAAAAH83Pv8=")</f>
        <v>#REF!</v>
      </c>
    </row>
    <row r="9" spans="1:256">
      <c r="A9" t="e">
        <f>AND(#REF!,"AAAAAH9X/wA=")</f>
        <v>#REF!</v>
      </c>
      <c r="B9" t="e">
        <f>AND(#REF!,"AAAAAH9X/wE=")</f>
        <v>#REF!</v>
      </c>
      <c r="C9" t="e">
        <f>AND(#REF!,"AAAAAH9X/wI=")</f>
        <v>#REF!</v>
      </c>
      <c r="D9" t="e">
        <f>AND(#REF!,"AAAAAH9X/wM=")</f>
        <v>#REF!</v>
      </c>
      <c r="E9" t="e">
        <f>AND(#REF!,"AAAAAH9X/wQ=")</f>
        <v>#REF!</v>
      </c>
      <c r="F9" t="e">
        <f>AND(#REF!,"AAAAAH9X/wU=")</f>
        <v>#REF!</v>
      </c>
      <c r="G9" t="e">
        <f>AND(#REF!,"AAAAAH9X/wY=")</f>
        <v>#REF!</v>
      </c>
      <c r="H9" t="e">
        <f>AND(#REF!,"AAAAAH9X/wc=")</f>
        <v>#REF!</v>
      </c>
      <c r="I9" t="e">
        <f>AND(#REF!,"AAAAAH9X/wg=")</f>
        <v>#REF!</v>
      </c>
      <c r="J9" t="e">
        <f>AND(#REF!,"AAAAAH9X/wk=")</f>
        <v>#REF!</v>
      </c>
      <c r="K9" t="e">
        <f>AND(#REF!,"AAAAAH9X/wo=")</f>
        <v>#REF!</v>
      </c>
      <c r="L9" t="e">
        <f>AND(#REF!,"AAAAAH9X/ws=")</f>
        <v>#REF!</v>
      </c>
      <c r="M9" t="e">
        <f>AND(#REF!,"AAAAAH9X/ww=")</f>
        <v>#REF!</v>
      </c>
      <c r="N9" t="e">
        <f>AND(#REF!,"AAAAAH9X/w0=")</f>
        <v>#REF!</v>
      </c>
      <c r="O9" t="e">
        <f>AND(#REF!,"AAAAAH9X/w4=")</f>
        <v>#REF!</v>
      </c>
      <c r="P9" t="e">
        <f>AND(#REF!,"AAAAAH9X/w8=")</f>
        <v>#REF!</v>
      </c>
      <c r="Q9" t="e">
        <f>IF(#REF!,"AAAAAH9X/xA=",0)</f>
        <v>#REF!</v>
      </c>
      <c r="R9" t="e">
        <f>AND(#REF!,"AAAAAH9X/xE=")</f>
        <v>#REF!</v>
      </c>
      <c r="S9" t="e">
        <f>AND(#REF!,"AAAAAH9X/xI=")</f>
        <v>#REF!</v>
      </c>
      <c r="T9" t="e">
        <f>AND(#REF!,"AAAAAH9X/xM=")</f>
        <v>#REF!</v>
      </c>
      <c r="U9" t="e">
        <f>AND(#REF!,"AAAAAH9X/xQ=")</f>
        <v>#REF!</v>
      </c>
      <c r="V9" t="e">
        <f>AND(#REF!,"AAAAAH9X/xU=")</f>
        <v>#REF!</v>
      </c>
      <c r="W9" t="e">
        <f>AND(#REF!,"AAAAAH9X/xY=")</f>
        <v>#REF!</v>
      </c>
      <c r="X9" t="e">
        <f>AND(#REF!,"AAAAAH9X/xc=")</f>
        <v>#REF!</v>
      </c>
      <c r="Y9" t="e">
        <f>AND(#REF!,"AAAAAH9X/xg=")</f>
        <v>#REF!</v>
      </c>
      <c r="Z9" t="e">
        <f>AND(#REF!,"AAAAAH9X/xk=")</f>
        <v>#REF!</v>
      </c>
      <c r="AA9" t="e">
        <f>AND(#REF!,"AAAAAH9X/xo=")</f>
        <v>#REF!</v>
      </c>
      <c r="AB9" t="e">
        <f>AND(#REF!,"AAAAAH9X/xs=")</f>
        <v>#REF!</v>
      </c>
      <c r="AC9" t="e">
        <f>AND(#REF!,"AAAAAH9X/xw=")</f>
        <v>#REF!</v>
      </c>
      <c r="AD9" t="e">
        <f>AND(#REF!,"AAAAAH9X/x0=")</f>
        <v>#REF!</v>
      </c>
      <c r="AE9" t="e">
        <f>AND(#REF!,"AAAAAH9X/x4=")</f>
        <v>#REF!</v>
      </c>
      <c r="AF9" t="e">
        <f>AND(#REF!,"AAAAAH9X/x8=")</f>
        <v>#REF!</v>
      </c>
      <c r="AG9" t="e">
        <f>AND(#REF!,"AAAAAH9X/yA=")</f>
        <v>#REF!</v>
      </c>
      <c r="AH9" t="e">
        <f>AND(#REF!,"AAAAAH9X/yE=")</f>
        <v>#REF!</v>
      </c>
      <c r="AI9" t="e">
        <f>AND(#REF!,"AAAAAH9X/yI=")</f>
        <v>#REF!</v>
      </c>
      <c r="AJ9" t="e">
        <f>AND(#REF!,"AAAAAH9X/yM=")</f>
        <v>#REF!</v>
      </c>
      <c r="AK9" t="e">
        <f>AND(#REF!,"AAAAAH9X/yQ=")</f>
        <v>#REF!</v>
      </c>
      <c r="AL9" t="e">
        <f>AND(#REF!,"AAAAAH9X/yU=")</f>
        <v>#REF!</v>
      </c>
      <c r="AM9" t="e">
        <f>AND(#REF!,"AAAAAH9X/yY=")</f>
        <v>#REF!</v>
      </c>
      <c r="AN9" t="e">
        <f>AND(#REF!,"AAAAAH9X/yc=")</f>
        <v>#REF!</v>
      </c>
      <c r="AO9" t="e">
        <f>IF(#REF!,"AAAAAH9X/yg=",0)</f>
        <v>#REF!</v>
      </c>
      <c r="AP9" t="e">
        <f>AND(#REF!,"AAAAAH9X/yk=")</f>
        <v>#REF!</v>
      </c>
      <c r="AQ9" t="e">
        <f>AND(#REF!,"AAAAAH9X/yo=")</f>
        <v>#REF!</v>
      </c>
      <c r="AR9" t="e">
        <f>AND(#REF!,"AAAAAH9X/ys=")</f>
        <v>#REF!</v>
      </c>
      <c r="AS9" t="e">
        <f>AND(#REF!,"AAAAAH9X/yw=")</f>
        <v>#REF!</v>
      </c>
      <c r="AT9" t="e">
        <f>AND(#REF!,"AAAAAH9X/y0=")</f>
        <v>#REF!</v>
      </c>
      <c r="AU9" t="e">
        <f>AND(#REF!,"AAAAAH9X/y4=")</f>
        <v>#REF!</v>
      </c>
      <c r="AV9" t="e">
        <f>AND(#REF!,"AAAAAH9X/y8=")</f>
        <v>#REF!</v>
      </c>
      <c r="AW9" t="e">
        <f>AND(#REF!,"AAAAAH9X/zA=")</f>
        <v>#REF!</v>
      </c>
      <c r="AX9" t="e">
        <f>AND(#REF!,"AAAAAH9X/zE=")</f>
        <v>#REF!</v>
      </c>
      <c r="AY9" t="e">
        <f>AND(#REF!,"AAAAAH9X/zI=")</f>
        <v>#REF!</v>
      </c>
      <c r="AZ9" t="e">
        <f>AND(#REF!,"AAAAAH9X/zM=")</f>
        <v>#REF!</v>
      </c>
      <c r="BA9" t="e">
        <f>AND(#REF!,"AAAAAH9X/zQ=")</f>
        <v>#REF!</v>
      </c>
      <c r="BB9" t="e">
        <f>AND(#REF!,"AAAAAH9X/zU=")</f>
        <v>#REF!</v>
      </c>
      <c r="BC9" t="e">
        <f>AND(#REF!,"AAAAAH9X/zY=")</f>
        <v>#REF!</v>
      </c>
      <c r="BD9" t="e">
        <f>AND(#REF!,"AAAAAH9X/zc=")</f>
        <v>#REF!</v>
      </c>
      <c r="BE9" t="e">
        <f>AND(#REF!,"AAAAAH9X/zg=")</f>
        <v>#REF!</v>
      </c>
      <c r="BF9" t="e">
        <f>AND(#REF!,"AAAAAH9X/zk=")</f>
        <v>#REF!</v>
      </c>
      <c r="BG9" t="e">
        <f>AND(#REF!,"AAAAAH9X/zo=")</f>
        <v>#REF!</v>
      </c>
      <c r="BH9" t="e">
        <f>AND(#REF!,"AAAAAH9X/zs=")</f>
        <v>#REF!</v>
      </c>
      <c r="BI9" t="e">
        <f>AND(#REF!,"AAAAAH9X/zw=")</f>
        <v>#REF!</v>
      </c>
      <c r="BJ9" t="e">
        <f>AND(#REF!,"AAAAAH9X/z0=")</f>
        <v>#REF!</v>
      </c>
      <c r="BK9" t="e">
        <f>AND(#REF!,"AAAAAH9X/z4=")</f>
        <v>#REF!</v>
      </c>
      <c r="BL9" t="e">
        <f>AND(#REF!,"AAAAAH9X/z8=")</f>
        <v>#REF!</v>
      </c>
      <c r="BM9" t="e">
        <f>IF(#REF!,"AAAAAH9X/0A=",0)</f>
        <v>#REF!</v>
      </c>
      <c r="BN9" t="e">
        <f>AND(#REF!,"AAAAAH9X/0E=")</f>
        <v>#REF!</v>
      </c>
      <c r="BO9" t="e">
        <f>AND(#REF!,"AAAAAH9X/0I=")</f>
        <v>#REF!</v>
      </c>
      <c r="BP9" t="e">
        <f>AND(#REF!,"AAAAAH9X/0M=")</f>
        <v>#REF!</v>
      </c>
      <c r="BQ9" t="e">
        <f>AND(#REF!,"AAAAAH9X/0Q=")</f>
        <v>#REF!</v>
      </c>
      <c r="BR9" t="e">
        <f>AND(#REF!,"AAAAAH9X/0U=")</f>
        <v>#REF!</v>
      </c>
      <c r="BS9" t="e">
        <f>AND(#REF!,"AAAAAH9X/0Y=")</f>
        <v>#REF!</v>
      </c>
      <c r="BT9" t="e">
        <f>AND(#REF!,"AAAAAH9X/0c=")</f>
        <v>#REF!</v>
      </c>
      <c r="BU9" t="e">
        <f>AND(#REF!,"AAAAAH9X/0g=")</f>
        <v>#REF!</v>
      </c>
      <c r="BV9" t="e">
        <f>AND(#REF!,"AAAAAH9X/0k=")</f>
        <v>#REF!</v>
      </c>
      <c r="BW9" t="e">
        <f>AND(#REF!,"AAAAAH9X/0o=")</f>
        <v>#REF!</v>
      </c>
      <c r="BX9" t="e">
        <f>AND(#REF!,"AAAAAH9X/0s=")</f>
        <v>#REF!</v>
      </c>
      <c r="BY9" t="e">
        <f>AND(#REF!,"AAAAAH9X/0w=")</f>
        <v>#REF!</v>
      </c>
      <c r="BZ9" t="e">
        <f>AND(#REF!,"AAAAAH9X/00=")</f>
        <v>#REF!</v>
      </c>
      <c r="CA9" t="e">
        <f>AND(#REF!,"AAAAAH9X/04=")</f>
        <v>#REF!</v>
      </c>
      <c r="CB9" t="e">
        <f>AND(#REF!,"AAAAAH9X/08=")</f>
        <v>#REF!</v>
      </c>
      <c r="CC9" t="e">
        <f>AND(#REF!,"AAAAAH9X/1A=")</f>
        <v>#REF!</v>
      </c>
      <c r="CD9" t="e">
        <f>AND(#REF!,"AAAAAH9X/1E=")</f>
        <v>#REF!</v>
      </c>
      <c r="CE9" t="e">
        <f>AND(#REF!,"AAAAAH9X/1I=")</f>
        <v>#REF!</v>
      </c>
      <c r="CF9" t="e">
        <f>AND(#REF!,"AAAAAH9X/1M=")</f>
        <v>#REF!</v>
      </c>
      <c r="CG9" t="e">
        <f>AND(#REF!,"AAAAAH9X/1Q=")</f>
        <v>#REF!</v>
      </c>
      <c r="CH9" t="e">
        <f>AND(#REF!,"AAAAAH9X/1U=")</f>
        <v>#REF!</v>
      </c>
      <c r="CI9" t="e">
        <f>AND(#REF!,"AAAAAH9X/1Y=")</f>
        <v>#REF!</v>
      </c>
      <c r="CJ9" t="e">
        <f>AND(#REF!,"AAAAAH9X/1c=")</f>
        <v>#REF!</v>
      </c>
      <c r="CK9" t="e">
        <f>IF(#REF!,"AAAAAH9X/1g=",0)</f>
        <v>#REF!</v>
      </c>
      <c r="CL9" t="e">
        <f>AND(#REF!,"AAAAAH9X/1k=")</f>
        <v>#REF!</v>
      </c>
      <c r="CM9" t="e">
        <f>AND(#REF!,"AAAAAH9X/1o=")</f>
        <v>#REF!</v>
      </c>
      <c r="CN9" t="e">
        <f>AND(#REF!,"AAAAAH9X/1s=")</f>
        <v>#REF!</v>
      </c>
      <c r="CO9" t="e">
        <f>AND(#REF!,"AAAAAH9X/1w=")</f>
        <v>#REF!</v>
      </c>
      <c r="CP9" t="e">
        <f>AND(#REF!,"AAAAAH9X/10=")</f>
        <v>#REF!</v>
      </c>
      <c r="CQ9" t="e">
        <f>AND(#REF!,"AAAAAH9X/14=")</f>
        <v>#REF!</v>
      </c>
      <c r="CR9" t="e">
        <f>AND(#REF!,"AAAAAH9X/18=")</f>
        <v>#REF!</v>
      </c>
      <c r="CS9" t="e">
        <f>AND(#REF!,"AAAAAH9X/2A=")</f>
        <v>#REF!</v>
      </c>
      <c r="CT9" t="e">
        <f>AND(#REF!,"AAAAAH9X/2E=")</f>
        <v>#REF!</v>
      </c>
      <c r="CU9" t="e">
        <f>AND(#REF!,"AAAAAH9X/2I=")</f>
        <v>#REF!</v>
      </c>
      <c r="CV9" t="e">
        <f>AND(#REF!,"AAAAAH9X/2M=")</f>
        <v>#REF!</v>
      </c>
      <c r="CW9" t="e">
        <f>AND(#REF!,"AAAAAH9X/2Q=")</f>
        <v>#REF!</v>
      </c>
      <c r="CX9" t="e">
        <f>AND(#REF!,"AAAAAH9X/2U=")</f>
        <v>#REF!</v>
      </c>
      <c r="CY9" t="e">
        <f>AND(#REF!,"AAAAAH9X/2Y=")</f>
        <v>#REF!</v>
      </c>
      <c r="CZ9" t="e">
        <f>AND(#REF!,"AAAAAH9X/2c=")</f>
        <v>#REF!</v>
      </c>
      <c r="DA9" t="e">
        <f>AND(#REF!,"AAAAAH9X/2g=")</f>
        <v>#REF!</v>
      </c>
      <c r="DB9" t="e">
        <f>AND(#REF!,"AAAAAH9X/2k=")</f>
        <v>#REF!</v>
      </c>
      <c r="DC9" t="e">
        <f>AND(#REF!,"AAAAAH9X/2o=")</f>
        <v>#REF!</v>
      </c>
      <c r="DD9" t="e">
        <f>AND(#REF!,"AAAAAH9X/2s=")</f>
        <v>#REF!</v>
      </c>
      <c r="DE9" t="e">
        <f>AND(#REF!,"AAAAAH9X/2w=")</f>
        <v>#REF!</v>
      </c>
      <c r="DF9" t="e">
        <f>AND(#REF!,"AAAAAH9X/20=")</f>
        <v>#REF!</v>
      </c>
      <c r="DG9" t="e">
        <f>AND(#REF!,"AAAAAH9X/24=")</f>
        <v>#REF!</v>
      </c>
      <c r="DH9" t="e">
        <f>AND(#REF!,"AAAAAH9X/28=")</f>
        <v>#REF!</v>
      </c>
      <c r="DI9" t="e">
        <f>IF(#REF!,"AAAAAH9X/3A=",0)</f>
        <v>#REF!</v>
      </c>
      <c r="DJ9" t="e">
        <f>AND(#REF!,"AAAAAH9X/3E=")</f>
        <v>#REF!</v>
      </c>
      <c r="DK9" t="e">
        <f>AND(#REF!,"AAAAAH9X/3I=")</f>
        <v>#REF!</v>
      </c>
      <c r="DL9" t="e">
        <f>AND(#REF!,"AAAAAH9X/3M=")</f>
        <v>#REF!</v>
      </c>
      <c r="DM9" t="e">
        <f>AND(#REF!,"AAAAAH9X/3Q=")</f>
        <v>#REF!</v>
      </c>
      <c r="DN9" t="e">
        <f>AND(#REF!,"AAAAAH9X/3U=")</f>
        <v>#REF!</v>
      </c>
      <c r="DO9" t="e">
        <f>AND(#REF!,"AAAAAH9X/3Y=")</f>
        <v>#REF!</v>
      </c>
      <c r="DP9" t="e">
        <f>AND(#REF!,"AAAAAH9X/3c=")</f>
        <v>#REF!</v>
      </c>
      <c r="DQ9" t="e">
        <f>AND(#REF!,"AAAAAH9X/3g=")</f>
        <v>#REF!</v>
      </c>
      <c r="DR9" t="e">
        <f>AND(#REF!,"AAAAAH9X/3k=")</f>
        <v>#REF!</v>
      </c>
      <c r="DS9" t="e">
        <f>AND(#REF!,"AAAAAH9X/3o=")</f>
        <v>#REF!</v>
      </c>
      <c r="DT9" t="e">
        <f>AND(#REF!,"AAAAAH9X/3s=")</f>
        <v>#REF!</v>
      </c>
      <c r="DU9" t="e">
        <f>AND(#REF!,"AAAAAH9X/3w=")</f>
        <v>#REF!</v>
      </c>
      <c r="DV9" t="e">
        <f>AND(#REF!,"AAAAAH9X/30=")</f>
        <v>#REF!</v>
      </c>
      <c r="DW9" t="e">
        <f>AND(#REF!,"AAAAAH9X/34=")</f>
        <v>#REF!</v>
      </c>
      <c r="DX9" t="e">
        <f>AND(#REF!,"AAAAAH9X/38=")</f>
        <v>#REF!</v>
      </c>
      <c r="DY9" t="e">
        <f>AND(#REF!,"AAAAAH9X/4A=")</f>
        <v>#REF!</v>
      </c>
      <c r="DZ9" t="e">
        <f>AND(#REF!,"AAAAAH9X/4E=")</f>
        <v>#REF!</v>
      </c>
      <c r="EA9" t="e">
        <f>AND(#REF!,"AAAAAH9X/4I=")</f>
        <v>#REF!</v>
      </c>
      <c r="EB9" t="e">
        <f>AND(#REF!,"AAAAAH9X/4M=")</f>
        <v>#REF!</v>
      </c>
      <c r="EC9" t="e">
        <f>AND(#REF!,"AAAAAH9X/4Q=")</f>
        <v>#REF!</v>
      </c>
      <c r="ED9" t="e">
        <f>AND(#REF!,"AAAAAH9X/4U=")</f>
        <v>#REF!</v>
      </c>
      <c r="EE9" t="e">
        <f>AND(#REF!,"AAAAAH9X/4Y=")</f>
        <v>#REF!</v>
      </c>
      <c r="EF9" t="e">
        <f>AND(#REF!,"AAAAAH9X/4c=")</f>
        <v>#REF!</v>
      </c>
      <c r="EG9" t="e">
        <f>IF(#REF!,"AAAAAH9X/4g=",0)</f>
        <v>#REF!</v>
      </c>
      <c r="EH9" t="e">
        <f>AND(#REF!,"AAAAAH9X/4k=")</f>
        <v>#REF!</v>
      </c>
      <c r="EI9" t="e">
        <f>AND(#REF!,"AAAAAH9X/4o=")</f>
        <v>#REF!</v>
      </c>
      <c r="EJ9" t="e">
        <f>AND(#REF!,"AAAAAH9X/4s=")</f>
        <v>#REF!</v>
      </c>
      <c r="EK9" t="e">
        <f>AND(#REF!,"AAAAAH9X/4w=")</f>
        <v>#REF!</v>
      </c>
      <c r="EL9" t="e">
        <f>AND(#REF!,"AAAAAH9X/40=")</f>
        <v>#REF!</v>
      </c>
      <c r="EM9" t="e">
        <f>AND(#REF!,"AAAAAH9X/44=")</f>
        <v>#REF!</v>
      </c>
      <c r="EN9" t="e">
        <f>AND(#REF!,"AAAAAH9X/48=")</f>
        <v>#REF!</v>
      </c>
      <c r="EO9" t="e">
        <f>AND(#REF!,"AAAAAH9X/5A=")</f>
        <v>#REF!</v>
      </c>
      <c r="EP9" t="e">
        <f>AND(#REF!,"AAAAAH9X/5E=")</f>
        <v>#REF!</v>
      </c>
      <c r="EQ9" t="e">
        <f>AND(#REF!,"AAAAAH9X/5I=")</f>
        <v>#REF!</v>
      </c>
      <c r="ER9" t="e">
        <f>AND(#REF!,"AAAAAH9X/5M=")</f>
        <v>#REF!</v>
      </c>
      <c r="ES9" t="e">
        <f>AND(#REF!,"AAAAAH9X/5Q=")</f>
        <v>#REF!</v>
      </c>
      <c r="ET9" t="e">
        <f>AND(#REF!,"AAAAAH9X/5U=")</f>
        <v>#REF!</v>
      </c>
      <c r="EU9" t="e">
        <f>AND(#REF!,"AAAAAH9X/5Y=")</f>
        <v>#REF!</v>
      </c>
      <c r="EV9" t="e">
        <f>AND(#REF!,"AAAAAH9X/5c=")</f>
        <v>#REF!</v>
      </c>
      <c r="EW9" t="e">
        <f>AND(#REF!,"AAAAAH9X/5g=")</f>
        <v>#REF!</v>
      </c>
      <c r="EX9" t="e">
        <f>AND(#REF!,"AAAAAH9X/5k=")</f>
        <v>#REF!</v>
      </c>
      <c r="EY9" t="e">
        <f>AND(#REF!,"AAAAAH9X/5o=")</f>
        <v>#REF!</v>
      </c>
      <c r="EZ9" t="e">
        <f>AND(#REF!,"AAAAAH9X/5s=")</f>
        <v>#REF!</v>
      </c>
      <c r="FA9" t="e">
        <f>AND(#REF!,"AAAAAH9X/5w=")</f>
        <v>#REF!</v>
      </c>
      <c r="FB9" t="e">
        <f>AND(#REF!,"AAAAAH9X/50=")</f>
        <v>#REF!</v>
      </c>
      <c r="FC9" t="e">
        <f>AND(#REF!,"AAAAAH9X/54=")</f>
        <v>#REF!</v>
      </c>
      <c r="FD9" t="e">
        <f>AND(#REF!,"AAAAAH9X/58=")</f>
        <v>#REF!</v>
      </c>
      <c r="FE9" t="e">
        <f>IF(#REF!,"AAAAAH9X/6A=",0)</f>
        <v>#REF!</v>
      </c>
      <c r="FF9" t="e">
        <f>IF(#REF!,"AAAAAH9X/6E=",0)</f>
        <v>#REF!</v>
      </c>
      <c r="FG9" t="e">
        <f>IF(#REF!,"AAAAAH9X/6I=",0)</f>
        <v>#REF!</v>
      </c>
      <c r="FH9" t="e">
        <f>IF(#REF!,"AAAAAH9X/6M=",0)</f>
        <v>#REF!</v>
      </c>
      <c r="FI9" t="e">
        <f>IF(#REF!,"AAAAAH9X/6Q=",0)</f>
        <v>#REF!</v>
      </c>
      <c r="FJ9" t="e">
        <f>IF(#REF!,"AAAAAH9X/6U=",0)</f>
        <v>#REF!</v>
      </c>
      <c r="FK9" t="e">
        <f>IF(#REF!,"AAAAAH9X/6Y=",0)</f>
        <v>#REF!</v>
      </c>
      <c r="FL9" t="e">
        <f>IF(#REF!,"AAAAAH9X/6c=",0)</f>
        <v>#REF!</v>
      </c>
      <c r="FM9" t="e">
        <f>IF(#REF!,"AAAAAH9X/6g=",0)</f>
        <v>#REF!</v>
      </c>
      <c r="FN9" t="e">
        <f>IF(#REF!,"AAAAAH9X/6k=",0)</f>
        <v>#REF!</v>
      </c>
      <c r="FO9" t="e">
        <f>IF(#REF!,"AAAAAH9X/6o=",0)</f>
        <v>#REF!</v>
      </c>
      <c r="FP9" t="e">
        <f>IF(#REF!,"AAAAAH9X/6s=",0)</f>
        <v>#REF!</v>
      </c>
      <c r="FQ9" t="e">
        <f>IF(#REF!,"AAAAAH9X/6w=",0)</f>
        <v>#REF!</v>
      </c>
      <c r="FR9" t="e">
        <f>IF(#REF!,"AAAAAH9X/60=",0)</f>
        <v>#REF!</v>
      </c>
      <c r="FS9" t="e">
        <f>IF(#REF!,"AAAAAH9X/64=",0)</f>
        <v>#REF!</v>
      </c>
      <c r="FT9" t="e">
        <f>IF(#REF!,"AAAAAH9X/68=",0)</f>
        <v>#REF!</v>
      </c>
      <c r="FU9" t="e">
        <f>IF(#REF!,"AAAAAH9X/7A=",0)</f>
        <v>#REF!</v>
      </c>
      <c r="FV9" t="e">
        <f>IF(#REF!,"AAAAAH9X/7E=",0)</f>
        <v>#REF!</v>
      </c>
      <c r="FW9" t="e">
        <f>IF(#REF!,"AAAAAH9X/7I=",0)</f>
        <v>#REF!</v>
      </c>
      <c r="FX9" t="e">
        <f>IF(#REF!,"AAAAAH9X/7M=",0)</f>
        <v>#REF!</v>
      </c>
      <c r="FY9" t="e">
        <f>IF(#REF!,"AAAAAH9X/7Q=",0)</f>
        <v>#REF!</v>
      </c>
      <c r="FZ9" t="e">
        <f>IF(#REF!,"AAAAAH9X/7U=",0)</f>
        <v>#REF!</v>
      </c>
      <c r="GA9" t="e">
        <f>IF(#REF!,"AAAAAH9X/7Y=",0)</f>
        <v>#REF!</v>
      </c>
      <c r="GB9" t="e">
        <f>IF(#REF!,"AAAAAH9X/7c=",0)</f>
        <v>#REF!</v>
      </c>
      <c r="GC9" t="e">
        <f>IF(Bills!#REF!,"AAAAAH9X/7g=",0)</f>
        <v>#REF!</v>
      </c>
      <c r="GD9" t="e">
        <f>AND(Bills!#REF!,"AAAAAH9X/7k=")</f>
        <v>#REF!</v>
      </c>
      <c r="GE9" t="e">
        <f>AND(Bills!#REF!,"AAAAAH9X/7o=")</f>
        <v>#REF!</v>
      </c>
      <c r="GF9" t="e">
        <f>AND(Bills!#REF!,"AAAAAH9X/7s=")</f>
        <v>#REF!</v>
      </c>
      <c r="GG9" t="e">
        <f>AND(Bills!#REF!,"AAAAAH9X/7w=")</f>
        <v>#REF!</v>
      </c>
      <c r="GH9" t="e">
        <f>AND(Bills!#REF!,"AAAAAH9X/70=")</f>
        <v>#REF!</v>
      </c>
      <c r="GI9" t="e">
        <f>AND(Bills!#REF!,"AAAAAH9X/74=")</f>
        <v>#REF!</v>
      </c>
      <c r="GJ9" t="e">
        <f>AND(Bills!#REF!,"AAAAAH9X/78=")</f>
        <v>#REF!</v>
      </c>
      <c r="GK9" t="e">
        <f>AND(Bills!#REF!,"AAAAAH9X/8A=")</f>
        <v>#REF!</v>
      </c>
      <c r="GL9" t="e">
        <f>AND(Bills!#REF!,"AAAAAH9X/8E=")</f>
        <v>#REF!</v>
      </c>
      <c r="GM9" t="e">
        <f>AND(Bills!#REF!,"AAAAAH9X/8I=")</f>
        <v>#REF!</v>
      </c>
      <c r="GN9" t="e">
        <f>AND(Bills!#REF!,"AAAAAH9X/8M=")</f>
        <v>#REF!</v>
      </c>
      <c r="GO9" t="e">
        <f>AND(Bills!#REF!,"AAAAAH9X/8Q=")</f>
        <v>#REF!</v>
      </c>
      <c r="GP9" t="e">
        <f>AND(Bills!#REF!,"AAAAAH9X/8U=")</f>
        <v>#REF!</v>
      </c>
      <c r="GQ9" t="e">
        <f>AND(Bills!#REF!,"AAAAAH9X/8Y=")</f>
        <v>#REF!</v>
      </c>
      <c r="GR9" t="e">
        <f>AND(Bills!#REF!,"AAAAAH9X/8c=")</f>
        <v>#REF!</v>
      </c>
      <c r="GS9" t="e">
        <f>AND(Bills!#REF!,"AAAAAH9X/8g=")</f>
        <v>#REF!</v>
      </c>
      <c r="GT9" t="e">
        <f>AND(Bills!#REF!,"AAAAAH9X/8k=")</f>
        <v>#REF!</v>
      </c>
      <c r="GU9" t="e">
        <f>AND(Bills!#REF!,"AAAAAH9X/8o=")</f>
        <v>#REF!</v>
      </c>
      <c r="GV9" t="e">
        <f>AND(Bills!#REF!,"AAAAAH9X/8s=")</f>
        <v>#REF!</v>
      </c>
      <c r="GW9" t="e">
        <f>AND(Bills!#REF!,"AAAAAH9X/8w=")</f>
        <v>#REF!</v>
      </c>
      <c r="GX9" t="e">
        <f>AND(Bills!#REF!,"AAAAAH9X/80=")</f>
        <v>#REF!</v>
      </c>
      <c r="GY9" t="e">
        <f>AND(Bills!#REF!,"AAAAAH9X/84=")</f>
        <v>#REF!</v>
      </c>
      <c r="GZ9" t="e">
        <f>AND(Bills!#REF!,"AAAAAH9X/88=")</f>
        <v>#REF!</v>
      </c>
      <c r="HA9" t="e">
        <f>AND(Bills!#REF!,"AAAAAH9X/9A=")</f>
        <v>#REF!</v>
      </c>
      <c r="HB9" t="e">
        <f>AND(Bills!#REF!,"AAAAAH9X/9E=")</f>
        <v>#REF!</v>
      </c>
      <c r="HC9" t="e">
        <f>AND(Bills!#REF!,"AAAAAH9X/9I=")</f>
        <v>#REF!</v>
      </c>
      <c r="HD9" t="e">
        <f>AND(Bills!#REF!,"AAAAAH9X/9M=")</f>
        <v>#REF!</v>
      </c>
      <c r="HE9" t="e">
        <f>AND(Bills!#REF!,"AAAAAH9X/9Q=")</f>
        <v>#REF!</v>
      </c>
      <c r="HF9" t="e">
        <f>AND(Bills!#REF!,"AAAAAH9X/9U=")</f>
        <v>#REF!</v>
      </c>
      <c r="HG9" t="e">
        <f>AND(Bills!#REF!,"AAAAAH9X/9Y=")</f>
        <v>#REF!</v>
      </c>
      <c r="HH9" t="e">
        <f>AND(Bills!#REF!,"AAAAAH9X/9c=")</f>
        <v>#REF!</v>
      </c>
      <c r="HI9" t="e">
        <f>AND(Bills!#REF!,"AAAAAH9X/9g=")</f>
        <v>#REF!</v>
      </c>
      <c r="HJ9" t="e">
        <f>AND(Bills!#REF!,"AAAAAH9X/9k=")</f>
        <v>#REF!</v>
      </c>
      <c r="HK9" t="e">
        <f>AND(Bills!#REF!,"AAAAAH9X/9o=")</f>
        <v>#REF!</v>
      </c>
      <c r="HL9" t="e">
        <f>AND(Bills!#REF!,"AAAAAH9X/9s=")</f>
        <v>#REF!</v>
      </c>
      <c r="HM9" t="e">
        <f>AND(Bills!#REF!,"AAAAAH9X/9w=")</f>
        <v>#REF!</v>
      </c>
      <c r="HN9" t="e">
        <f>AND(Bills!#REF!,"AAAAAH9X/90=")</f>
        <v>#REF!</v>
      </c>
      <c r="HO9" t="e">
        <f>AND(Bills!#REF!,"AAAAAH9X/94=")</f>
        <v>#REF!</v>
      </c>
      <c r="HP9" t="e">
        <f>AND(Bills!#REF!,"AAAAAH9X/98=")</f>
        <v>#REF!</v>
      </c>
      <c r="HQ9" t="e">
        <f>AND(Bills!#REF!,"AAAAAH9X/+A=")</f>
        <v>#REF!</v>
      </c>
      <c r="HR9" t="e">
        <f>AND(Bills!#REF!,"AAAAAH9X/+E=")</f>
        <v>#REF!</v>
      </c>
      <c r="HS9" t="e">
        <f>AND(Bills!#REF!,"AAAAAH9X/+I=")</f>
        <v>#REF!</v>
      </c>
      <c r="HT9" t="e">
        <f>AND(Bills!#REF!,"AAAAAH9X/+M=")</f>
        <v>#REF!</v>
      </c>
      <c r="HU9" t="e">
        <f>AND(Bills!#REF!,"AAAAAH9X/+Q=")</f>
        <v>#REF!</v>
      </c>
      <c r="HV9" t="e">
        <f>AND(Bills!#REF!,"AAAAAH9X/+U=")</f>
        <v>#REF!</v>
      </c>
      <c r="HW9" t="e">
        <f>AND(Bills!#REF!,"AAAAAH9X/+Y=")</f>
        <v>#REF!</v>
      </c>
      <c r="HX9" t="e">
        <f>AND(Bills!#REF!,"AAAAAH9X/+c=")</f>
        <v>#REF!</v>
      </c>
      <c r="HY9" t="e">
        <f>AND(Bills!#REF!,"AAAAAH9X/+g=")</f>
        <v>#REF!</v>
      </c>
      <c r="HZ9" t="e">
        <f>AND(Bills!#REF!,"AAAAAH9X/+k=")</f>
        <v>#REF!</v>
      </c>
      <c r="IA9" t="e">
        <f>AND(Bills!#REF!,"AAAAAH9X/+o=")</f>
        <v>#REF!</v>
      </c>
      <c r="IB9" t="e">
        <f>IF(Bills!#REF!,"AAAAAH9X/+s=",0)</f>
        <v>#REF!</v>
      </c>
      <c r="IC9" t="e">
        <f>AND(Bills!#REF!,"AAAAAH9X/+w=")</f>
        <v>#REF!</v>
      </c>
      <c r="ID9" t="e">
        <f>AND(Bills!#REF!,"AAAAAH9X/+0=")</f>
        <v>#REF!</v>
      </c>
      <c r="IE9" t="e">
        <f>AND(Bills!#REF!,"AAAAAH9X/+4=")</f>
        <v>#REF!</v>
      </c>
      <c r="IF9" t="e">
        <f>AND(Bills!#REF!,"AAAAAH9X/+8=")</f>
        <v>#REF!</v>
      </c>
      <c r="IG9" t="e">
        <f>AND(Bills!#REF!,"AAAAAH9X//A=")</f>
        <v>#REF!</v>
      </c>
      <c r="IH9" t="e">
        <f>AND(Bills!#REF!,"AAAAAH9X//E=")</f>
        <v>#REF!</v>
      </c>
      <c r="II9" t="e">
        <f>AND(Bills!#REF!,"AAAAAH9X//I=")</f>
        <v>#REF!</v>
      </c>
      <c r="IJ9" t="e">
        <f>AND(Bills!#REF!,"AAAAAH9X//M=")</f>
        <v>#REF!</v>
      </c>
      <c r="IK9" t="e">
        <f>AND(Bills!#REF!,"AAAAAH9X//Q=")</f>
        <v>#REF!</v>
      </c>
      <c r="IL9" t="e">
        <f>AND(Bills!#REF!,"AAAAAH9X//U=")</f>
        <v>#REF!</v>
      </c>
      <c r="IM9" t="e">
        <f>AND(Bills!#REF!,"AAAAAH9X//Y=")</f>
        <v>#REF!</v>
      </c>
      <c r="IN9" t="e">
        <f>AND(Bills!#REF!,"AAAAAH9X//c=")</f>
        <v>#REF!</v>
      </c>
      <c r="IO9" t="e">
        <f>AND(Bills!#REF!,"AAAAAH9X//g=")</f>
        <v>#REF!</v>
      </c>
      <c r="IP9" t="e">
        <f>AND(Bills!#REF!,"AAAAAH9X//k=")</f>
        <v>#REF!</v>
      </c>
      <c r="IQ9" t="e">
        <f>AND(Bills!#REF!,"AAAAAH9X//o=")</f>
        <v>#REF!</v>
      </c>
      <c r="IR9" t="e">
        <f>AND(Bills!#REF!,"AAAAAH9X//s=")</f>
        <v>#REF!</v>
      </c>
      <c r="IS9" t="e">
        <f>AND(Bills!#REF!,"AAAAAH9X//w=")</f>
        <v>#REF!</v>
      </c>
      <c r="IT9" t="e">
        <f>AND(Bills!#REF!,"AAAAAH9X//0=")</f>
        <v>#REF!</v>
      </c>
      <c r="IU9" t="e">
        <f>AND(Bills!#REF!,"AAAAAH9X//4=")</f>
        <v>#REF!</v>
      </c>
      <c r="IV9" t="e">
        <f>AND(Bills!#REF!,"AAAAAH9X//8=")</f>
        <v>#REF!</v>
      </c>
    </row>
    <row r="10" spans="1:256">
      <c r="A10" t="e">
        <f>AND(Bills!#REF!,"AAAAAD///gA=")</f>
        <v>#REF!</v>
      </c>
      <c r="B10" t="e">
        <f>AND(Bills!#REF!,"AAAAAD///gE=")</f>
        <v>#REF!</v>
      </c>
      <c r="C10" t="e">
        <f>AND(Bills!#REF!,"AAAAAD///gI=")</f>
        <v>#REF!</v>
      </c>
      <c r="D10" t="e">
        <f>AND(Bills!#REF!,"AAAAAD///gM=")</f>
        <v>#REF!</v>
      </c>
      <c r="E10" t="e">
        <f>AND(Bills!#REF!,"AAAAAD///gQ=")</f>
        <v>#REF!</v>
      </c>
      <c r="F10" t="e">
        <f>AND(Bills!#REF!,"AAAAAD///gU=")</f>
        <v>#REF!</v>
      </c>
      <c r="G10" t="e">
        <f>AND(Bills!#REF!,"AAAAAD///gY=")</f>
        <v>#REF!</v>
      </c>
      <c r="H10" t="e">
        <f>AND(Bills!#REF!,"AAAAAD///gc=")</f>
        <v>#REF!</v>
      </c>
      <c r="I10" t="e">
        <f>AND(Bills!#REF!,"AAAAAD///gg=")</f>
        <v>#REF!</v>
      </c>
      <c r="J10" t="e">
        <f>AND(Bills!#REF!,"AAAAAD///gk=")</f>
        <v>#REF!</v>
      </c>
      <c r="K10" t="e">
        <f>AND(Bills!#REF!,"AAAAAD///go=")</f>
        <v>#REF!</v>
      </c>
      <c r="L10" t="e">
        <f>AND(Bills!#REF!,"AAAAAD///gs=")</f>
        <v>#REF!</v>
      </c>
      <c r="M10" t="e">
        <f>AND(Bills!#REF!,"AAAAAD///gw=")</f>
        <v>#REF!</v>
      </c>
      <c r="N10" t="e">
        <f>AND(Bills!#REF!,"AAAAAD///g0=")</f>
        <v>#REF!</v>
      </c>
      <c r="O10" t="e">
        <f>AND(Bills!#REF!,"AAAAAD///g4=")</f>
        <v>#REF!</v>
      </c>
      <c r="P10" t="e">
        <f>AND(Bills!#REF!,"AAAAAD///g8=")</f>
        <v>#REF!</v>
      </c>
      <c r="Q10" t="e">
        <f>AND(Bills!#REF!,"AAAAAD///hA=")</f>
        <v>#REF!</v>
      </c>
      <c r="R10" t="e">
        <f>AND(Bills!#REF!,"AAAAAD///hE=")</f>
        <v>#REF!</v>
      </c>
      <c r="S10" t="e">
        <f>AND(Bills!#REF!,"AAAAAD///hI=")</f>
        <v>#REF!</v>
      </c>
      <c r="T10" t="e">
        <f>AND(Bills!#REF!,"AAAAAD///hM=")</f>
        <v>#REF!</v>
      </c>
      <c r="U10" t="e">
        <f>AND(Bills!#REF!,"AAAAAD///hQ=")</f>
        <v>#REF!</v>
      </c>
      <c r="V10" t="e">
        <f>AND(Bills!#REF!,"AAAAAD///hU=")</f>
        <v>#REF!</v>
      </c>
      <c r="W10" t="e">
        <f>AND(Bills!#REF!,"AAAAAD///hY=")</f>
        <v>#REF!</v>
      </c>
      <c r="X10" t="e">
        <f>AND(Bills!#REF!,"AAAAAD///hc=")</f>
        <v>#REF!</v>
      </c>
      <c r="Y10" t="e">
        <f>AND(Bills!#REF!,"AAAAAD///hg=")</f>
        <v>#REF!</v>
      </c>
      <c r="Z10" t="e">
        <f>AND(Bills!#REF!,"AAAAAD///hk=")</f>
        <v>#REF!</v>
      </c>
      <c r="AA10" t="e">
        <f>AND(Bills!#REF!,"AAAAAD///ho=")</f>
        <v>#REF!</v>
      </c>
      <c r="AB10" t="e">
        <f>AND(Bills!#REF!,"AAAAAD///hs=")</f>
        <v>#REF!</v>
      </c>
      <c r="AC10" t="e">
        <f>AND(Bills!#REF!,"AAAAAD///hw=")</f>
        <v>#REF!</v>
      </c>
      <c r="AD10" t="e">
        <f>AND(Bills!#REF!,"AAAAAD///h0=")</f>
        <v>#REF!</v>
      </c>
      <c r="AE10" t="e">
        <f>IF(Bills!#REF!,"AAAAAD///h4=",0)</f>
        <v>#REF!</v>
      </c>
      <c r="AF10" t="e">
        <f>AND(Bills!#REF!,"AAAAAD///h8=")</f>
        <v>#REF!</v>
      </c>
      <c r="AG10" t="e">
        <f>AND(Bills!#REF!,"AAAAAD///iA=")</f>
        <v>#REF!</v>
      </c>
      <c r="AH10" t="e">
        <f>AND(Bills!#REF!,"AAAAAD///iE=")</f>
        <v>#REF!</v>
      </c>
      <c r="AI10" t="e">
        <f>AND(Bills!#REF!,"AAAAAD///iI=")</f>
        <v>#REF!</v>
      </c>
      <c r="AJ10" t="e">
        <f>AND(Bills!#REF!,"AAAAAD///iM=")</f>
        <v>#REF!</v>
      </c>
      <c r="AK10" t="e">
        <f>AND(Bills!#REF!,"AAAAAD///iQ=")</f>
        <v>#REF!</v>
      </c>
      <c r="AL10" t="e">
        <f>AND(Bills!#REF!,"AAAAAD///iU=")</f>
        <v>#REF!</v>
      </c>
      <c r="AM10" t="e">
        <f>AND(Bills!#REF!,"AAAAAD///iY=")</f>
        <v>#REF!</v>
      </c>
      <c r="AN10" t="e">
        <f>AND(Bills!#REF!,"AAAAAD///ic=")</f>
        <v>#REF!</v>
      </c>
      <c r="AO10" t="e">
        <f>AND(Bills!#REF!,"AAAAAD///ig=")</f>
        <v>#REF!</v>
      </c>
      <c r="AP10" t="e">
        <f>AND(Bills!#REF!,"AAAAAD///ik=")</f>
        <v>#REF!</v>
      </c>
      <c r="AQ10" t="e">
        <f>AND(Bills!#REF!,"AAAAAD///io=")</f>
        <v>#REF!</v>
      </c>
      <c r="AR10" t="e">
        <f>AND(Bills!#REF!,"AAAAAD///is=")</f>
        <v>#REF!</v>
      </c>
      <c r="AS10" t="e">
        <f>AND(Bills!#REF!,"AAAAAD///iw=")</f>
        <v>#REF!</v>
      </c>
      <c r="AT10" t="e">
        <f>AND(Bills!#REF!,"AAAAAD///i0=")</f>
        <v>#REF!</v>
      </c>
      <c r="AU10" t="e">
        <f>AND(Bills!#REF!,"AAAAAD///i4=")</f>
        <v>#REF!</v>
      </c>
      <c r="AV10" t="e">
        <f>AND(Bills!#REF!,"AAAAAD///i8=")</f>
        <v>#REF!</v>
      </c>
      <c r="AW10" t="e">
        <f>AND(Bills!#REF!,"AAAAAD///jA=")</f>
        <v>#REF!</v>
      </c>
      <c r="AX10" t="e">
        <f>AND(Bills!#REF!,"AAAAAD///jE=")</f>
        <v>#REF!</v>
      </c>
      <c r="AY10" t="e">
        <f>AND(Bills!#REF!,"AAAAAD///jI=")</f>
        <v>#REF!</v>
      </c>
      <c r="AZ10" t="e">
        <f>AND(Bills!#REF!,"AAAAAD///jM=")</f>
        <v>#REF!</v>
      </c>
      <c r="BA10" t="e">
        <f>AND(Bills!#REF!,"AAAAAD///jQ=")</f>
        <v>#REF!</v>
      </c>
      <c r="BB10" t="e">
        <f>AND(Bills!#REF!,"AAAAAD///jU=")</f>
        <v>#REF!</v>
      </c>
      <c r="BC10" t="e">
        <f>AND(Bills!#REF!,"AAAAAD///jY=")</f>
        <v>#REF!</v>
      </c>
      <c r="BD10" t="e">
        <f>AND(Bills!#REF!,"AAAAAD///jc=")</f>
        <v>#REF!</v>
      </c>
      <c r="BE10" t="e">
        <f>AND(Bills!#REF!,"AAAAAD///jg=")</f>
        <v>#REF!</v>
      </c>
      <c r="BF10" t="e">
        <f>AND(Bills!#REF!,"AAAAAD///jk=")</f>
        <v>#REF!</v>
      </c>
      <c r="BG10" t="e">
        <f>AND(Bills!#REF!,"AAAAAD///jo=")</f>
        <v>#REF!</v>
      </c>
      <c r="BH10" t="e">
        <f>AND(Bills!#REF!,"AAAAAD///js=")</f>
        <v>#REF!</v>
      </c>
      <c r="BI10" t="e">
        <f>AND(Bills!#REF!,"AAAAAD///jw=")</f>
        <v>#REF!</v>
      </c>
      <c r="BJ10" t="e">
        <f>AND(Bills!#REF!,"AAAAAD///j0=")</f>
        <v>#REF!</v>
      </c>
      <c r="BK10" t="e">
        <f>AND(Bills!#REF!,"AAAAAD///j4=")</f>
        <v>#REF!</v>
      </c>
      <c r="BL10" t="e">
        <f>AND(Bills!#REF!,"AAAAAD///j8=")</f>
        <v>#REF!</v>
      </c>
      <c r="BM10" t="e">
        <f>AND(Bills!#REF!,"AAAAAD///kA=")</f>
        <v>#REF!</v>
      </c>
      <c r="BN10" t="e">
        <f>AND(Bills!#REF!,"AAAAAD///kE=")</f>
        <v>#REF!</v>
      </c>
      <c r="BO10" t="e">
        <f>AND(Bills!#REF!,"AAAAAD///kI=")</f>
        <v>#REF!</v>
      </c>
      <c r="BP10" t="e">
        <f>AND(Bills!#REF!,"AAAAAD///kM=")</f>
        <v>#REF!</v>
      </c>
      <c r="BQ10" t="e">
        <f>AND(Bills!#REF!,"AAAAAD///kQ=")</f>
        <v>#REF!</v>
      </c>
      <c r="BR10" t="e">
        <f>AND(Bills!#REF!,"AAAAAD///kU=")</f>
        <v>#REF!</v>
      </c>
      <c r="BS10" t="e">
        <f>AND(Bills!#REF!,"AAAAAD///kY=")</f>
        <v>#REF!</v>
      </c>
      <c r="BT10" t="e">
        <f>AND(Bills!#REF!,"AAAAAD///kc=")</f>
        <v>#REF!</v>
      </c>
      <c r="BU10" t="e">
        <f>AND(Bills!#REF!,"AAAAAD///kg=")</f>
        <v>#REF!</v>
      </c>
      <c r="BV10" t="e">
        <f>AND(Bills!#REF!,"AAAAAD///kk=")</f>
        <v>#REF!</v>
      </c>
      <c r="BW10" t="e">
        <f>AND(Bills!#REF!,"AAAAAD///ko=")</f>
        <v>#REF!</v>
      </c>
      <c r="BX10" t="e">
        <f>AND(Bills!#REF!,"AAAAAD///ks=")</f>
        <v>#REF!</v>
      </c>
      <c r="BY10" t="e">
        <f>AND(Bills!#REF!,"AAAAAD///kw=")</f>
        <v>#REF!</v>
      </c>
      <c r="BZ10" t="e">
        <f>AND(Bills!#REF!,"AAAAAD///k0=")</f>
        <v>#REF!</v>
      </c>
      <c r="CA10" t="e">
        <f>AND(Bills!#REF!,"AAAAAD///k4=")</f>
        <v>#REF!</v>
      </c>
      <c r="CB10" t="e">
        <f>AND(Bills!#REF!,"AAAAAD///k8=")</f>
        <v>#REF!</v>
      </c>
      <c r="CC10" t="e">
        <f>AND(Bills!#REF!,"AAAAAD///lA=")</f>
        <v>#REF!</v>
      </c>
      <c r="CD10">
        <f>IF(Bills!4:4,"AAAAAD///lE=",0)</f>
        <v>0</v>
      </c>
      <c r="CE10" t="e">
        <f>AND(Bills!B4,"AAAAAD///lI=")</f>
        <v>#VALUE!</v>
      </c>
      <c r="CF10" t="e">
        <f>AND(Bills!#REF!,"AAAAAD///lM=")</f>
        <v>#REF!</v>
      </c>
      <c r="CG10" t="e">
        <f>AND(Bills!C4,"AAAAAD///lQ=")</f>
        <v>#VALUE!</v>
      </c>
      <c r="CH10" t="e">
        <f>AND(Bills!#REF!,"AAAAAD///lU=")</f>
        <v>#REF!</v>
      </c>
      <c r="CI10" t="e">
        <f>AND(Bills!#REF!,"AAAAAD///lY=")</f>
        <v>#REF!</v>
      </c>
      <c r="CJ10" t="e">
        <f>AND(Bills!#REF!,"AAAAAD///lc=")</f>
        <v>#REF!</v>
      </c>
      <c r="CK10" t="e">
        <f>AND(Bills!#REF!,"AAAAAD///lg=")</f>
        <v>#REF!</v>
      </c>
      <c r="CL10" t="e">
        <f>AND(Bills!#REF!,"AAAAAD///lk=")</f>
        <v>#REF!</v>
      </c>
      <c r="CM10" t="e">
        <f>AND(Bills!D4,"AAAAAD///lo=")</f>
        <v>#VALUE!</v>
      </c>
      <c r="CN10" t="e">
        <f>AND(Bills!#REF!,"AAAAAD///ls=")</f>
        <v>#REF!</v>
      </c>
      <c r="CO10" t="e">
        <f>AND(Bills!E4,"AAAAAD///lw=")</f>
        <v>#VALUE!</v>
      </c>
      <c r="CP10" t="e">
        <f>AND(Bills!F4,"AAAAAD///l0=")</f>
        <v>#VALUE!</v>
      </c>
      <c r="CQ10" t="e">
        <f>AND(Bills!G4,"AAAAAD///l4=")</f>
        <v>#VALUE!</v>
      </c>
      <c r="CR10" t="e">
        <f>AND(Bills!H4,"AAAAAD///l8=")</f>
        <v>#VALUE!</v>
      </c>
      <c r="CS10" t="e">
        <f>AND(Bills!I4,"AAAAAD///mA=")</f>
        <v>#VALUE!</v>
      </c>
      <c r="CT10" t="e">
        <f>AND(Bills!J4,"AAAAAD///mE=")</f>
        <v>#VALUE!</v>
      </c>
      <c r="CU10" t="e">
        <f>AND(Bills!#REF!,"AAAAAD///mI=")</f>
        <v>#REF!</v>
      </c>
      <c r="CV10" t="e">
        <f>AND(Bills!K4,"AAAAAD///mM=")</f>
        <v>#VALUE!</v>
      </c>
      <c r="CW10" t="e">
        <f>AND(Bills!L4,"AAAAAD///mQ=")</f>
        <v>#VALUE!</v>
      </c>
      <c r="CX10" t="e">
        <f>AND(Bills!M4,"AAAAAD///mU=")</f>
        <v>#VALUE!</v>
      </c>
      <c r="CY10" t="e">
        <f>AND(Bills!N4,"AAAAAD///mY=")</f>
        <v>#VALUE!</v>
      </c>
      <c r="CZ10" t="e">
        <f>AND(Bills!O4,"AAAAAD///mc=")</f>
        <v>#VALUE!</v>
      </c>
      <c r="DA10" t="e">
        <f>AND(Bills!P4,"AAAAAD///mg=")</f>
        <v>#VALUE!</v>
      </c>
      <c r="DB10" t="e">
        <f>AND(Bills!Q4,"AAAAAD///mk=")</f>
        <v>#VALUE!</v>
      </c>
      <c r="DC10" t="e">
        <f>AND(Bills!R4,"AAAAAD///mo=")</f>
        <v>#VALUE!</v>
      </c>
      <c r="DD10" t="e">
        <f>AND(Bills!#REF!,"AAAAAD///ms=")</f>
        <v>#REF!</v>
      </c>
      <c r="DE10" t="e">
        <f>AND(Bills!S4,"AAAAAD///mw=")</f>
        <v>#VALUE!</v>
      </c>
      <c r="DF10" t="e">
        <f>AND(Bills!T4,"AAAAAD///m0=")</f>
        <v>#VALUE!</v>
      </c>
      <c r="DG10" t="e">
        <f>AND(Bills!U4,"AAAAAD///m4=")</f>
        <v>#VALUE!</v>
      </c>
      <c r="DH10" t="e">
        <f>AND(Bills!#REF!,"AAAAAD///m8=")</f>
        <v>#REF!</v>
      </c>
      <c r="DI10" t="e">
        <f>AND(Bills!#REF!,"AAAAAD///nA=")</f>
        <v>#REF!</v>
      </c>
      <c r="DJ10" t="e">
        <f>AND(Bills!W4,"AAAAAD///nE=")</f>
        <v>#VALUE!</v>
      </c>
      <c r="DK10" t="e">
        <f>AND(Bills!X4,"AAAAAD///nI=")</f>
        <v>#VALUE!</v>
      </c>
      <c r="DL10" t="e">
        <f>AND(Bills!#REF!,"AAAAAD///nM=")</f>
        <v>#REF!</v>
      </c>
      <c r="DM10" t="e">
        <f>AND(Bills!#REF!,"AAAAAD///nQ=")</f>
        <v>#REF!</v>
      </c>
      <c r="DN10" t="e">
        <f>AND(Bills!#REF!,"AAAAAD///nU=")</f>
        <v>#REF!</v>
      </c>
      <c r="DO10" t="e">
        <f>AND(Bills!#REF!,"AAAAAD///nY=")</f>
        <v>#REF!</v>
      </c>
      <c r="DP10" t="e">
        <f>AND(Bills!#REF!,"AAAAAD///nc=")</f>
        <v>#REF!</v>
      </c>
      <c r="DQ10" t="e">
        <f>AND(Bills!#REF!,"AAAAAD///ng=")</f>
        <v>#REF!</v>
      </c>
      <c r="DR10" t="e">
        <f>AND(Bills!#REF!,"AAAAAD///nk=")</f>
        <v>#REF!</v>
      </c>
      <c r="DS10" t="e">
        <f>AND(Bills!#REF!,"AAAAAD///no=")</f>
        <v>#REF!</v>
      </c>
      <c r="DT10" t="e">
        <f>AND(Bills!#REF!,"AAAAAD///ns=")</f>
        <v>#REF!</v>
      </c>
      <c r="DU10" t="e">
        <f>AND(Bills!Y4,"AAAAAD///nw=")</f>
        <v>#VALUE!</v>
      </c>
      <c r="DV10" t="e">
        <f>AND(Bills!Z4,"AAAAAD///n0=")</f>
        <v>#VALUE!</v>
      </c>
      <c r="DW10" t="e">
        <f>AND(Bills!#REF!,"AAAAAD///n4=")</f>
        <v>#REF!</v>
      </c>
      <c r="DX10" t="e">
        <f>AND(Bills!#REF!,"AAAAAD///n8=")</f>
        <v>#REF!</v>
      </c>
      <c r="DY10" t="e">
        <f>AND(Bills!#REF!,"AAAAAD///oA=")</f>
        <v>#REF!</v>
      </c>
      <c r="DZ10" t="e">
        <f>AND(Bills!AA4,"AAAAAD///oE=")</f>
        <v>#VALUE!</v>
      </c>
      <c r="EA10" t="e">
        <f>AND(Bills!AB4,"AAAAAD///oI=")</f>
        <v>#VALUE!</v>
      </c>
      <c r="EB10" t="e">
        <f>AND(Bills!#REF!,"AAAAAD///oM=")</f>
        <v>#REF!</v>
      </c>
      <c r="EC10">
        <f>IF(Bills!5:5,"AAAAAD///oQ=",0)</f>
        <v>0</v>
      </c>
      <c r="ED10" t="e">
        <f>AND(Bills!B5,"AAAAAD///oU=")</f>
        <v>#VALUE!</v>
      </c>
      <c r="EE10" t="e">
        <f>AND(Bills!#REF!,"AAAAAD///oY=")</f>
        <v>#REF!</v>
      </c>
      <c r="EF10" t="e">
        <f>AND(Bills!C5,"AAAAAD///oc=")</f>
        <v>#VALUE!</v>
      </c>
      <c r="EG10" t="e">
        <f>AND(Bills!#REF!,"AAAAAD///og=")</f>
        <v>#REF!</v>
      </c>
      <c r="EH10" t="e">
        <f>AND(Bills!#REF!,"AAAAAD///ok=")</f>
        <v>#REF!</v>
      </c>
      <c r="EI10" t="e">
        <f>AND(Bills!#REF!,"AAAAAD///oo=")</f>
        <v>#REF!</v>
      </c>
      <c r="EJ10" t="e">
        <f>AND(Bills!#REF!,"AAAAAD///os=")</f>
        <v>#REF!</v>
      </c>
      <c r="EK10" t="e">
        <f>AND(Bills!#REF!,"AAAAAD///ow=")</f>
        <v>#REF!</v>
      </c>
      <c r="EL10" t="e">
        <f>AND(Bills!D5,"AAAAAD///o0=")</f>
        <v>#VALUE!</v>
      </c>
      <c r="EM10" t="e">
        <f>AND(Bills!#REF!,"AAAAAD///o4=")</f>
        <v>#REF!</v>
      </c>
      <c r="EN10" t="e">
        <f>AND(Bills!E5,"AAAAAD///o8=")</f>
        <v>#VALUE!</v>
      </c>
      <c r="EO10" t="e">
        <f>AND(Bills!F5,"AAAAAD///pA=")</f>
        <v>#VALUE!</v>
      </c>
      <c r="EP10" t="e">
        <f>AND(Bills!G5,"AAAAAD///pE=")</f>
        <v>#VALUE!</v>
      </c>
      <c r="EQ10" t="e">
        <f>AND(Bills!H5,"AAAAAD///pI=")</f>
        <v>#VALUE!</v>
      </c>
      <c r="ER10" t="e">
        <f>AND(Bills!I5,"AAAAAD///pM=")</f>
        <v>#VALUE!</v>
      </c>
      <c r="ES10" t="e">
        <f>AND(Bills!J5,"AAAAAD///pQ=")</f>
        <v>#VALUE!</v>
      </c>
      <c r="ET10" t="e">
        <f>AND(Bills!#REF!,"AAAAAD///pU=")</f>
        <v>#REF!</v>
      </c>
      <c r="EU10" t="e">
        <f>AND(Bills!K5,"AAAAAD///pY=")</f>
        <v>#VALUE!</v>
      </c>
      <c r="EV10" t="e">
        <f>AND(Bills!L5,"AAAAAD///pc=")</f>
        <v>#VALUE!</v>
      </c>
      <c r="EW10" t="e">
        <f>AND(Bills!M5,"AAAAAD///pg=")</f>
        <v>#VALUE!</v>
      </c>
      <c r="EX10" t="e">
        <f>AND(Bills!N5,"AAAAAD///pk=")</f>
        <v>#VALUE!</v>
      </c>
      <c r="EY10" t="e">
        <f>AND(Bills!O5,"AAAAAD///po=")</f>
        <v>#VALUE!</v>
      </c>
      <c r="EZ10" t="e">
        <f>AND(Bills!P5,"AAAAAD///ps=")</f>
        <v>#VALUE!</v>
      </c>
      <c r="FA10" t="e">
        <f>AND(Bills!Q5,"AAAAAD///pw=")</f>
        <v>#VALUE!</v>
      </c>
      <c r="FB10" t="e">
        <f>AND(Bills!R5,"AAAAAD///p0=")</f>
        <v>#VALUE!</v>
      </c>
      <c r="FC10" t="e">
        <f>AND(Bills!#REF!,"AAAAAD///p4=")</f>
        <v>#REF!</v>
      </c>
      <c r="FD10" t="e">
        <f>AND(Bills!S5,"AAAAAD///p8=")</f>
        <v>#VALUE!</v>
      </c>
      <c r="FE10" t="e">
        <f>AND(Bills!T5,"AAAAAD///qA=")</f>
        <v>#VALUE!</v>
      </c>
      <c r="FF10" t="e">
        <f>AND(Bills!U5,"AAAAAD///qE=")</f>
        <v>#VALUE!</v>
      </c>
      <c r="FG10" t="e">
        <f>AND(Bills!#REF!,"AAAAAD///qI=")</f>
        <v>#REF!</v>
      </c>
      <c r="FH10" t="e">
        <f>AND(Bills!#REF!,"AAAAAD///qM=")</f>
        <v>#REF!</v>
      </c>
      <c r="FI10" t="e">
        <f>AND(Bills!W5,"AAAAAD///qQ=")</f>
        <v>#VALUE!</v>
      </c>
      <c r="FJ10" t="e">
        <f>AND(Bills!X5,"AAAAAD///qU=")</f>
        <v>#VALUE!</v>
      </c>
      <c r="FK10" t="e">
        <f>AND(Bills!#REF!,"AAAAAD///qY=")</f>
        <v>#REF!</v>
      </c>
      <c r="FL10" t="e">
        <f>AND(Bills!#REF!,"AAAAAD///qc=")</f>
        <v>#REF!</v>
      </c>
      <c r="FM10" t="e">
        <f>AND(Bills!#REF!,"AAAAAD///qg=")</f>
        <v>#REF!</v>
      </c>
      <c r="FN10" t="e">
        <f>AND(Bills!#REF!,"AAAAAD///qk=")</f>
        <v>#REF!</v>
      </c>
      <c r="FO10" t="e">
        <f>AND(Bills!#REF!,"AAAAAD///qo=")</f>
        <v>#REF!</v>
      </c>
      <c r="FP10" t="e">
        <f>AND(Bills!#REF!,"AAAAAD///qs=")</f>
        <v>#REF!</v>
      </c>
      <c r="FQ10" t="e">
        <f>AND(Bills!#REF!,"AAAAAD///qw=")</f>
        <v>#REF!</v>
      </c>
      <c r="FR10" t="e">
        <f>AND(Bills!#REF!,"AAAAAD///q0=")</f>
        <v>#REF!</v>
      </c>
      <c r="FS10" t="e">
        <f>AND(Bills!#REF!,"AAAAAD///q4=")</f>
        <v>#REF!</v>
      </c>
      <c r="FT10" t="e">
        <f>AND(Bills!Y5,"AAAAAD///q8=")</f>
        <v>#VALUE!</v>
      </c>
      <c r="FU10" t="e">
        <f>AND(Bills!Z5,"AAAAAD///rA=")</f>
        <v>#VALUE!</v>
      </c>
      <c r="FV10" t="e">
        <f>AND(Bills!#REF!,"AAAAAD///rE=")</f>
        <v>#REF!</v>
      </c>
      <c r="FW10" t="e">
        <f>AND(Bills!#REF!,"AAAAAD///rI=")</f>
        <v>#REF!</v>
      </c>
      <c r="FX10" t="e">
        <f>AND(Bills!#REF!,"AAAAAD///rM=")</f>
        <v>#REF!</v>
      </c>
      <c r="FY10" t="e">
        <f>AND(Bills!AA5,"AAAAAD///rQ=")</f>
        <v>#VALUE!</v>
      </c>
      <c r="FZ10" t="e">
        <f>AND(Bills!AB5,"AAAAAD///rU=")</f>
        <v>#VALUE!</v>
      </c>
      <c r="GA10" t="e">
        <f>AND(Bills!#REF!,"AAAAAD///rY=")</f>
        <v>#REF!</v>
      </c>
      <c r="GB10">
        <f>IF(Bills!7:7,"AAAAAD///rc=",0)</f>
        <v>0</v>
      </c>
      <c r="GC10" t="e">
        <f>AND(Bills!B7,"AAAAAD///rg=")</f>
        <v>#VALUE!</v>
      </c>
      <c r="GD10" t="e">
        <f>AND(Bills!#REF!,"AAAAAD///rk=")</f>
        <v>#REF!</v>
      </c>
      <c r="GE10" t="e">
        <f>AND(Bills!C7,"AAAAAD///ro=")</f>
        <v>#VALUE!</v>
      </c>
      <c r="GF10" t="e">
        <f>AND(Bills!#REF!,"AAAAAD///rs=")</f>
        <v>#REF!</v>
      </c>
      <c r="GG10" t="e">
        <f>AND(Bills!#REF!,"AAAAAD///rw=")</f>
        <v>#REF!</v>
      </c>
      <c r="GH10" t="e">
        <f>AND(Bills!#REF!,"AAAAAD///r0=")</f>
        <v>#REF!</v>
      </c>
      <c r="GI10" t="e">
        <f>AND(Bills!#REF!,"AAAAAD///r4=")</f>
        <v>#REF!</v>
      </c>
      <c r="GJ10" t="e">
        <f>AND(Bills!#REF!,"AAAAAD///r8=")</f>
        <v>#REF!</v>
      </c>
      <c r="GK10" t="e">
        <f>AND(Bills!D7,"AAAAAD///sA=")</f>
        <v>#VALUE!</v>
      </c>
      <c r="GL10" t="e">
        <f>AND(Bills!#REF!,"AAAAAD///sE=")</f>
        <v>#REF!</v>
      </c>
      <c r="GM10" t="e">
        <f>AND(Bills!E7,"AAAAAD///sI=")</f>
        <v>#VALUE!</v>
      </c>
      <c r="GN10" t="e">
        <f>AND(Bills!F7,"AAAAAD///sM=")</f>
        <v>#VALUE!</v>
      </c>
      <c r="GO10" t="e">
        <f>AND(Bills!G7,"AAAAAD///sQ=")</f>
        <v>#VALUE!</v>
      </c>
      <c r="GP10" t="e">
        <f>AND(Bills!H7,"AAAAAD///sU=")</f>
        <v>#VALUE!</v>
      </c>
      <c r="GQ10" t="e">
        <f>AND(Bills!I7,"AAAAAD///sY=")</f>
        <v>#VALUE!</v>
      </c>
      <c r="GR10" t="e">
        <f>AND(Bills!J7,"AAAAAD///sc=")</f>
        <v>#VALUE!</v>
      </c>
      <c r="GS10" t="e">
        <f>AND(Bills!#REF!,"AAAAAD///sg=")</f>
        <v>#REF!</v>
      </c>
      <c r="GT10" t="e">
        <f>AND(Bills!K7,"AAAAAD///sk=")</f>
        <v>#VALUE!</v>
      </c>
      <c r="GU10" t="e">
        <f>AND(Bills!L7,"AAAAAD///so=")</f>
        <v>#VALUE!</v>
      </c>
      <c r="GV10" t="e">
        <f>AND(Bills!M7,"AAAAAD///ss=")</f>
        <v>#VALUE!</v>
      </c>
      <c r="GW10" t="e">
        <f>AND(Bills!N7,"AAAAAD///sw=")</f>
        <v>#VALUE!</v>
      </c>
      <c r="GX10" t="e">
        <f>AND(Bills!O7,"AAAAAD///s0=")</f>
        <v>#VALUE!</v>
      </c>
      <c r="GY10" t="e">
        <f>AND(Bills!P7,"AAAAAD///s4=")</f>
        <v>#VALUE!</v>
      </c>
      <c r="GZ10" t="e">
        <f>AND(Bills!Q7,"AAAAAD///s8=")</f>
        <v>#VALUE!</v>
      </c>
      <c r="HA10" t="e">
        <f>AND(Bills!R7,"AAAAAD///tA=")</f>
        <v>#VALUE!</v>
      </c>
      <c r="HB10" t="e">
        <f>AND(Bills!#REF!,"AAAAAD///tE=")</f>
        <v>#REF!</v>
      </c>
      <c r="HC10" t="e">
        <f>AND(Bills!S7,"AAAAAD///tI=")</f>
        <v>#VALUE!</v>
      </c>
      <c r="HD10" t="e">
        <f>AND(Bills!T7,"AAAAAD///tM=")</f>
        <v>#VALUE!</v>
      </c>
      <c r="HE10" t="e">
        <f>AND(Bills!U7,"AAAAAD///tQ=")</f>
        <v>#VALUE!</v>
      </c>
      <c r="HF10" t="e">
        <f>AND(Bills!#REF!,"AAAAAD///tU=")</f>
        <v>#REF!</v>
      </c>
      <c r="HG10" t="e">
        <f>AND(Bills!#REF!,"AAAAAD///tY=")</f>
        <v>#REF!</v>
      </c>
      <c r="HH10" t="e">
        <f>AND(Bills!W7,"AAAAAD///tc=")</f>
        <v>#VALUE!</v>
      </c>
      <c r="HI10" t="e">
        <f>AND(Bills!X7,"AAAAAD///tg=")</f>
        <v>#VALUE!</v>
      </c>
      <c r="HJ10" t="e">
        <f>AND(Bills!#REF!,"AAAAAD///tk=")</f>
        <v>#REF!</v>
      </c>
      <c r="HK10" t="e">
        <f>AND(Bills!#REF!,"AAAAAD///to=")</f>
        <v>#REF!</v>
      </c>
      <c r="HL10" t="e">
        <f>AND(Bills!#REF!,"AAAAAD///ts=")</f>
        <v>#REF!</v>
      </c>
      <c r="HM10" t="e">
        <f>AND(Bills!#REF!,"AAAAAD///tw=")</f>
        <v>#REF!</v>
      </c>
      <c r="HN10" t="e">
        <f>AND(Bills!#REF!,"AAAAAD///t0=")</f>
        <v>#REF!</v>
      </c>
      <c r="HO10" t="e">
        <f>AND(Bills!#REF!,"AAAAAD///t4=")</f>
        <v>#REF!</v>
      </c>
      <c r="HP10" t="e">
        <f>AND(Bills!#REF!,"AAAAAD///t8=")</f>
        <v>#REF!</v>
      </c>
      <c r="HQ10" t="e">
        <f>AND(Bills!#REF!,"AAAAAD///uA=")</f>
        <v>#REF!</v>
      </c>
      <c r="HR10" t="e">
        <f>AND(Bills!#REF!,"AAAAAD///uE=")</f>
        <v>#REF!</v>
      </c>
      <c r="HS10" t="e">
        <f>AND(Bills!Y7,"AAAAAD///uI=")</f>
        <v>#VALUE!</v>
      </c>
      <c r="HT10" t="e">
        <f>AND(Bills!Z7,"AAAAAD///uM=")</f>
        <v>#VALUE!</v>
      </c>
      <c r="HU10" t="e">
        <f>AND(Bills!#REF!,"AAAAAD///uQ=")</f>
        <v>#REF!</v>
      </c>
      <c r="HV10" t="e">
        <f>AND(Bills!#REF!,"AAAAAD///uU=")</f>
        <v>#REF!</v>
      </c>
      <c r="HW10" t="e">
        <f>AND(Bills!#REF!,"AAAAAD///uY=")</f>
        <v>#REF!</v>
      </c>
      <c r="HX10" t="e">
        <f>AND(Bills!AA7,"AAAAAD///uc=")</f>
        <v>#VALUE!</v>
      </c>
      <c r="HY10" t="e">
        <f>AND(Bills!AB7,"AAAAAD///ug=")</f>
        <v>#VALUE!</v>
      </c>
      <c r="HZ10" t="e">
        <f>AND(Bills!#REF!,"AAAAAD///uk=")</f>
        <v>#REF!</v>
      </c>
      <c r="IA10" t="e">
        <f>IF(Bills!#REF!,"AAAAAD///uo=",0)</f>
        <v>#REF!</v>
      </c>
      <c r="IB10" t="e">
        <f>AND(Bills!#REF!,"AAAAAD///us=")</f>
        <v>#REF!</v>
      </c>
      <c r="IC10" t="e">
        <f>AND(Bills!#REF!,"AAAAAD///uw=")</f>
        <v>#REF!</v>
      </c>
      <c r="ID10" t="e">
        <f>AND(Bills!#REF!,"AAAAAD///u0=")</f>
        <v>#REF!</v>
      </c>
      <c r="IE10" t="e">
        <f>AND(Bills!#REF!,"AAAAAD///u4=")</f>
        <v>#REF!</v>
      </c>
      <c r="IF10" t="e">
        <f>AND(Bills!#REF!,"AAAAAD///u8=")</f>
        <v>#REF!</v>
      </c>
      <c r="IG10" t="e">
        <f>AND(Bills!#REF!,"AAAAAD///vA=")</f>
        <v>#REF!</v>
      </c>
      <c r="IH10" t="e">
        <f>AND(Bills!#REF!,"AAAAAD///vE=")</f>
        <v>#REF!</v>
      </c>
      <c r="II10" t="e">
        <f>AND(Bills!#REF!,"AAAAAD///vI=")</f>
        <v>#REF!</v>
      </c>
      <c r="IJ10" t="e">
        <f>AND(Bills!#REF!,"AAAAAD///vM=")</f>
        <v>#REF!</v>
      </c>
      <c r="IK10" t="e">
        <f>AND(Bills!#REF!,"AAAAAD///vQ=")</f>
        <v>#REF!</v>
      </c>
      <c r="IL10" t="e">
        <f>AND(Bills!#REF!,"AAAAAD///vU=")</f>
        <v>#REF!</v>
      </c>
      <c r="IM10" t="e">
        <f>AND(Bills!#REF!,"AAAAAD///vY=")</f>
        <v>#REF!</v>
      </c>
      <c r="IN10" t="e">
        <f>AND(Bills!#REF!,"AAAAAD///vc=")</f>
        <v>#REF!</v>
      </c>
      <c r="IO10" t="e">
        <f>AND(Bills!#REF!,"AAAAAD///vg=")</f>
        <v>#REF!</v>
      </c>
      <c r="IP10" t="e">
        <f>AND(Bills!#REF!,"AAAAAD///vk=")</f>
        <v>#REF!</v>
      </c>
      <c r="IQ10" t="e">
        <f>AND(Bills!#REF!,"AAAAAD///vo=")</f>
        <v>#REF!</v>
      </c>
      <c r="IR10" t="e">
        <f>AND(Bills!#REF!,"AAAAAD///vs=")</f>
        <v>#REF!</v>
      </c>
      <c r="IS10" t="e">
        <f>AND(Bills!#REF!,"AAAAAD///vw=")</f>
        <v>#REF!</v>
      </c>
      <c r="IT10" t="e">
        <f>AND(Bills!#REF!,"AAAAAD///v0=")</f>
        <v>#REF!</v>
      </c>
      <c r="IU10" t="e">
        <f>AND(Bills!#REF!,"AAAAAD///v4=")</f>
        <v>#REF!</v>
      </c>
      <c r="IV10" t="e">
        <f>AND(Bills!#REF!,"AAAAAD///v8=")</f>
        <v>#REF!</v>
      </c>
    </row>
    <row r="11" spans="1:256">
      <c r="A11" t="e">
        <f>AND(Bills!#REF!,"AAAAAG/++gA=")</f>
        <v>#REF!</v>
      </c>
      <c r="B11" t="e">
        <f>AND(Bills!#REF!,"AAAAAG/++gE=")</f>
        <v>#REF!</v>
      </c>
      <c r="C11" t="e">
        <f>AND(Bills!#REF!,"AAAAAG/++gI=")</f>
        <v>#REF!</v>
      </c>
      <c r="D11" t="e">
        <f>AND(Bills!#REF!,"AAAAAG/++gM=")</f>
        <v>#REF!</v>
      </c>
      <c r="E11" t="e">
        <f>AND(Bills!#REF!,"AAAAAG/++gQ=")</f>
        <v>#REF!</v>
      </c>
      <c r="F11" t="e">
        <f>AND(Bills!#REF!,"AAAAAG/++gU=")</f>
        <v>#REF!</v>
      </c>
      <c r="G11" t="e">
        <f>AND(Bills!#REF!,"AAAAAG/++gY=")</f>
        <v>#REF!</v>
      </c>
      <c r="H11" t="e">
        <f>AND(Bills!#REF!,"AAAAAG/++gc=")</f>
        <v>#REF!</v>
      </c>
      <c r="I11" t="e">
        <f>AND(Bills!#REF!,"AAAAAG/++gg=")</f>
        <v>#REF!</v>
      </c>
      <c r="J11" t="e">
        <f>AND(Bills!#REF!,"AAAAAG/++gk=")</f>
        <v>#REF!</v>
      </c>
      <c r="K11" t="e">
        <f>AND(Bills!#REF!,"AAAAAG/++go=")</f>
        <v>#REF!</v>
      </c>
      <c r="L11" t="e">
        <f>AND(Bills!#REF!,"AAAAAG/++gs=")</f>
        <v>#REF!</v>
      </c>
      <c r="M11" t="e">
        <f>AND(Bills!#REF!,"AAAAAG/++gw=")</f>
        <v>#REF!</v>
      </c>
      <c r="N11" t="e">
        <f>AND(Bills!#REF!,"AAAAAG/++g0=")</f>
        <v>#REF!</v>
      </c>
      <c r="O11" t="e">
        <f>AND(Bills!#REF!,"AAAAAG/++g4=")</f>
        <v>#REF!</v>
      </c>
      <c r="P11" t="e">
        <f>AND(Bills!#REF!,"AAAAAG/++g8=")</f>
        <v>#REF!</v>
      </c>
      <c r="Q11" t="e">
        <f>AND(Bills!#REF!,"AAAAAG/++hA=")</f>
        <v>#REF!</v>
      </c>
      <c r="R11" t="e">
        <f>AND(Bills!#REF!,"AAAAAG/++hE=")</f>
        <v>#REF!</v>
      </c>
      <c r="S11" t="e">
        <f>AND(Bills!#REF!,"AAAAAG/++hI=")</f>
        <v>#REF!</v>
      </c>
      <c r="T11" t="e">
        <f>AND(Bills!#REF!,"AAAAAG/++hM=")</f>
        <v>#REF!</v>
      </c>
      <c r="U11" t="e">
        <f>AND(Bills!#REF!,"AAAAAG/++hQ=")</f>
        <v>#REF!</v>
      </c>
      <c r="V11" t="e">
        <f>AND(Bills!#REF!,"AAAAAG/++hU=")</f>
        <v>#REF!</v>
      </c>
      <c r="W11" t="e">
        <f>AND(Bills!#REF!,"AAAAAG/++hY=")</f>
        <v>#REF!</v>
      </c>
      <c r="X11" t="e">
        <f>AND(Bills!#REF!,"AAAAAG/++hc=")</f>
        <v>#REF!</v>
      </c>
      <c r="Y11" t="e">
        <f>AND(Bills!#REF!,"AAAAAG/++hg=")</f>
        <v>#REF!</v>
      </c>
      <c r="Z11" t="e">
        <f>AND(Bills!#REF!,"AAAAAG/++hk=")</f>
        <v>#REF!</v>
      </c>
      <c r="AA11" t="e">
        <f>AND(Bills!#REF!,"AAAAAG/++ho=")</f>
        <v>#REF!</v>
      </c>
      <c r="AB11" t="e">
        <f>AND(Bills!#REF!,"AAAAAG/++hs=")</f>
        <v>#REF!</v>
      </c>
      <c r="AC11" t="e">
        <f>AND(Bills!#REF!,"AAAAAG/++hw=")</f>
        <v>#REF!</v>
      </c>
      <c r="AD11" t="e">
        <f>IF(Bills!#REF!,"AAAAAG/++h0=",0)</f>
        <v>#REF!</v>
      </c>
      <c r="AE11" t="e">
        <f>AND(Bills!#REF!,"AAAAAG/++h4=")</f>
        <v>#REF!</v>
      </c>
      <c r="AF11" t="e">
        <f>AND(Bills!#REF!,"AAAAAG/++h8=")</f>
        <v>#REF!</v>
      </c>
      <c r="AG11" t="e">
        <f>AND(Bills!#REF!,"AAAAAG/++iA=")</f>
        <v>#REF!</v>
      </c>
      <c r="AH11" t="e">
        <f>AND(Bills!#REF!,"AAAAAG/++iE=")</f>
        <v>#REF!</v>
      </c>
      <c r="AI11" t="e">
        <f>AND(Bills!#REF!,"AAAAAG/++iI=")</f>
        <v>#REF!</v>
      </c>
      <c r="AJ11" t="e">
        <f>AND(Bills!#REF!,"AAAAAG/++iM=")</f>
        <v>#REF!</v>
      </c>
      <c r="AK11" t="e">
        <f>AND(Bills!#REF!,"AAAAAG/++iQ=")</f>
        <v>#REF!</v>
      </c>
      <c r="AL11" t="e">
        <f>AND(Bills!#REF!,"AAAAAG/++iU=")</f>
        <v>#REF!</v>
      </c>
      <c r="AM11" t="e">
        <f>AND(Bills!#REF!,"AAAAAG/++iY=")</f>
        <v>#REF!</v>
      </c>
      <c r="AN11" t="e">
        <f>AND(Bills!#REF!,"AAAAAG/++ic=")</f>
        <v>#REF!</v>
      </c>
      <c r="AO11" t="e">
        <f>AND(Bills!#REF!,"AAAAAG/++ig=")</f>
        <v>#REF!</v>
      </c>
      <c r="AP11" t="e">
        <f>AND(Bills!#REF!,"AAAAAG/++ik=")</f>
        <v>#REF!</v>
      </c>
      <c r="AQ11" t="e">
        <f>AND(Bills!#REF!,"AAAAAG/++io=")</f>
        <v>#REF!</v>
      </c>
      <c r="AR11" t="e">
        <f>AND(Bills!#REF!,"AAAAAG/++is=")</f>
        <v>#REF!</v>
      </c>
      <c r="AS11" t="e">
        <f>AND(Bills!#REF!,"AAAAAG/++iw=")</f>
        <v>#REF!</v>
      </c>
      <c r="AT11" t="e">
        <f>AND(Bills!#REF!,"AAAAAG/++i0=")</f>
        <v>#REF!</v>
      </c>
      <c r="AU11" t="e">
        <f>AND(Bills!#REF!,"AAAAAG/++i4=")</f>
        <v>#REF!</v>
      </c>
      <c r="AV11" t="e">
        <f>AND(Bills!#REF!,"AAAAAG/++i8=")</f>
        <v>#REF!</v>
      </c>
      <c r="AW11" t="e">
        <f>AND(Bills!#REF!,"AAAAAG/++jA=")</f>
        <v>#REF!</v>
      </c>
      <c r="AX11" t="e">
        <f>AND(Bills!#REF!,"AAAAAG/++jE=")</f>
        <v>#REF!</v>
      </c>
      <c r="AY11" t="e">
        <f>AND(Bills!#REF!,"AAAAAG/++jI=")</f>
        <v>#REF!</v>
      </c>
      <c r="AZ11" t="e">
        <f>AND(Bills!#REF!,"AAAAAG/++jM=")</f>
        <v>#REF!</v>
      </c>
      <c r="BA11" t="e">
        <f>AND(Bills!#REF!,"AAAAAG/++jQ=")</f>
        <v>#REF!</v>
      </c>
      <c r="BB11" t="e">
        <f>AND(Bills!#REF!,"AAAAAG/++jU=")</f>
        <v>#REF!</v>
      </c>
      <c r="BC11" t="e">
        <f>AND(Bills!#REF!,"AAAAAG/++jY=")</f>
        <v>#REF!</v>
      </c>
      <c r="BD11" t="e">
        <f>AND(Bills!#REF!,"AAAAAG/++jc=")</f>
        <v>#REF!</v>
      </c>
      <c r="BE11" t="e">
        <f>AND(Bills!#REF!,"AAAAAG/++jg=")</f>
        <v>#REF!</v>
      </c>
      <c r="BF11" t="e">
        <f>AND(Bills!#REF!,"AAAAAG/++jk=")</f>
        <v>#REF!</v>
      </c>
      <c r="BG11" t="e">
        <f>AND(Bills!#REF!,"AAAAAG/++jo=")</f>
        <v>#REF!</v>
      </c>
      <c r="BH11" t="e">
        <f>AND(Bills!#REF!,"AAAAAG/++js=")</f>
        <v>#REF!</v>
      </c>
      <c r="BI11" t="e">
        <f>AND(Bills!#REF!,"AAAAAG/++jw=")</f>
        <v>#REF!</v>
      </c>
      <c r="BJ11" t="e">
        <f>AND(Bills!#REF!,"AAAAAG/++j0=")</f>
        <v>#REF!</v>
      </c>
      <c r="BK11" t="e">
        <f>AND(Bills!#REF!,"AAAAAG/++j4=")</f>
        <v>#REF!</v>
      </c>
      <c r="BL11" t="e">
        <f>AND(Bills!#REF!,"AAAAAG/++j8=")</f>
        <v>#REF!</v>
      </c>
      <c r="BM11" t="e">
        <f>AND(Bills!#REF!,"AAAAAG/++kA=")</f>
        <v>#REF!</v>
      </c>
      <c r="BN11" t="e">
        <f>AND(Bills!#REF!,"AAAAAG/++kE=")</f>
        <v>#REF!</v>
      </c>
      <c r="BO11" t="e">
        <f>AND(Bills!#REF!,"AAAAAG/++kI=")</f>
        <v>#REF!</v>
      </c>
      <c r="BP11" t="e">
        <f>AND(Bills!#REF!,"AAAAAG/++kM=")</f>
        <v>#REF!</v>
      </c>
      <c r="BQ11" t="e">
        <f>AND(Bills!#REF!,"AAAAAG/++kQ=")</f>
        <v>#REF!</v>
      </c>
      <c r="BR11" t="e">
        <f>AND(Bills!#REF!,"AAAAAG/++kU=")</f>
        <v>#REF!</v>
      </c>
      <c r="BS11" t="e">
        <f>AND(Bills!#REF!,"AAAAAG/++kY=")</f>
        <v>#REF!</v>
      </c>
      <c r="BT11" t="e">
        <f>AND(Bills!#REF!,"AAAAAG/++kc=")</f>
        <v>#REF!</v>
      </c>
      <c r="BU11" t="e">
        <f>AND(Bills!#REF!,"AAAAAG/++kg=")</f>
        <v>#REF!</v>
      </c>
      <c r="BV11" t="e">
        <f>AND(Bills!#REF!,"AAAAAG/++kk=")</f>
        <v>#REF!</v>
      </c>
      <c r="BW11" t="e">
        <f>AND(Bills!#REF!,"AAAAAG/++ko=")</f>
        <v>#REF!</v>
      </c>
      <c r="BX11" t="e">
        <f>AND(Bills!#REF!,"AAAAAG/++ks=")</f>
        <v>#REF!</v>
      </c>
      <c r="BY11" t="e">
        <f>AND(Bills!#REF!,"AAAAAG/++kw=")</f>
        <v>#REF!</v>
      </c>
      <c r="BZ11" t="e">
        <f>AND(Bills!#REF!,"AAAAAG/++k0=")</f>
        <v>#REF!</v>
      </c>
      <c r="CA11" t="e">
        <f>AND(Bills!#REF!,"AAAAAG/++k4=")</f>
        <v>#REF!</v>
      </c>
      <c r="CB11" t="e">
        <f>AND(Bills!#REF!,"AAAAAG/++k8=")</f>
        <v>#REF!</v>
      </c>
      <c r="CC11" t="e">
        <f>IF(Bills!#REF!,"AAAAAG/++lA=",0)</f>
        <v>#REF!</v>
      </c>
      <c r="CD11" t="e">
        <f>AND(Bills!#REF!,"AAAAAG/++lE=")</f>
        <v>#REF!</v>
      </c>
      <c r="CE11" t="e">
        <f>AND(Bills!#REF!,"AAAAAG/++lI=")</f>
        <v>#REF!</v>
      </c>
      <c r="CF11" t="e">
        <f>AND(Bills!#REF!,"AAAAAG/++lM=")</f>
        <v>#REF!</v>
      </c>
      <c r="CG11" t="e">
        <f>AND(Bills!#REF!,"AAAAAG/++lQ=")</f>
        <v>#REF!</v>
      </c>
      <c r="CH11" t="e">
        <f>AND(Bills!#REF!,"AAAAAG/++lU=")</f>
        <v>#REF!</v>
      </c>
      <c r="CI11" t="e">
        <f>AND(Bills!#REF!,"AAAAAG/++lY=")</f>
        <v>#REF!</v>
      </c>
      <c r="CJ11" t="e">
        <f>AND(Bills!#REF!,"AAAAAG/++lc=")</f>
        <v>#REF!</v>
      </c>
      <c r="CK11" t="e">
        <f>AND(Bills!#REF!,"AAAAAG/++lg=")</f>
        <v>#REF!</v>
      </c>
      <c r="CL11" t="e">
        <f>AND(Bills!#REF!,"AAAAAG/++lk=")</f>
        <v>#REF!</v>
      </c>
      <c r="CM11" t="e">
        <f>AND(Bills!#REF!,"AAAAAG/++lo=")</f>
        <v>#REF!</v>
      </c>
      <c r="CN11" t="e">
        <f>AND(Bills!#REF!,"AAAAAG/++ls=")</f>
        <v>#REF!</v>
      </c>
      <c r="CO11" t="e">
        <f>AND(Bills!#REF!,"AAAAAG/++lw=")</f>
        <v>#REF!</v>
      </c>
      <c r="CP11" t="e">
        <f>AND(Bills!#REF!,"AAAAAG/++l0=")</f>
        <v>#REF!</v>
      </c>
      <c r="CQ11" t="e">
        <f>AND(Bills!#REF!,"AAAAAG/++l4=")</f>
        <v>#REF!</v>
      </c>
      <c r="CR11" t="e">
        <f>AND(Bills!#REF!,"AAAAAG/++l8=")</f>
        <v>#REF!</v>
      </c>
      <c r="CS11" t="e">
        <f>AND(Bills!#REF!,"AAAAAG/++mA=")</f>
        <v>#REF!</v>
      </c>
      <c r="CT11" t="e">
        <f>AND(Bills!#REF!,"AAAAAG/++mE=")</f>
        <v>#REF!</v>
      </c>
      <c r="CU11" t="e">
        <f>AND(Bills!#REF!,"AAAAAG/++mI=")</f>
        <v>#REF!</v>
      </c>
      <c r="CV11" t="e">
        <f>AND(Bills!#REF!,"AAAAAG/++mM=")</f>
        <v>#REF!</v>
      </c>
      <c r="CW11" t="e">
        <f>AND(Bills!#REF!,"AAAAAG/++mQ=")</f>
        <v>#REF!</v>
      </c>
      <c r="CX11" t="e">
        <f>AND(Bills!#REF!,"AAAAAG/++mU=")</f>
        <v>#REF!</v>
      </c>
      <c r="CY11" t="e">
        <f>AND(Bills!#REF!,"AAAAAG/++mY=")</f>
        <v>#REF!</v>
      </c>
      <c r="CZ11" t="e">
        <f>AND(Bills!#REF!,"AAAAAG/++mc=")</f>
        <v>#REF!</v>
      </c>
      <c r="DA11" t="e">
        <f>AND(Bills!#REF!,"AAAAAG/++mg=")</f>
        <v>#REF!</v>
      </c>
      <c r="DB11" t="e">
        <f>AND(Bills!#REF!,"AAAAAG/++mk=")</f>
        <v>#REF!</v>
      </c>
      <c r="DC11" t="e">
        <f>AND(Bills!#REF!,"AAAAAG/++mo=")</f>
        <v>#REF!</v>
      </c>
      <c r="DD11" t="e">
        <f>AND(Bills!#REF!,"AAAAAG/++ms=")</f>
        <v>#REF!</v>
      </c>
      <c r="DE11" t="e">
        <f>AND(Bills!#REF!,"AAAAAG/++mw=")</f>
        <v>#REF!</v>
      </c>
      <c r="DF11" t="e">
        <f>AND(Bills!#REF!,"AAAAAG/++m0=")</f>
        <v>#REF!</v>
      </c>
      <c r="DG11" t="e">
        <f>AND(Bills!#REF!,"AAAAAG/++m4=")</f>
        <v>#REF!</v>
      </c>
      <c r="DH11" t="e">
        <f>AND(Bills!#REF!,"AAAAAG/++m8=")</f>
        <v>#REF!</v>
      </c>
      <c r="DI11" t="e">
        <f>AND(Bills!#REF!,"AAAAAG/++nA=")</f>
        <v>#REF!</v>
      </c>
      <c r="DJ11" t="e">
        <f>AND(Bills!#REF!,"AAAAAG/++nE=")</f>
        <v>#REF!</v>
      </c>
      <c r="DK11" t="e">
        <f>AND(Bills!#REF!,"AAAAAG/++nI=")</f>
        <v>#REF!</v>
      </c>
      <c r="DL11" t="e">
        <f>AND(Bills!#REF!,"AAAAAG/++nM=")</f>
        <v>#REF!</v>
      </c>
      <c r="DM11" t="e">
        <f>AND(Bills!#REF!,"AAAAAG/++nQ=")</f>
        <v>#REF!</v>
      </c>
      <c r="DN11" t="e">
        <f>AND(Bills!#REF!,"AAAAAG/++nU=")</f>
        <v>#REF!</v>
      </c>
      <c r="DO11" t="e">
        <f>AND(Bills!#REF!,"AAAAAG/++nY=")</f>
        <v>#REF!</v>
      </c>
      <c r="DP11" t="e">
        <f>AND(Bills!#REF!,"AAAAAG/++nc=")</f>
        <v>#REF!</v>
      </c>
      <c r="DQ11" t="e">
        <f>AND(Bills!#REF!,"AAAAAG/++ng=")</f>
        <v>#REF!</v>
      </c>
      <c r="DR11" t="e">
        <f>AND(Bills!#REF!,"AAAAAG/++nk=")</f>
        <v>#REF!</v>
      </c>
      <c r="DS11" t="e">
        <f>AND(Bills!#REF!,"AAAAAG/++no=")</f>
        <v>#REF!</v>
      </c>
      <c r="DT11" t="e">
        <f>AND(Bills!#REF!,"AAAAAG/++ns=")</f>
        <v>#REF!</v>
      </c>
      <c r="DU11" t="e">
        <f>AND(Bills!#REF!,"AAAAAG/++nw=")</f>
        <v>#REF!</v>
      </c>
      <c r="DV11" t="e">
        <f>AND(Bills!#REF!,"AAAAAG/++n0=")</f>
        <v>#REF!</v>
      </c>
      <c r="DW11" t="e">
        <f>AND(Bills!#REF!,"AAAAAG/++n4=")</f>
        <v>#REF!</v>
      </c>
      <c r="DX11" t="e">
        <f>AND(Bills!#REF!,"AAAAAG/++n8=")</f>
        <v>#REF!</v>
      </c>
      <c r="DY11" t="e">
        <f>AND(Bills!#REF!,"AAAAAG/++oA=")</f>
        <v>#REF!</v>
      </c>
      <c r="DZ11" t="e">
        <f>AND(Bills!#REF!,"AAAAAG/++oE=")</f>
        <v>#REF!</v>
      </c>
      <c r="EA11" t="e">
        <f>AND(Bills!#REF!,"AAAAAG/++oI=")</f>
        <v>#REF!</v>
      </c>
      <c r="EB11" t="e">
        <f>IF(Bills!#REF!,"AAAAAG/++oM=",0)</f>
        <v>#REF!</v>
      </c>
      <c r="EC11" t="e">
        <f>AND(Bills!#REF!,"AAAAAG/++oQ=")</f>
        <v>#REF!</v>
      </c>
      <c r="ED11" t="e">
        <f>AND(Bills!#REF!,"AAAAAG/++oU=")</f>
        <v>#REF!</v>
      </c>
      <c r="EE11" t="e">
        <f>AND(Bills!#REF!,"AAAAAG/++oY=")</f>
        <v>#REF!</v>
      </c>
      <c r="EF11" t="e">
        <f>AND(Bills!#REF!,"AAAAAG/++oc=")</f>
        <v>#REF!</v>
      </c>
      <c r="EG11" t="e">
        <f>AND(Bills!#REF!,"AAAAAG/++og=")</f>
        <v>#REF!</v>
      </c>
      <c r="EH11" t="e">
        <f>AND(Bills!#REF!,"AAAAAG/++ok=")</f>
        <v>#REF!</v>
      </c>
      <c r="EI11" t="e">
        <f>AND(Bills!#REF!,"AAAAAG/++oo=")</f>
        <v>#REF!</v>
      </c>
      <c r="EJ11" t="e">
        <f>AND(Bills!#REF!,"AAAAAG/++os=")</f>
        <v>#REF!</v>
      </c>
      <c r="EK11" t="e">
        <f>AND(Bills!#REF!,"AAAAAG/++ow=")</f>
        <v>#REF!</v>
      </c>
      <c r="EL11" t="e">
        <f>AND(Bills!#REF!,"AAAAAG/++o0=")</f>
        <v>#REF!</v>
      </c>
      <c r="EM11" t="e">
        <f>AND(Bills!#REF!,"AAAAAG/++o4=")</f>
        <v>#REF!</v>
      </c>
      <c r="EN11" t="e">
        <f>AND(Bills!#REF!,"AAAAAG/++o8=")</f>
        <v>#REF!</v>
      </c>
      <c r="EO11" t="e">
        <f>AND(Bills!#REF!,"AAAAAG/++pA=")</f>
        <v>#REF!</v>
      </c>
      <c r="EP11" t="e">
        <f>AND(Bills!#REF!,"AAAAAG/++pE=")</f>
        <v>#REF!</v>
      </c>
      <c r="EQ11" t="e">
        <f>AND(Bills!#REF!,"AAAAAG/++pI=")</f>
        <v>#REF!</v>
      </c>
      <c r="ER11" t="e">
        <f>AND(Bills!#REF!,"AAAAAG/++pM=")</f>
        <v>#REF!</v>
      </c>
      <c r="ES11" t="e">
        <f>AND(Bills!#REF!,"AAAAAG/++pQ=")</f>
        <v>#REF!</v>
      </c>
      <c r="ET11" t="e">
        <f>AND(Bills!#REF!,"AAAAAG/++pU=")</f>
        <v>#REF!</v>
      </c>
      <c r="EU11" t="e">
        <f>AND(Bills!#REF!,"AAAAAG/++pY=")</f>
        <v>#REF!</v>
      </c>
      <c r="EV11" t="e">
        <f>AND(Bills!#REF!,"AAAAAG/++pc=")</f>
        <v>#REF!</v>
      </c>
      <c r="EW11" t="e">
        <f>AND(Bills!#REF!,"AAAAAG/++pg=")</f>
        <v>#REF!</v>
      </c>
      <c r="EX11" t="e">
        <f>AND(Bills!#REF!,"AAAAAG/++pk=")</f>
        <v>#REF!</v>
      </c>
      <c r="EY11" t="e">
        <f>AND(Bills!#REF!,"AAAAAG/++po=")</f>
        <v>#REF!</v>
      </c>
      <c r="EZ11" t="e">
        <f>AND(Bills!#REF!,"AAAAAG/++ps=")</f>
        <v>#REF!</v>
      </c>
      <c r="FA11" t="e">
        <f>AND(Bills!#REF!,"AAAAAG/++pw=")</f>
        <v>#REF!</v>
      </c>
      <c r="FB11" t="e">
        <f>AND(Bills!#REF!,"AAAAAG/++p0=")</f>
        <v>#REF!</v>
      </c>
      <c r="FC11" t="e">
        <f>AND(Bills!#REF!,"AAAAAG/++p4=")</f>
        <v>#REF!</v>
      </c>
      <c r="FD11" t="e">
        <f>AND(Bills!#REF!,"AAAAAG/++p8=")</f>
        <v>#REF!</v>
      </c>
      <c r="FE11" t="e">
        <f>AND(Bills!#REF!,"AAAAAG/++qA=")</f>
        <v>#REF!</v>
      </c>
      <c r="FF11" t="e">
        <f>AND(Bills!#REF!,"AAAAAG/++qE=")</f>
        <v>#REF!</v>
      </c>
      <c r="FG11" t="e">
        <f>AND(Bills!#REF!,"AAAAAG/++qI=")</f>
        <v>#REF!</v>
      </c>
      <c r="FH11" t="e">
        <f>AND(Bills!#REF!,"AAAAAG/++qM=")</f>
        <v>#REF!</v>
      </c>
      <c r="FI11" t="e">
        <f>AND(Bills!#REF!,"AAAAAG/++qQ=")</f>
        <v>#REF!</v>
      </c>
      <c r="FJ11" t="e">
        <f>AND(Bills!#REF!,"AAAAAG/++qU=")</f>
        <v>#REF!</v>
      </c>
      <c r="FK11" t="e">
        <f>AND(Bills!#REF!,"AAAAAG/++qY=")</f>
        <v>#REF!</v>
      </c>
      <c r="FL11" t="e">
        <f>AND(Bills!#REF!,"AAAAAG/++qc=")</f>
        <v>#REF!</v>
      </c>
      <c r="FM11" t="e">
        <f>AND(Bills!#REF!,"AAAAAG/++qg=")</f>
        <v>#REF!</v>
      </c>
      <c r="FN11" t="e">
        <f>AND(Bills!#REF!,"AAAAAG/++qk=")</f>
        <v>#REF!</v>
      </c>
      <c r="FO11" t="e">
        <f>AND(Bills!#REF!,"AAAAAG/++qo=")</f>
        <v>#REF!</v>
      </c>
      <c r="FP11" t="e">
        <f>AND(Bills!#REF!,"AAAAAG/++qs=")</f>
        <v>#REF!</v>
      </c>
      <c r="FQ11" t="e">
        <f>AND(Bills!#REF!,"AAAAAG/++qw=")</f>
        <v>#REF!</v>
      </c>
      <c r="FR11" t="e">
        <f>AND(Bills!#REF!,"AAAAAG/++q0=")</f>
        <v>#REF!</v>
      </c>
      <c r="FS11" t="e">
        <f>AND(Bills!#REF!,"AAAAAG/++q4=")</f>
        <v>#REF!</v>
      </c>
      <c r="FT11" t="e">
        <f>AND(Bills!#REF!,"AAAAAG/++q8=")</f>
        <v>#REF!</v>
      </c>
      <c r="FU11" t="e">
        <f>AND(Bills!#REF!,"AAAAAG/++rA=")</f>
        <v>#REF!</v>
      </c>
      <c r="FV11" t="e">
        <f>AND(Bills!#REF!,"AAAAAG/++rE=")</f>
        <v>#REF!</v>
      </c>
      <c r="FW11" t="e">
        <f>AND(Bills!#REF!,"AAAAAG/++rI=")</f>
        <v>#REF!</v>
      </c>
      <c r="FX11" t="e">
        <f>AND(Bills!#REF!,"AAAAAG/++rM=")</f>
        <v>#REF!</v>
      </c>
      <c r="FY11" t="e">
        <f>AND(Bills!#REF!,"AAAAAG/++rQ=")</f>
        <v>#REF!</v>
      </c>
      <c r="FZ11" t="e">
        <f>AND(Bills!#REF!,"AAAAAG/++rU=")</f>
        <v>#REF!</v>
      </c>
      <c r="GA11" t="e">
        <f>IF(Bills!#REF!,"AAAAAG/++rY=",0)</f>
        <v>#REF!</v>
      </c>
      <c r="GB11" t="e">
        <f>AND(Bills!#REF!,"AAAAAG/++rc=")</f>
        <v>#REF!</v>
      </c>
      <c r="GC11" t="e">
        <f>AND(Bills!#REF!,"AAAAAG/++rg=")</f>
        <v>#REF!</v>
      </c>
      <c r="GD11" t="e">
        <f>AND(Bills!#REF!,"AAAAAG/++rk=")</f>
        <v>#REF!</v>
      </c>
      <c r="GE11" t="e">
        <f>AND(Bills!#REF!,"AAAAAG/++ro=")</f>
        <v>#REF!</v>
      </c>
      <c r="GF11" t="e">
        <f>AND(Bills!#REF!,"AAAAAG/++rs=")</f>
        <v>#REF!</v>
      </c>
      <c r="GG11" t="e">
        <f>AND(Bills!#REF!,"AAAAAG/++rw=")</f>
        <v>#REF!</v>
      </c>
      <c r="GH11" t="e">
        <f>AND(Bills!#REF!,"AAAAAG/++r0=")</f>
        <v>#REF!</v>
      </c>
      <c r="GI11" t="e">
        <f>AND(Bills!#REF!,"AAAAAG/++r4=")</f>
        <v>#REF!</v>
      </c>
      <c r="GJ11" t="e">
        <f>AND(Bills!#REF!,"AAAAAG/++r8=")</f>
        <v>#REF!</v>
      </c>
      <c r="GK11" t="e">
        <f>AND(Bills!#REF!,"AAAAAG/++sA=")</f>
        <v>#REF!</v>
      </c>
      <c r="GL11" t="e">
        <f>AND(Bills!#REF!,"AAAAAG/++sE=")</f>
        <v>#REF!</v>
      </c>
      <c r="GM11" t="e">
        <f>AND(Bills!#REF!,"AAAAAG/++sI=")</f>
        <v>#REF!</v>
      </c>
      <c r="GN11" t="e">
        <f>AND(Bills!#REF!,"AAAAAG/++sM=")</f>
        <v>#REF!</v>
      </c>
      <c r="GO11" t="e">
        <f>AND(Bills!#REF!,"AAAAAG/++sQ=")</f>
        <v>#REF!</v>
      </c>
      <c r="GP11" t="e">
        <f>AND(Bills!#REF!,"AAAAAG/++sU=")</f>
        <v>#REF!</v>
      </c>
      <c r="GQ11" t="e">
        <f>AND(Bills!#REF!,"AAAAAG/++sY=")</f>
        <v>#REF!</v>
      </c>
      <c r="GR11" t="e">
        <f>AND(Bills!#REF!,"AAAAAG/++sc=")</f>
        <v>#REF!</v>
      </c>
      <c r="GS11" t="e">
        <f>AND(Bills!#REF!,"AAAAAG/++sg=")</f>
        <v>#REF!</v>
      </c>
      <c r="GT11" t="e">
        <f>AND(Bills!#REF!,"AAAAAG/++sk=")</f>
        <v>#REF!</v>
      </c>
      <c r="GU11" t="e">
        <f>AND(Bills!#REF!,"AAAAAG/++so=")</f>
        <v>#REF!</v>
      </c>
      <c r="GV11" t="e">
        <f>AND(Bills!#REF!,"AAAAAG/++ss=")</f>
        <v>#REF!</v>
      </c>
      <c r="GW11" t="e">
        <f>AND(Bills!#REF!,"AAAAAG/++sw=")</f>
        <v>#REF!</v>
      </c>
      <c r="GX11" t="e">
        <f>AND(Bills!#REF!,"AAAAAG/++s0=")</f>
        <v>#REF!</v>
      </c>
      <c r="GY11" t="e">
        <f>AND(Bills!#REF!,"AAAAAG/++s4=")</f>
        <v>#REF!</v>
      </c>
      <c r="GZ11" t="e">
        <f>AND(Bills!#REF!,"AAAAAG/++s8=")</f>
        <v>#REF!</v>
      </c>
      <c r="HA11" t="e">
        <f>AND(Bills!#REF!,"AAAAAG/++tA=")</f>
        <v>#REF!</v>
      </c>
      <c r="HB11" t="e">
        <f>AND(Bills!#REF!,"AAAAAG/++tE=")</f>
        <v>#REF!</v>
      </c>
      <c r="HC11" t="e">
        <f>AND(Bills!#REF!,"AAAAAG/++tI=")</f>
        <v>#REF!</v>
      </c>
      <c r="HD11" t="e">
        <f>AND(Bills!#REF!,"AAAAAG/++tM=")</f>
        <v>#REF!</v>
      </c>
      <c r="HE11" t="e">
        <f>AND(Bills!#REF!,"AAAAAG/++tQ=")</f>
        <v>#REF!</v>
      </c>
      <c r="HF11" t="e">
        <f>AND(Bills!#REF!,"AAAAAG/++tU=")</f>
        <v>#REF!</v>
      </c>
      <c r="HG11" t="e">
        <f>AND(Bills!#REF!,"AAAAAG/++tY=")</f>
        <v>#REF!</v>
      </c>
      <c r="HH11" t="e">
        <f>AND(Bills!#REF!,"AAAAAG/++tc=")</f>
        <v>#REF!</v>
      </c>
      <c r="HI11" t="e">
        <f>AND(Bills!#REF!,"AAAAAG/++tg=")</f>
        <v>#REF!</v>
      </c>
      <c r="HJ11" t="e">
        <f>AND(Bills!#REF!,"AAAAAG/++tk=")</f>
        <v>#REF!</v>
      </c>
      <c r="HK11" t="e">
        <f>AND(Bills!#REF!,"AAAAAG/++to=")</f>
        <v>#REF!</v>
      </c>
      <c r="HL11" t="e">
        <f>AND(Bills!#REF!,"AAAAAG/++ts=")</f>
        <v>#REF!</v>
      </c>
      <c r="HM11" t="e">
        <f>AND(Bills!#REF!,"AAAAAG/++tw=")</f>
        <v>#REF!</v>
      </c>
      <c r="HN11" t="e">
        <f>AND(Bills!#REF!,"AAAAAG/++t0=")</f>
        <v>#REF!</v>
      </c>
      <c r="HO11" t="e">
        <f>AND(Bills!#REF!,"AAAAAG/++t4=")</f>
        <v>#REF!</v>
      </c>
      <c r="HP11" t="e">
        <f>AND(Bills!#REF!,"AAAAAG/++t8=")</f>
        <v>#REF!</v>
      </c>
      <c r="HQ11" t="e">
        <f>AND(Bills!#REF!,"AAAAAG/++uA=")</f>
        <v>#REF!</v>
      </c>
      <c r="HR11" t="e">
        <f>AND(Bills!#REF!,"AAAAAG/++uE=")</f>
        <v>#REF!</v>
      </c>
      <c r="HS11" t="e">
        <f>AND(Bills!#REF!,"AAAAAG/++uI=")</f>
        <v>#REF!</v>
      </c>
      <c r="HT11" t="e">
        <f>AND(Bills!#REF!,"AAAAAG/++uM=")</f>
        <v>#REF!</v>
      </c>
      <c r="HU11" t="e">
        <f>AND(Bills!#REF!,"AAAAAG/++uQ=")</f>
        <v>#REF!</v>
      </c>
      <c r="HV11" t="e">
        <f>AND(Bills!#REF!,"AAAAAG/++uU=")</f>
        <v>#REF!</v>
      </c>
      <c r="HW11" t="e">
        <f>AND(Bills!#REF!,"AAAAAG/++uY=")</f>
        <v>#REF!</v>
      </c>
      <c r="HX11" t="e">
        <f>AND(Bills!#REF!,"AAAAAG/++uc=")</f>
        <v>#REF!</v>
      </c>
      <c r="HY11" t="e">
        <f>AND(Bills!#REF!,"AAAAAG/++ug=")</f>
        <v>#REF!</v>
      </c>
      <c r="HZ11" t="e">
        <f>IF(Bills!#REF!,"AAAAAG/++uk=",0)</f>
        <v>#REF!</v>
      </c>
      <c r="IA11" t="e">
        <f>AND(Bills!#REF!,"AAAAAG/++uo=")</f>
        <v>#REF!</v>
      </c>
      <c r="IB11" t="e">
        <f>AND(Bills!#REF!,"AAAAAG/++us=")</f>
        <v>#REF!</v>
      </c>
      <c r="IC11" t="e">
        <f>AND(Bills!#REF!,"AAAAAG/++uw=")</f>
        <v>#REF!</v>
      </c>
      <c r="ID11" t="e">
        <f>AND(Bills!#REF!,"AAAAAG/++u0=")</f>
        <v>#REF!</v>
      </c>
      <c r="IE11" t="e">
        <f>AND(Bills!#REF!,"AAAAAG/++u4=")</f>
        <v>#REF!</v>
      </c>
      <c r="IF11" t="e">
        <f>AND(Bills!#REF!,"AAAAAG/++u8=")</f>
        <v>#REF!</v>
      </c>
      <c r="IG11" t="e">
        <f>AND(Bills!#REF!,"AAAAAG/++vA=")</f>
        <v>#REF!</v>
      </c>
      <c r="IH11" t="e">
        <f>AND(Bills!#REF!,"AAAAAG/++vE=")</f>
        <v>#REF!</v>
      </c>
      <c r="II11" t="e">
        <f>AND(Bills!#REF!,"AAAAAG/++vI=")</f>
        <v>#REF!</v>
      </c>
      <c r="IJ11" t="e">
        <f>AND(Bills!#REF!,"AAAAAG/++vM=")</f>
        <v>#REF!</v>
      </c>
      <c r="IK11" t="e">
        <f>AND(Bills!#REF!,"AAAAAG/++vQ=")</f>
        <v>#REF!</v>
      </c>
      <c r="IL11" t="e">
        <f>AND(Bills!#REF!,"AAAAAG/++vU=")</f>
        <v>#REF!</v>
      </c>
      <c r="IM11" t="e">
        <f>AND(Bills!#REF!,"AAAAAG/++vY=")</f>
        <v>#REF!</v>
      </c>
      <c r="IN11" t="e">
        <f>AND(Bills!#REF!,"AAAAAG/++vc=")</f>
        <v>#REF!</v>
      </c>
      <c r="IO11" t="e">
        <f>AND(Bills!#REF!,"AAAAAG/++vg=")</f>
        <v>#REF!</v>
      </c>
      <c r="IP11" t="e">
        <f>AND(Bills!#REF!,"AAAAAG/++vk=")</f>
        <v>#REF!</v>
      </c>
      <c r="IQ11" t="e">
        <f>AND(Bills!#REF!,"AAAAAG/++vo=")</f>
        <v>#REF!</v>
      </c>
      <c r="IR11" t="e">
        <f>AND(Bills!#REF!,"AAAAAG/++vs=")</f>
        <v>#REF!</v>
      </c>
      <c r="IS11" t="e">
        <f>AND(Bills!#REF!,"AAAAAG/++vw=")</f>
        <v>#REF!</v>
      </c>
      <c r="IT11" t="e">
        <f>AND(Bills!#REF!,"AAAAAG/++v0=")</f>
        <v>#REF!</v>
      </c>
      <c r="IU11" t="e">
        <f>AND(Bills!#REF!,"AAAAAG/++v4=")</f>
        <v>#REF!</v>
      </c>
      <c r="IV11" t="e">
        <f>AND(Bills!#REF!,"AAAAAG/++v8=")</f>
        <v>#REF!</v>
      </c>
    </row>
    <row r="12" spans="1:256">
      <c r="A12" t="e">
        <f>AND(Bills!#REF!,"AAAAAFv/+gA=")</f>
        <v>#REF!</v>
      </c>
      <c r="B12" t="e">
        <f>AND(Bills!#REF!,"AAAAAFv/+gE=")</f>
        <v>#REF!</v>
      </c>
      <c r="C12" t="e">
        <f>AND(Bills!#REF!,"AAAAAFv/+gI=")</f>
        <v>#REF!</v>
      </c>
      <c r="D12" t="e">
        <f>AND(Bills!#REF!,"AAAAAFv/+gM=")</f>
        <v>#REF!</v>
      </c>
      <c r="E12" t="e">
        <f>AND(Bills!#REF!,"AAAAAFv/+gQ=")</f>
        <v>#REF!</v>
      </c>
      <c r="F12" t="e">
        <f>AND(Bills!#REF!,"AAAAAFv/+gU=")</f>
        <v>#REF!</v>
      </c>
      <c r="G12" t="e">
        <f>AND(Bills!#REF!,"AAAAAFv/+gY=")</f>
        <v>#REF!</v>
      </c>
      <c r="H12" t="e">
        <f>AND(Bills!#REF!,"AAAAAFv/+gc=")</f>
        <v>#REF!</v>
      </c>
      <c r="I12" t="e">
        <f>AND(Bills!#REF!,"AAAAAFv/+gg=")</f>
        <v>#REF!</v>
      </c>
      <c r="J12" t="e">
        <f>AND(Bills!#REF!,"AAAAAFv/+gk=")</f>
        <v>#REF!</v>
      </c>
      <c r="K12" t="e">
        <f>AND(Bills!#REF!,"AAAAAFv/+go=")</f>
        <v>#REF!</v>
      </c>
      <c r="L12" t="e">
        <f>AND(Bills!#REF!,"AAAAAFv/+gs=")</f>
        <v>#REF!</v>
      </c>
      <c r="M12" t="e">
        <f>AND(Bills!#REF!,"AAAAAFv/+gw=")</f>
        <v>#REF!</v>
      </c>
      <c r="N12" t="e">
        <f>AND(Bills!#REF!,"AAAAAFv/+g0=")</f>
        <v>#REF!</v>
      </c>
      <c r="O12" t="e">
        <f>AND(Bills!#REF!,"AAAAAFv/+g4=")</f>
        <v>#REF!</v>
      </c>
      <c r="P12" t="e">
        <f>AND(Bills!#REF!,"AAAAAFv/+g8=")</f>
        <v>#REF!</v>
      </c>
      <c r="Q12" t="e">
        <f>AND(Bills!#REF!,"AAAAAFv/+hA=")</f>
        <v>#REF!</v>
      </c>
      <c r="R12" t="e">
        <f>AND(Bills!#REF!,"AAAAAFv/+hE=")</f>
        <v>#REF!</v>
      </c>
      <c r="S12" t="e">
        <f>AND(Bills!#REF!,"AAAAAFv/+hI=")</f>
        <v>#REF!</v>
      </c>
      <c r="T12" t="e">
        <f>AND(Bills!#REF!,"AAAAAFv/+hM=")</f>
        <v>#REF!</v>
      </c>
      <c r="U12" t="e">
        <f>AND(Bills!#REF!,"AAAAAFv/+hQ=")</f>
        <v>#REF!</v>
      </c>
      <c r="V12" t="e">
        <f>AND(Bills!#REF!,"AAAAAFv/+hU=")</f>
        <v>#REF!</v>
      </c>
      <c r="W12" t="e">
        <f>AND(Bills!#REF!,"AAAAAFv/+hY=")</f>
        <v>#REF!</v>
      </c>
      <c r="X12" t="e">
        <f>AND(Bills!#REF!,"AAAAAFv/+hc=")</f>
        <v>#REF!</v>
      </c>
      <c r="Y12" t="e">
        <f>AND(Bills!#REF!,"AAAAAFv/+hg=")</f>
        <v>#REF!</v>
      </c>
      <c r="Z12" t="e">
        <f>AND(Bills!#REF!,"AAAAAFv/+hk=")</f>
        <v>#REF!</v>
      </c>
      <c r="AA12" t="e">
        <f>AND(Bills!#REF!,"AAAAAFv/+ho=")</f>
        <v>#REF!</v>
      </c>
      <c r="AB12" t="e">
        <f>AND(Bills!#REF!,"AAAAAFv/+hs=")</f>
        <v>#REF!</v>
      </c>
      <c r="AC12" t="e">
        <f>IF(Bills!#REF!,"AAAAAFv/+hw=",0)</f>
        <v>#REF!</v>
      </c>
      <c r="AD12" t="e">
        <f>AND(Bills!#REF!,"AAAAAFv/+h0=")</f>
        <v>#REF!</v>
      </c>
      <c r="AE12" t="e">
        <f>AND(Bills!#REF!,"AAAAAFv/+h4=")</f>
        <v>#REF!</v>
      </c>
      <c r="AF12" t="e">
        <f>AND(Bills!#REF!,"AAAAAFv/+h8=")</f>
        <v>#REF!</v>
      </c>
      <c r="AG12" t="e">
        <f>AND(Bills!#REF!,"AAAAAFv/+iA=")</f>
        <v>#REF!</v>
      </c>
      <c r="AH12" t="e">
        <f>AND(Bills!#REF!,"AAAAAFv/+iE=")</f>
        <v>#REF!</v>
      </c>
      <c r="AI12" t="e">
        <f>AND(Bills!#REF!,"AAAAAFv/+iI=")</f>
        <v>#REF!</v>
      </c>
      <c r="AJ12" t="e">
        <f>AND(Bills!#REF!,"AAAAAFv/+iM=")</f>
        <v>#REF!</v>
      </c>
      <c r="AK12" t="e">
        <f>AND(Bills!#REF!,"AAAAAFv/+iQ=")</f>
        <v>#REF!</v>
      </c>
      <c r="AL12" t="e">
        <f>AND(Bills!#REF!,"AAAAAFv/+iU=")</f>
        <v>#REF!</v>
      </c>
      <c r="AM12" t="e">
        <f>AND(Bills!#REF!,"AAAAAFv/+iY=")</f>
        <v>#REF!</v>
      </c>
      <c r="AN12" t="e">
        <f>AND(Bills!#REF!,"AAAAAFv/+ic=")</f>
        <v>#REF!</v>
      </c>
      <c r="AO12" t="e">
        <f>AND(Bills!#REF!,"AAAAAFv/+ig=")</f>
        <v>#REF!</v>
      </c>
      <c r="AP12" t="e">
        <f>AND(Bills!#REF!,"AAAAAFv/+ik=")</f>
        <v>#REF!</v>
      </c>
      <c r="AQ12" t="e">
        <f>AND(Bills!#REF!,"AAAAAFv/+io=")</f>
        <v>#REF!</v>
      </c>
      <c r="AR12" t="e">
        <f>AND(Bills!#REF!,"AAAAAFv/+is=")</f>
        <v>#REF!</v>
      </c>
      <c r="AS12" t="e">
        <f>AND(Bills!#REF!,"AAAAAFv/+iw=")</f>
        <v>#REF!</v>
      </c>
      <c r="AT12" t="e">
        <f>AND(Bills!#REF!,"AAAAAFv/+i0=")</f>
        <v>#REF!</v>
      </c>
      <c r="AU12" t="e">
        <f>AND(Bills!#REF!,"AAAAAFv/+i4=")</f>
        <v>#REF!</v>
      </c>
      <c r="AV12" t="e">
        <f>AND(Bills!#REF!,"AAAAAFv/+i8=")</f>
        <v>#REF!</v>
      </c>
      <c r="AW12" t="e">
        <f>AND(Bills!#REF!,"AAAAAFv/+jA=")</f>
        <v>#REF!</v>
      </c>
      <c r="AX12" t="e">
        <f>AND(Bills!#REF!,"AAAAAFv/+jE=")</f>
        <v>#REF!</v>
      </c>
      <c r="AY12" t="e">
        <f>AND(Bills!#REF!,"AAAAAFv/+jI=")</f>
        <v>#REF!</v>
      </c>
      <c r="AZ12" t="e">
        <f>AND(Bills!#REF!,"AAAAAFv/+jM=")</f>
        <v>#REF!</v>
      </c>
      <c r="BA12" t="e">
        <f>AND(Bills!#REF!,"AAAAAFv/+jQ=")</f>
        <v>#REF!</v>
      </c>
      <c r="BB12" t="e">
        <f>AND(Bills!#REF!,"AAAAAFv/+jU=")</f>
        <v>#REF!</v>
      </c>
      <c r="BC12" t="e">
        <f>AND(Bills!#REF!,"AAAAAFv/+jY=")</f>
        <v>#REF!</v>
      </c>
      <c r="BD12" t="e">
        <f>AND(Bills!#REF!,"AAAAAFv/+jc=")</f>
        <v>#REF!</v>
      </c>
      <c r="BE12" t="e">
        <f>AND(Bills!#REF!,"AAAAAFv/+jg=")</f>
        <v>#REF!</v>
      </c>
      <c r="BF12" t="e">
        <f>AND(Bills!#REF!,"AAAAAFv/+jk=")</f>
        <v>#REF!</v>
      </c>
      <c r="BG12" t="e">
        <f>AND(Bills!#REF!,"AAAAAFv/+jo=")</f>
        <v>#REF!</v>
      </c>
      <c r="BH12" t="e">
        <f>AND(Bills!#REF!,"AAAAAFv/+js=")</f>
        <v>#REF!</v>
      </c>
      <c r="BI12" t="e">
        <f>AND(Bills!#REF!,"AAAAAFv/+jw=")</f>
        <v>#REF!</v>
      </c>
      <c r="BJ12" t="e">
        <f>AND(Bills!#REF!,"AAAAAFv/+j0=")</f>
        <v>#REF!</v>
      </c>
      <c r="BK12" t="e">
        <f>AND(Bills!#REF!,"AAAAAFv/+j4=")</f>
        <v>#REF!</v>
      </c>
      <c r="BL12" t="e">
        <f>AND(Bills!#REF!,"AAAAAFv/+j8=")</f>
        <v>#REF!</v>
      </c>
      <c r="BM12" t="e">
        <f>AND(Bills!#REF!,"AAAAAFv/+kA=")</f>
        <v>#REF!</v>
      </c>
      <c r="BN12" t="e">
        <f>AND(Bills!#REF!,"AAAAAFv/+kE=")</f>
        <v>#REF!</v>
      </c>
      <c r="BO12" t="e">
        <f>AND(Bills!#REF!,"AAAAAFv/+kI=")</f>
        <v>#REF!</v>
      </c>
      <c r="BP12" t="e">
        <f>AND(Bills!#REF!,"AAAAAFv/+kM=")</f>
        <v>#REF!</v>
      </c>
      <c r="BQ12" t="e">
        <f>AND(Bills!#REF!,"AAAAAFv/+kQ=")</f>
        <v>#REF!</v>
      </c>
      <c r="BR12" t="e">
        <f>AND(Bills!#REF!,"AAAAAFv/+kU=")</f>
        <v>#REF!</v>
      </c>
      <c r="BS12" t="e">
        <f>AND(Bills!#REF!,"AAAAAFv/+kY=")</f>
        <v>#REF!</v>
      </c>
      <c r="BT12" t="e">
        <f>AND(Bills!#REF!,"AAAAAFv/+kc=")</f>
        <v>#REF!</v>
      </c>
      <c r="BU12" t="e">
        <f>AND(Bills!#REF!,"AAAAAFv/+kg=")</f>
        <v>#REF!</v>
      </c>
      <c r="BV12" t="e">
        <f>AND(Bills!#REF!,"AAAAAFv/+kk=")</f>
        <v>#REF!</v>
      </c>
      <c r="BW12" t="e">
        <f>AND(Bills!#REF!,"AAAAAFv/+ko=")</f>
        <v>#REF!</v>
      </c>
      <c r="BX12" t="e">
        <f>AND(Bills!#REF!,"AAAAAFv/+ks=")</f>
        <v>#REF!</v>
      </c>
      <c r="BY12" t="e">
        <f>AND(Bills!#REF!,"AAAAAFv/+kw=")</f>
        <v>#REF!</v>
      </c>
      <c r="BZ12" t="e">
        <f>AND(Bills!#REF!,"AAAAAFv/+k0=")</f>
        <v>#REF!</v>
      </c>
      <c r="CA12" t="e">
        <f>AND(Bills!#REF!,"AAAAAFv/+k4=")</f>
        <v>#REF!</v>
      </c>
      <c r="CB12" t="e">
        <f>IF(Bills!#REF!,"AAAAAFv/+k8=",0)</f>
        <v>#REF!</v>
      </c>
      <c r="CC12" t="e">
        <f>AND(Bills!#REF!,"AAAAAFv/+lA=")</f>
        <v>#REF!</v>
      </c>
      <c r="CD12" t="e">
        <f>AND(Bills!#REF!,"AAAAAFv/+lE=")</f>
        <v>#REF!</v>
      </c>
      <c r="CE12" t="e">
        <f>AND(Bills!#REF!,"AAAAAFv/+lI=")</f>
        <v>#REF!</v>
      </c>
      <c r="CF12" t="e">
        <f>AND(Bills!#REF!,"AAAAAFv/+lM=")</f>
        <v>#REF!</v>
      </c>
      <c r="CG12" t="e">
        <f>AND(Bills!#REF!,"AAAAAFv/+lQ=")</f>
        <v>#REF!</v>
      </c>
      <c r="CH12" t="e">
        <f>AND(Bills!#REF!,"AAAAAFv/+lU=")</f>
        <v>#REF!</v>
      </c>
      <c r="CI12" t="e">
        <f>AND(Bills!#REF!,"AAAAAFv/+lY=")</f>
        <v>#REF!</v>
      </c>
      <c r="CJ12" t="e">
        <f>AND(Bills!#REF!,"AAAAAFv/+lc=")</f>
        <v>#REF!</v>
      </c>
      <c r="CK12" t="e">
        <f>AND(Bills!#REF!,"AAAAAFv/+lg=")</f>
        <v>#REF!</v>
      </c>
      <c r="CL12" t="e">
        <f>AND(Bills!#REF!,"AAAAAFv/+lk=")</f>
        <v>#REF!</v>
      </c>
      <c r="CM12" t="e">
        <f>AND(Bills!#REF!,"AAAAAFv/+lo=")</f>
        <v>#REF!</v>
      </c>
      <c r="CN12" t="e">
        <f>AND(Bills!#REF!,"AAAAAFv/+ls=")</f>
        <v>#REF!</v>
      </c>
      <c r="CO12" t="e">
        <f>AND(Bills!#REF!,"AAAAAFv/+lw=")</f>
        <v>#REF!</v>
      </c>
      <c r="CP12" t="e">
        <f>AND(Bills!#REF!,"AAAAAFv/+l0=")</f>
        <v>#REF!</v>
      </c>
      <c r="CQ12" t="e">
        <f>AND(Bills!#REF!,"AAAAAFv/+l4=")</f>
        <v>#REF!</v>
      </c>
      <c r="CR12" t="e">
        <f>AND(Bills!#REF!,"AAAAAFv/+l8=")</f>
        <v>#REF!</v>
      </c>
      <c r="CS12" t="e">
        <f>AND(Bills!#REF!,"AAAAAFv/+mA=")</f>
        <v>#REF!</v>
      </c>
      <c r="CT12" t="e">
        <f>AND(Bills!#REF!,"AAAAAFv/+mE=")</f>
        <v>#REF!</v>
      </c>
      <c r="CU12" t="e">
        <f>AND(Bills!#REF!,"AAAAAFv/+mI=")</f>
        <v>#REF!</v>
      </c>
      <c r="CV12" t="e">
        <f>AND(Bills!#REF!,"AAAAAFv/+mM=")</f>
        <v>#REF!</v>
      </c>
      <c r="CW12" t="e">
        <f>AND(Bills!#REF!,"AAAAAFv/+mQ=")</f>
        <v>#REF!</v>
      </c>
      <c r="CX12" t="e">
        <f>AND(Bills!#REF!,"AAAAAFv/+mU=")</f>
        <v>#REF!</v>
      </c>
      <c r="CY12" t="e">
        <f>AND(Bills!#REF!,"AAAAAFv/+mY=")</f>
        <v>#REF!</v>
      </c>
      <c r="CZ12" t="e">
        <f>AND(Bills!#REF!,"AAAAAFv/+mc=")</f>
        <v>#REF!</v>
      </c>
      <c r="DA12" t="e">
        <f>AND(Bills!#REF!,"AAAAAFv/+mg=")</f>
        <v>#REF!</v>
      </c>
      <c r="DB12" t="e">
        <f>AND(Bills!#REF!,"AAAAAFv/+mk=")</f>
        <v>#REF!</v>
      </c>
      <c r="DC12" t="e">
        <f>AND(Bills!#REF!,"AAAAAFv/+mo=")</f>
        <v>#REF!</v>
      </c>
      <c r="DD12" t="e">
        <f>AND(Bills!#REF!,"AAAAAFv/+ms=")</f>
        <v>#REF!</v>
      </c>
      <c r="DE12" t="e">
        <f>AND(Bills!#REF!,"AAAAAFv/+mw=")</f>
        <v>#REF!</v>
      </c>
      <c r="DF12" t="e">
        <f>AND(Bills!#REF!,"AAAAAFv/+m0=")</f>
        <v>#REF!</v>
      </c>
      <c r="DG12" t="e">
        <f>AND(Bills!#REF!,"AAAAAFv/+m4=")</f>
        <v>#REF!</v>
      </c>
      <c r="DH12" t="e">
        <f>AND(Bills!#REF!,"AAAAAFv/+m8=")</f>
        <v>#REF!</v>
      </c>
      <c r="DI12" t="e">
        <f>AND(Bills!#REF!,"AAAAAFv/+nA=")</f>
        <v>#REF!</v>
      </c>
      <c r="DJ12" t="e">
        <f>AND(Bills!#REF!,"AAAAAFv/+nE=")</f>
        <v>#REF!</v>
      </c>
      <c r="DK12" t="e">
        <f>AND(Bills!#REF!,"AAAAAFv/+nI=")</f>
        <v>#REF!</v>
      </c>
      <c r="DL12" t="e">
        <f>AND(Bills!#REF!,"AAAAAFv/+nM=")</f>
        <v>#REF!</v>
      </c>
      <c r="DM12" t="e">
        <f>AND(Bills!#REF!,"AAAAAFv/+nQ=")</f>
        <v>#REF!</v>
      </c>
      <c r="DN12" t="e">
        <f>AND(Bills!#REF!,"AAAAAFv/+nU=")</f>
        <v>#REF!</v>
      </c>
      <c r="DO12" t="e">
        <f>AND(Bills!#REF!,"AAAAAFv/+nY=")</f>
        <v>#REF!</v>
      </c>
      <c r="DP12" t="e">
        <f>AND(Bills!#REF!,"AAAAAFv/+nc=")</f>
        <v>#REF!</v>
      </c>
      <c r="DQ12" t="e">
        <f>AND(Bills!#REF!,"AAAAAFv/+ng=")</f>
        <v>#REF!</v>
      </c>
      <c r="DR12" t="e">
        <f>AND(Bills!#REF!,"AAAAAFv/+nk=")</f>
        <v>#REF!</v>
      </c>
      <c r="DS12" t="e">
        <f>AND(Bills!#REF!,"AAAAAFv/+no=")</f>
        <v>#REF!</v>
      </c>
      <c r="DT12" t="e">
        <f>AND(Bills!#REF!,"AAAAAFv/+ns=")</f>
        <v>#REF!</v>
      </c>
      <c r="DU12" t="e">
        <f>AND(Bills!#REF!,"AAAAAFv/+nw=")</f>
        <v>#REF!</v>
      </c>
      <c r="DV12" t="e">
        <f>AND(Bills!#REF!,"AAAAAFv/+n0=")</f>
        <v>#REF!</v>
      </c>
      <c r="DW12" t="e">
        <f>AND(Bills!#REF!,"AAAAAFv/+n4=")</f>
        <v>#REF!</v>
      </c>
      <c r="DX12" t="e">
        <f>AND(Bills!#REF!,"AAAAAFv/+n8=")</f>
        <v>#REF!</v>
      </c>
      <c r="DY12" t="e">
        <f>AND(Bills!#REF!,"AAAAAFv/+oA=")</f>
        <v>#REF!</v>
      </c>
      <c r="DZ12" t="e">
        <f>AND(Bills!#REF!,"AAAAAFv/+oE=")</f>
        <v>#REF!</v>
      </c>
      <c r="EA12" t="e">
        <f>IF(Bills!#REF!,"AAAAAFv/+oI=",0)</f>
        <v>#REF!</v>
      </c>
      <c r="EB12" t="e">
        <f>AND(Bills!#REF!,"AAAAAFv/+oM=")</f>
        <v>#REF!</v>
      </c>
      <c r="EC12" t="e">
        <f>AND(Bills!#REF!,"AAAAAFv/+oQ=")</f>
        <v>#REF!</v>
      </c>
      <c r="ED12" t="e">
        <f>AND(Bills!#REF!,"AAAAAFv/+oU=")</f>
        <v>#REF!</v>
      </c>
      <c r="EE12" t="e">
        <f>AND(Bills!#REF!,"AAAAAFv/+oY=")</f>
        <v>#REF!</v>
      </c>
      <c r="EF12" t="e">
        <f>AND(Bills!#REF!,"AAAAAFv/+oc=")</f>
        <v>#REF!</v>
      </c>
      <c r="EG12" t="e">
        <f>AND(Bills!#REF!,"AAAAAFv/+og=")</f>
        <v>#REF!</v>
      </c>
      <c r="EH12" t="e">
        <f>AND(Bills!#REF!,"AAAAAFv/+ok=")</f>
        <v>#REF!</v>
      </c>
      <c r="EI12" t="e">
        <f>AND(Bills!#REF!,"AAAAAFv/+oo=")</f>
        <v>#REF!</v>
      </c>
      <c r="EJ12" t="e">
        <f>AND(Bills!#REF!,"AAAAAFv/+os=")</f>
        <v>#REF!</v>
      </c>
      <c r="EK12" t="e">
        <f>AND(Bills!#REF!,"AAAAAFv/+ow=")</f>
        <v>#REF!</v>
      </c>
      <c r="EL12" t="e">
        <f>AND(Bills!#REF!,"AAAAAFv/+o0=")</f>
        <v>#REF!</v>
      </c>
      <c r="EM12" t="e">
        <f>AND(Bills!#REF!,"AAAAAFv/+o4=")</f>
        <v>#REF!</v>
      </c>
      <c r="EN12" t="e">
        <f>AND(Bills!#REF!,"AAAAAFv/+o8=")</f>
        <v>#REF!</v>
      </c>
      <c r="EO12" t="e">
        <f>AND(Bills!#REF!,"AAAAAFv/+pA=")</f>
        <v>#REF!</v>
      </c>
      <c r="EP12" t="e">
        <f>AND(Bills!#REF!,"AAAAAFv/+pE=")</f>
        <v>#REF!</v>
      </c>
      <c r="EQ12" t="e">
        <f>AND(Bills!#REF!,"AAAAAFv/+pI=")</f>
        <v>#REF!</v>
      </c>
      <c r="ER12" t="e">
        <f>AND(Bills!#REF!,"AAAAAFv/+pM=")</f>
        <v>#REF!</v>
      </c>
      <c r="ES12" t="e">
        <f>AND(Bills!#REF!,"AAAAAFv/+pQ=")</f>
        <v>#REF!</v>
      </c>
      <c r="ET12" t="e">
        <f>AND(Bills!#REF!,"AAAAAFv/+pU=")</f>
        <v>#REF!</v>
      </c>
      <c r="EU12" t="e">
        <f>AND(Bills!#REF!,"AAAAAFv/+pY=")</f>
        <v>#REF!</v>
      </c>
      <c r="EV12" t="e">
        <f>AND(Bills!#REF!,"AAAAAFv/+pc=")</f>
        <v>#REF!</v>
      </c>
      <c r="EW12" t="e">
        <f>AND(Bills!#REF!,"AAAAAFv/+pg=")</f>
        <v>#REF!</v>
      </c>
      <c r="EX12" t="e">
        <f>AND(Bills!#REF!,"AAAAAFv/+pk=")</f>
        <v>#REF!</v>
      </c>
      <c r="EY12" t="e">
        <f>AND(Bills!#REF!,"AAAAAFv/+po=")</f>
        <v>#REF!</v>
      </c>
      <c r="EZ12" t="e">
        <f>AND(Bills!#REF!,"AAAAAFv/+ps=")</f>
        <v>#REF!</v>
      </c>
      <c r="FA12" t="e">
        <f>AND(Bills!#REF!,"AAAAAFv/+pw=")</f>
        <v>#REF!</v>
      </c>
      <c r="FB12" t="e">
        <f>AND(Bills!#REF!,"AAAAAFv/+p0=")</f>
        <v>#REF!</v>
      </c>
      <c r="FC12" t="e">
        <f>AND(Bills!#REF!,"AAAAAFv/+p4=")</f>
        <v>#REF!</v>
      </c>
      <c r="FD12" t="e">
        <f>AND(Bills!#REF!,"AAAAAFv/+p8=")</f>
        <v>#REF!</v>
      </c>
      <c r="FE12" t="e">
        <f>AND(Bills!#REF!,"AAAAAFv/+qA=")</f>
        <v>#REF!</v>
      </c>
      <c r="FF12" t="e">
        <f>AND(Bills!#REF!,"AAAAAFv/+qE=")</f>
        <v>#REF!</v>
      </c>
      <c r="FG12" t="e">
        <f>AND(Bills!#REF!,"AAAAAFv/+qI=")</f>
        <v>#REF!</v>
      </c>
      <c r="FH12" t="e">
        <f>AND(Bills!#REF!,"AAAAAFv/+qM=")</f>
        <v>#REF!</v>
      </c>
      <c r="FI12" t="e">
        <f>AND(Bills!#REF!,"AAAAAFv/+qQ=")</f>
        <v>#REF!</v>
      </c>
      <c r="FJ12" t="e">
        <f>AND(Bills!#REF!,"AAAAAFv/+qU=")</f>
        <v>#REF!</v>
      </c>
      <c r="FK12" t="e">
        <f>AND(Bills!#REF!,"AAAAAFv/+qY=")</f>
        <v>#REF!</v>
      </c>
      <c r="FL12" t="e">
        <f>AND(Bills!#REF!,"AAAAAFv/+qc=")</f>
        <v>#REF!</v>
      </c>
      <c r="FM12" t="e">
        <f>AND(Bills!#REF!,"AAAAAFv/+qg=")</f>
        <v>#REF!</v>
      </c>
      <c r="FN12" t="e">
        <f>AND(Bills!#REF!,"AAAAAFv/+qk=")</f>
        <v>#REF!</v>
      </c>
      <c r="FO12" t="e">
        <f>AND(Bills!#REF!,"AAAAAFv/+qo=")</f>
        <v>#REF!</v>
      </c>
      <c r="FP12" t="e">
        <f>AND(Bills!#REF!,"AAAAAFv/+qs=")</f>
        <v>#REF!</v>
      </c>
      <c r="FQ12" t="e">
        <f>AND(Bills!#REF!,"AAAAAFv/+qw=")</f>
        <v>#REF!</v>
      </c>
      <c r="FR12" t="e">
        <f>AND(Bills!#REF!,"AAAAAFv/+q0=")</f>
        <v>#REF!</v>
      </c>
      <c r="FS12" t="e">
        <f>AND(Bills!#REF!,"AAAAAFv/+q4=")</f>
        <v>#REF!</v>
      </c>
      <c r="FT12" t="e">
        <f>AND(Bills!#REF!,"AAAAAFv/+q8=")</f>
        <v>#REF!</v>
      </c>
      <c r="FU12" t="e">
        <f>AND(Bills!#REF!,"AAAAAFv/+rA=")</f>
        <v>#REF!</v>
      </c>
      <c r="FV12" t="e">
        <f>AND(Bills!#REF!,"AAAAAFv/+rE=")</f>
        <v>#REF!</v>
      </c>
      <c r="FW12" t="e">
        <f>AND(Bills!#REF!,"AAAAAFv/+rI=")</f>
        <v>#REF!</v>
      </c>
      <c r="FX12" t="e">
        <f>AND(Bills!#REF!,"AAAAAFv/+rM=")</f>
        <v>#REF!</v>
      </c>
      <c r="FY12" t="e">
        <f>AND(Bills!#REF!,"AAAAAFv/+rQ=")</f>
        <v>#REF!</v>
      </c>
      <c r="FZ12" t="e">
        <f>IF(Bills!#REF!,"AAAAAFv/+rU=",0)</f>
        <v>#REF!</v>
      </c>
      <c r="GA12" t="e">
        <f>AND(Bills!#REF!,"AAAAAFv/+rY=")</f>
        <v>#REF!</v>
      </c>
      <c r="GB12" t="e">
        <f>AND(Bills!#REF!,"AAAAAFv/+rc=")</f>
        <v>#REF!</v>
      </c>
      <c r="GC12" t="e">
        <f>AND(Bills!#REF!,"AAAAAFv/+rg=")</f>
        <v>#REF!</v>
      </c>
      <c r="GD12" t="e">
        <f>AND(Bills!#REF!,"AAAAAFv/+rk=")</f>
        <v>#REF!</v>
      </c>
      <c r="GE12" t="e">
        <f>AND(Bills!#REF!,"AAAAAFv/+ro=")</f>
        <v>#REF!</v>
      </c>
      <c r="GF12" t="e">
        <f>AND(Bills!#REF!,"AAAAAFv/+rs=")</f>
        <v>#REF!</v>
      </c>
      <c r="GG12" t="e">
        <f>AND(Bills!#REF!,"AAAAAFv/+rw=")</f>
        <v>#REF!</v>
      </c>
      <c r="GH12" t="e">
        <f>AND(Bills!#REF!,"AAAAAFv/+r0=")</f>
        <v>#REF!</v>
      </c>
      <c r="GI12" t="e">
        <f>AND(Bills!#REF!,"AAAAAFv/+r4=")</f>
        <v>#REF!</v>
      </c>
      <c r="GJ12" t="e">
        <f>AND(Bills!#REF!,"AAAAAFv/+r8=")</f>
        <v>#REF!</v>
      </c>
      <c r="GK12" t="e">
        <f>AND(Bills!#REF!,"AAAAAFv/+sA=")</f>
        <v>#REF!</v>
      </c>
      <c r="GL12" t="e">
        <f>AND(Bills!#REF!,"AAAAAFv/+sE=")</f>
        <v>#REF!</v>
      </c>
      <c r="GM12" t="e">
        <f>AND(Bills!#REF!,"AAAAAFv/+sI=")</f>
        <v>#REF!</v>
      </c>
      <c r="GN12" t="e">
        <f>AND(Bills!#REF!,"AAAAAFv/+sM=")</f>
        <v>#REF!</v>
      </c>
      <c r="GO12" t="e">
        <f>AND(Bills!#REF!,"AAAAAFv/+sQ=")</f>
        <v>#REF!</v>
      </c>
      <c r="GP12" t="e">
        <f>AND(Bills!#REF!,"AAAAAFv/+sU=")</f>
        <v>#REF!</v>
      </c>
      <c r="GQ12" t="e">
        <f>AND(Bills!#REF!,"AAAAAFv/+sY=")</f>
        <v>#REF!</v>
      </c>
      <c r="GR12" t="e">
        <f>AND(Bills!#REF!,"AAAAAFv/+sc=")</f>
        <v>#REF!</v>
      </c>
      <c r="GS12" t="e">
        <f>AND(Bills!#REF!,"AAAAAFv/+sg=")</f>
        <v>#REF!</v>
      </c>
      <c r="GT12" t="e">
        <f>AND(Bills!#REF!,"AAAAAFv/+sk=")</f>
        <v>#REF!</v>
      </c>
      <c r="GU12" t="e">
        <f>AND(Bills!#REF!,"AAAAAFv/+so=")</f>
        <v>#REF!</v>
      </c>
      <c r="GV12" t="e">
        <f>AND(Bills!#REF!,"AAAAAFv/+ss=")</f>
        <v>#REF!</v>
      </c>
      <c r="GW12" t="e">
        <f>AND(Bills!#REF!,"AAAAAFv/+sw=")</f>
        <v>#REF!</v>
      </c>
      <c r="GX12" t="e">
        <f>AND(Bills!#REF!,"AAAAAFv/+s0=")</f>
        <v>#REF!</v>
      </c>
      <c r="GY12" t="e">
        <f>AND(Bills!#REF!,"AAAAAFv/+s4=")</f>
        <v>#REF!</v>
      </c>
      <c r="GZ12" t="e">
        <f>AND(Bills!#REF!,"AAAAAFv/+s8=")</f>
        <v>#REF!</v>
      </c>
      <c r="HA12" t="e">
        <f>AND(Bills!#REF!,"AAAAAFv/+tA=")</f>
        <v>#REF!</v>
      </c>
      <c r="HB12" t="e">
        <f>AND(Bills!#REF!,"AAAAAFv/+tE=")</f>
        <v>#REF!</v>
      </c>
      <c r="HC12" t="e">
        <f>AND(Bills!#REF!,"AAAAAFv/+tI=")</f>
        <v>#REF!</v>
      </c>
      <c r="HD12" t="e">
        <f>AND(Bills!#REF!,"AAAAAFv/+tM=")</f>
        <v>#REF!</v>
      </c>
      <c r="HE12" t="e">
        <f>AND(Bills!#REF!,"AAAAAFv/+tQ=")</f>
        <v>#REF!</v>
      </c>
      <c r="HF12" t="e">
        <f>AND(Bills!#REF!,"AAAAAFv/+tU=")</f>
        <v>#REF!</v>
      </c>
      <c r="HG12" t="e">
        <f>AND(Bills!#REF!,"AAAAAFv/+tY=")</f>
        <v>#REF!</v>
      </c>
      <c r="HH12" t="e">
        <f>AND(Bills!#REF!,"AAAAAFv/+tc=")</f>
        <v>#REF!</v>
      </c>
      <c r="HI12" t="e">
        <f>AND(Bills!#REF!,"AAAAAFv/+tg=")</f>
        <v>#REF!</v>
      </c>
      <c r="HJ12" t="e">
        <f>AND(Bills!#REF!,"AAAAAFv/+tk=")</f>
        <v>#REF!</v>
      </c>
      <c r="HK12" t="e">
        <f>AND(Bills!#REF!,"AAAAAFv/+to=")</f>
        <v>#REF!</v>
      </c>
      <c r="HL12" t="e">
        <f>AND(Bills!#REF!,"AAAAAFv/+ts=")</f>
        <v>#REF!</v>
      </c>
      <c r="HM12" t="e">
        <f>AND(Bills!#REF!,"AAAAAFv/+tw=")</f>
        <v>#REF!</v>
      </c>
      <c r="HN12" t="e">
        <f>AND(Bills!#REF!,"AAAAAFv/+t0=")</f>
        <v>#REF!</v>
      </c>
      <c r="HO12" t="e">
        <f>AND(Bills!#REF!,"AAAAAFv/+t4=")</f>
        <v>#REF!</v>
      </c>
      <c r="HP12" t="e">
        <f>AND(Bills!#REF!,"AAAAAFv/+t8=")</f>
        <v>#REF!</v>
      </c>
      <c r="HQ12" t="e">
        <f>AND(Bills!#REF!,"AAAAAFv/+uA=")</f>
        <v>#REF!</v>
      </c>
      <c r="HR12" t="e">
        <f>AND(Bills!#REF!,"AAAAAFv/+uE=")</f>
        <v>#REF!</v>
      </c>
      <c r="HS12" t="e">
        <f>AND(Bills!#REF!,"AAAAAFv/+uI=")</f>
        <v>#REF!</v>
      </c>
      <c r="HT12" t="e">
        <f>AND(Bills!#REF!,"AAAAAFv/+uM=")</f>
        <v>#REF!</v>
      </c>
      <c r="HU12" t="e">
        <f>AND(Bills!#REF!,"AAAAAFv/+uQ=")</f>
        <v>#REF!</v>
      </c>
      <c r="HV12" t="e">
        <f>AND(Bills!#REF!,"AAAAAFv/+uU=")</f>
        <v>#REF!</v>
      </c>
      <c r="HW12" t="e">
        <f>AND(Bills!#REF!,"AAAAAFv/+uY=")</f>
        <v>#REF!</v>
      </c>
      <c r="HX12" t="e">
        <f>AND(Bills!#REF!,"AAAAAFv/+uc=")</f>
        <v>#REF!</v>
      </c>
      <c r="HY12" t="e">
        <f>IF(Bills!#REF!,"AAAAAFv/+ug=",0)</f>
        <v>#REF!</v>
      </c>
      <c r="HZ12" t="e">
        <f>AND(Bills!#REF!,"AAAAAFv/+uk=")</f>
        <v>#REF!</v>
      </c>
      <c r="IA12" t="e">
        <f>AND(Bills!#REF!,"AAAAAFv/+uo=")</f>
        <v>#REF!</v>
      </c>
      <c r="IB12" t="e">
        <f>AND(Bills!#REF!,"AAAAAFv/+us=")</f>
        <v>#REF!</v>
      </c>
      <c r="IC12" t="e">
        <f>AND(Bills!#REF!,"AAAAAFv/+uw=")</f>
        <v>#REF!</v>
      </c>
      <c r="ID12" t="e">
        <f>AND(Bills!#REF!,"AAAAAFv/+u0=")</f>
        <v>#REF!</v>
      </c>
      <c r="IE12" t="e">
        <f>AND(Bills!#REF!,"AAAAAFv/+u4=")</f>
        <v>#REF!</v>
      </c>
      <c r="IF12" t="e">
        <f>AND(Bills!#REF!,"AAAAAFv/+u8=")</f>
        <v>#REF!</v>
      </c>
      <c r="IG12" t="e">
        <f>AND(Bills!#REF!,"AAAAAFv/+vA=")</f>
        <v>#REF!</v>
      </c>
      <c r="IH12" t="e">
        <f>AND(Bills!#REF!,"AAAAAFv/+vE=")</f>
        <v>#REF!</v>
      </c>
      <c r="II12" t="e">
        <f>AND(Bills!#REF!,"AAAAAFv/+vI=")</f>
        <v>#REF!</v>
      </c>
      <c r="IJ12" t="e">
        <f>AND(Bills!#REF!,"AAAAAFv/+vM=")</f>
        <v>#REF!</v>
      </c>
      <c r="IK12" t="e">
        <f>AND(Bills!#REF!,"AAAAAFv/+vQ=")</f>
        <v>#REF!</v>
      </c>
      <c r="IL12" t="e">
        <f>AND(Bills!#REF!,"AAAAAFv/+vU=")</f>
        <v>#REF!</v>
      </c>
      <c r="IM12" t="e">
        <f>AND(Bills!#REF!,"AAAAAFv/+vY=")</f>
        <v>#REF!</v>
      </c>
      <c r="IN12" t="e">
        <f>AND(Bills!#REF!,"AAAAAFv/+vc=")</f>
        <v>#REF!</v>
      </c>
      <c r="IO12" t="e">
        <f>AND(Bills!#REF!,"AAAAAFv/+vg=")</f>
        <v>#REF!</v>
      </c>
      <c r="IP12" t="e">
        <f>AND(Bills!#REF!,"AAAAAFv/+vk=")</f>
        <v>#REF!</v>
      </c>
      <c r="IQ12" t="e">
        <f>AND(Bills!#REF!,"AAAAAFv/+vo=")</f>
        <v>#REF!</v>
      </c>
      <c r="IR12" t="e">
        <f>AND(Bills!#REF!,"AAAAAFv/+vs=")</f>
        <v>#REF!</v>
      </c>
      <c r="IS12" t="e">
        <f>AND(Bills!#REF!,"AAAAAFv/+vw=")</f>
        <v>#REF!</v>
      </c>
      <c r="IT12" t="e">
        <f>AND(Bills!#REF!,"AAAAAFv/+v0=")</f>
        <v>#REF!</v>
      </c>
      <c r="IU12" t="e">
        <f>AND(Bills!#REF!,"AAAAAFv/+v4=")</f>
        <v>#REF!</v>
      </c>
      <c r="IV12" t="e">
        <f>AND(Bills!#REF!,"AAAAAFv/+v8=")</f>
        <v>#REF!</v>
      </c>
    </row>
    <row r="13" spans="1:256">
      <c r="A13" t="e">
        <f>AND(Bills!#REF!,"AAAAADp/rwA=")</f>
        <v>#REF!</v>
      </c>
      <c r="B13" t="e">
        <f>AND(Bills!#REF!,"AAAAADp/rwE=")</f>
        <v>#REF!</v>
      </c>
      <c r="C13" t="e">
        <f>AND(Bills!#REF!,"AAAAADp/rwI=")</f>
        <v>#REF!</v>
      </c>
      <c r="D13" t="e">
        <f>AND(Bills!#REF!,"AAAAADp/rwM=")</f>
        <v>#REF!</v>
      </c>
      <c r="E13" t="e">
        <f>AND(Bills!#REF!,"AAAAADp/rwQ=")</f>
        <v>#REF!</v>
      </c>
      <c r="F13" t="e">
        <f>AND(Bills!#REF!,"AAAAADp/rwU=")</f>
        <v>#REF!</v>
      </c>
      <c r="G13" t="e">
        <f>AND(Bills!#REF!,"AAAAADp/rwY=")</f>
        <v>#REF!</v>
      </c>
      <c r="H13" t="e">
        <f>AND(Bills!#REF!,"AAAAADp/rwc=")</f>
        <v>#REF!</v>
      </c>
      <c r="I13" t="e">
        <f>AND(Bills!#REF!,"AAAAADp/rwg=")</f>
        <v>#REF!</v>
      </c>
      <c r="J13" t="e">
        <f>AND(Bills!#REF!,"AAAAADp/rwk=")</f>
        <v>#REF!</v>
      </c>
      <c r="K13" t="e">
        <f>AND(Bills!#REF!,"AAAAADp/rwo=")</f>
        <v>#REF!</v>
      </c>
      <c r="L13" t="e">
        <f>AND(Bills!#REF!,"AAAAADp/rws=")</f>
        <v>#REF!</v>
      </c>
      <c r="M13" t="e">
        <f>AND(Bills!#REF!,"AAAAADp/rww=")</f>
        <v>#REF!</v>
      </c>
      <c r="N13" t="e">
        <f>AND(Bills!#REF!,"AAAAADp/rw0=")</f>
        <v>#REF!</v>
      </c>
      <c r="O13" t="e">
        <f>AND(Bills!#REF!,"AAAAADp/rw4=")</f>
        <v>#REF!</v>
      </c>
      <c r="P13" t="e">
        <f>AND(Bills!#REF!,"AAAAADp/rw8=")</f>
        <v>#REF!</v>
      </c>
      <c r="Q13" t="e">
        <f>AND(Bills!#REF!,"AAAAADp/rxA=")</f>
        <v>#REF!</v>
      </c>
      <c r="R13" t="e">
        <f>AND(Bills!#REF!,"AAAAADp/rxE=")</f>
        <v>#REF!</v>
      </c>
      <c r="S13" t="e">
        <f>AND(Bills!#REF!,"AAAAADp/rxI=")</f>
        <v>#REF!</v>
      </c>
      <c r="T13" t="e">
        <f>AND(Bills!#REF!,"AAAAADp/rxM=")</f>
        <v>#REF!</v>
      </c>
      <c r="U13" t="e">
        <f>AND(Bills!#REF!,"AAAAADp/rxQ=")</f>
        <v>#REF!</v>
      </c>
      <c r="V13" t="e">
        <f>AND(Bills!#REF!,"AAAAADp/rxU=")</f>
        <v>#REF!</v>
      </c>
      <c r="W13" t="e">
        <f>AND(Bills!#REF!,"AAAAADp/rxY=")</f>
        <v>#REF!</v>
      </c>
      <c r="X13" t="e">
        <f>AND(Bills!#REF!,"AAAAADp/rxc=")</f>
        <v>#REF!</v>
      </c>
      <c r="Y13" t="e">
        <f>AND(Bills!#REF!,"AAAAADp/rxg=")</f>
        <v>#REF!</v>
      </c>
      <c r="Z13" t="e">
        <f>AND(Bills!#REF!,"AAAAADp/rxk=")</f>
        <v>#REF!</v>
      </c>
      <c r="AA13" t="e">
        <f>AND(Bills!#REF!,"AAAAADp/rxo=")</f>
        <v>#REF!</v>
      </c>
      <c r="AB13">
        <f>IF(Bills!8:8,"AAAAADp/rxs=",0)</f>
        <v>0</v>
      </c>
      <c r="AC13" t="e">
        <f>AND(Bills!B8,"AAAAADp/rxw=")</f>
        <v>#VALUE!</v>
      </c>
      <c r="AD13" t="e">
        <f>AND(Bills!#REF!,"AAAAADp/rx0=")</f>
        <v>#REF!</v>
      </c>
      <c r="AE13" t="e">
        <f>AND(Bills!C8,"AAAAADp/rx4=")</f>
        <v>#VALUE!</v>
      </c>
      <c r="AF13" t="e">
        <f>AND(Bills!#REF!,"AAAAADp/rx8=")</f>
        <v>#REF!</v>
      </c>
      <c r="AG13" t="e">
        <f>AND(Bills!#REF!,"AAAAADp/ryA=")</f>
        <v>#REF!</v>
      </c>
      <c r="AH13" t="e">
        <f>AND(Bills!#REF!,"AAAAADp/ryE=")</f>
        <v>#REF!</v>
      </c>
      <c r="AI13" t="e">
        <f>AND(Bills!#REF!,"AAAAADp/ryI=")</f>
        <v>#REF!</v>
      </c>
      <c r="AJ13" t="e">
        <f>AND(Bills!#REF!,"AAAAADp/ryM=")</f>
        <v>#REF!</v>
      </c>
      <c r="AK13" t="e">
        <f>AND(Bills!D8,"AAAAADp/ryQ=")</f>
        <v>#VALUE!</v>
      </c>
      <c r="AL13" t="e">
        <f>AND(Bills!#REF!,"AAAAADp/ryU=")</f>
        <v>#REF!</v>
      </c>
      <c r="AM13" t="e">
        <f>AND(Bills!E8,"AAAAADp/ryY=")</f>
        <v>#VALUE!</v>
      </c>
      <c r="AN13" t="e">
        <f>AND(Bills!F8,"AAAAADp/ryc=")</f>
        <v>#VALUE!</v>
      </c>
      <c r="AO13" t="e">
        <f>AND(Bills!G8,"AAAAADp/ryg=")</f>
        <v>#VALUE!</v>
      </c>
      <c r="AP13" t="e">
        <f>AND(Bills!H8,"AAAAADp/ryk=")</f>
        <v>#VALUE!</v>
      </c>
      <c r="AQ13" t="e">
        <f>AND(Bills!I8,"AAAAADp/ryo=")</f>
        <v>#VALUE!</v>
      </c>
      <c r="AR13" t="e">
        <f>AND(Bills!J8,"AAAAADp/rys=")</f>
        <v>#VALUE!</v>
      </c>
      <c r="AS13" t="e">
        <f>AND(Bills!#REF!,"AAAAADp/ryw=")</f>
        <v>#REF!</v>
      </c>
      <c r="AT13" t="e">
        <f>AND(Bills!K8,"AAAAADp/ry0=")</f>
        <v>#VALUE!</v>
      </c>
      <c r="AU13" t="e">
        <f>AND(Bills!L8,"AAAAADp/ry4=")</f>
        <v>#VALUE!</v>
      </c>
      <c r="AV13" t="e">
        <f>AND(Bills!M8,"AAAAADp/ry8=")</f>
        <v>#VALUE!</v>
      </c>
      <c r="AW13" t="e">
        <f>AND(Bills!N8,"AAAAADp/rzA=")</f>
        <v>#VALUE!</v>
      </c>
      <c r="AX13" t="e">
        <f>AND(Bills!O8,"AAAAADp/rzE=")</f>
        <v>#VALUE!</v>
      </c>
      <c r="AY13" t="e">
        <f>AND(Bills!P8,"AAAAADp/rzI=")</f>
        <v>#VALUE!</v>
      </c>
      <c r="AZ13" t="e">
        <f>AND(Bills!Q8,"AAAAADp/rzM=")</f>
        <v>#VALUE!</v>
      </c>
      <c r="BA13" t="e">
        <f>AND(Bills!R8,"AAAAADp/rzQ=")</f>
        <v>#VALUE!</v>
      </c>
      <c r="BB13" t="e">
        <f>AND(Bills!#REF!,"AAAAADp/rzU=")</f>
        <v>#REF!</v>
      </c>
      <c r="BC13" t="e">
        <f>AND(Bills!S8,"AAAAADp/rzY=")</f>
        <v>#VALUE!</v>
      </c>
      <c r="BD13" t="e">
        <f>AND(Bills!T8,"AAAAADp/rzc=")</f>
        <v>#VALUE!</v>
      </c>
      <c r="BE13" t="e">
        <f>AND(Bills!U8,"AAAAADp/rzg=")</f>
        <v>#VALUE!</v>
      </c>
      <c r="BF13" t="e">
        <f>AND(Bills!#REF!,"AAAAADp/rzk=")</f>
        <v>#REF!</v>
      </c>
      <c r="BG13" t="e">
        <f>AND(Bills!#REF!,"AAAAADp/rzo=")</f>
        <v>#REF!</v>
      </c>
      <c r="BH13" t="e">
        <f>AND(Bills!W8,"AAAAADp/rzs=")</f>
        <v>#VALUE!</v>
      </c>
      <c r="BI13" t="e">
        <f>AND(Bills!X8,"AAAAADp/rzw=")</f>
        <v>#VALUE!</v>
      </c>
      <c r="BJ13" t="e">
        <f>AND(Bills!#REF!,"AAAAADp/rz0=")</f>
        <v>#REF!</v>
      </c>
      <c r="BK13" t="e">
        <f>AND(Bills!#REF!,"AAAAADp/rz4=")</f>
        <v>#REF!</v>
      </c>
      <c r="BL13" t="e">
        <f>AND(Bills!#REF!,"AAAAADp/rz8=")</f>
        <v>#REF!</v>
      </c>
      <c r="BM13" t="e">
        <f>AND(Bills!#REF!,"AAAAADp/r0A=")</f>
        <v>#REF!</v>
      </c>
      <c r="BN13" t="e">
        <f>AND(Bills!#REF!,"AAAAADp/r0E=")</f>
        <v>#REF!</v>
      </c>
      <c r="BO13" t="e">
        <f>AND(Bills!#REF!,"AAAAADp/r0I=")</f>
        <v>#REF!</v>
      </c>
      <c r="BP13" t="e">
        <f>AND(Bills!#REF!,"AAAAADp/r0M=")</f>
        <v>#REF!</v>
      </c>
      <c r="BQ13" t="e">
        <f>AND(Bills!#REF!,"AAAAADp/r0Q=")</f>
        <v>#REF!</v>
      </c>
      <c r="BR13" t="e">
        <f>AND(Bills!#REF!,"AAAAADp/r0U=")</f>
        <v>#REF!</v>
      </c>
      <c r="BS13" t="e">
        <f>AND(Bills!Y8,"AAAAADp/r0Y=")</f>
        <v>#VALUE!</v>
      </c>
      <c r="BT13" t="e">
        <f>AND(Bills!Z8,"AAAAADp/r0c=")</f>
        <v>#VALUE!</v>
      </c>
      <c r="BU13" t="e">
        <f>AND(Bills!#REF!,"AAAAADp/r0g=")</f>
        <v>#REF!</v>
      </c>
      <c r="BV13" t="e">
        <f>AND(Bills!#REF!,"AAAAADp/r0k=")</f>
        <v>#REF!</v>
      </c>
      <c r="BW13" t="e">
        <f>AND(Bills!#REF!,"AAAAADp/r0o=")</f>
        <v>#REF!</v>
      </c>
      <c r="BX13" t="e">
        <f>AND(Bills!AA8,"AAAAADp/r0s=")</f>
        <v>#VALUE!</v>
      </c>
      <c r="BY13" t="e">
        <f>AND(Bills!AB8,"AAAAADp/r0w=")</f>
        <v>#VALUE!</v>
      </c>
      <c r="BZ13" t="e">
        <f>AND(Bills!#REF!,"AAAAADp/r00=")</f>
        <v>#REF!</v>
      </c>
      <c r="CA13" t="e">
        <f>IF(Bills!#REF!,"AAAAADp/r04=",0)</f>
        <v>#REF!</v>
      </c>
      <c r="CB13" t="e">
        <f>AND(Bills!#REF!,"AAAAADp/r08=")</f>
        <v>#REF!</v>
      </c>
      <c r="CC13" t="e">
        <f>AND(Bills!#REF!,"AAAAADp/r1A=")</f>
        <v>#REF!</v>
      </c>
      <c r="CD13" t="e">
        <f>AND(Bills!#REF!,"AAAAADp/r1E=")</f>
        <v>#REF!</v>
      </c>
      <c r="CE13" t="e">
        <f>AND(Bills!#REF!,"AAAAADp/r1I=")</f>
        <v>#REF!</v>
      </c>
      <c r="CF13" t="e">
        <f>AND(Bills!#REF!,"AAAAADp/r1M=")</f>
        <v>#REF!</v>
      </c>
      <c r="CG13" t="e">
        <f>AND(Bills!#REF!,"AAAAADp/r1Q=")</f>
        <v>#REF!</v>
      </c>
      <c r="CH13" t="e">
        <f>AND(Bills!#REF!,"AAAAADp/r1U=")</f>
        <v>#REF!</v>
      </c>
      <c r="CI13" t="e">
        <f>AND(Bills!#REF!,"AAAAADp/r1Y=")</f>
        <v>#REF!</v>
      </c>
      <c r="CJ13" t="e">
        <f>AND(Bills!#REF!,"AAAAADp/r1c=")</f>
        <v>#REF!</v>
      </c>
      <c r="CK13" t="e">
        <f>AND(Bills!#REF!,"AAAAADp/r1g=")</f>
        <v>#REF!</v>
      </c>
      <c r="CL13" t="e">
        <f>AND(Bills!#REF!,"AAAAADp/r1k=")</f>
        <v>#REF!</v>
      </c>
      <c r="CM13" t="e">
        <f>AND(Bills!#REF!,"AAAAADp/r1o=")</f>
        <v>#REF!</v>
      </c>
      <c r="CN13" t="e">
        <f>AND(Bills!#REF!,"AAAAADp/r1s=")</f>
        <v>#REF!</v>
      </c>
      <c r="CO13" t="e">
        <f>AND(Bills!#REF!,"AAAAADp/r1w=")</f>
        <v>#REF!</v>
      </c>
      <c r="CP13" t="e">
        <f>AND(Bills!#REF!,"AAAAADp/r10=")</f>
        <v>#REF!</v>
      </c>
      <c r="CQ13" t="e">
        <f>AND(Bills!#REF!,"AAAAADp/r14=")</f>
        <v>#REF!</v>
      </c>
      <c r="CR13" t="e">
        <f>AND(Bills!#REF!,"AAAAADp/r18=")</f>
        <v>#REF!</v>
      </c>
      <c r="CS13" t="e">
        <f>AND(Bills!#REF!,"AAAAADp/r2A=")</f>
        <v>#REF!</v>
      </c>
      <c r="CT13" t="e">
        <f>AND(Bills!#REF!,"AAAAADp/r2E=")</f>
        <v>#REF!</v>
      </c>
      <c r="CU13" t="e">
        <f>AND(Bills!#REF!,"AAAAADp/r2I=")</f>
        <v>#REF!</v>
      </c>
      <c r="CV13" t="e">
        <f>AND(Bills!#REF!,"AAAAADp/r2M=")</f>
        <v>#REF!</v>
      </c>
      <c r="CW13" t="e">
        <f>AND(Bills!#REF!,"AAAAADp/r2Q=")</f>
        <v>#REF!</v>
      </c>
      <c r="CX13" t="e">
        <f>AND(Bills!#REF!,"AAAAADp/r2U=")</f>
        <v>#REF!</v>
      </c>
      <c r="CY13" t="e">
        <f>AND(Bills!#REF!,"AAAAADp/r2Y=")</f>
        <v>#REF!</v>
      </c>
      <c r="CZ13" t="e">
        <f>AND(Bills!#REF!,"AAAAADp/r2c=")</f>
        <v>#REF!</v>
      </c>
      <c r="DA13" t="e">
        <f>AND(Bills!#REF!,"AAAAADp/r2g=")</f>
        <v>#REF!</v>
      </c>
      <c r="DB13" t="e">
        <f>AND(Bills!#REF!,"AAAAADp/r2k=")</f>
        <v>#REF!</v>
      </c>
      <c r="DC13" t="e">
        <f>AND(Bills!#REF!,"AAAAADp/r2o=")</f>
        <v>#REF!</v>
      </c>
      <c r="DD13" t="e">
        <f>AND(Bills!#REF!,"AAAAADp/r2s=")</f>
        <v>#REF!</v>
      </c>
      <c r="DE13" t="e">
        <f>AND(Bills!#REF!,"AAAAADp/r2w=")</f>
        <v>#REF!</v>
      </c>
      <c r="DF13" t="e">
        <f>AND(Bills!#REF!,"AAAAADp/r20=")</f>
        <v>#REF!</v>
      </c>
      <c r="DG13" t="e">
        <f>AND(Bills!#REF!,"AAAAADp/r24=")</f>
        <v>#REF!</v>
      </c>
      <c r="DH13" t="e">
        <f>AND(Bills!#REF!,"AAAAADp/r28=")</f>
        <v>#REF!</v>
      </c>
      <c r="DI13" t="e">
        <f>AND(Bills!#REF!,"AAAAADp/r3A=")</f>
        <v>#REF!</v>
      </c>
      <c r="DJ13" t="e">
        <f>AND(Bills!#REF!,"AAAAADp/r3E=")</f>
        <v>#REF!</v>
      </c>
      <c r="DK13" t="e">
        <f>AND(Bills!#REF!,"AAAAADp/r3I=")</f>
        <v>#REF!</v>
      </c>
      <c r="DL13" t="e">
        <f>AND(Bills!#REF!,"AAAAADp/r3M=")</f>
        <v>#REF!</v>
      </c>
      <c r="DM13" t="e">
        <f>AND(Bills!#REF!,"AAAAADp/r3Q=")</f>
        <v>#REF!</v>
      </c>
      <c r="DN13" t="e">
        <f>AND(Bills!#REF!,"AAAAADp/r3U=")</f>
        <v>#REF!</v>
      </c>
      <c r="DO13" t="e">
        <f>AND(Bills!#REF!,"AAAAADp/r3Y=")</f>
        <v>#REF!</v>
      </c>
      <c r="DP13" t="e">
        <f>AND(Bills!#REF!,"AAAAADp/r3c=")</f>
        <v>#REF!</v>
      </c>
      <c r="DQ13" t="e">
        <f>AND(Bills!#REF!,"AAAAADp/r3g=")</f>
        <v>#REF!</v>
      </c>
      <c r="DR13" t="e">
        <f>AND(Bills!#REF!,"AAAAADp/r3k=")</f>
        <v>#REF!</v>
      </c>
      <c r="DS13" t="e">
        <f>AND(Bills!#REF!,"AAAAADp/r3o=")</f>
        <v>#REF!</v>
      </c>
      <c r="DT13" t="e">
        <f>AND(Bills!#REF!,"AAAAADp/r3s=")</f>
        <v>#REF!</v>
      </c>
      <c r="DU13" t="e">
        <f>AND(Bills!#REF!,"AAAAADp/r3w=")</f>
        <v>#REF!</v>
      </c>
      <c r="DV13" t="e">
        <f>AND(Bills!#REF!,"AAAAADp/r30=")</f>
        <v>#REF!</v>
      </c>
      <c r="DW13" t="e">
        <f>AND(Bills!#REF!,"AAAAADp/r34=")</f>
        <v>#REF!</v>
      </c>
      <c r="DX13" t="e">
        <f>AND(Bills!#REF!,"AAAAADp/r38=")</f>
        <v>#REF!</v>
      </c>
      <c r="DY13" t="e">
        <f>AND(Bills!#REF!,"AAAAADp/r4A=")</f>
        <v>#REF!</v>
      </c>
      <c r="DZ13" t="e">
        <f>IF(Bills!#REF!,"AAAAADp/r4E=",0)</f>
        <v>#REF!</v>
      </c>
      <c r="EA13" t="e">
        <f>AND(Bills!#REF!,"AAAAADp/r4I=")</f>
        <v>#REF!</v>
      </c>
      <c r="EB13" t="e">
        <f>AND(Bills!#REF!,"AAAAADp/r4M=")</f>
        <v>#REF!</v>
      </c>
      <c r="EC13" t="e">
        <f>AND(Bills!#REF!,"AAAAADp/r4Q=")</f>
        <v>#REF!</v>
      </c>
      <c r="ED13" t="e">
        <f>AND(Bills!#REF!,"AAAAADp/r4U=")</f>
        <v>#REF!</v>
      </c>
      <c r="EE13" t="e">
        <f>AND(Bills!#REF!,"AAAAADp/r4Y=")</f>
        <v>#REF!</v>
      </c>
      <c r="EF13" t="e">
        <f>AND(Bills!#REF!,"AAAAADp/r4c=")</f>
        <v>#REF!</v>
      </c>
      <c r="EG13" t="e">
        <f>AND(Bills!#REF!,"AAAAADp/r4g=")</f>
        <v>#REF!</v>
      </c>
      <c r="EH13" t="e">
        <f>AND(Bills!#REF!,"AAAAADp/r4k=")</f>
        <v>#REF!</v>
      </c>
      <c r="EI13" t="e">
        <f>AND(Bills!#REF!,"AAAAADp/r4o=")</f>
        <v>#REF!</v>
      </c>
      <c r="EJ13" t="e">
        <f>AND(Bills!#REF!,"AAAAADp/r4s=")</f>
        <v>#REF!</v>
      </c>
      <c r="EK13" t="e">
        <f>AND(Bills!#REF!,"AAAAADp/r4w=")</f>
        <v>#REF!</v>
      </c>
      <c r="EL13" t="e">
        <f>AND(Bills!#REF!,"AAAAADp/r40=")</f>
        <v>#REF!</v>
      </c>
      <c r="EM13" t="e">
        <f>AND(Bills!#REF!,"AAAAADp/r44=")</f>
        <v>#REF!</v>
      </c>
      <c r="EN13" t="e">
        <f>AND(Bills!#REF!,"AAAAADp/r48=")</f>
        <v>#REF!</v>
      </c>
      <c r="EO13" t="e">
        <f>AND(Bills!#REF!,"AAAAADp/r5A=")</f>
        <v>#REF!</v>
      </c>
      <c r="EP13" t="e">
        <f>AND(Bills!#REF!,"AAAAADp/r5E=")</f>
        <v>#REF!</v>
      </c>
      <c r="EQ13" t="e">
        <f>AND(Bills!#REF!,"AAAAADp/r5I=")</f>
        <v>#REF!</v>
      </c>
      <c r="ER13" t="e">
        <f>AND(Bills!#REF!,"AAAAADp/r5M=")</f>
        <v>#REF!</v>
      </c>
      <c r="ES13" t="e">
        <f>AND(Bills!#REF!,"AAAAADp/r5Q=")</f>
        <v>#REF!</v>
      </c>
      <c r="ET13" t="e">
        <f>AND(Bills!#REF!,"AAAAADp/r5U=")</f>
        <v>#REF!</v>
      </c>
      <c r="EU13" t="e">
        <f>AND(Bills!#REF!,"AAAAADp/r5Y=")</f>
        <v>#REF!</v>
      </c>
      <c r="EV13" t="e">
        <f>AND(Bills!#REF!,"AAAAADp/r5c=")</f>
        <v>#REF!</v>
      </c>
      <c r="EW13" t="e">
        <f>AND(Bills!#REF!,"AAAAADp/r5g=")</f>
        <v>#REF!</v>
      </c>
      <c r="EX13" t="e">
        <f>AND(Bills!#REF!,"AAAAADp/r5k=")</f>
        <v>#REF!</v>
      </c>
      <c r="EY13" t="e">
        <f>AND(Bills!#REF!,"AAAAADp/r5o=")</f>
        <v>#REF!</v>
      </c>
      <c r="EZ13" t="e">
        <f>AND(Bills!#REF!,"AAAAADp/r5s=")</f>
        <v>#REF!</v>
      </c>
      <c r="FA13" t="e">
        <f>AND(Bills!#REF!,"AAAAADp/r5w=")</f>
        <v>#REF!</v>
      </c>
      <c r="FB13" t="e">
        <f>AND(Bills!#REF!,"AAAAADp/r50=")</f>
        <v>#REF!</v>
      </c>
      <c r="FC13" t="e">
        <f>AND(Bills!#REF!,"AAAAADp/r54=")</f>
        <v>#REF!</v>
      </c>
      <c r="FD13" t="e">
        <f>AND(Bills!#REF!,"AAAAADp/r58=")</f>
        <v>#REF!</v>
      </c>
      <c r="FE13" t="e">
        <f>AND(Bills!#REF!,"AAAAADp/r6A=")</f>
        <v>#REF!</v>
      </c>
      <c r="FF13" t="e">
        <f>AND(Bills!#REF!,"AAAAADp/r6E=")</f>
        <v>#REF!</v>
      </c>
      <c r="FG13" t="e">
        <f>AND(Bills!#REF!,"AAAAADp/r6I=")</f>
        <v>#REF!</v>
      </c>
      <c r="FH13" t="e">
        <f>AND(Bills!#REF!,"AAAAADp/r6M=")</f>
        <v>#REF!</v>
      </c>
      <c r="FI13" t="e">
        <f>AND(Bills!#REF!,"AAAAADp/r6Q=")</f>
        <v>#REF!</v>
      </c>
      <c r="FJ13" t="e">
        <f>AND(Bills!#REF!,"AAAAADp/r6U=")</f>
        <v>#REF!</v>
      </c>
      <c r="FK13" t="e">
        <f>AND(Bills!#REF!,"AAAAADp/r6Y=")</f>
        <v>#REF!</v>
      </c>
      <c r="FL13" t="e">
        <f>AND(Bills!#REF!,"AAAAADp/r6c=")</f>
        <v>#REF!</v>
      </c>
      <c r="FM13" t="e">
        <f>AND(Bills!#REF!,"AAAAADp/r6g=")</f>
        <v>#REF!</v>
      </c>
      <c r="FN13" t="e">
        <f>AND(Bills!#REF!,"AAAAADp/r6k=")</f>
        <v>#REF!</v>
      </c>
      <c r="FO13" t="e">
        <f>AND(Bills!#REF!,"AAAAADp/r6o=")</f>
        <v>#REF!</v>
      </c>
      <c r="FP13" t="e">
        <f>AND(Bills!#REF!,"AAAAADp/r6s=")</f>
        <v>#REF!</v>
      </c>
      <c r="FQ13" t="e">
        <f>AND(Bills!#REF!,"AAAAADp/r6w=")</f>
        <v>#REF!</v>
      </c>
      <c r="FR13" t="e">
        <f>AND(Bills!#REF!,"AAAAADp/r60=")</f>
        <v>#REF!</v>
      </c>
      <c r="FS13" t="e">
        <f>AND(Bills!#REF!,"AAAAADp/r64=")</f>
        <v>#REF!</v>
      </c>
      <c r="FT13" t="e">
        <f>AND(Bills!#REF!,"AAAAADp/r68=")</f>
        <v>#REF!</v>
      </c>
      <c r="FU13" t="e">
        <f>AND(Bills!#REF!,"AAAAADp/r7A=")</f>
        <v>#REF!</v>
      </c>
      <c r="FV13" t="e">
        <f>AND(Bills!#REF!,"AAAAADp/r7E=")</f>
        <v>#REF!</v>
      </c>
      <c r="FW13" t="e">
        <f>AND(Bills!#REF!,"AAAAADp/r7I=")</f>
        <v>#REF!</v>
      </c>
      <c r="FX13" t="e">
        <f>AND(Bills!#REF!,"AAAAADp/r7M=")</f>
        <v>#REF!</v>
      </c>
      <c r="FY13" t="e">
        <f>IF(Bills!#REF!,"AAAAADp/r7Q=",0)</f>
        <v>#REF!</v>
      </c>
      <c r="FZ13" t="e">
        <f>AND(Bills!#REF!,"AAAAADp/r7U=")</f>
        <v>#REF!</v>
      </c>
      <c r="GA13" t="e">
        <f>AND(Bills!#REF!,"AAAAADp/r7Y=")</f>
        <v>#REF!</v>
      </c>
      <c r="GB13" t="e">
        <f>AND(Bills!#REF!,"AAAAADp/r7c=")</f>
        <v>#REF!</v>
      </c>
      <c r="GC13" t="e">
        <f>AND(Bills!#REF!,"AAAAADp/r7g=")</f>
        <v>#REF!</v>
      </c>
      <c r="GD13" t="e">
        <f>AND(Bills!#REF!,"AAAAADp/r7k=")</f>
        <v>#REF!</v>
      </c>
      <c r="GE13" t="e">
        <f>AND(Bills!#REF!,"AAAAADp/r7o=")</f>
        <v>#REF!</v>
      </c>
      <c r="GF13" t="e">
        <f>AND(Bills!#REF!,"AAAAADp/r7s=")</f>
        <v>#REF!</v>
      </c>
      <c r="GG13" t="e">
        <f>AND(Bills!#REF!,"AAAAADp/r7w=")</f>
        <v>#REF!</v>
      </c>
      <c r="GH13" t="e">
        <f>AND(Bills!#REF!,"AAAAADp/r70=")</f>
        <v>#REF!</v>
      </c>
      <c r="GI13" t="e">
        <f>AND(Bills!#REF!,"AAAAADp/r74=")</f>
        <v>#REF!</v>
      </c>
      <c r="GJ13" t="e">
        <f>AND(Bills!#REF!,"AAAAADp/r78=")</f>
        <v>#REF!</v>
      </c>
      <c r="GK13" t="e">
        <f>AND(Bills!#REF!,"AAAAADp/r8A=")</f>
        <v>#REF!</v>
      </c>
      <c r="GL13" t="e">
        <f>AND(Bills!#REF!,"AAAAADp/r8E=")</f>
        <v>#REF!</v>
      </c>
      <c r="GM13" t="e">
        <f>AND(Bills!#REF!,"AAAAADp/r8I=")</f>
        <v>#REF!</v>
      </c>
      <c r="GN13" t="e">
        <f>AND(Bills!#REF!,"AAAAADp/r8M=")</f>
        <v>#REF!</v>
      </c>
      <c r="GO13" t="e">
        <f>AND(Bills!#REF!,"AAAAADp/r8Q=")</f>
        <v>#REF!</v>
      </c>
      <c r="GP13" t="e">
        <f>AND(Bills!#REF!,"AAAAADp/r8U=")</f>
        <v>#REF!</v>
      </c>
      <c r="GQ13" t="e">
        <f>AND(Bills!#REF!,"AAAAADp/r8Y=")</f>
        <v>#REF!</v>
      </c>
      <c r="GR13" t="e">
        <f>AND(Bills!#REF!,"AAAAADp/r8c=")</f>
        <v>#REF!</v>
      </c>
      <c r="GS13" t="e">
        <f>AND(Bills!#REF!,"AAAAADp/r8g=")</f>
        <v>#REF!</v>
      </c>
      <c r="GT13" t="e">
        <f>AND(Bills!#REF!,"AAAAADp/r8k=")</f>
        <v>#REF!</v>
      </c>
      <c r="GU13" t="e">
        <f>AND(Bills!#REF!,"AAAAADp/r8o=")</f>
        <v>#REF!</v>
      </c>
      <c r="GV13" t="e">
        <f>AND(Bills!#REF!,"AAAAADp/r8s=")</f>
        <v>#REF!</v>
      </c>
      <c r="GW13" t="e">
        <f>AND(Bills!#REF!,"AAAAADp/r8w=")</f>
        <v>#REF!</v>
      </c>
      <c r="GX13" t="e">
        <f>AND(Bills!#REF!,"AAAAADp/r80=")</f>
        <v>#REF!</v>
      </c>
      <c r="GY13" t="e">
        <f>AND(Bills!#REF!,"AAAAADp/r84=")</f>
        <v>#REF!</v>
      </c>
      <c r="GZ13" t="e">
        <f>AND(Bills!#REF!,"AAAAADp/r88=")</f>
        <v>#REF!</v>
      </c>
      <c r="HA13" t="e">
        <f>AND(Bills!#REF!,"AAAAADp/r9A=")</f>
        <v>#REF!</v>
      </c>
      <c r="HB13" t="e">
        <f>AND(Bills!#REF!,"AAAAADp/r9E=")</f>
        <v>#REF!</v>
      </c>
      <c r="HC13" t="e">
        <f>AND(Bills!#REF!,"AAAAADp/r9I=")</f>
        <v>#REF!</v>
      </c>
      <c r="HD13" t="e">
        <f>AND(Bills!#REF!,"AAAAADp/r9M=")</f>
        <v>#REF!</v>
      </c>
      <c r="HE13" t="e">
        <f>AND(Bills!#REF!,"AAAAADp/r9Q=")</f>
        <v>#REF!</v>
      </c>
      <c r="HF13" t="e">
        <f>AND(Bills!#REF!,"AAAAADp/r9U=")</f>
        <v>#REF!</v>
      </c>
      <c r="HG13" t="e">
        <f>AND(Bills!#REF!,"AAAAADp/r9Y=")</f>
        <v>#REF!</v>
      </c>
      <c r="HH13" t="e">
        <f>AND(Bills!#REF!,"AAAAADp/r9c=")</f>
        <v>#REF!</v>
      </c>
      <c r="HI13" t="e">
        <f>AND(Bills!#REF!,"AAAAADp/r9g=")</f>
        <v>#REF!</v>
      </c>
      <c r="HJ13" t="e">
        <f>AND(Bills!#REF!,"AAAAADp/r9k=")</f>
        <v>#REF!</v>
      </c>
      <c r="HK13" t="e">
        <f>AND(Bills!#REF!,"AAAAADp/r9o=")</f>
        <v>#REF!</v>
      </c>
      <c r="HL13" t="e">
        <f>AND(Bills!#REF!,"AAAAADp/r9s=")</f>
        <v>#REF!</v>
      </c>
      <c r="HM13" t="e">
        <f>AND(Bills!#REF!,"AAAAADp/r9w=")</f>
        <v>#REF!</v>
      </c>
      <c r="HN13" t="e">
        <f>AND(Bills!#REF!,"AAAAADp/r90=")</f>
        <v>#REF!</v>
      </c>
      <c r="HO13" t="e">
        <f>AND(Bills!#REF!,"AAAAADp/r94=")</f>
        <v>#REF!</v>
      </c>
      <c r="HP13" t="e">
        <f>AND(Bills!#REF!,"AAAAADp/r98=")</f>
        <v>#REF!</v>
      </c>
      <c r="HQ13" t="e">
        <f>AND(Bills!#REF!,"AAAAADp/r+A=")</f>
        <v>#REF!</v>
      </c>
      <c r="HR13" t="e">
        <f>AND(Bills!#REF!,"AAAAADp/r+E=")</f>
        <v>#REF!</v>
      </c>
      <c r="HS13" t="e">
        <f>AND(Bills!#REF!,"AAAAADp/r+I=")</f>
        <v>#REF!</v>
      </c>
      <c r="HT13" t="e">
        <f>AND(Bills!#REF!,"AAAAADp/r+M=")</f>
        <v>#REF!</v>
      </c>
      <c r="HU13" t="e">
        <f>AND(Bills!#REF!,"AAAAADp/r+Q=")</f>
        <v>#REF!</v>
      </c>
      <c r="HV13" t="e">
        <f>AND(Bills!#REF!,"AAAAADp/r+U=")</f>
        <v>#REF!</v>
      </c>
      <c r="HW13" t="e">
        <f>AND(Bills!#REF!,"AAAAADp/r+Y=")</f>
        <v>#REF!</v>
      </c>
      <c r="HX13" t="e">
        <f>IF(Bills!#REF!,"AAAAADp/r+c=",0)</f>
        <v>#REF!</v>
      </c>
      <c r="HY13" t="e">
        <f>AND(Bills!#REF!,"AAAAADp/r+g=")</f>
        <v>#REF!</v>
      </c>
      <c r="HZ13" t="e">
        <f>AND(Bills!#REF!,"AAAAADp/r+k=")</f>
        <v>#REF!</v>
      </c>
      <c r="IA13" t="e">
        <f>AND(Bills!#REF!,"AAAAADp/r+o=")</f>
        <v>#REF!</v>
      </c>
      <c r="IB13" t="e">
        <f>AND(Bills!#REF!,"AAAAADp/r+s=")</f>
        <v>#REF!</v>
      </c>
      <c r="IC13" t="e">
        <f>AND(Bills!#REF!,"AAAAADp/r+w=")</f>
        <v>#REF!</v>
      </c>
      <c r="ID13" t="e">
        <f>AND(Bills!#REF!,"AAAAADp/r+0=")</f>
        <v>#REF!</v>
      </c>
      <c r="IE13" t="e">
        <f>AND(Bills!#REF!,"AAAAADp/r+4=")</f>
        <v>#REF!</v>
      </c>
      <c r="IF13" t="e">
        <f>AND(Bills!#REF!,"AAAAADp/r+8=")</f>
        <v>#REF!</v>
      </c>
      <c r="IG13" t="e">
        <f>AND(Bills!#REF!,"AAAAADp/r/A=")</f>
        <v>#REF!</v>
      </c>
      <c r="IH13" t="e">
        <f>AND(Bills!#REF!,"AAAAADp/r/E=")</f>
        <v>#REF!</v>
      </c>
      <c r="II13" t="e">
        <f>AND(Bills!#REF!,"AAAAADp/r/I=")</f>
        <v>#REF!</v>
      </c>
      <c r="IJ13" t="e">
        <f>AND(Bills!#REF!,"AAAAADp/r/M=")</f>
        <v>#REF!</v>
      </c>
      <c r="IK13" t="e">
        <f>AND(Bills!#REF!,"AAAAADp/r/Q=")</f>
        <v>#REF!</v>
      </c>
      <c r="IL13" t="e">
        <f>AND(Bills!#REF!,"AAAAADp/r/U=")</f>
        <v>#REF!</v>
      </c>
      <c r="IM13" t="e">
        <f>AND(Bills!#REF!,"AAAAADp/r/Y=")</f>
        <v>#REF!</v>
      </c>
      <c r="IN13" t="e">
        <f>AND(Bills!#REF!,"AAAAADp/r/c=")</f>
        <v>#REF!</v>
      </c>
      <c r="IO13" t="e">
        <f>AND(Bills!#REF!,"AAAAADp/r/g=")</f>
        <v>#REF!</v>
      </c>
      <c r="IP13" t="e">
        <f>AND(Bills!#REF!,"AAAAADp/r/k=")</f>
        <v>#REF!</v>
      </c>
      <c r="IQ13" t="e">
        <f>AND(Bills!#REF!,"AAAAADp/r/o=")</f>
        <v>#REF!</v>
      </c>
      <c r="IR13" t="e">
        <f>AND(Bills!#REF!,"AAAAADp/r/s=")</f>
        <v>#REF!</v>
      </c>
      <c r="IS13" t="e">
        <f>AND(Bills!#REF!,"AAAAADp/r/w=")</f>
        <v>#REF!</v>
      </c>
      <c r="IT13" t="e">
        <f>AND(Bills!#REF!,"AAAAADp/r/0=")</f>
        <v>#REF!</v>
      </c>
      <c r="IU13" t="e">
        <f>AND(Bills!#REF!,"AAAAADp/r/4=")</f>
        <v>#REF!</v>
      </c>
      <c r="IV13" t="e">
        <f>AND(Bills!#REF!,"AAAAADp/r/8=")</f>
        <v>#REF!</v>
      </c>
    </row>
    <row r="14" spans="1:256">
      <c r="A14" t="e">
        <f>AND(Bills!#REF!,"AAAAAHbzbQA=")</f>
        <v>#REF!</v>
      </c>
      <c r="B14" t="e">
        <f>AND(Bills!#REF!,"AAAAAHbzbQE=")</f>
        <v>#REF!</v>
      </c>
      <c r="C14" t="e">
        <f>AND(Bills!#REF!,"AAAAAHbzbQI=")</f>
        <v>#REF!</v>
      </c>
      <c r="D14" t="e">
        <f>AND(Bills!#REF!,"AAAAAHbzbQM=")</f>
        <v>#REF!</v>
      </c>
      <c r="E14" t="e">
        <f>AND(Bills!#REF!,"AAAAAHbzbQQ=")</f>
        <v>#REF!</v>
      </c>
      <c r="F14" t="e">
        <f>AND(Bills!#REF!,"AAAAAHbzbQU=")</f>
        <v>#REF!</v>
      </c>
      <c r="G14" t="e">
        <f>AND(Bills!#REF!,"AAAAAHbzbQY=")</f>
        <v>#REF!</v>
      </c>
      <c r="H14" t="e">
        <f>AND(Bills!#REF!,"AAAAAHbzbQc=")</f>
        <v>#REF!</v>
      </c>
      <c r="I14" t="e">
        <f>AND(Bills!#REF!,"AAAAAHbzbQg=")</f>
        <v>#REF!</v>
      </c>
      <c r="J14" t="e">
        <f>AND(Bills!#REF!,"AAAAAHbzbQk=")</f>
        <v>#REF!</v>
      </c>
      <c r="K14" t="e">
        <f>AND(Bills!#REF!,"AAAAAHbzbQo=")</f>
        <v>#REF!</v>
      </c>
      <c r="L14" t="e">
        <f>AND(Bills!#REF!,"AAAAAHbzbQs=")</f>
        <v>#REF!</v>
      </c>
      <c r="M14" t="e">
        <f>AND(Bills!#REF!,"AAAAAHbzbQw=")</f>
        <v>#REF!</v>
      </c>
      <c r="N14" t="e">
        <f>AND(Bills!#REF!,"AAAAAHbzbQ0=")</f>
        <v>#REF!</v>
      </c>
      <c r="O14" t="e">
        <f>AND(Bills!#REF!,"AAAAAHbzbQ4=")</f>
        <v>#REF!</v>
      </c>
      <c r="P14" t="e">
        <f>AND(Bills!#REF!,"AAAAAHbzbQ8=")</f>
        <v>#REF!</v>
      </c>
      <c r="Q14" t="e">
        <f>AND(Bills!#REF!,"AAAAAHbzbRA=")</f>
        <v>#REF!</v>
      </c>
      <c r="R14" t="e">
        <f>AND(Bills!#REF!,"AAAAAHbzbRE=")</f>
        <v>#REF!</v>
      </c>
      <c r="S14" t="e">
        <f>AND(Bills!#REF!,"AAAAAHbzbRI=")</f>
        <v>#REF!</v>
      </c>
      <c r="T14" t="e">
        <f>AND(Bills!#REF!,"AAAAAHbzbRM=")</f>
        <v>#REF!</v>
      </c>
      <c r="U14" t="e">
        <f>AND(Bills!#REF!,"AAAAAHbzbRQ=")</f>
        <v>#REF!</v>
      </c>
      <c r="V14" t="e">
        <f>AND(Bills!#REF!,"AAAAAHbzbRU=")</f>
        <v>#REF!</v>
      </c>
      <c r="W14" t="e">
        <f>AND(Bills!#REF!,"AAAAAHbzbRY=")</f>
        <v>#REF!</v>
      </c>
      <c r="X14" t="e">
        <f>AND(Bills!#REF!,"AAAAAHbzbRc=")</f>
        <v>#REF!</v>
      </c>
      <c r="Y14" t="e">
        <f>AND(Bills!#REF!,"AAAAAHbzbRg=")</f>
        <v>#REF!</v>
      </c>
      <c r="Z14" t="e">
        <f>AND(Bills!#REF!,"AAAAAHbzbRk=")</f>
        <v>#REF!</v>
      </c>
      <c r="AA14" t="e">
        <f>IF(Bills!#REF!,"AAAAAHbzbRo=",0)</f>
        <v>#REF!</v>
      </c>
      <c r="AB14" t="e">
        <f>AND(Bills!#REF!,"AAAAAHbzbRs=")</f>
        <v>#REF!</v>
      </c>
      <c r="AC14" t="e">
        <f>AND(Bills!#REF!,"AAAAAHbzbRw=")</f>
        <v>#REF!</v>
      </c>
      <c r="AD14" t="e">
        <f>AND(Bills!#REF!,"AAAAAHbzbR0=")</f>
        <v>#REF!</v>
      </c>
      <c r="AE14" t="e">
        <f>AND(Bills!#REF!,"AAAAAHbzbR4=")</f>
        <v>#REF!</v>
      </c>
      <c r="AF14" t="e">
        <f>AND(Bills!#REF!,"AAAAAHbzbR8=")</f>
        <v>#REF!</v>
      </c>
      <c r="AG14" t="e">
        <f>AND(Bills!#REF!,"AAAAAHbzbSA=")</f>
        <v>#REF!</v>
      </c>
      <c r="AH14" t="e">
        <f>AND(Bills!#REF!,"AAAAAHbzbSE=")</f>
        <v>#REF!</v>
      </c>
      <c r="AI14" t="e">
        <f>AND(Bills!#REF!,"AAAAAHbzbSI=")</f>
        <v>#REF!</v>
      </c>
      <c r="AJ14" t="e">
        <f>AND(Bills!#REF!,"AAAAAHbzbSM=")</f>
        <v>#REF!</v>
      </c>
      <c r="AK14" t="e">
        <f>AND(Bills!#REF!,"AAAAAHbzbSQ=")</f>
        <v>#REF!</v>
      </c>
      <c r="AL14" t="e">
        <f>AND(Bills!#REF!,"AAAAAHbzbSU=")</f>
        <v>#REF!</v>
      </c>
      <c r="AM14" t="e">
        <f>AND(Bills!#REF!,"AAAAAHbzbSY=")</f>
        <v>#REF!</v>
      </c>
      <c r="AN14" t="e">
        <f>AND(Bills!#REF!,"AAAAAHbzbSc=")</f>
        <v>#REF!</v>
      </c>
      <c r="AO14" t="e">
        <f>AND(Bills!#REF!,"AAAAAHbzbSg=")</f>
        <v>#REF!</v>
      </c>
      <c r="AP14" t="e">
        <f>AND(Bills!#REF!,"AAAAAHbzbSk=")</f>
        <v>#REF!</v>
      </c>
      <c r="AQ14" t="e">
        <f>AND(Bills!#REF!,"AAAAAHbzbSo=")</f>
        <v>#REF!</v>
      </c>
      <c r="AR14" t="e">
        <f>AND(Bills!#REF!,"AAAAAHbzbSs=")</f>
        <v>#REF!</v>
      </c>
      <c r="AS14" t="e">
        <f>AND(Bills!#REF!,"AAAAAHbzbSw=")</f>
        <v>#REF!</v>
      </c>
      <c r="AT14" t="e">
        <f>AND(Bills!#REF!,"AAAAAHbzbS0=")</f>
        <v>#REF!</v>
      </c>
      <c r="AU14" t="e">
        <f>AND(Bills!#REF!,"AAAAAHbzbS4=")</f>
        <v>#REF!</v>
      </c>
      <c r="AV14" t="e">
        <f>AND(Bills!#REF!,"AAAAAHbzbS8=")</f>
        <v>#REF!</v>
      </c>
      <c r="AW14" t="e">
        <f>AND(Bills!#REF!,"AAAAAHbzbTA=")</f>
        <v>#REF!</v>
      </c>
      <c r="AX14" t="e">
        <f>AND(Bills!#REF!,"AAAAAHbzbTE=")</f>
        <v>#REF!</v>
      </c>
      <c r="AY14" t="e">
        <f>AND(Bills!#REF!,"AAAAAHbzbTI=")</f>
        <v>#REF!</v>
      </c>
      <c r="AZ14" t="e">
        <f>AND(Bills!#REF!,"AAAAAHbzbTM=")</f>
        <v>#REF!</v>
      </c>
      <c r="BA14" t="e">
        <f>AND(Bills!#REF!,"AAAAAHbzbTQ=")</f>
        <v>#REF!</v>
      </c>
      <c r="BB14" t="e">
        <f>AND(Bills!#REF!,"AAAAAHbzbTU=")</f>
        <v>#REF!</v>
      </c>
      <c r="BC14" t="e">
        <f>AND(Bills!#REF!,"AAAAAHbzbTY=")</f>
        <v>#REF!</v>
      </c>
      <c r="BD14" t="e">
        <f>AND(Bills!#REF!,"AAAAAHbzbTc=")</f>
        <v>#REF!</v>
      </c>
      <c r="BE14" t="e">
        <f>AND(Bills!#REF!,"AAAAAHbzbTg=")</f>
        <v>#REF!</v>
      </c>
      <c r="BF14" t="e">
        <f>AND(Bills!#REF!,"AAAAAHbzbTk=")</f>
        <v>#REF!</v>
      </c>
      <c r="BG14" t="e">
        <f>AND(Bills!#REF!,"AAAAAHbzbTo=")</f>
        <v>#REF!</v>
      </c>
      <c r="BH14" t="e">
        <f>AND(Bills!#REF!,"AAAAAHbzbTs=")</f>
        <v>#REF!</v>
      </c>
      <c r="BI14" t="e">
        <f>AND(Bills!#REF!,"AAAAAHbzbTw=")</f>
        <v>#REF!</v>
      </c>
      <c r="BJ14" t="e">
        <f>AND(Bills!#REF!,"AAAAAHbzbT0=")</f>
        <v>#REF!</v>
      </c>
      <c r="BK14" t="e">
        <f>AND(Bills!#REF!,"AAAAAHbzbT4=")</f>
        <v>#REF!</v>
      </c>
      <c r="BL14" t="e">
        <f>AND(Bills!#REF!,"AAAAAHbzbT8=")</f>
        <v>#REF!</v>
      </c>
      <c r="BM14" t="e">
        <f>AND(Bills!#REF!,"AAAAAHbzbUA=")</f>
        <v>#REF!</v>
      </c>
      <c r="BN14" t="e">
        <f>AND(Bills!#REF!,"AAAAAHbzbUE=")</f>
        <v>#REF!</v>
      </c>
      <c r="BO14" t="e">
        <f>AND(Bills!#REF!,"AAAAAHbzbUI=")</f>
        <v>#REF!</v>
      </c>
      <c r="BP14" t="e">
        <f>AND(Bills!#REF!,"AAAAAHbzbUM=")</f>
        <v>#REF!</v>
      </c>
      <c r="BQ14" t="e">
        <f>AND(Bills!#REF!,"AAAAAHbzbUQ=")</f>
        <v>#REF!</v>
      </c>
      <c r="BR14" t="e">
        <f>AND(Bills!#REF!,"AAAAAHbzbUU=")</f>
        <v>#REF!</v>
      </c>
      <c r="BS14" t="e">
        <f>AND(Bills!#REF!,"AAAAAHbzbUY=")</f>
        <v>#REF!</v>
      </c>
      <c r="BT14" t="e">
        <f>AND(Bills!#REF!,"AAAAAHbzbUc=")</f>
        <v>#REF!</v>
      </c>
      <c r="BU14" t="e">
        <f>AND(Bills!#REF!,"AAAAAHbzbUg=")</f>
        <v>#REF!</v>
      </c>
      <c r="BV14" t="e">
        <f>AND(Bills!#REF!,"AAAAAHbzbUk=")</f>
        <v>#REF!</v>
      </c>
      <c r="BW14" t="e">
        <f>AND(Bills!#REF!,"AAAAAHbzbUo=")</f>
        <v>#REF!</v>
      </c>
      <c r="BX14" t="e">
        <f>AND(Bills!#REF!,"AAAAAHbzbUs=")</f>
        <v>#REF!</v>
      </c>
      <c r="BY14" t="e">
        <f>AND(Bills!#REF!,"AAAAAHbzbUw=")</f>
        <v>#REF!</v>
      </c>
      <c r="BZ14" t="e">
        <f>IF(Bills!#REF!,"AAAAAHbzbU0=",0)</f>
        <v>#REF!</v>
      </c>
      <c r="CA14" t="e">
        <f>AND(Bills!#REF!,"AAAAAHbzbU4=")</f>
        <v>#REF!</v>
      </c>
      <c r="CB14" t="e">
        <f>AND(Bills!#REF!,"AAAAAHbzbU8=")</f>
        <v>#REF!</v>
      </c>
      <c r="CC14" t="e">
        <f>AND(Bills!#REF!,"AAAAAHbzbVA=")</f>
        <v>#REF!</v>
      </c>
      <c r="CD14" t="e">
        <f>AND(Bills!#REF!,"AAAAAHbzbVE=")</f>
        <v>#REF!</v>
      </c>
      <c r="CE14" t="e">
        <f>AND(Bills!#REF!,"AAAAAHbzbVI=")</f>
        <v>#REF!</v>
      </c>
      <c r="CF14" t="e">
        <f>AND(Bills!#REF!,"AAAAAHbzbVM=")</f>
        <v>#REF!</v>
      </c>
      <c r="CG14" t="e">
        <f>AND(Bills!#REF!,"AAAAAHbzbVQ=")</f>
        <v>#REF!</v>
      </c>
      <c r="CH14" t="e">
        <f>AND(Bills!#REF!,"AAAAAHbzbVU=")</f>
        <v>#REF!</v>
      </c>
      <c r="CI14" t="e">
        <f>AND(Bills!#REF!,"AAAAAHbzbVY=")</f>
        <v>#REF!</v>
      </c>
      <c r="CJ14" t="e">
        <f>AND(Bills!#REF!,"AAAAAHbzbVc=")</f>
        <v>#REF!</v>
      </c>
      <c r="CK14" t="e">
        <f>AND(Bills!#REF!,"AAAAAHbzbVg=")</f>
        <v>#REF!</v>
      </c>
      <c r="CL14" t="e">
        <f>AND(Bills!#REF!,"AAAAAHbzbVk=")</f>
        <v>#REF!</v>
      </c>
      <c r="CM14" t="e">
        <f>AND(Bills!#REF!,"AAAAAHbzbVo=")</f>
        <v>#REF!</v>
      </c>
      <c r="CN14" t="e">
        <f>AND(Bills!#REF!,"AAAAAHbzbVs=")</f>
        <v>#REF!</v>
      </c>
      <c r="CO14" t="e">
        <f>AND(Bills!#REF!,"AAAAAHbzbVw=")</f>
        <v>#REF!</v>
      </c>
      <c r="CP14" t="e">
        <f>AND(Bills!#REF!,"AAAAAHbzbV0=")</f>
        <v>#REF!</v>
      </c>
      <c r="CQ14" t="e">
        <f>AND(Bills!#REF!,"AAAAAHbzbV4=")</f>
        <v>#REF!</v>
      </c>
      <c r="CR14" t="e">
        <f>AND(Bills!#REF!,"AAAAAHbzbV8=")</f>
        <v>#REF!</v>
      </c>
      <c r="CS14" t="e">
        <f>AND(Bills!#REF!,"AAAAAHbzbWA=")</f>
        <v>#REF!</v>
      </c>
      <c r="CT14" t="e">
        <f>AND(Bills!#REF!,"AAAAAHbzbWE=")</f>
        <v>#REF!</v>
      </c>
      <c r="CU14" t="e">
        <f>AND(Bills!#REF!,"AAAAAHbzbWI=")</f>
        <v>#REF!</v>
      </c>
      <c r="CV14" t="e">
        <f>AND(Bills!#REF!,"AAAAAHbzbWM=")</f>
        <v>#REF!</v>
      </c>
      <c r="CW14" t="e">
        <f>AND(Bills!#REF!,"AAAAAHbzbWQ=")</f>
        <v>#REF!</v>
      </c>
      <c r="CX14" t="e">
        <f>AND(Bills!#REF!,"AAAAAHbzbWU=")</f>
        <v>#REF!</v>
      </c>
      <c r="CY14" t="e">
        <f>AND(Bills!#REF!,"AAAAAHbzbWY=")</f>
        <v>#REF!</v>
      </c>
      <c r="CZ14" t="e">
        <f>AND(Bills!#REF!,"AAAAAHbzbWc=")</f>
        <v>#REF!</v>
      </c>
      <c r="DA14" t="e">
        <f>AND(Bills!#REF!,"AAAAAHbzbWg=")</f>
        <v>#REF!</v>
      </c>
      <c r="DB14" t="e">
        <f>AND(Bills!#REF!,"AAAAAHbzbWk=")</f>
        <v>#REF!</v>
      </c>
      <c r="DC14" t="e">
        <f>AND(Bills!#REF!,"AAAAAHbzbWo=")</f>
        <v>#REF!</v>
      </c>
      <c r="DD14" t="e">
        <f>AND(Bills!#REF!,"AAAAAHbzbWs=")</f>
        <v>#REF!</v>
      </c>
      <c r="DE14" t="e">
        <f>AND(Bills!#REF!,"AAAAAHbzbWw=")</f>
        <v>#REF!</v>
      </c>
      <c r="DF14" t="e">
        <f>AND(Bills!#REF!,"AAAAAHbzbW0=")</f>
        <v>#REF!</v>
      </c>
      <c r="DG14" t="e">
        <f>AND(Bills!#REF!,"AAAAAHbzbW4=")</f>
        <v>#REF!</v>
      </c>
      <c r="DH14" t="e">
        <f>AND(Bills!#REF!,"AAAAAHbzbW8=")</f>
        <v>#REF!</v>
      </c>
      <c r="DI14" t="e">
        <f>AND(Bills!#REF!,"AAAAAHbzbXA=")</f>
        <v>#REF!</v>
      </c>
      <c r="DJ14" t="e">
        <f>AND(Bills!#REF!,"AAAAAHbzbXE=")</f>
        <v>#REF!</v>
      </c>
      <c r="DK14" t="e">
        <f>AND(Bills!#REF!,"AAAAAHbzbXI=")</f>
        <v>#REF!</v>
      </c>
      <c r="DL14" t="e">
        <f>AND(Bills!#REF!,"AAAAAHbzbXM=")</f>
        <v>#REF!</v>
      </c>
      <c r="DM14" t="e">
        <f>AND(Bills!#REF!,"AAAAAHbzbXQ=")</f>
        <v>#REF!</v>
      </c>
      <c r="DN14" t="e">
        <f>AND(Bills!#REF!,"AAAAAHbzbXU=")</f>
        <v>#REF!</v>
      </c>
      <c r="DO14" t="e">
        <f>AND(Bills!#REF!,"AAAAAHbzbXY=")</f>
        <v>#REF!</v>
      </c>
      <c r="DP14" t="e">
        <f>AND(Bills!#REF!,"AAAAAHbzbXc=")</f>
        <v>#REF!</v>
      </c>
      <c r="DQ14" t="e">
        <f>AND(Bills!#REF!,"AAAAAHbzbXg=")</f>
        <v>#REF!</v>
      </c>
      <c r="DR14" t="e">
        <f>AND(Bills!#REF!,"AAAAAHbzbXk=")</f>
        <v>#REF!</v>
      </c>
      <c r="DS14" t="e">
        <f>AND(Bills!#REF!,"AAAAAHbzbXo=")</f>
        <v>#REF!</v>
      </c>
      <c r="DT14" t="e">
        <f>AND(Bills!#REF!,"AAAAAHbzbXs=")</f>
        <v>#REF!</v>
      </c>
      <c r="DU14" t="e">
        <f>AND(Bills!#REF!,"AAAAAHbzbXw=")</f>
        <v>#REF!</v>
      </c>
      <c r="DV14" t="e">
        <f>AND(Bills!#REF!,"AAAAAHbzbX0=")</f>
        <v>#REF!</v>
      </c>
      <c r="DW14" t="e">
        <f>AND(Bills!#REF!,"AAAAAHbzbX4=")</f>
        <v>#REF!</v>
      </c>
      <c r="DX14" t="e">
        <f>AND(Bills!#REF!,"AAAAAHbzbX8=")</f>
        <v>#REF!</v>
      </c>
      <c r="DY14" t="e">
        <f>IF(Bills!#REF!,"AAAAAHbzbYA=",0)</f>
        <v>#REF!</v>
      </c>
      <c r="DZ14" t="e">
        <f>AND(Bills!#REF!,"AAAAAHbzbYE=")</f>
        <v>#REF!</v>
      </c>
      <c r="EA14" t="e">
        <f>AND(Bills!#REF!,"AAAAAHbzbYI=")</f>
        <v>#REF!</v>
      </c>
      <c r="EB14" t="e">
        <f>AND(Bills!#REF!,"AAAAAHbzbYM=")</f>
        <v>#REF!</v>
      </c>
      <c r="EC14" t="e">
        <f>AND(Bills!#REF!,"AAAAAHbzbYQ=")</f>
        <v>#REF!</v>
      </c>
      <c r="ED14" t="e">
        <f>AND(Bills!#REF!,"AAAAAHbzbYU=")</f>
        <v>#REF!</v>
      </c>
      <c r="EE14" t="e">
        <f>AND(Bills!#REF!,"AAAAAHbzbYY=")</f>
        <v>#REF!</v>
      </c>
      <c r="EF14" t="e">
        <f>AND(Bills!#REF!,"AAAAAHbzbYc=")</f>
        <v>#REF!</v>
      </c>
      <c r="EG14" t="e">
        <f>AND(Bills!#REF!,"AAAAAHbzbYg=")</f>
        <v>#REF!</v>
      </c>
      <c r="EH14" t="e">
        <f>AND(Bills!#REF!,"AAAAAHbzbYk=")</f>
        <v>#REF!</v>
      </c>
      <c r="EI14" t="e">
        <f>AND(Bills!#REF!,"AAAAAHbzbYo=")</f>
        <v>#REF!</v>
      </c>
      <c r="EJ14" t="e">
        <f>AND(Bills!#REF!,"AAAAAHbzbYs=")</f>
        <v>#REF!</v>
      </c>
      <c r="EK14" t="e">
        <f>AND(Bills!#REF!,"AAAAAHbzbYw=")</f>
        <v>#REF!</v>
      </c>
      <c r="EL14" t="e">
        <f>AND(Bills!#REF!,"AAAAAHbzbY0=")</f>
        <v>#REF!</v>
      </c>
      <c r="EM14" t="e">
        <f>AND(Bills!#REF!,"AAAAAHbzbY4=")</f>
        <v>#REF!</v>
      </c>
      <c r="EN14" t="e">
        <f>AND(Bills!#REF!,"AAAAAHbzbY8=")</f>
        <v>#REF!</v>
      </c>
      <c r="EO14" t="e">
        <f>AND(Bills!#REF!,"AAAAAHbzbZA=")</f>
        <v>#REF!</v>
      </c>
      <c r="EP14" t="e">
        <f>AND(Bills!#REF!,"AAAAAHbzbZE=")</f>
        <v>#REF!</v>
      </c>
      <c r="EQ14" t="e">
        <f>AND(Bills!#REF!,"AAAAAHbzbZI=")</f>
        <v>#REF!</v>
      </c>
      <c r="ER14" t="e">
        <f>AND(Bills!#REF!,"AAAAAHbzbZM=")</f>
        <v>#REF!</v>
      </c>
      <c r="ES14" t="e">
        <f>AND(Bills!#REF!,"AAAAAHbzbZQ=")</f>
        <v>#REF!</v>
      </c>
      <c r="ET14" t="e">
        <f>AND(Bills!#REF!,"AAAAAHbzbZU=")</f>
        <v>#REF!</v>
      </c>
      <c r="EU14" t="e">
        <f>AND(Bills!#REF!,"AAAAAHbzbZY=")</f>
        <v>#REF!</v>
      </c>
      <c r="EV14" t="e">
        <f>AND(Bills!#REF!,"AAAAAHbzbZc=")</f>
        <v>#REF!</v>
      </c>
      <c r="EW14" t="e">
        <f>AND(Bills!#REF!,"AAAAAHbzbZg=")</f>
        <v>#REF!</v>
      </c>
      <c r="EX14" t="e">
        <f>AND(Bills!#REF!,"AAAAAHbzbZk=")</f>
        <v>#REF!</v>
      </c>
      <c r="EY14" t="e">
        <f>AND(Bills!#REF!,"AAAAAHbzbZo=")</f>
        <v>#REF!</v>
      </c>
      <c r="EZ14" t="e">
        <f>AND(Bills!#REF!,"AAAAAHbzbZs=")</f>
        <v>#REF!</v>
      </c>
      <c r="FA14" t="e">
        <f>AND(Bills!#REF!,"AAAAAHbzbZw=")</f>
        <v>#REF!</v>
      </c>
      <c r="FB14" t="e">
        <f>AND(Bills!#REF!,"AAAAAHbzbZ0=")</f>
        <v>#REF!</v>
      </c>
      <c r="FC14" t="e">
        <f>AND(Bills!#REF!,"AAAAAHbzbZ4=")</f>
        <v>#REF!</v>
      </c>
      <c r="FD14" t="e">
        <f>AND(Bills!#REF!,"AAAAAHbzbZ8=")</f>
        <v>#REF!</v>
      </c>
      <c r="FE14" t="e">
        <f>AND(Bills!#REF!,"AAAAAHbzbaA=")</f>
        <v>#REF!</v>
      </c>
      <c r="FF14" t="e">
        <f>AND(Bills!#REF!,"AAAAAHbzbaE=")</f>
        <v>#REF!</v>
      </c>
      <c r="FG14" t="e">
        <f>AND(Bills!#REF!,"AAAAAHbzbaI=")</f>
        <v>#REF!</v>
      </c>
      <c r="FH14" t="e">
        <f>AND(Bills!#REF!,"AAAAAHbzbaM=")</f>
        <v>#REF!</v>
      </c>
      <c r="FI14" t="e">
        <f>AND(Bills!#REF!,"AAAAAHbzbaQ=")</f>
        <v>#REF!</v>
      </c>
      <c r="FJ14" t="e">
        <f>AND(Bills!#REF!,"AAAAAHbzbaU=")</f>
        <v>#REF!</v>
      </c>
      <c r="FK14" t="e">
        <f>AND(Bills!#REF!,"AAAAAHbzbaY=")</f>
        <v>#REF!</v>
      </c>
      <c r="FL14" t="e">
        <f>AND(Bills!#REF!,"AAAAAHbzbac=")</f>
        <v>#REF!</v>
      </c>
      <c r="FM14" t="e">
        <f>AND(Bills!#REF!,"AAAAAHbzbag=")</f>
        <v>#REF!</v>
      </c>
      <c r="FN14" t="e">
        <f>AND(Bills!#REF!,"AAAAAHbzbak=")</f>
        <v>#REF!</v>
      </c>
      <c r="FO14" t="e">
        <f>AND(Bills!#REF!,"AAAAAHbzbao=")</f>
        <v>#REF!</v>
      </c>
      <c r="FP14" t="e">
        <f>AND(Bills!#REF!,"AAAAAHbzbas=")</f>
        <v>#REF!</v>
      </c>
      <c r="FQ14" t="e">
        <f>AND(Bills!#REF!,"AAAAAHbzbaw=")</f>
        <v>#REF!</v>
      </c>
      <c r="FR14" t="e">
        <f>AND(Bills!#REF!,"AAAAAHbzba0=")</f>
        <v>#REF!</v>
      </c>
      <c r="FS14" t="e">
        <f>AND(Bills!#REF!,"AAAAAHbzba4=")</f>
        <v>#REF!</v>
      </c>
      <c r="FT14" t="e">
        <f>AND(Bills!#REF!,"AAAAAHbzba8=")</f>
        <v>#REF!</v>
      </c>
      <c r="FU14" t="e">
        <f>AND(Bills!#REF!,"AAAAAHbzbbA=")</f>
        <v>#REF!</v>
      </c>
      <c r="FV14" t="e">
        <f>AND(Bills!#REF!,"AAAAAHbzbbE=")</f>
        <v>#REF!</v>
      </c>
      <c r="FW14" t="e">
        <f>AND(Bills!#REF!,"AAAAAHbzbbI=")</f>
        <v>#REF!</v>
      </c>
      <c r="FX14" t="e">
        <f>IF(Bills!#REF!,"AAAAAHbzbbM=",0)</f>
        <v>#REF!</v>
      </c>
      <c r="FY14" t="e">
        <f>AND(Bills!#REF!,"AAAAAHbzbbQ=")</f>
        <v>#REF!</v>
      </c>
      <c r="FZ14" t="e">
        <f>AND(Bills!#REF!,"AAAAAHbzbbU=")</f>
        <v>#REF!</v>
      </c>
      <c r="GA14" t="e">
        <f>AND(Bills!#REF!,"AAAAAHbzbbY=")</f>
        <v>#REF!</v>
      </c>
      <c r="GB14" t="e">
        <f>AND(Bills!#REF!,"AAAAAHbzbbc=")</f>
        <v>#REF!</v>
      </c>
      <c r="GC14" t="e">
        <f>AND(Bills!#REF!,"AAAAAHbzbbg=")</f>
        <v>#REF!</v>
      </c>
      <c r="GD14" t="e">
        <f>AND(Bills!#REF!,"AAAAAHbzbbk=")</f>
        <v>#REF!</v>
      </c>
      <c r="GE14" t="e">
        <f>AND(Bills!#REF!,"AAAAAHbzbbo=")</f>
        <v>#REF!</v>
      </c>
      <c r="GF14" t="e">
        <f>AND(Bills!#REF!,"AAAAAHbzbbs=")</f>
        <v>#REF!</v>
      </c>
      <c r="GG14" t="e">
        <f>AND(Bills!#REF!,"AAAAAHbzbbw=")</f>
        <v>#REF!</v>
      </c>
      <c r="GH14" t="e">
        <f>AND(Bills!#REF!,"AAAAAHbzbb0=")</f>
        <v>#REF!</v>
      </c>
      <c r="GI14" t="e">
        <f>AND(Bills!#REF!,"AAAAAHbzbb4=")</f>
        <v>#REF!</v>
      </c>
      <c r="GJ14" t="e">
        <f>AND(Bills!#REF!,"AAAAAHbzbb8=")</f>
        <v>#REF!</v>
      </c>
      <c r="GK14" t="e">
        <f>AND(Bills!#REF!,"AAAAAHbzbcA=")</f>
        <v>#REF!</v>
      </c>
      <c r="GL14" t="e">
        <f>AND(Bills!#REF!,"AAAAAHbzbcE=")</f>
        <v>#REF!</v>
      </c>
      <c r="GM14" t="e">
        <f>AND(Bills!#REF!,"AAAAAHbzbcI=")</f>
        <v>#REF!</v>
      </c>
      <c r="GN14" t="e">
        <f>AND(Bills!#REF!,"AAAAAHbzbcM=")</f>
        <v>#REF!</v>
      </c>
      <c r="GO14" t="e">
        <f>AND(Bills!#REF!,"AAAAAHbzbcQ=")</f>
        <v>#REF!</v>
      </c>
      <c r="GP14" t="e">
        <f>AND(Bills!#REF!,"AAAAAHbzbcU=")</f>
        <v>#REF!</v>
      </c>
      <c r="GQ14" t="e">
        <f>AND(Bills!#REF!,"AAAAAHbzbcY=")</f>
        <v>#REF!</v>
      </c>
      <c r="GR14" t="e">
        <f>AND(Bills!#REF!,"AAAAAHbzbcc=")</f>
        <v>#REF!</v>
      </c>
      <c r="GS14" t="e">
        <f>AND(Bills!#REF!,"AAAAAHbzbcg=")</f>
        <v>#REF!</v>
      </c>
      <c r="GT14" t="e">
        <f>AND(Bills!#REF!,"AAAAAHbzbck=")</f>
        <v>#REF!</v>
      </c>
      <c r="GU14" t="e">
        <f>AND(Bills!#REF!,"AAAAAHbzbco=")</f>
        <v>#REF!</v>
      </c>
      <c r="GV14" t="e">
        <f>AND(Bills!#REF!,"AAAAAHbzbcs=")</f>
        <v>#REF!</v>
      </c>
      <c r="GW14" t="e">
        <f>AND(Bills!#REF!,"AAAAAHbzbcw=")</f>
        <v>#REF!</v>
      </c>
      <c r="GX14" t="e">
        <f>AND(Bills!#REF!,"AAAAAHbzbc0=")</f>
        <v>#REF!</v>
      </c>
      <c r="GY14" t="e">
        <f>AND(Bills!#REF!,"AAAAAHbzbc4=")</f>
        <v>#REF!</v>
      </c>
      <c r="GZ14" t="e">
        <f>AND(Bills!#REF!,"AAAAAHbzbc8=")</f>
        <v>#REF!</v>
      </c>
      <c r="HA14" t="e">
        <f>AND(Bills!#REF!,"AAAAAHbzbdA=")</f>
        <v>#REF!</v>
      </c>
      <c r="HB14" t="e">
        <f>AND(Bills!#REF!,"AAAAAHbzbdE=")</f>
        <v>#REF!</v>
      </c>
      <c r="HC14" t="e">
        <f>AND(Bills!#REF!,"AAAAAHbzbdI=")</f>
        <v>#REF!</v>
      </c>
      <c r="HD14" t="e">
        <f>AND(Bills!#REF!,"AAAAAHbzbdM=")</f>
        <v>#REF!</v>
      </c>
      <c r="HE14" t="e">
        <f>AND(Bills!#REF!,"AAAAAHbzbdQ=")</f>
        <v>#REF!</v>
      </c>
      <c r="HF14" t="e">
        <f>AND(Bills!#REF!,"AAAAAHbzbdU=")</f>
        <v>#REF!</v>
      </c>
      <c r="HG14" t="e">
        <f>AND(Bills!#REF!,"AAAAAHbzbdY=")</f>
        <v>#REF!</v>
      </c>
      <c r="HH14" t="e">
        <f>AND(Bills!#REF!,"AAAAAHbzbdc=")</f>
        <v>#REF!</v>
      </c>
      <c r="HI14" t="e">
        <f>AND(Bills!#REF!,"AAAAAHbzbdg=")</f>
        <v>#REF!</v>
      </c>
      <c r="HJ14" t="e">
        <f>AND(Bills!#REF!,"AAAAAHbzbdk=")</f>
        <v>#REF!</v>
      </c>
      <c r="HK14" t="e">
        <f>AND(Bills!#REF!,"AAAAAHbzbdo=")</f>
        <v>#REF!</v>
      </c>
      <c r="HL14" t="e">
        <f>AND(Bills!#REF!,"AAAAAHbzbds=")</f>
        <v>#REF!</v>
      </c>
      <c r="HM14" t="e">
        <f>AND(Bills!#REF!,"AAAAAHbzbdw=")</f>
        <v>#REF!</v>
      </c>
      <c r="HN14" t="e">
        <f>AND(Bills!#REF!,"AAAAAHbzbd0=")</f>
        <v>#REF!</v>
      </c>
      <c r="HO14" t="e">
        <f>AND(Bills!#REF!,"AAAAAHbzbd4=")</f>
        <v>#REF!</v>
      </c>
      <c r="HP14" t="e">
        <f>AND(Bills!#REF!,"AAAAAHbzbd8=")</f>
        <v>#REF!</v>
      </c>
      <c r="HQ14" t="e">
        <f>AND(Bills!#REF!,"AAAAAHbzbeA=")</f>
        <v>#REF!</v>
      </c>
      <c r="HR14" t="e">
        <f>AND(Bills!#REF!,"AAAAAHbzbeE=")</f>
        <v>#REF!</v>
      </c>
      <c r="HS14" t="e">
        <f>AND(Bills!#REF!,"AAAAAHbzbeI=")</f>
        <v>#REF!</v>
      </c>
      <c r="HT14" t="e">
        <f>AND(Bills!#REF!,"AAAAAHbzbeM=")</f>
        <v>#REF!</v>
      </c>
      <c r="HU14" t="e">
        <f>AND(Bills!#REF!,"AAAAAHbzbeQ=")</f>
        <v>#REF!</v>
      </c>
      <c r="HV14" t="e">
        <f>AND(Bills!#REF!,"AAAAAHbzbeU=")</f>
        <v>#REF!</v>
      </c>
      <c r="HW14" t="e">
        <f>IF(Bills!#REF!,"AAAAAHbzbeY=",0)</f>
        <v>#REF!</v>
      </c>
      <c r="HX14" t="e">
        <f>AND(Bills!#REF!,"AAAAAHbzbec=")</f>
        <v>#REF!</v>
      </c>
      <c r="HY14" t="e">
        <f>AND(Bills!#REF!,"AAAAAHbzbeg=")</f>
        <v>#REF!</v>
      </c>
      <c r="HZ14" t="e">
        <f>AND(Bills!#REF!,"AAAAAHbzbek=")</f>
        <v>#REF!</v>
      </c>
      <c r="IA14" t="e">
        <f>AND(Bills!#REF!,"AAAAAHbzbeo=")</f>
        <v>#REF!</v>
      </c>
      <c r="IB14" t="e">
        <f>AND(Bills!#REF!,"AAAAAHbzbes=")</f>
        <v>#REF!</v>
      </c>
      <c r="IC14" t="e">
        <f>AND(Bills!#REF!,"AAAAAHbzbew=")</f>
        <v>#REF!</v>
      </c>
      <c r="ID14" t="e">
        <f>AND(Bills!#REF!,"AAAAAHbzbe0=")</f>
        <v>#REF!</v>
      </c>
      <c r="IE14" t="e">
        <f>AND(Bills!#REF!,"AAAAAHbzbe4=")</f>
        <v>#REF!</v>
      </c>
      <c r="IF14" t="e">
        <f>AND(Bills!#REF!,"AAAAAHbzbe8=")</f>
        <v>#REF!</v>
      </c>
      <c r="IG14" t="e">
        <f>AND(Bills!#REF!,"AAAAAHbzbfA=")</f>
        <v>#REF!</v>
      </c>
      <c r="IH14" t="e">
        <f>AND(Bills!#REF!,"AAAAAHbzbfE=")</f>
        <v>#REF!</v>
      </c>
      <c r="II14" t="e">
        <f>AND(Bills!#REF!,"AAAAAHbzbfI=")</f>
        <v>#REF!</v>
      </c>
      <c r="IJ14" t="e">
        <f>AND(Bills!#REF!,"AAAAAHbzbfM=")</f>
        <v>#REF!</v>
      </c>
      <c r="IK14" t="e">
        <f>AND(Bills!#REF!,"AAAAAHbzbfQ=")</f>
        <v>#REF!</v>
      </c>
      <c r="IL14" t="e">
        <f>AND(Bills!#REF!,"AAAAAHbzbfU=")</f>
        <v>#REF!</v>
      </c>
      <c r="IM14" t="e">
        <f>AND(Bills!#REF!,"AAAAAHbzbfY=")</f>
        <v>#REF!</v>
      </c>
      <c r="IN14" t="e">
        <f>AND(Bills!#REF!,"AAAAAHbzbfc=")</f>
        <v>#REF!</v>
      </c>
      <c r="IO14" t="e">
        <f>AND(Bills!#REF!,"AAAAAHbzbfg=")</f>
        <v>#REF!</v>
      </c>
      <c r="IP14" t="e">
        <f>AND(Bills!#REF!,"AAAAAHbzbfk=")</f>
        <v>#REF!</v>
      </c>
      <c r="IQ14" t="e">
        <f>AND(Bills!#REF!,"AAAAAHbzbfo=")</f>
        <v>#REF!</v>
      </c>
      <c r="IR14" t="e">
        <f>AND(Bills!#REF!,"AAAAAHbzbfs=")</f>
        <v>#REF!</v>
      </c>
      <c r="IS14" t="e">
        <f>AND(Bills!#REF!,"AAAAAHbzbfw=")</f>
        <v>#REF!</v>
      </c>
      <c r="IT14" t="e">
        <f>AND(Bills!#REF!,"AAAAAHbzbf0=")</f>
        <v>#REF!</v>
      </c>
      <c r="IU14" t="e">
        <f>AND(Bills!#REF!,"AAAAAHbzbf4=")</f>
        <v>#REF!</v>
      </c>
      <c r="IV14" t="e">
        <f>AND(Bills!#REF!,"AAAAAHbzbf8=")</f>
        <v>#REF!</v>
      </c>
    </row>
    <row r="15" spans="1:256">
      <c r="A15" t="e">
        <f>AND(Bills!#REF!,"AAAAADf9pAA=")</f>
        <v>#REF!</v>
      </c>
      <c r="B15" t="e">
        <f>AND(Bills!#REF!,"AAAAADf9pAE=")</f>
        <v>#REF!</v>
      </c>
      <c r="C15" t="e">
        <f>AND(Bills!#REF!,"AAAAADf9pAI=")</f>
        <v>#REF!</v>
      </c>
      <c r="D15" t="e">
        <f>AND(Bills!#REF!,"AAAAADf9pAM=")</f>
        <v>#REF!</v>
      </c>
      <c r="E15" t="e">
        <f>AND(Bills!#REF!,"AAAAADf9pAQ=")</f>
        <v>#REF!</v>
      </c>
      <c r="F15" t="e">
        <f>AND(Bills!#REF!,"AAAAADf9pAU=")</f>
        <v>#REF!</v>
      </c>
      <c r="G15" t="e">
        <f>AND(Bills!#REF!,"AAAAADf9pAY=")</f>
        <v>#REF!</v>
      </c>
      <c r="H15" t="e">
        <f>AND(Bills!#REF!,"AAAAADf9pAc=")</f>
        <v>#REF!</v>
      </c>
      <c r="I15" t="e">
        <f>AND(Bills!#REF!,"AAAAADf9pAg=")</f>
        <v>#REF!</v>
      </c>
      <c r="J15" t="e">
        <f>AND(Bills!#REF!,"AAAAADf9pAk=")</f>
        <v>#REF!</v>
      </c>
      <c r="K15" t="e">
        <f>AND(Bills!#REF!,"AAAAADf9pAo=")</f>
        <v>#REF!</v>
      </c>
      <c r="L15" t="e">
        <f>AND(Bills!#REF!,"AAAAADf9pAs=")</f>
        <v>#REF!</v>
      </c>
      <c r="M15" t="e">
        <f>AND(Bills!#REF!,"AAAAADf9pAw=")</f>
        <v>#REF!</v>
      </c>
      <c r="N15" t="e">
        <f>AND(Bills!#REF!,"AAAAADf9pA0=")</f>
        <v>#REF!</v>
      </c>
      <c r="O15" t="e">
        <f>AND(Bills!#REF!,"AAAAADf9pA4=")</f>
        <v>#REF!</v>
      </c>
      <c r="P15" t="e">
        <f>AND(Bills!#REF!,"AAAAADf9pA8=")</f>
        <v>#REF!</v>
      </c>
      <c r="Q15" t="e">
        <f>AND(Bills!#REF!,"AAAAADf9pBA=")</f>
        <v>#REF!</v>
      </c>
      <c r="R15" t="e">
        <f>AND(Bills!#REF!,"AAAAADf9pBE=")</f>
        <v>#REF!</v>
      </c>
      <c r="S15" t="e">
        <f>AND(Bills!#REF!,"AAAAADf9pBI=")</f>
        <v>#REF!</v>
      </c>
      <c r="T15" t="e">
        <f>AND(Bills!#REF!,"AAAAADf9pBM=")</f>
        <v>#REF!</v>
      </c>
      <c r="U15" t="e">
        <f>AND(Bills!#REF!,"AAAAADf9pBQ=")</f>
        <v>#REF!</v>
      </c>
      <c r="V15" t="e">
        <f>AND(Bills!#REF!,"AAAAADf9pBU=")</f>
        <v>#REF!</v>
      </c>
      <c r="W15" t="e">
        <f>AND(Bills!#REF!,"AAAAADf9pBY=")</f>
        <v>#REF!</v>
      </c>
      <c r="X15" t="e">
        <f>AND(Bills!#REF!,"AAAAADf9pBc=")</f>
        <v>#REF!</v>
      </c>
      <c r="Y15" t="e">
        <f>AND(Bills!#REF!,"AAAAADf9pBg=")</f>
        <v>#REF!</v>
      </c>
      <c r="Z15" t="e">
        <f>IF(Bills!#REF!,"AAAAADf9pBk=",0)</f>
        <v>#REF!</v>
      </c>
      <c r="AA15" t="e">
        <f>AND(Bills!#REF!,"AAAAADf9pBo=")</f>
        <v>#REF!</v>
      </c>
      <c r="AB15" t="e">
        <f>AND(Bills!#REF!,"AAAAADf9pBs=")</f>
        <v>#REF!</v>
      </c>
      <c r="AC15" t="e">
        <f>AND(Bills!#REF!,"AAAAADf9pBw=")</f>
        <v>#REF!</v>
      </c>
      <c r="AD15" t="e">
        <f>AND(Bills!#REF!,"AAAAADf9pB0=")</f>
        <v>#REF!</v>
      </c>
      <c r="AE15" t="e">
        <f>AND(Bills!#REF!,"AAAAADf9pB4=")</f>
        <v>#REF!</v>
      </c>
      <c r="AF15" t="e">
        <f>AND(Bills!#REF!,"AAAAADf9pB8=")</f>
        <v>#REF!</v>
      </c>
      <c r="AG15" t="e">
        <f>AND(Bills!#REF!,"AAAAADf9pCA=")</f>
        <v>#REF!</v>
      </c>
      <c r="AH15" t="e">
        <f>AND(Bills!#REF!,"AAAAADf9pCE=")</f>
        <v>#REF!</v>
      </c>
      <c r="AI15" t="e">
        <f>AND(Bills!#REF!,"AAAAADf9pCI=")</f>
        <v>#REF!</v>
      </c>
      <c r="AJ15" t="e">
        <f>AND(Bills!#REF!,"AAAAADf9pCM=")</f>
        <v>#REF!</v>
      </c>
      <c r="AK15" t="e">
        <f>AND(Bills!#REF!,"AAAAADf9pCQ=")</f>
        <v>#REF!</v>
      </c>
      <c r="AL15" t="e">
        <f>AND(Bills!#REF!,"AAAAADf9pCU=")</f>
        <v>#REF!</v>
      </c>
      <c r="AM15" t="e">
        <f>AND(Bills!#REF!,"AAAAADf9pCY=")</f>
        <v>#REF!</v>
      </c>
      <c r="AN15" t="e">
        <f>AND(Bills!#REF!,"AAAAADf9pCc=")</f>
        <v>#REF!</v>
      </c>
      <c r="AO15" t="e">
        <f>AND(Bills!#REF!,"AAAAADf9pCg=")</f>
        <v>#REF!</v>
      </c>
      <c r="AP15" t="e">
        <f>AND(Bills!#REF!,"AAAAADf9pCk=")</f>
        <v>#REF!</v>
      </c>
      <c r="AQ15" t="e">
        <f>AND(Bills!#REF!,"AAAAADf9pCo=")</f>
        <v>#REF!</v>
      </c>
      <c r="AR15" t="e">
        <f>AND(Bills!#REF!,"AAAAADf9pCs=")</f>
        <v>#REF!</v>
      </c>
      <c r="AS15" t="e">
        <f>AND(Bills!#REF!,"AAAAADf9pCw=")</f>
        <v>#REF!</v>
      </c>
      <c r="AT15" t="e">
        <f>AND(Bills!#REF!,"AAAAADf9pC0=")</f>
        <v>#REF!</v>
      </c>
      <c r="AU15" t="e">
        <f>AND(Bills!#REF!,"AAAAADf9pC4=")</f>
        <v>#REF!</v>
      </c>
      <c r="AV15" t="e">
        <f>AND(Bills!#REF!,"AAAAADf9pC8=")</f>
        <v>#REF!</v>
      </c>
      <c r="AW15" t="e">
        <f>AND(Bills!#REF!,"AAAAADf9pDA=")</f>
        <v>#REF!</v>
      </c>
      <c r="AX15" t="e">
        <f>AND(Bills!#REF!,"AAAAADf9pDE=")</f>
        <v>#REF!</v>
      </c>
      <c r="AY15" t="e">
        <f>AND(Bills!#REF!,"AAAAADf9pDI=")</f>
        <v>#REF!</v>
      </c>
      <c r="AZ15" t="e">
        <f>AND(Bills!#REF!,"AAAAADf9pDM=")</f>
        <v>#REF!</v>
      </c>
      <c r="BA15" t="e">
        <f>AND(Bills!#REF!,"AAAAADf9pDQ=")</f>
        <v>#REF!</v>
      </c>
      <c r="BB15" t="e">
        <f>AND(Bills!#REF!,"AAAAADf9pDU=")</f>
        <v>#REF!</v>
      </c>
      <c r="BC15" t="e">
        <f>AND(Bills!#REF!,"AAAAADf9pDY=")</f>
        <v>#REF!</v>
      </c>
      <c r="BD15" t="e">
        <f>AND(Bills!#REF!,"AAAAADf9pDc=")</f>
        <v>#REF!</v>
      </c>
      <c r="BE15" t="e">
        <f>AND(Bills!#REF!,"AAAAADf9pDg=")</f>
        <v>#REF!</v>
      </c>
      <c r="BF15" t="e">
        <f>AND(Bills!#REF!,"AAAAADf9pDk=")</f>
        <v>#REF!</v>
      </c>
      <c r="BG15" t="e">
        <f>AND(Bills!#REF!,"AAAAADf9pDo=")</f>
        <v>#REF!</v>
      </c>
      <c r="BH15" t="e">
        <f>AND(Bills!#REF!,"AAAAADf9pDs=")</f>
        <v>#REF!</v>
      </c>
      <c r="BI15" t="e">
        <f>AND(Bills!#REF!,"AAAAADf9pDw=")</f>
        <v>#REF!</v>
      </c>
      <c r="BJ15" t="e">
        <f>AND(Bills!#REF!,"AAAAADf9pD0=")</f>
        <v>#REF!</v>
      </c>
      <c r="BK15" t="e">
        <f>AND(Bills!#REF!,"AAAAADf9pD4=")</f>
        <v>#REF!</v>
      </c>
      <c r="BL15" t="e">
        <f>AND(Bills!#REF!,"AAAAADf9pD8=")</f>
        <v>#REF!</v>
      </c>
      <c r="BM15" t="e">
        <f>AND(Bills!#REF!,"AAAAADf9pEA=")</f>
        <v>#REF!</v>
      </c>
      <c r="BN15" t="e">
        <f>AND(Bills!#REF!,"AAAAADf9pEE=")</f>
        <v>#REF!</v>
      </c>
      <c r="BO15" t="e">
        <f>AND(Bills!#REF!,"AAAAADf9pEI=")</f>
        <v>#REF!</v>
      </c>
      <c r="BP15" t="e">
        <f>AND(Bills!#REF!,"AAAAADf9pEM=")</f>
        <v>#REF!</v>
      </c>
      <c r="BQ15" t="e">
        <f>AND(Bills!#REF!,"AAAAADf9pEQ=")</f>
        <v>#REF!</v>
      </c>
      <c r="BR15" t="e">
        <f>AND(Bills!#REF!,"AAAAADf9pEU=")</f>
        <v>#REF!</v>
      </c>
      <c r="BS15" t="e">
        <f>AND(Bills!#REF!,"AAAAADf9pEY=")</f>
        <v>#REF!</v>
      </c>
      <c r="BT15" t="e">
        <f>AND(Bills!#REF!,"AAAAADf9pEc=")</f>
        <v>#REF!</v>
      </c>
      <c r="BU15" t="e">
        <f>AND(Bills!#REF!,"AAAAADf9pEg=")</f>
        <v>#REF!</v>
      </c>
      <c r="BV15" t="e">
        <f>AND(Bills!#REF!,"AAAAADf9pEk=")</f>
        <v>#REF!</v>
      </c>
      <c r="BW15" t="e">
        <f>AND(Bills!#REF!,"AAAAADf9pEo=")</f>
        <v>#REF!</v>
      </c>
      <c r="BX15" t="e">
        <f>AND(Bills!#REF!,"AAAAADf9pEs=")</f>
        <v>#REF!</v>
      </c>
      <c r="BY15" t="e">
        <f>IF(Bills!#REF!,"AAAAADf9pEw=",0)</f>
        <v>#REF!</v>
      </c>
      <c r="BZ15" t="e">
        <f>AND(Bills!#REF!,"AAAAADf9pE0=")</f>
        <v>#REF!</v>
      </c>
      <c r="CA15" t="e">
        <f>AND(Bills!#REF!,"AAAAADf9pE4=")</f>
        <v>#REF!</v>
      </c>
      <c r="CB15" t="e">
        <f>AND(Bills!#REF!,"AAAAADf9pE8=")</f>
        <v>#REF!</v>
      </c>
      <c r="CC15" t="e">
        <f>AND(Bills!#REF!,"AAAAADf9pFA=")</f>
        <v>#REF!</v>
      </c>
      <c r="CD15" t="e">
        <f>AND(Bills!#REF!,"AAAAADf9pFE=")</f>
        <v>#REF!</v>
      </c>
      <c r="CE15" t="e">
        <f>AND(Bills!#REF!,"AAAAADf9pFI=")</f>
        <v>#REF!</v>
      </c>
      <c r="CF15" t="e">
        <f>AND(Bills!#REF!,"AAAAADf9pFM=")</f>
        <v>#REF!</v>
      </c>
      <c r="CG15" t="e">
        <f>AND(Bills!#REF!,"AAAAADf9pFQ=")</f>
        <v>#REF!</v>
      </c>
      <c r="CH15" t="e">
        <f>AND(Bills!#REF!,"AAAAADf9pFU=")</f>
        <v>#REF!</v>
      </c>
      <c r="CI15" t="e">
        <f>AND(Bills!#REF!,"AAAAADf9pFY=")</f>
        <v>#REF!</v>
      </c>
      <c r="CJ15" t="e">
        <f>AND(Bills!#REF!,"AAAAADf9pFc=")</f>
        <v>#REF!</v>
      </c>
      <c r="CK15" t="e">
        <f>AND(Bills!#REF!,"AAAAADf9pFg=")</f>
        <v>#REF!</v>
      </c>
      <c r="CL15" t="e">
        <f>AND(Bills!#REF!,"AAAAADf9pFk=")</f>
        <v>#REF!</v>
      </c>
      <c r="CM15" t="e">
        <f>AND(Bills!#REF!,"AAAAADf9pFo=")</f>
        <v>#REF!</v>
      </c>
      <c r="CN15" t="e">
        <f>AND(Bills!#REF!,"AAAAADf9pFs=")</f>
        <v>#REF!</v>
      </c>
      <c r="CO15" t="e">
        <f>AND(Bills!#REF!,"AAAAADf9pFw=")</f>
        <v>#REF!</v>
      </c>
      <c r="CP15" t="e">
        <f>AND(Bills!#REF!,"AAAAADf9pF0=")</f>
        <v>#REF!</v>
      </c>
      <c r="CQ15" t="e">
        <f>AND(Bills!#REF!,"AAAAADf9pF4=")</f>
        <v>#REF!</v>
      </c>
      <c r="CR15" t="e">
        <f>AND(Bills!#REF!,"AAAAADf9pF8=")</f>
        <v>#REF!</v>
      </c>
      <c r="CS15" t="e">
        <f>AND(Bills!#REF!,"AAAAADf9pGA=")</f>
        <v>#REF!</v>
      </c>
      <c r="CT15" t="e">
        <f>AND(Bills!#REF!,"AAAAADf9pGE=")</f>
        <v>#REF!</v>
      </c>
      <c r="CU15" t="e">
        <f>AND(Bills!#REF!,"AAAAADf9pGI=")</f>
        <v>#REF!</v>
      </c>
      <c r="CV15" t="e">
        <f>AND(Bills!#REF!,"AAAAADf9pGM=")</f>
        <v>#REF!</v>
      </c>
      <c r="CW15" t="e">
        <f>AND(Bills!#REF!,"AAAAADf9pGQ=")</f>
        <v>#REF!</v>
      </c>
      <c r="CX15" t="e">
        <f>AND(Bills!#REF!,"AAAAADf9pGU=")</f>
        <v>#REF!</v>
      </c>
      <c r="CY15" t="e">
        <f>AND(Bills!#REF!,"AAAAADf9pGY=")</f>
        <v>#REF!</v>
      </c>
      <c r="CZ15" t="e">
        <f>AND(Bills!#REF!,"AAAAADf9pGc=")</f>
        <v>#REF!</v>
      </c>
      <c r="DA15" t="e">
        <f>AND(Bills!#REF!,"AAAAADf9pGg=")</f>
        <v>#REF!</v>
      </c>
      <c r="DB15" t="e">
        <f>AND(Bills!#REF!,"AAAAADf9pGk=")</f>
        <v>#REF!</v>
      </c>
      <c r="DC15" t="e">
        <f>AND(Bills!#REF!,"AAAAADf9pGo=")</f>
        <v>#REF!</v>
      </c>
      <c r="DD15" t="e">
        <f>AND(Bills!#REF!,"AAAAADf9pGs=")</f>
        <v>#REF!</v>
      </c>
      <c r="DE15" t="e">
        <f>AND(Bills!#REF!,"AAAAADf9pGw=")</f>
        <v>#REF!</v>
      </c>
      <c r="DF15" t="e">
        <f>AND(Bills!#REF!,"AAAAADf9pG0=")</f>
        <v>#REF!</v>
      </c>
      <c r="DG15" t="e">
        <f>AND(Bills!#REF!,"AAAAADf9pG4=")</f>
        <v>#REF!</v>
      </c>
      <c r="DH15" t="e">
        <f>AND(Bills!#REF!,"AAAAADf9pG8=")</f>
        <v>#REF!</v>
      </c>
      <c r="DI15" t="e">
        <f>AND(Bills!#REF!,"AAAAADf9pHA=")</f>
        <v>#REF!</v>
      </c>
      <c r="DJ15" t="e">
        <f>AND(Bills!#REF!,"AAAAADf9pHE=")</f>
        <v>#REF!</v>
      </c>
      <c r="DK15" t="e">
        <f>AND(Bills!#REF!,"AAAAADf9pHI=")</f>
        <v>#REF!</v>
      </c>
      <c r="DL15" t="e">
        <f>AND(Bills!#REF!,"AAAAADf9pHM=")</f>
        <v>#REF!</v>
      </c>
      <c r="DM15" t="e">
        <f>AND(Bills!#REF!,"AAAAADf9pHQ=")</f>
        <v>#REF!</v>
      </c>
      <c r="DN15" t="e">
        <f>AND(Bills!#REF!,"AAAAADf9pHU=")</f>
        <v>#REF!</v>
      </c>
      <c r="DO15" t="e">
        <f>AND(Bills!#REF!,"AAAAADf9pHY=")</f>
        <v>#REF!</v>
      </c>
      <c r="DP15" t="e">
        <f>AND(Bills!#REF!,"AAAAADf9pHc=")</f>
        <v>#REF!</v>
      </c>
      <c r="DQ15" t="e">
        <f>AND(Bills!#REF!,"AAAAADf9pHg=")</f>
        <v>#REF!</v>
      </c>
      <c r="DR15" t="e">
        <f>AND(Bills!#REF!,"AAAAADf9pHk=")</f>
        <v>#REF!</v>
      </c>
      <c r="DS15" t="e">
        <f>AND(Bills!#REF!,"AAAAADf9pHo=")</f>
        <v>#REF!</v>
      </c>
      <c r="DT15" t="e">
        <f>AND(Bills!#REF!,"AAAAADf9pHs=")</f>
        <v>#REF!</v>
      </c>
      <c r="DU15" t="e">
        <f>AND(Bills!#REF!,"AAAAADf9pHw=")</f>
        <v>#REF!</v>
      </c>
      <c r="DV15" t="e">
        <f>AND(Bills!#REF!,"AAAAADf9pH0=")</f>
        <v>#REF!</v>
      </c>
      <c r="DW15" t="e">
        <f>AND(Bills!#REF!,"AAAAADf9pH4=")</f>
        <v>#REF!</v>
      </c>
      <c r="DX15">
        <f>IF(Bills!9:9,"AAAAADf9pH8=",0)</f>
        <v>0</v>
      </c>
      <c r="DY15" t="e">
        <f>AND(Bills!B9,"AAAAADf9pIA=")</f>
        <v>#VALUE!</v>
      </c>
      <c r="DZ15" t="e">
        <f>AND(Bills!#REF!,"AAAAADf9pIE=")</f>
        <v>#REF!</v>
      </c>
      <c r="EA15" t="e">
        <f>AND(Bills!C9,"AAAAADf9pII=")</f>
        <v>#VALUE!</v>
      </c>
      <c r="EB15" t="e">
        <f>AND(Bills!#REF!,"AAAAADf9pIM=")</f>
        <v>#REF!</v>
      </c>
      <c r="EC15" t="e">
        <f>AND(Bills!#REF!,"AAAAADf9pIQ=")</f>
        <v>#REF!</v>
      </c>
      <c r="ED15" t="e">
        <f>AND(Bills!#REF!,"AAAAADf9pIU=")</f>
        <v>#REF!</v>
      </c>
      <c r="EE15" t="e">
        <f>AND(Bills!#REF!,"AAAAADf9pIY=")</f>
        <v>#REF!</v>
      </c>
      <c r="EF15" t="e">
        <f>AND(Bills!#REF!,"AAAAADf9pIc=")</f>
        <v>#REF!</v>
      </c>
      <c r="EG15" t="e">
        <f>AND(Bills!D9,"AAAAADf9pIg=")</f>
        <v>#VALUE!</v>
      </c>
      <c r="EH15" t="e">
        <f>AND(Bills!#REF!,"AAAAADf9pIk=")</f>
        <v>#REF!</v>
      </c>
      <c r="EI15" t="e">
        <f>AND(Bills!E9,"AAAAADf9pIo=")</f>
        <v>#VALUE!</v>
      </c>
      <c r="EJ15" t="e">
        <f>AND(Bills!F9,"AAAAADf9pIs=")</f>
        <v>#VALUE!</v>
      </c>
      <c r="EK15" t="e">
        <f>AND(Bills!G9,"AAAAADf9pIw=")</f>
        <v>#VALUE!</v>
      </c>
      <c r="EL15" t="e">
        <f>AND(Bills!H9,"AAAAADf9pI0=")</f>
        <v>#VALUE!</v>
      </c>
      <c r="EM15" t="e">
        <f>AND(Bills!I9,"AAAAADf9pI4=")</f>
        <v>#VALUE!</v>
      </c>
      <c r="EN15" t="e">
        <f>AND(Bills!J9,"AAAAADf9pI8=")</f>
        <v>#VALUE!</v>
      </c>
      <c r="EO15" t="e">
        <f>AND(Bills!#REF!,"AAAAADf9pJA=")</f>
        <v>#REF!</v>
      </c>
      <c r="EP15" t="e">
        <f>AND(Bills!K9,"AAAAADf9pJE=")</f>
        <v>#VALUE!</v>
      </c>
      <c r="EQ15" t="e">
        <f>AND(Bills!L9,"AAAAADf9pJI=")</f>
        <v>#VALUE!</v>
      </c>
      <c r="ER15" t="e">
        <f>AND(Bills!M9,"AAAAADf9pJM=")</f>
        <v>#VALUE!</v>
      </c>
      <c r="ES15" t="e">
        <f>AND(Bills!N9,"AAAAADf9pJQ=")</f>
        <v>#VALUE!</v>
      </c>
      <c r="ET15" t="e">
        <f>AND(Bills!O9,"AAAAADf9pJU=")</f>
        <v>#VALUE!</v>
      </c>
      <c r="EU15" t="e">
        <f>AND(Bills!P9,"AAAAADf9pJY=")</f>
        <v>#VALUE!</v>
      </c>
      <c r="EV15" t="e">
        <f>AND(Bills!Q9,"AAAAADf9pJc=")</f>
        <v>#VALUE!</v>
      </c>
      <c r="EW15" t="e">
        <f>AND(Bills!R9,"AAAAADf9pJg=")</f>
        <v>#VALUE!</v>
      </c>
      <c r="EX15" t="e">
        <f>AND(Bills!#REF!,"AAAAADf9pJk=")</f>
        <v>#REF!</v>
      </c>
      <c r="EY15" t="e">
        <f>AND(Bills!S9,"AAAAADf9pJo=")</f>
        <v>#VALUE!</v>
      </c>
      <c r="EZ15" t="e">
        <f>AND(Bills!T9,"AAAAADf9pJs=")</f>
        <v>#VALUE!</v>
      </c>
      <c r="FA15" t="e">
        <f>AND(Bills!U9,"AAAAADf9pJw=")</f>
        <v>#VALUE!</v>
      </c>
      <c r="FB15" t="e">
        <f>AND(Bills!#REF!,"AAAAADf9pJ0=")</f>
        <v>#REF!</v>
      </c>
      <c r="FC15" t="e">
        <f>AND(Bills!#REF!,"AAAAADf9pJ4=")</f>
        <v>#REF!</v>
      </c>
      <c r="FD15" t="e">
        <f>AND(Bills!W9,"AAAAADf9pJ8=")</f>
        <v>#VALUE!</v>
      </c>
      <c r="FE15" t="e">
        <f>AND(Bills!X9,"AAAAADf9pKA=")</f>
        <v>#VALUE!</v>
      </c>
      <c r="FF15" t="e">
        <f>AND(Bills!#REF!,"AAAAADf9pKE=")</f>
        <v>#REF!</v>
      </c>
      <c r="FG15" t="e">
        <f>AND(Bills!#REF!,"AAAAADf9pKI=")</f>
        <v>#REF!</v>
      </c>
      <c r="FH15" t="e">
        <f>AND(Bills!#REF!,"AAAAADf9pKM=")</f>
        <v>#REF!</v>
      </c>
      <c r="FI15" t="e">
        <f>AND(Bills!#REF!,"AAAAADf9pKQ=")</f>
        <v>#REF!</v>
      </c>
      <c r="FJ15" t="e">
        <f>AND(Bills!#REF!,"AAAAADf9pKU=")</f>
        <v>#REF!</v>
      </c>
      <c r="FK15" t="e">
        <f>AND(Bills!#REF!,"AAAAADf9pKY=")</f>
        <v>#REF!</v>
      </c>
      <c r="FL15" t="e">
        <f>AND(Bills!#REF!,"AAAAADf9pKc=")</f>
        <v>#REF!</v>
      </c>
      <c r="FM15" t="e">
        <f>AND(Bills!#REF!,"AAAAADf9pKg=")</f>
        <v>#REF!</v>
      </c>
      <c r="FN15" t="e">
        <f>AND(Bills!#REF!,"AAAAADf9pKk=")</f>
        <v>#REF!</v>
      </c>
      <c r="FO15" t="e">
        <f>AND(Bills!Y9,"AAAAADf9pKo=")</f>
        <v>#VALUE!</v>
      </c>
      <c r="FP15" t="e">
        <f>AND(Bills!Z9,"AAAAADf9pKs=")</f>
        <v>#VALUE!</v>
      </c>
      <c r="FQ15" t="e">
        <f>AND(Bills!#REF!,"AAAAADf9pKw=")</f>
        <v>#REF!</v>
      </c>
      <c r="FR15" t="e">
        <f>AND(Bills!#REF!,"AAAAADf9pK0=")</f>
        <v>#REF!</v>
      </c>
      <c r="FS15" t="e">
        <f>AND(Bills!#REF!,"AAAAADf9pK4=")</f>
        <v>#REF!</v>
      </c>
      <c r="FT15" t="e">
        <f>AND(Bills!AA9,"AAAAADf9pK8=")</f>
        <v>#VALUE!</v>
      </c>
      <c r="FU15" t="e">
        <f>AND(Bills!AB9,"AAAAADf9pLA=")</f>
        <v>#VALUE!</v>
      </c>
      <c r="FV15" t="e">
        <f>AND(Bills!#REF!,"AAAAADf9pLE=")</f>
        <v>#REF!</v>
      </c>
      <c r="FW15" t="e">
        <f>IF(Bills!#REF!,"AAAAADf9pLI=",0)</f>
        <v>#REF!</v>
      </c>
      <c r="FX15" t="e">
        <f>AND(Bills!#REF!,"AAAAADf9pLM=")</f>
        <v>#REF!</v>
      </c>
      <c r="FY15" t="e">
        <f>AND(Bills!#REF!,"AAAAADf9pLQ=")</f>
        <v>#REF!</v>
      </c>
      <c r="FZ15" t="e">
        <f>AND(Bills!#REF!,"AAAAADf9pLU=")</f>
        <v>#REF!</v>
      </c>
      <c r="GA15" t="e">
        <f>AND(Bills!#REF!,"AAAAADf9pLY=")</f>
        <v>#REF!</v>
      </c>
      <c r="GB15" t="e">
        <f>AND(Bills!#REF!,"AAAAADf9pLc=")</f>
        <v>#REF!</v>
      </c>
      <c r="GC15" t="e">
        <f>AND(Bills!#REF!,"AAAAADf9pLg=")</f>
        <v>#REF!</v>
      </c>
      <c r="GD15" t="e">
        <f>AND(Bills!#REF!,"AAAAADf9pLk=")</f>
        <v>#REF!</v>
      </c>
      <c r="GE15" t="e">
        <f>AND(Bills!#REF!,"AAAAADf9pLo=")</f>
        <v>#REF!</v>
      </c>
      <c r="GF15" t="e">
        <f>AND(Bills!#REF!,"AAAAADf9pLs=")</f>
        <v>#REF!</v>
      </c>
      <c r="GG15" t="e">
        <f>AND(Bills!#REF!,"AAAAADf9pLw=")</f>
        <v>#REF!</v>
      </c>
      <c r="GH15" t="e">
        <f>AND(Bills!#REF!,"AAAAADf9pL0=")</f>
        <v>#REF!</v>
      </c>
      <c r="GI15" t="e">
        <f>AND(Bills!#REF!,"AAAAADf9pL4=")</f>
        <v>#REF!</v>
      </c>
      <c r="GJ15" t="e">
        <f>AND(Bills!#REF!,"AAAAADf9pL8=")</f>
        <v>#REF!</v>
      </c>
      <c r="GK15" t="e">
        <f>AND(Bills!#REF!,"AAAAADf9pMA=")</f>
        <v>#REF!</v>
      </c>
      <c r="GL15" t="e">
        <f>AND(Bills!#REF!,"AAAAADf9pME=")</f>
        <v>#REF!</v>
      </c>
      <c r="GM15" t="e">
        <f>AND(Bills!#REF!,"AAAAADf9pMI=")</f>
        <v>#REF!</v>
      </c>
      <c r="GN15" t="e">
        <f>AND(Bills!#REF!,"AAAAADf9pMM=")</f>
        <v>#REF!</v>
      </c>
      <c r="GO15" t="e">
        <f>AND(Bills!#REF!,"AAAAADf9pMQ=")</f>
        <v>#REF!</v>
      </c>
      <c r="GP15" t="e">
        <f>AND(Bills!#REF!,"AAAAADf9pMU=")</f>
        <v>#REF!</v>
      </c>
      <c r="GQ15" t="e">
        <f>AND(Bills!#REF!,"AAAAADf9pMY=")</f>
        <v>#REF!</v>
      </c>
      <c r="GR15" t="e">
        <f>AND(Bills!#REF!,"AAAAADf9pMc=")</f>
        <v>#REF!</v>
      </c>
      <c r="GS15" t="e">
        <f>AND(Bills!#REF!,"AAAAADf9pMg=")</f>
        <v>#REF!</v>
      </c>
      <c r="GT15" t="e">
        <f>AND(Bills!#REF!,"AAAAADf9pMk=")</f>
        <v>#REF!</v>
      </c>
      <c r="GU15" t="e">
        <f>AND(Bills!#REF!,"AAAAADf9pMo=")</f>
        <v>#REF!</v>
      </c>
      <c r="GV15" t="e">
        <f>AND(Bills!#REF!,"AAAAADf9pMs=")</f>
        <v>#REF!</v>
      </c>
      <c r="GW15" t="e">
        <f>AND(Bills!#REF!,"AAAAADf9pMw=")</f>
        <v>#REF!</v>
      </c>
      <c r="GX15" t="e">
        <f>AND(Bills!#REF!,"AAAAADf9pM0=")</f>
        <v>#REF!</v>
      </c>
      <c r="GY15" t="e">
        <f>AND(Bills!#REF!,"AAAAADf9pM4=")</f>
        <v>#REF!</v>
      </c>
      <c r="GZ15" t="e">
        <f>AND(Bills!#REF!,"AAAAADf9pM8=")</f>
        <v>#REF!</v>
      </c>
      <c r="HA15" t="e">
        <f>AND(Bills!#REF!,"AAAAADf9pNA=")</f>
        <v>#REF!</v>
      </c>
      <c r="HB15" t="e">
        <f>AND(Bills!#REF!,"AAAAADf9pNE=")</f>
        <v>#REF!</v>
      </c>
      <c r="HC15" t="e">
        <f>AND(Bills!#REF!,"AAAAADf9pNI=")</f>
        <v>#REF!</v>
      </c>
      <c r="HD15" t="e">
        <f>AND(Bills!#REF!,"AAAAADf9pNM=")</f>
        <v>#REF!</v>
      </c>
      <c r="HE15" t="e">
        <f>AND(Bills!#REF!,"AAAAADf9pNQ=")</f>
        <v>#REF!</v>
      </c>
      <c r="HF15" t="e">
        <f>AND(Bills!#REF!,"AAAAADf9pNU=")</f>
        <v>#REF!</v>
      </c>
      <c r="HG15" t="e">
        <f>AND(Bills!#REF!,"AAAAADf9pNY=")</f>
        <v>#REF!</v>
      </c>
      <c r="HH15" t="e">
        <f>AND(Bills!#REF!,"AAAAADf9pNc=")</f>
        <v>#REF!</v>
      </c>
      <c r="HI15" t="e">
        <f>AND(Bills!#REF!,"AAAAADf9pNg=")</f>
        <v>#REF!</v>
      </c>
      <c r="HJ15" t="e">
        <f>AND(Bills!#REF!,"AAAAADf9pNk=")</f>
        <v>#REF!</v>
      </c>
      <c r="HK15" t="e">
        <f>AND(Bills!#REF!,"AAAAADf9pNo=")</f>
        <v>#REF!</v>
      </c>
      <c r="HL15" t="e">
        <f>AND(Bills!#REF!,"AAAAADf9pNs=")</f>
        <v>#REF!</v>
      </c>
      <c r="HM15" t="e">
        <f>AND(Bills!#REF!,"AAAAADf9pNw=")</f>
        <v>#REF!</v>
      </c>
      <c r="HN15" t="e">
        <f>AND(Bills!#REF!,"AAAAADf9pN0=")</f>
        <v>#REF!</v>
      </c>
      <c r="HO15" t="e">
        <f>AND(Bills!#REF!,"AAAAADf9pN4=")</f>
        <v>#REF!</v>
      </c>
      <c r="HP15" t="e">
        <f>AND(Bills!#REF!,"AAAAADf9pN8=")</f>
        <v>#REF!</v>
      </c>
      <c r="HQ15" t="e">
        <f>AND(Bills!#REF!,"AAAAADf9pOA=")</f>
        <v>#REF!</v>
      </c>
      <c r="HR15" t="e">
        <f>AND(Bills!#REF!,"AAAAADf9pOE=")</f>
        <v>#REF!</v>
      </c>
      <c r="HS15" t="e">
        <f>AND(Bills!#REF!,"AAAAADf9pOI=")</f>
        <v>#REF!</v>
      </c>
      <c r="HT15" t="e">
        <f>AND(Bills!#REF!,"AAAAADf9pOM=")</f>
        <v>#REF!</v>
      </c>
      <c r="HU15" t="e">
        <f>AND(Bills!#REF!,"AAAAADf9pOQ=")</f>
        <v>#REF!</v>
      </c>
      <c r="HV15" t="e">
        <f>IF(Bills!#REF!,"AAAAADf9pOU=",0)</f>
        <v>#REF!</v>
      </c>
      <c r="HW15" t="e">
        <f>AND(Bills!#REF!,"AAAAADf9pOY=")</f>
        <v>#REF!</v>
      </c>
      <c r="HX15" t="e">
        <f>AND(Bills!#REF!,"AAAAADf9pOc=")</f>
        <v>#REF!</v>
      </c>
      <c r="HY15" t="e">
        <f>AND(Bills!#REF!,"AAAAADf9pOg=")</f>
        <v>#REF!</v>
      </c>
      <c r="HZ15" t="e">
        <f>AND(Bills!#REF!,"AAAAADf9pOk=")</f>
        <v>#REF!</v>
      </c>
      <c r="IA15" t="e">
        <f>AND(Bills!#REF!,"AAAAADf9pOo=")</f>
        <v>#REF!</v>
      </c>
      <c r="IB15" t="e">
        <f>AND(Bills!#REF!,"AAAAADf9pOs=")</f>
        <v>#REF!</v>
      </c>
      <c r="IC15" t="e">
        <f>AND(Bills!#REF!,"AAAAADf9pOw=")</f>
        <v>#REF!</v>
      </c>
      <c r="ID15" t="e">
        <f>AND(Bills!#REF!,"AAAAADf9pO0=")</f>
        <v>#REF!</v>
      </c>
      <c r="IE15" t="e">
        <f>AND(Bills!#REF!,"AAAAADf9pO4=")</f>
        <v>#REF!</v>
      </c>
      <c r="IF15" t="e">
        <f>AND(Bills!#REF!,"AAAAADf9pO8=")</f>
        <v>#REF!</v>
      </c>
      <c r="IG15" t="e">
        <f>AND(Bills!#REF!,"AAAAADf9pPA=")</f>
        <v>#REF!</v>
      </c>
      <c r="IH15" t="e">
        <f>AND(Bills!#REF!,"AAAAADf9pPE=")</f>
        <v>#REF!</v>
      </c>
      <c r="II15" t="e">
        <f>AND(Bills!#REF!,"AAAAADf9pPI=")</f>
        <v>#REF!</v>
      </c>
      <c r="IJ15" t="e">
        <f>AND(Bills!#REF!,"AAAAADf9pPM=")</f>
        <v>#REF!</v>
      </c>
      <c r="IK15" t="e">
        <f>AND(Bills!#REF!,"AAAAADf9pPQ=")</f>
        <v>#REF!</v>
      </c>
      <c r="IL15" t="e">
        <f>AND(Bills!#REF!,"AAAAADf9pPU=")</f>
        <v>#REF!</v>
      </c>
      <c r="IM15" t="e">
        <f>AND(Bills!#REF!,"AAAAADf9pPY=")</f>
        <v>#REF!</v>
      </c>
      <c r="IN15" t="e">
        <f>AND(Bills!#REF!,"AAAAADf9pPc=")</f>
        <v>#REF!</v>
      </c>
      <c r="IO15" t="e">
        <f>AND(Bills!#REF!,"AAAAADf9pPg=")</f>
        <v>#REF!</v>
      </c>
      <c r="IP15" t="e">
        <f>AND(Bills!#REF!,"AAAAADf9pPk=")</f>
        <v>#REF!</v>
      </c>
      <c r="IQ15" t="e">
        <f>AND(Bills!#REF!,"AAAAADf9pPo=")</f>
        <v>#REF!</v>
      </c>
      <c r="IR15" t="e">
        <f>AND(Bills!#REF!,"AAAAADf9pPs=")</f>
        <v>#REF!</v>
      </c>
      <c r="IS15" t="e">
        <f>AND(Bills!#REF!,"AAAAADf9pPw=")</f>
        <v>#REF!</v>
      </c>
      <c r="IT15" t="e">
        <f>AND(Bills!#REF!,"AAAAADf9pP0=")</f>
        <v>#REF!</v>
      </c>
      <c r="IU15" t="e">
        <f>AND(Bills!#REF!,"AAAAADf9pP4=")</f>
        <v>#REF!</v>
      </c>
      <c r="IV15" t="e">
        <f>AND(Bills!#REF!,"AAAAADf9pP8=")</f>
        <v>#REF!</v>
      </c>
    </row>
    <row r="16" spans="1:256">
      <c r="A16" t="e">
        <f>AND(Bills!#REF!,"AAAAAE7O7wA=")</f>
        <v>#REF!</v>
      </c>
      <c r="B16" t="e">
        <f>AND(Bills!#REF!,"AAAAAE7O7wE=")</f>
        <v>#REF!</v>
      </c>
      <c r="C16" t="e">
        <f>AND(Bills!#REF!,"AAAAAE7O7wI=")</f>
        <v>#REF!</v>
      </c>
      <c r="D16" t="e">
        <f>AND(Bills!#REF!,"AAAAAE7O7wM=")</f>
        <v>#REF!</v>
      </c>
      <c r="E16" t="e">
        <f>AND(Bills!#REF!,"AAAAAE7O7wQ=")</f>
        <v>#REF!</v>
      </c>
      <c r="F16" t="e">
        <f>AND(Bills!#REF!,"AAAAAE7O7wU=")</f>
        <v>#REF!</v>
      </c>
      <c r="G16" t="e">
        <f>AND(Bills!#REF!,"AAAAAE7O7wY=")</f>
        <v>#REF!</v>
      </c>
      <c r="H16" t="e">
        <f>AND(Bills!#REF!,"AAAAAE7O7wc=")</f>
        <v>#REF!</v>
      </c>
      <c r="I16" t="e">
        <f>AND(Bills!#REF!,"AAAAAE7O7wg=")</f>
        <v>#REF!</v>
      </c>
      <c r="J16" t="e">
        <f>AND(Bills!#REF!,"AAAAAE7O7wk=")</f>
        <v>#REF!</v>
      </c>
      <c r="K16" t="e">
        <f>AND(Bills!#REF!,"AAAAAE7O7wo=")</f>
        <v>#REF!</v>
      </c>
      <c r="L16" t="e">
        <f>AND(Bills!#REF!,"AAAAAE7O7ws=")</f>
        <v>#REF!</v>
      </c>
      <c r="M16" t="e">
        <f>AND(Bills!#REF!,"AAAAAE7O7ww=")</f>
        <v>#REF!</v>
      </c>
      <c r="N16" t="e">
        <f>AND(Bills!#REF!,"AAAAAE7O7w0=")</f>
        <v>#REF!</v>
      </c>
      <c r="O16" t="e">
        <f>AND(Bills!#REF!,"AAAAAE7O7w4=")</f>
        <v>#REF!</v>
      </c>
      <c r="P16" t="e">
        <f>AND(Bills!#REF!,"AAAAAE7O7w8=")</f>
        <v>#REF!</v>
      </c>
      <c r="Q16" t="e">
        <f>AND(Bills!#REF!,"AAAAAE7O7xA=")</f>
        <v>#REF!</v>
      </c>
      <c r="R16" t="e">
        <f>AND(Bills!#REF!,"AAAAAE7O7xE=")</f>
        <v>#REF!</v>
      </c>
      <c r="S16" t="e">
        <f>AND(Bills!#REF!,"AAAAAE7O7xI=")</f>
        <v>#REF!</v>
      </c>
      <c r="T16" t="e">
        <f>AND(Bills!#REF!,"AAAAAE7O7xM=")</f>
        <v>#REF!</v>
      </c>
      <c r="U16" t="e">
        <f>AND(Bills!#REF!,"AAAAAE7O7xQ=")</f>
        <v>#REF!</v>
      </c>
      <c r="V16" t="e">
        <f>AND(Bills!#REF!,"AAAAAE7O7xU=")</f>
        <v>#REF!</v>
      </c>
      <c r="W16" t="e">
        <f>AND(Bills!#REF!,"AAAAAE7O7xY=")</f>
        <v>#REF!</v>
      </c>
      <c r="X16" t="e">
        <f>AND(Bills!#REF!,"AAAAAE7O7xc=")</f>
        <v>#REF!</v>
      </c>
      <c r="Y16" t="e">
        <f>IF(Bills!#REF!,"AAAAAE7O7xg=",0)</f>
        <v>#REF!</v>
      </c>
      <c r="Z16" t="e">
        <f>AND(Bills!#REF!,"AAAAAE7O7xk=")</f>
        <v>#REF!</v>
      </c>
      <c r="AA16" t="e">
        <f>AND(Bills!#REF!,"AAAAAE7O7xo=")</f>
        <v>#REF!</v>
      </c>
      <c r="AB16" t="e">
        <f>AND(Bills!#REF!,"AAAAAE7O7xs=")</f>
        <v>#REF!</v>
      </c>
      <c r="AC16" t="e">
        <f>AND(Bills!#REF!,"AAAAAE7O7xw=")</f>
        <v>#REF!</v>
      </c>
      <c r="AD16" t="e">
        <f>AND(Bills!#REF!,"AAAAAE7O7x0=")</f>
        <v>#REF!</v>
      </c>
      <c r="AE16" t="e">
        <f>AND(Bills!#REF!,"AAAAAE7O7x4=")</f>
        <v>#REF!</v>
      </c>
      <c r="AF16" t="e">
        <f>AND(Bills!#REF!,"AAAAAE7O7x8=")</f>
        <v>#REF!</v>
      </c>
      <c r="AG16" t="e">
        <f>AND(Bills!#REF!,"AAAAAE7O7yA=")</f>
        <v>#REF!</v>
      </c>
      <c r="AH16" t="e">
        <f>AND(Bills!#REF!,"AAAAAE7O7yE=")</f>
        <v>#REF!</v>
      </c>
      <c r="AI16" t="e">
        <f>AND(Bills!#REF!,"AAAAAE7O7yI=")</f>
        <v>#REF!</v>
      </c>
      <c r="AJ16" t="e">
        <f>AND(Bills!#REF!,"AAAAAE7O7yM=")</f>
        <v>#REF!</v>
      </c>
      <c r="AK16" t="e">
        <f>AND(Bills!#REF!,"AAAAAE7O7yQ=")</f>
        <v>#REF!</v>
      </c>
      <c r="AL16" t="e">
        <f>AND(Bills!#REF!,"AAAAAE7O7yU=")</f>
        <v>#REF!</v>
      </c>
      <c r="AM16" t="e">
        <f>AND(Bills!#REF!,"AAAAAE7O7yY=")</f>
        <v>#REF!</v>
      </c>
      <c r="AN16" t="e">
        <f>AND(Bills!#REF!,"AAAAAE7O7yc=")</f>
        <v>#REF!</v>
      </c>
      <c r="AO16" t="e">
        <f>AND(Bills!#REF!,"AAAAAE7O7yg=")</f>
        <v>#REF!</v>
      </c>
      <c r="AP16" t="e">
        <f>AND(Bills!#REF!,"AAAAAE7O7yk=")</f>
        <v>#REF!</v>
      </c>
      <c r="AQ16" t="e">
        <f>AND(Bills!#REF!,"AAAAAE7O7yo=")</f>
        <v>#REF!</v>
      </c>
      <c r="AR16" t="e">
        <f>AND(Bills!#REF!,"AAAAAE7O7ys=")</f>
        <v>#REF!</v>
      </c>
      <c r="AS16" t="e">
        <f>AND(Bills!#REF!,"AAAAAE7O7yw=")</f>
        <v>#REF!</v>
      </c>
      <c r="AT16" t="e">
        <f>AND(Bills!#REF!,"AAAAAE7O7y0=")</f>
        <v>#REF!</v>
      </c>
      <c r="AU16" t="e">
        <f>AND(Bills!#REF!,"AAAAAE7O7y4=")</f>
        <v>#REF!</v>
      </c>
      <c r="AV16" t="e">
        <f>AND(Bills!#REF!,"AAAAAE7O7y8=")</f>
        <v>#REF!</v>
      </c>
      <c r="AW16" t="e">
        <f>AND(Bills!#REF!,"AAAAAE7O7zA=")</f>
        <v>#REF!</v>
      </c>
      <c r="AX16" t="e">
        <f>AND(Bills!#REF!,"AAAAAE7O7zE=")</f>
        <v>#REF!</v>
      </c>
      <c r="AY16" t="e">
        <f>AND(Bills!#REF!,"AAAAAE7O7zI=")</f>
        <v>#REF!</v>
      </c>
      <c r="AZ16" t="e">
        <f>AND(Bills!#REF!,"AAAAAE7O7zM=")</f>
        <v>#REF!</v>
      </c>
      <c r="BA16" t="e">
        <f>AND(Bills!#REF!,"AAAAAE7O7zQ=")</f>
        <v>#REF!</v>
      </c>
      <c r="BB16" t="e">
        <f>AND(Bills!#REF!,"AAAAAE7O7zU=")</f>
        <v>#REF!</v>
      </c>
      <c r="BC16" t="e">
        <f>AND(Bills!#REF!,"AAAAAE7O7zY=")</f>
        <v>#REF!</v>
      </c>
      <c r="BD16" t="e">
        <f>AND(Bills!#REF!,"AAAAAE7O7zc=")</f>
        <v>#REF!</v>
      </c>
      <c r="BE16" t="e">
        <f>AND(Bills!#REF!,"AAAAAE7O7zg=")</f>
        <v>#REF!</v>
      </c>
      <c r="BF16" t="e">
        <f>AND(Bills!#REF!,"AAAAAE7O7zk=")</f>
        <v>#REF!</v>
      </c>
      <c r="BG16" t="e">
        <f>AND(Bills!#REF!,"AAAAAE7O7zo=")</f>
        <v>#REF!</v>
      </c>
      <c r="BH16" t="e">
        <f>AND(Bills!#REF!,"AAAAAE7O7zs=")</f>
        <v>#REF!</v>
      </c>
      <c r="BI16" t="e">
        <f>AND(Bills!#REF!,"AAAAAE7O7zw=")</f>
        <v>#REF!</v>
      </c>
      <c r="BJ16" t="e">
        <f>AND(Bills!#REF!,"AAAAAE7O7z0=")</f>
        <v>#REF!</v>
      </c>
      <c r="BK16" t="e">
        <f>AND(Bills!#REF!,"AAAAAE7O7z4=")</f>
        <v>#REF!</v>
      </c>
      <c r="BL16" t="e">
        <f>AND(Bills!#REF!,"AAAAAE7O7z8=")</f>
        <v>#REF!</v>
      </c>
      <c r="BM16" t="e">
        <f>AND(Bills!#REF!,"AAAAAE7O70A=")</f>
        <v>#REF!</v>
      </c>
      <c r="BN16" t="e">
        <f>AND(Bills!#REF!,"AAAAAE7O70E=")</f>
        <v>#REF!</v>
      </c>
      <c r="BO16" t="e">
        <f>AND(Bills!#REF!,"AAAAAE7O70I=")</f>
        <v>#REF!</v>
      </c>
      <c r="BP16" t="e">
        <f>AND(Bills!#REF!,"AAAAAE7O70M=")</f>
        <v>#REF!</v>
      </c>
      <c r="BQ16" t="e">
        <f>AND(Bills!#REF!,"AAAAAE7O70Q=")</f>
        <v>#REF!</v>
      </c>
      <c r="BR16" t="e">
        <f>AND(Bills!#REF!,"AAAAAE7O70U=")</f>
        <v>#REF!</v>
      </c>
      <c r="BS16" t="e">
        <f>AND(Bills!#REF!,"AAAAAE7O70Y=")</f>
        <v>#REF!</v>
      </c>
      <c r="BT16" t="e">
        <f>AND(Bills!#REF!,"AAAAAE7O70c=")</f>
        <v>#REF!</v>
      </c>
      <c r="BU16" t="e">
        <f>AND(Bills!#REF!,"AAAAAE7O70g=")</f>
        <v>#REF!</v>
      </c>
      <c r="BV16" t="e">
        <f>AND(Bills!#REF!,"AAAAAE7O70k=")</f>
        <v>#REF!</v>
      </c>
      <c r="BW16" t="e">
        <f>AND(Bills!#REF!,"AAAAAE7O70o=")</f>
        <v>#REF!</v>
      </c>
      <c r="BX16" t="e">
        <f>IF(Bills!#REF!,"AAAAAE7O70s=",0)</f>
        <v>#REF!</v>
      </c>
      <c r="BY16" t="e">
        <f>AND(Bills!#REF!,"AAAAAE7O70w=")</f>
        <v>#REF!</v>
      </c>
      <c r="BZ16" t="e">
        <f>AND(Bills!#REF!,"AAAAAE7O700=")</f>
        <v>#REF!</v>
      </c>
      <c r="CA16" t="e">
        <f>AND(Bills!#REF!,"AAAAAE7O704=")</f>
        <v>#REF!</v>
      </c>
      <c r="CB16" t="e">
        <f>AND(Bills!#REF!,"AAAAAE7O708=")</f>
        <v>#REF!</v>
      </c>
      <c r="CC16" t="e">
        <f>AND(Bills!#REF!,"AAAAAE7O71A=")</f>
        <v>#REF!</v>
      </c>
      <c r="CD16" t="e">
        <f>AND(Bills!#REF!,"AAAAAE7O71E=")</f>
        <v>#REF!</v>
      </c>
      <c r="CE16" t="e">
        <f>AND(Bills!#REF!,"AAAAAE7O71I=")</f>
        <v>#REF!</v>
      </c>
      <c r="CF16" t="e">
        <f>AND(Bills!#REF!,"AAAAAE7O71M=")</f>
        <v>#REF!</v>
      </c>
      <c r="CG16" t="e">
        <f>AND(Bills!#REF!,"AAAAAE7O71Q=")</f>
        <v>#REF!</v>
      </c>
      <c r="CH16" t="e">
        <f>AND(Bills!#REF!,"AAAAAE7O71U=")</f>
        <v>#REF!</v>
      </c>
      <c r="CI16" t="e">
        <f>AND(Bills!#REF!,"AAAAAE7O71Y=")</f>
        <v>#REF!</v>
      </c>
      <c r="CJ16" t="e">
        <f>AND(Bills!#REF!,"AAAAAE7O71c=")</f>
        <v>#REF!</v>
      </c>
      <c r="CK16" t="e">
        <f>AND(Bills!#REF!,"AAAAAE7O71g=")</f>
        <v>#REF!</v>
      </c>
      <c r="CL16" t="e">
        <f>AND(Bills!#REF!,"AAAAAE7O71k=")</f>
        <v>#REF!</v>
      </c>
      <c r="CM16" t="e">
        <f>AND(Bills!#REF!,"AAAAAE7O71o=")</f>
        <v>#REF!</v>
      </c>
      <c r="CN16" t="e">
        <f>AND(Bills!#REF!,"AAAAAE7O71s=")</f>
        <v>#REF!</v>
      </c>
      <c r="CO16" t="e">
        <f>AND(Bills!#REF!,"AAAAAE7O71w=")</f>
        <v>#REF!</v>
      </c>
      <c r="CP16" t="e">
        <f>AND(Bills!#REF!,"AAAAAE7O710=")</f>
        <v>#REF!</v>
      </c>
      <c r="CQ16" t="e">
        <f>AND(Bills!#REF!,"AAAAAE7O714=")</f>
        <v>#REF!</v>
      </c>
      <c r="CR16" t="e">
        <f>AND(Bills!#REF!,"AAAAAE7O718=")</f>
        <v>#REF!</v>
      </c>
      <c r="CS16" t="e">
        <f>AND(Bills!#REF!,"AAAAAE7O72A=")</f>
        <v>#REF!</v>
      </c>
      <c r="CT16" t="e">
        <f>AND(Bills!#REF!,"AAAAAE7O72E=")</f>
        <v>#REF!</v>
      </c>
      <c r="CU16" t="e">
        <f>AND(Bills!#REF!,"AAAAAE7O72I=")</f>
        <v>#REF!</v>
      </c>
      <c r="CV16" t="e">
        <f>AND(Bills!#REF!,"AAAAAE7O72M=")</f>
        <v>#REF!</v>
      </c>
      <c r="CW16" t="e">
        <f>AND(Bills!#REF!,"AAAAAE7O72Q=")</f>
        <v>#REF!</v>
      </c>
      <c r="CX16" t="e">
        <f>AND(Bills!#REF!,"AAAAAE7O72U=")</f>
        <v>#REF!</v>
      </c>
      <c r="CY16" t="e">
        <f>AND(Bills!#REF!,"AAAAAE7O72Y=")</f>
        <v>#REF!</v>
      </c>
      <c r="CZ16" t="e">
        <f>AND(Bills!#REF!,"AAAAAE7O72c=")</f>
        <v>#REF!</v>
      </c>
      <c r="DA16" t="e">
        <f>AND(Bills!#REF!,"AAAAAE7O72g=")</f>
        <v>#REF!</v>
      </c>
      <c r="DB16" t="e">
        <f>AND(Bills!#REF!,"AAAAAE7O72k=")</f>
        <v>#REF!</v>
      </c>
      <c r="DC16" t="e">
        <f>AND(Bills!#REF!,"AAAAAE7O72o=")</f>
        <v>#REF!</v>
      </c>
      <c r="DD16" t="e">
        <f>AND(Bills!#REF!,"AAAAAE7O72s=")</f>
        <v>#REF!</v>
      </c>
      <c r="DE16" t="e">
        <f>AND(Bills!#REF!,"AAAAAE7O72w=")</f>
        <v>#REF!</v>
      </c>
      <c r="DF16" t="e">
        <f>AND(Bills!#REF!,"AAAAAE7O720=")</f>
        <v>#REF!</v>
      </c>
      <c r="DG16" t="e">
        <f>AND(Bills!#REF!,"AAAAAE7O724=")</f>
        <v>#REF!</v>
      </c>
      <c r="DH16" t="e">
        <f>AND(Bills!#REF!,"AAAAAE7O728=")</f>
        <v>#REF!</v>
      </c>
      <c r="DI16" t="e">
        <f>AND(Bills!#REF!,"AAAAAE7O73A=")</f>
        <v>#REF!</v>
      </c>
      <c r="DJ16" t="e">
        <f>AND(Bills!#REF!,"AAAAAE7O73E=")</f>
        <v>#REF!</v>
      </c>
      <c r="DK16" t="e">
        <f>AND(Bills!#REF!,"AAAAAE7O73I=")</f>
        <v>#REF!</v>
      </c>
      <c r="DL16" t="e">
        <f>AND(Bills!#REF!,"AAAAAE7O73M=")</f>
        <v>#REF!</v>
      </c>
      <c r="DM16" t="e">
        <f>AND(Bills!#REF!,"AAAAAE7O73Q=")</f>
        <v>#REF!</v>
      </c>
      <c r="DN16" t="e">
        <f>AND(Bills!#REF!,"AAAAAE7O73U=")</f>
        <v>#REF!</v>
      </c>
      <c r="DO16" t="e">
        <f>AND(Bills!#REF!,"AAAAAE7O73Y=")</f>
        <v>#REF!</v>
      </c>
      <c r="DP16" t="e">
        <f>AND(Bills!#REF!,"AAAAAE7O73c=")</f>
        <v>#REF!</v>
      </c>
      <c r="DQ16" t="e">
        <f>AND(Bills!#REF!,"AAAAAE7O73g=")</f>
        <v>#REF!</v>
      </c>
      <c r="DR16" t="e">
        <f>AND(Bills!#REF!,"AAAAAE7O73k=")</f>
        <v>#REF!</v>
      </c>
      <c r="DS16" t="e">
        <f>AND(Bills!#REF!,"AAAAAE7O73o=")</f>
        <v>#REF!</v>
      </c>
      <c r="DT16" t="e">
        <f>AND(Bills!#REF!,"AAAAAE7O73s=")</f>
        <v>#REF!</v>
      </c>
      <c r="DU16" t="e">
        <f>AND(Bills!#REF!,"AAAAAE7O73w=")</f>
        <v>#REF!</v>
      </c>
      <c r="DV16" t="e">
        <f>AND(Bills!#REF!,"AAAAAE7O730=")</f>
        <v>#REF!</v>
      </c>
      <c r="DW16" t="e">
        <f>IF(Bills!#REF!,"AAAAAE7O734=",0)</f>
        <v>#REF!</v>
      </c>
      <c r="DX16" t="e">
        <f>AND(Bills!#REF!,"AAAAAE7O738=")</f>
        <v>#REF!</v>
      </c>
      <c r="DY16" t="e">
        <f>AND(Bills!#REF!,"AAAAAE7O74A=")</f>
        <v>#REF!</v>
      </c>
      <c r="DZ16" t="e">
        <f>AND(Bills!#REF!,"AAAAAE7O74E=")</f>
        <v>#REF!</v>
      </c>
      <c r="EA16" t="e">
        <f>AND(Bills!#REF!,"AAAAAE7O74I=")</f>
        <v>#REF!</v>
      </c>
      <c r="EB16" t="e">
        <f>AND(Bills!#REF!,"AAAAAE7O74M=")</f>
        <v>#REF!</v>
      </c>
      <c r="EC16" t="e">
        <f>AND(Bills!#REF!,"AAAAAE7O74Q=")</f>
        <v>#REF!</v>
      </c>
      <c r="ED16" t="e">
        <f>AND(Bills!#REF!,"AAAAAE7O74U=")</f>
        <v>#REF!</v>
      </c>
      <c r="EE16" t="e">
        <f>AND(Bills!#REF!,"AAAAAE7O74Y=")</f>
        <v>#REF!</v>
      </c>
      <c r="EF16" t="e">
        <f>AND(Bills!#REF!,"AAAAAE7O74c=")</f>
        <v>#REF!</v>
      </c>
      <c r="EG16" t="e">
        <f>AND(Bills!#REF!,"AAAAAE7O74g=")</f>
        <v>#REF!</v>
      </c>
      <c r="EH16" t="e">
        <f>AND(Bills!#REF!,"AAAAAE7O74k=")</f>
        <v>#REF!</v>
      </c>
      <c r="EI16" t="e">
        <f>AND(Bills!#REF!,"AAAAAE7O74o=")</f>
        <v>#REF!</v>
      </c>
      <c r="EJ16" t="e">
        <f>AND(Bills!#REF!,"AAAAAE7O74s=")</f>
        <v>#REF!</v>
      </c>
      <c r="EK16" t="e">
        <f>AND(Bills!#REF!,"AAAAAE7O74w=")</f>
        <v>#REF!</v>
      </c>
      <c r="EL16" t="e">
        <f>AND(Bills!#REF!,"AAAAAE7O740=")</f>
        <v>#REF!</v>
      </c>
      <c r="EM16" t="e">
        <f>AND(Bills!#REF!,"AAAAAE7O744=")</f>
        <v>#REF!</v>
      </c>
      <c r="EN16" t="e">
        <f>AND(Bills!#REF!,"AAAAAE7O748=")</f>
        <v>#REF!</v>
      </c>
      <c r="EO16" t="e">
        <f>AND(Bills!#REF!,"AAAAAE7O75A=")</f>
        <v>#REF!</v>
      </c>
      <c r="EP16" t="e">
        <f>AND(Bills!#REF!,"AAAAAE7O75E=")</f>
        <v>#REF!</v>
      </c>
      <c r="EQ16" t="e">
        <f>AND(Bills!#REF!,"AAAAAE7O75I=")</f>
        <v>#REF!</v>
      </c>
      <c r="ER16" t="e">
        <f>AND(Bills!#REF!,"AAAAAE7O75M=")</f>
        <v>#REF!</v>
      </c>
      <c r="ES16" t="e">
        <f>AND(Bills!#REF!,"AAAAAE7O75Q=")</f>
        <v>#REF!</v>
      </c>
      <c r="ET16" t="e">
        <f>AND(Bills!#REF!,"AAAAAE7O75U=")</f>
        <v>#REF!</v>
      </c>
      <c r="EU16" t="e">
        <f>AND(Bills!#REF!,"AAAAAE7O75Y=")</f>
        <v>#REF!</v>
      </c>
      <c r="EV16" t="e">
        <f>AND(Bills!#REF!,"AAAAAE7O75c=")</f>
        <v>#REF!</v>
      </c>
      <c r="EW16" t="e">
        <f>AND(Bills!#REF!,"AAAAAE7O75g=")</f>
        <v>#REF!</v>
      </c>
      <c r="EX16" t="e">
        <f>AND(Bills!#REF!,"AAAAAE7O75k=")</f>
        <v>#REF!</v>
      </c>
      <c r="EY16" t="e">
        <f>AND(Bills!#REF!,"AAAAAE7O75o=")</f>
        <v>#REF!</v>
      </c>
      <c r="EZ16" t="e">
        <f>AND(Bills!#REF!,"AAAAAE7O75s=")</f>
        <v>#REF!</v>
      </c>
      <c r="FA16" t="e">
        <f>AND(Bills!#REF!,"AAAAAE7O75w=")</f>
        <v>#REF!</v>
      </c>
      <c r="FB16" t="e">
        <f>AND(Bills!#REF!,"AAAAAE7O750=")</f>
        <v>#REF!</v>
      </c>
      <c r="FC16" t="e">
        <f>AND(Bills!#REF!,"AAAAAE7O754=")</f>
        <v>#REF!</v>
      </c>
      <c r="FD16" t="e">
        <f>AND(Bills!#REF!,"AAAAAE7O758=")</f>
        <v>#REF!</v>
      </c>
      <c r="FE16" t="e">
        <f>AND(Bills!#REF!,"AAAAAE7O76A=")</f>
        <v>#REF!</v>
      </c>
      <c r="FF16" t="e">
        <f>AND(Bills!#REF!,"AAAAAE7O76E=")</f>
        <v>#REF!</v>
      </c>
      <c r="FG16" t="e">
        <f>AND(Bills!#REF!,"AAAAAE7O76I=")</f>
        <v>#REF!</v>
      </c>
      <c r="FH16" t="e">
        <f>AND(Bills!#REF!,"AAAAAE7O76M=")</f>
        <v>#REF!</v>
      </c>
      <c r="FI16" t="e">
        <f>AND(Bills!#REF!,"AAAAAE7O76Q=")</f>
        <v>#REF!</v>
      </c>
      <c r="FJ16" t="e">
        <f>AND(Bills!#REF!,"AAAAAE7O76U=")</f>
        <v>#REF!</v>
      </c>
      <c r="FK16" t="e">
        <f>AND(Bills!#REF!,"AAAAAE7O76Y=")</f>
        <v>#REF!</v>
      </c>
      <c r="FL16" t="e">
        <f>AND(Bills!#REF!,"AAAAAE7O76c=")</f>
        <v>#REF!</v>
      </c>
      <c r="FM16" t="e">
        <f>AND(Bills!#REF!,"AAAAAE7O76g=")</f>
        <v>#REF!</v>
      </c>
      <c r="FN16" t="e">
        <f>AND(Bills!#REF!,"AAAAAE7O76k=")</f>
        <v>#REF!</v>
      </c>
      <c r="FO16" t="e">
        <f>AND(Bills!#REF!,"AAAAAE7O76o=")</f>
        <v>#REF!</v>
      </c>
      <c r="FP16" t="e">
        <f>AND(Bills!#REF!,"AAAAAE7O76s=")</f>
        <v>#REF!</v>
      </c>
      <c r="FQ16" t="e">
        <f>AND(Bills!#REF!,"AAAAAE7O76w=")</f>
        <v>#REF!</v>
      </c>
      <c r="FR16" t="e">
        <f>AND(Bills!#REF!,"AAAAAE7O760=")</f>
        <v>#REF!</v>
      </c>
      <c r="FS16" t="e">
        <f>AND(Bills!#REF!,"AAAAAE7O764=")</f>
        <v>#REF!</v>
      </c>
      <c r="FT16" t="e">
        <f>AND(Bills!#REF!,"AAAAAE7O768=")</f>
        <v>#REF!</v>
      </c>
      <c r="FU16" t="e">
        <f>AND(Bills!#REF!,"AAAAAE7O77A=")</f>
        <v>#REF!</v>
      </c>
      <c r="FV16" t="e">
        <f>IF(Bills!#REF!,"AAAAAE7O77E=",0)</f>
        <v>#REF!</v>
      </c>
      <c r="FW16" t="e">
        <f>AND(Bills!#REF!,"AAAAAE7O77I=")</f>
        <v>#REF!</v>
      </c>
      <c r="FX16" t="e">
        <f>AND(Bills!#REF!,"AAAAAE7O77M=")</f>
        <v>#REF!</v>
      </c>
      <c r="FY16" t="e">
        <f>AND(Bills!#REF!,"AAAAAE7O77Q=")</f>
        <v>#REF!</v>
      </c>
      <c r="FZ16" t="e">
        <f>AND(Bills!#REF!,"AAAAAE7O77U=")</f>
        <v>#REF!</v>
      </c>
      <c r="GA16" t="e">
        <f>AND(Bills!#REF!,"AAAAAE7O77Y=")</f>
        <v>#REF!</v>
      </c>
      <c r="GB16" t="e">
        <f>AND(Bills!#REF!,"AAAAAE7O77c=")</f>
        <v>#REF!</v>
      </c>
      <c r="GC16" t="e">
        <f>AND(Bills!#REF!,"AAAAAE7O77g=")</f>
        <v>#REF!</v>
      </c>
      <c r="GD16" t="e">
        <f>AND(Bills!#REF!,"AAAAAE7O77k=")</f>
        <v>#REF!</v>
      </c>
      <c r="GE16" t="e">
        <f>AND(Bills!#REF!,"AAAAAE7O77o=")</f>
        <v>#REF!</v>
      </c>
      <c r="GF16" t="e">
        <f>AND(Bills!#REF!,"AAAAAE7O77s=")</f>
        <v>#REF!</v>
      </c>
      <c r="GG16" t="e">
        <f>AND(Bills!#REF!,"AAAAAE7O77w=")</f>
        <v>#REF!</v>
      </c>
      <c r="GH16" t="e">
        <f>AND(Bills!#REF!,"AAAAAE7O770=")</f>
        <v>#REF!</v>
      </c>
      <c r="GI16" t="e">
        <f>AND(Bills!#REF!,"AAAAAE7O774=")</f>
        <v>#REF!</v>
      </c>
      <c r="GJ16" t="e">
        <f>AND(Bills!#REF!,"AAAAAE7O778=")</f>
        <v>#REF!</v>
      </c>
      <c r="GK16" t="e">
        <f>AND(Bills!#REF!,"AAAAAE7O78A=")</f>
        <v>#REF!</v>
      </c>
      <c r="GL16" t="e">
        <f>AND(Bills!#REF!,"AAAAAE7O78E=")</f>
        <v>#REF!</v>
      </c>
      <c r="GM16" t="e">
        <f>AND(Bills!#REF!,"AAAAAE7O78I=")</f>
        <v>#REF!</v>
      </c>
      <c r="GN16" t="e">
        <f>AND(Bills!#REF!,"AAAAAE7O78M=")</f>
        <v>#REF!</v>
      </c>
      <c r="GO16" t="e">
        <f>AND(Bills!#REF!,"AAAAAE7O78Q=")</f>
        <v>#REF!</v>
      </c>
      <c r="GP16" t="e">
        <f>AND(Bills!#REF!,"AAAAAE7O78U=")</f>
        <v>#REF!</v>
      </c>
      <c r="GQ16" t="e">
        <f>AND(Bills!#REF!,"AAAAAE7O78Y=")</f>
        <v>#REF!</v>
      </c>
      <c r="GR16" t="e">
        <f>AND(Bills!#REF!,"AAAAAE7O78c=")</f>
        <v>#REF!</v>
      </c>
      <c r="GS16" t="e">
        <f>AND(Bills!#REF!,"AAAAAE7O78g=")</f>
        <v>#REF!</v>
      </c>
      <c r="GT16" t="e">
        <f>AND(Bills!#REF!,"AAAAAE7O78k=")</f>
        <v>#REF!</v>
      </c>
      <c r="GU16" t="e">
        <f>AND(Bills!#REF!,"AAAAAE7O78o=")</f>
        <v>#REF!</v>
      </c>
      <c r="GV16" t="e">
        <f>AND(Bills!#REF!,"AAAAAE7O78s=")</f>
        <v>#REF!</v>
      </c>
      <c r="GW16" t="e">
        <f>AND(Bills!#REF!,"AAAAAE7O78w=")</f>
        <v>#REF!</v>
      </c>
      <c r="GX16" t="e">
        <f>AND(Bills!#REF!,"AAAAAE7O780=")</f>
        <v>#REF!</v>
      </c>
      <c r="GY16" t="e">
        <f>AND(Bills!#REF!,"AAAAAE7O784=")</f>
        <v>#REF!</v>
      </c>
      <c r="GZ16" t="e">
        <f>AND(Bills!#REF!,"AAAAAE7O788=")</f>
        <v>#REF!</v>
      </c>
      <c r="HA16" t="e">
        <f>AND(Bills!#REF!,"AAAAAE7O79A=")</f>
        <v>#REF!</v>
      </c>
      <c r="HB16" t="e">
        <f>AND(Bills!#REF!,"AAAAAE7O79E=")</f>
        <v>#REF!</v>
      </c>
      <c r="HC16" t="e">
        <f>AND(Bills!#REF!,"AAAAAE7O79I=")</f>
        <v>#REF!</v>
      </c>
      <c r="HD16" t="e">
        <f>AND(Bills!#REF!,"AAAAAE7O79M=")</f>
        <v>#REF!</v>
      </c>
      <c r="HE16" t="e">
        <f>AND(Bills!#REF!,"AAAAAE7O79Q=")</f>
        <v>#REF!</v>
      </c>
      <c r="HF16" t="e">
        <f>AND(Bills!#REF!,"AAAAAE7O79U=")</f>
        <v>#REF!</v>
      </c>
      <c r="HG16" t="e">
        <f>AND(Bills!#REF!,"AAAAAE7O79Y=")</f>
        <v>#REF!</v>
      </c>
      <c r="HH16" t="e">
        <f>AND(Bills!#REF!,"AAAAAE7O79c=")</f>
        <v>#REF!</v>
      </c>
      <c r="HI16" t="e">
        <f>AND(Bills!#REF!,"AAAAAE7O79g=")</f>
        <v>#REF!</v>
      </c>
      <c r="HJ16" t="e">
        <f>AND(Bills!#REF!,"AAAAAE7O79k=")</f>
        <v>#REF!</v>
      </c>
      <c r="HK16" t="e">
        <f>AND(Bills!#REF!,"AAAAAE7O79o=")</f>
        <v>#REF!</v>
      </c>
      <c r="HL16" t="e">
        <f>AND(Bills!#REF!,"AAAAAE7O79s=")</f>
        <v>#REF!</v>
      </c>
      <c r="HM16" t="e">
        <f>AND(Bills!#REF!,"AAAAAE7O79w=")</f>
        <v>#REF!</v>
      </c>
      <c r="HN16" t="e">
        <f>AND(Bills!#REF!,"AAAAAE7O790=")</f>
        <v>#REF!</v>
      </c>
      <c r="HO16" t="e">
        <f>AND(Bills!#REF!,"AAAAAE7O794=")</f>
        <v>#REF!</v>
      </c>
      <c r="HP16" t="e">
        <f>AND(Bills!#REF!,"AAAAAE7O798=")</f>
        <v>#REF!</v>
      </c>
      <c r="HQ16" t="e">
        <f>AND(Bills!#REF!,"AAAAAE7O7+A=")</f>
        <v>#REF!</v>
      </c>
      <c r="HR16" t="e">
        <f>AND(Bills!#REF!,"AAAAAE7O7+E=")</f>
        <v>#REF!</v>
      </c>
      <c r="HS16" t="e">
        <f>AND(Bills!#REF!,"AAAAAE7O7+I=")</f>
        <v>#REF!</v>
      </c>
      <c r="HT16" t="e">
        <f>AND(Bills!#REF!,"AAAAAE7O7+M=")</f>
        <v>#REF!</v>
      </c>
      <c r="HU16" t="e">
        <f>IF(Bills!#REF!,"AAAAAE7O7+Q=",0)</f>
        <v>#REF!</v>
      </c>
      <c r="HV16" t="e">
        <f>AND(Bills!#REF!,"AAAAAE7O7+U=")</f>
        <v>#REF!</v>
      </c>
      <c r="HW16" t="e">
        <f>AND(Bills!#REF!,"AAAAAE7O7+Y=")</f>
        <v>#REF!</v>
      </c>
      <c r="HX16" t="e">
        <f>AND(Bills!#REF!,"AAAAAE7O7+c=")</f>
        <v>#REF!</v>
      </c>
      <c r="HY16" t="e">
        <f>AND(Bills!#REF!,"AAAAAE7O7+g=")</f>
        <v>#REF!</v>
      </c>
      <c r="HZ16" t="e">
        <f>AND(Bills!#REF!,"AAAAAE7O7+k=")</f>
        <v>#REF!</v>
      </c>
      <c r="IA16" t="e">
        <f>AND(Bills!#REF!,"AAAAAE7O7+o=")</f>
        <v>#REF!</v>
      </c>
      <c r="IB16" t="e">
        <f>AND(Bills!#REF!,"AAAAAE7O7+s=")</f>
        <v>#REF!</v>
      </c>
      <c r="IC16" t="e">
        <f>AND(Bills!#REF!,"AAAAAE7O7+w=")</f>
        <v>#REF!</v>
      </c>
      <c r="ID16" t="e">
        <f>AND(Bills!#REF!,"AAAAAE7O7+0=")</f>
        <v>#REF!</v>
      </c>
      <c r="IE16" t="e">
        <f>AND(Bills!#REF!,"AAAAAE7O7+4=")</f>
        <v>#REF!</v>
      </c>
      <c r="IF16" t="e">
        <f>AND(Bills!#REF!,"AAAAAE7O7+8=")</f>
        <v>#REF!</v>
      </c>
      <c r="IG16" t="e">
        <f>AND(Bills!#REF!,"AAAAAE7O7/A=")</f>
        <v>#REF!</v>
      </c>
      <c r="IH16" t="e">
        <f>AND(Bills!#REF!,"AAAAAE7O7/E=")</f>
        <v>#REF!</v>
      </c>
      <c r="II16" t="e">
        <f>AND(Bills!#REF!,"AAAAAE7O7/I=")</f>
        <v>#REF!</v>
      </c>
      <c r="IJ16" t="e">
        <f>AND(Bills!#REF!,"AAAAAE7O7/M=")</f>
        <v>#REF!</v>
      </c>
      <c r="IK16" t="e">
        <f>AND(Bills!#REF!,"AAAAAE7O7/Q=")</f>
        <v>#REF!</v>
      </c>
      <c r="IL16" t="e">
        <f>AND(Bills!#REF!,"AAAAAE7O7/U=")</f>
        <v>#REF!</v>
      </c>
      <c r="IM16" t="e">
        <f>AND(Bills!#REF!,"AAAAAE7O7/Y=")</f>
        <v>#REF!</v>
      </c>
      <c r="IN16" t="e">
        <f>AND(Bills!#REF!,"AAAAAE7O7/c=")</f>
        <v>#REF!</v>
      </c>
      <c r="IO16" t="e">
        <f>AND(Bills!#REF!,"AAAAAE7O7/g=")</f>
        <v>#REF!</v>
      </c>
      <c r="IP16" t="e">
        <f>AND(Bills!#REF!,"AAAAAE7O7/k=")</f>
        <v>#REF!</v>
      </c>
      <c r="IQ16" t="e">
        <f>AND(Bills!#REF!,"AAAAAE7O7/o=")</f>
        <v>#REF!</v>
      </c>
      <c r="IR16" t="e">
        <f>AND(Bills!#REF!,"AAAAAE7O7/s=")</f>
        <v>#REF!</v>
      </c>
      <c r="IS16" t="e">
        <f>AND(Bills!#REF!,"AAAAAE7O7/w=")</f>
        <v>#REF!</v>
      </c>
      <c r="IT16" t="e">
        <f>AND(Bills!#REF!,"AAAAAE7O7/0=")</f>
        <v>#REF!</v>
      </c>
      <c r="IU16" t="e">
        <f>AND(Bills!#REF!,"AAAAAE7O7/4=")</f>
        <v>#REF!</v>
      </c>
      <c r="IV16" t="e">
        <f>AND(Bills!#REF!,"AAAAAE7O7/8=")</f>
        <v>#REF!</v>
      </c>
    </row>
    <row r="17" spans="1:256">
      <c r="A17" t="e">
        <f>AND(Bills!#REF!,"AAAAAB21/wA=")</f>
        <v>#REF!</v>
      </c>
      <c r="B17" t="e">
        <f>AND(Bills!#REF!,"AAAAAB21/wE=")</f>
        <v>#REF!</v>
      </c>
      <c r="C17" t="e">
        <f>AND(Bills!#REF!,"AAAAAB21/wI=")</f>
        <v>#REF!</v>
      </c>
      <c r="D17" t="e">
        <f>AND(Bills!#REF!,"AAAAAB21/wM=")</f>
        <v>#REF!</v>
      </c>
      <c r="E17" t="e">
        <f>AND(Bills!#REF!,"AAAAAB21/wQ=")</f>
        <v>#REF!</v>
      </c>
      <c r="F17" t="e">
        <f>AND(Bills!#REF!,"AAAAAB21/wU=")</f>
        <v>#REF!</v>
      </c>
      <c r="G17" t="e">
        <f>AND(Bills!#REF!,"AAAAAB21/wY=")</f>
        <v>#REF!</v>
      </c>
      <c r="H17" t="e">
        <f>AND(Bills!#REF!,"AAAAAB21/wc=")</f>
        <v>#REF!</v>
      </c>
      <c r="I17" t="e">
        <f>AND(Bills!#REF!,"AAAAAB21/wg=")</f>
        <v>#REF!</v>
      </c>
      <c r="J17" t="e">
        <f>AND(Bills!#REF!,"AAAAAB21/wk=")</f>
        <v>#REF!</v>
      </c>
      <c r="K17" t="e">
        <f>AND(Bills!#REF!,"AAAAAB21/wo=")</f>
        <v>#REF!</v>
      </c>
      <c r="L17" t="e">
        <f>AND(Bills!#REF!,"AAAAAB21/ws=")</f>
        <v>#REF!</v>
      </c>
      <c r="M17" t="e">
        <f>AND(Bills!#REF!,"AAAAAB21/ww=")</f>
        <v>#REF!</v>
      </c>
      <c r="N17" t="e">
        <f>AND(Bills!#REF!,"AAAAAB21/w0=")</f>
        <v>#REF!</v>
      </c>
      <c r="O17" t="e">
        <f>AND(Bills!#REF!,"AAAAAB21/w4=")</f>
        <v>#REF!</v>
      </c>
      <c r="P17" t="e">
        <f>AND(Bills!#REF!,"AAAAAB21/w8=")</f>
        <v>#REF!</v>
      </c>
      <c r="Q17" t="e">
        <f>AND(Bills!#REF!,"AAAAAB21/xA=")</f>
        <v>#REF!</v>
      </c>
      <c r="R17" t="e">
        <f>AND(Bills!#REF!,"AAAAAB21/xE=")</f>
        <v>#REF!</v>
      </c>
      <c r="S17" t="e">
        <f>AND(Bills!#REF!,"AAAAAB21/xI=")</f>
        <v>#REF!</v>
      </c>
      <c r="T17" t="e">
        <f>AND(Bills!#REF!,"AAAAAB21/xM=")</f>
        <v>#REF!</v>
      </c>
      <c r="U17" t="e">
        <f>AND(Bills!#REF!,"AAAAAB21/xQ=")</f>
        <v>#REF!</v>
      </c>
      <c r="V17" t="e">
        <f>AND(Bills!#REF!,"AAAAAB21/xU=")</f>
        <v>#REF!</v>
      </c>
      <c r="W17" t="e">
        <f>AND(Bills!#REF!,"AAAAAB21/xY=")</f>
        <v>#REF!</v>
      </c>
      <c r="X17" t="e">
        <f>IF(Bills!#REF!,"AAAAAB21/xc=",0)</f>
        <v>#REF!</v>
      </c>
      <c r="Y17" t="e">
        <f>AND(Bills!#REF!,"AAAAAB21/xg=")</f>
        <v>#REF!</v>
      </c>
      <c r="Z17" t="e">
        <f>AND(Bills!#REF!,"AAAAAB21/xk=")</f>
        <v>#REF!</v>
      </c>
      <c r="AA17" t="e">
        <f>AND(Bills!#REF!,"AAAAAB21/xo=")</f>
        <v>#REF!</v>
      </c>
      <c r="AB17" t="e">
        <f>AND(Bills!#REF!,"AAAAAB21/xs=")</f>
        <v>#REF!</v>
      </c>
      <c r="AC17" t="e">
        <f>AND(Bills!#REF!,"AAAAAB21/xw=")</f>
        <v>#REF!</v>
      </c>
      <c r="AD17" t="e">
        <f>AND(Bills!#REF!,"AAAAAB21/x0=")</f>
        <v>#REF!</v>
      </c>
      <c r="AE17" t="e">
        <f>AND(Bills!#REF!,"AAAAAB21/x4=")</f>
        <v>#REF!</v>
      </c>
      <c r="AF17" t="e">
        <f>AND(Bills!#REF!,"AAAAAB21/x8=")</f>
        <v>#REF!</v>
      </c>
      <c r="AG17" t="e">
        <f>AND(Bills!#REF!,"AAAAAB21/yA=")</f>
        <v>#REF!</v>
      </c>
      <c r="AH17" t="e">
        <f>AND(Bills!#REF!,"AAAAAB21/yE=")</f>
        <v>#REF!</v>
      </c>
      <c r="AI17" t="e">
        <f>AND(Bills!#REF!,"AAAAAB21/yI=")</f>
        <v>#REF!</v>
      </c>
      <c r="AJ17" t="e">
        <f>AND(Bills!#REF!,"AAAAAB21/yM=")</f>
        <v>#REF!</v>
      </c>
      <c r="AK17" t="e">
        <f>AND(Bills!#REF!,"AAAAAB21/yQ=")</f>
        <v>#REF!</v>
      </c>
      <c r="AL17" t="e">
        <f>AND(Bills!#REF!,"AAAAAB21/yU=")</f>
        <v>#REF!</v>
      </c>
      <c r="AM17" t="e">
        <f>AND(Bills!#REF!,"AAAAAB21/yY=")</f>
        <v>#REF!</v>
      </c>
      <c r="AN17" t="e">
        <f>AND(Bills!#REF!,"AAAAAB21/yc=")</f>
        <v>#REF!</v>
      </c>
      <c r="AO17" t="e">
        <f>AND(Bills!#REF!,"AAAAAB21/yg=")</f>
        <v>#REF!</v>
      </c>
      <c r="AP17" t="e">
        <f>AND(Bills!#REF!,"AAAAAB21/yk=")</f>
        <v>#REF!</v>
      </c>
      <c r="AQ17" t="e">
        <f>AND(Bills!#REF!,"AAAAAB21/yo=")</f>
        <v>#REF!</v>
      </c>
      <c r="AR17" t="e">
        <f>AND(Bills!#REF!,"AAAAAB21/ys=")</f>
        <v>#REF!</v>
      </c>
      <c r="AS17" t="e">
        <f>AND(Bills!#REF!,"AAAAAB21/yw=")</f>
        <v>#REF!</v>
      </c>
      <c r="AT17" t="e">
        <f>AND(Bills!#REF!,"AAAAAB21/y0=")</f>
        <v>#REF!</v>
      </c>
      <c r="AU17" t="e">
        <f>AND(Bills!#REF!,"AAAAAB21/y4=")</f>
        <v>#REF!</v>
      </c>
      <c r="AV17" t="e">
        <f>AND(Bills!#REF!,"AAAAAB21/y8=")</f>
        <v>#REF!</v>
      </c>
      <c r="AW17" t="e">
        <f>AND(Bills!#REF!,"AAAAAB21/zA=")</f>
        <v>#REF!</v>
      </c>
      <c r="AX17" t="e">
        <f>AND(Bills!#REF!,"AAAAAB21/zE=")</f>
        <v>#REF!</v>
      </c>
      <c r="AY17" t="e">
        <f>AND(Bills!#REF!,"AAAAAB21/zI=")</f>
        <v>#REF!</v>
      </c>
      <c r="AZ17" t="e">
        <f>AND(Bills!#REF!,"AAAAAB21/zM=")</f>
        <v>#REF!</v>
      </c>
      <c r="BA17" t="e">
        <f>AND(Bills!#REF!,"AAAAAB21/zQ=")</f>
        <v>#REF!</v>
      </c>
      <c r="BB17" t="e">
        <f>AND(Bills!#REF!,"AAAAAB21/zU=")</f>
        <v>#REF!</v>
      </c>
      <c r="BC17" t="e">
        <f>AND(Bills!#REF!,"AAAAAB21/zY=")</f>
        <v>#REF!</v>
      </c>
      <c r="BD17" t="e">
        <f>AND(Bills!#REF!,"AAAAAB21/zc=")</f>
        <v>#REF!</v>
      </c>
      <c r="BE17" t="e">
        <f>AND(Bills!#REF!,"AAAAAB21/zg=")</f>
        <v>#REF!</v>
      </c>
      <c r="BF17" t="e">
        <f>AND(Bills!#REF!,"AAAAAB21/zk=")</f>
        <v>#REF!</v>
      </c>
      <c r="BG17" t="e">
        <f>AND(Bills!#REF!,"AAAAAB21/zo=")</f>
        <v>#REF!</v>
      </c>
      <c r="BH17" t="e">
        <f>AND(Bills!#REF!,"AAAAAB21/zs=")</f>
        <v>#REF!</v>
      </c>
      <c r="BI17" t="e">
        <f>AND(Bills!#REF!,"AAAAAB21/zw=")</f>
        <v>#REF!</v>
      </c>
      <c r="BJ17" t="e">
        <f>AND(Bills!#REF!,"AAAAAB21/z0=")</f>
        <v>#REF!</v>
      </c>
      <c r="BK17" t="e">
        <f>AND(Bills!#REF!,"AAAAAB21/z4=")</f>
        <v>#REF!</v>
      </c>
      <c r="BL17" t="e">
        <f>AND(Bills!#REF!,"AAAAAB21/z8=")</f>
        <v>#REF!</v>
      </c>
      <c r="BM17" t="e">
        <f>AND(Bills!#REF!,"AAAAAB21/0A=")</f>
        <v>#REF!</v>
      </c>
      <c r="BN17" t="e">
        <f>AND(Bills!#REF!,"AAAAAB21/0E=")</f>
        <v>#REF!</v>
      </c>
      <c r="BO17" t="e">
        <f>AND(Bills!#REF!,"AAAAAB21/0I=")</f>
        <v>#REF!</v>
      </c>
      <c r="BP17" t="e">
        <f>AND(Bills!#REF!,"AAAAAB21/0M=")</f>
        <v>#REF!</v>
      </c>
      <c r="BQ17" t="e">
        <f>AND(Bills!#REF!,"AAAAAB21/0Q=")</f>
        <v>#REF!</v>
      </c>
      <c r="BR17" t="e">
        <f>AND(Bills!#REF!,"AAAAAB21/0U=")</f>
        <v>#REF!</v>
      </c>
      <c r="BS17" t="e">
        <f>AND(Bills!#REF!,"AAAAAB21/0Y=")</f>
        <v>#REF!</v>
      </c>
      <c r="BT17" t="e">
        <f>AND(Bills!#REF!,"AAAAAB21/0c=")</f>
        <v>#REF!</v>
      </c>
      <c r="BU17" t="e">
        <f>AND(Bills!#REF!,"AAAAAB21/0g=")</f>
        <v>#REF!</v>
      </c>
      <c r="BV17" t="e">
        <f>AND(Bills!#REF!,"AAAAAB21/0k=")</f>
        <v>#REF!</v>
      </c>
      <c r="BW17" t="e">
        <f>IF(Bills!#REF!,"AAAAAB21/0o=",0)</f>
        <v>#REF!</v>
      </c>
      <c r="BX17" t="e">
        <f>AND(Bills!#REF!,"AAAAAB21/0s=")</f>
        <v>#REF!</v>
      </c>
      <c r="BY17" t="e">
        <f>AND(Bills!#REF!,"AAAAAB21/0w=")</f>
        <v>#REF!</v>
      </c>
      <c r="BZ17" t="e">
        <f>AND(Bills!#REF!,"AAAAAB21/00=")</f>
        <v>#REF!</v>
      </c>
      <c r="CA17" t="e">
        <f>AND(Bills!#REF!,"AAAAAB21/04=")</f>
        <v>#REF!</v>
      </c>
      <c r="CB17" t="e">
        <f>AND(Bills!#REF!,"AAAAAB21/08=")</f>
        <v>#REF!</v>
      </c>
      <c r="CC17" t="e">
        <f>AND(Bills!#REF!,"AAAAAB21/1A=")</f>
        <v>#REF!</v>
      </c>
      <c r="CD17" t="e">
        <f>AND(Bills!#REF!,"AAAAAB21/1E=")</f>
        <v>#REF!</v>
      </c>
      <c r="CE17" t="e">
        <f>AND(Bills!#REF!,"AAAAAB21/1I=")</f>
        <v>#REF!</v>
      </c>
      <c r="CF17" t="e">
        <f>AND(Bills!#REF!,"AAAAAB21/1M=")</f>
        <v>#REF!</v>
      </c>
      <c r="CG17" t="e">
        <f>AND(Bills!#REF!,"AAAAAB21/1Q=")</f>
        <v>#REF!</v>
      </c>
      <c r="CH17" t="e">
        <f>AND(Bills!#REF!,"AAAAAB21/1U=")</f>
        <v>#REF!</v>
      </c>
      <c r="CI17" t="e">
        <f>AND(Bills!#REF!,"AAAAAB21/1Y=")</f>
        <v>#REF!</v>
      </c>
      <c r="CJ17" t="e">
        <f>AND(Bills!#REF!,"AAAAAB21/1c=")</f>
        <v>#REF!</v>
      </c>
      <c r="CK17" t="e">
        <f>AND(Bills!#REF!,"AAAAAB21/1g=")</f>
        <v>#REF!</v>
      </c>
      <c r="CL17" t="e">
        <f>AND(Bills!#REF!,"AAAAAB21/1k=")</f>
        <v>#REF!</v>
      </c>
      <c r="CM17" t="e">
        <f>AND(Bills!#REF!,"AAAAAB21/1o=")</f>
        <v>#REF!</v>
      </c>
      <c r="CN17" t="e">
        <f>AND(Bills!#REF!,"AAAAAB21/1s=")</f>
        <v>#REF!</v>
      </c>
      <c r="CO17" t="e">
        <f>AND(Bills!#REF!,"AAAAAB21/1w=")</f>
        <v>#REF!</v>
      </c>
      <c r="CP17" t="e">
        <f>AND(Bills!#REF!,"AAAAAB21/10=")</f>
        <v>#REF!</v>
      </c>
      <c r="CQ17" t="e">
        <f>AND(Bills!#REF!,"AAAAAB21/14=")</f>
        <v>#REF!</v>
      </c>
      <c r="CR17" t="e">
        <f>AND(Bills!#REF!,"AAAAAB21/18=")</f>
        <v>#REF!</v>
      </c>
      <c r="CS17" t="e">
        <f>AND(Bills!#REF!,"AAAAAB21/2A=")</f>
        <v>#REF!</v>
      </c>
      <c r="CT17" t="e">
        <f>AND(Bills!#REF!,"AAAAAB21/2E=")</f>
        <v>#REF!</v>
      </c>
      <c r="CU17" t="e">
        <f>AND(Bills!#REF!,"AAAAAB21/2I=")</f>
        <v>#REF!</v>
      </c>
      <c r="CV17" t="e">
        <f>AND(Bills!#REF!,"AAAAAB21/2M=")</f>
        <v>#REF!</v>
      </c>
      <c r="CW17" t="e">
        <f>AND(Bills!#REF!,"AAAAAB21/2Q=")</f>
        <v>#REF!</v>
      </c>
      <c r="CX17" t="e">
        <f>AND(Bills!#REF!,"AAAAAB21/2U=")</f>
        <v>#REF!</v>
      </c>
      <c r="CY17" t="e">
        <f>AND(Bills!#REF!,"AAAAAB21/2Y=")</f>
        <v>#REF!</v>
      </c>
      <c r="CZ17" t="e">
        <f>AND(Bills!#REF!,"AAAAAB21/2c=")</f>
        <v>#REF!</v>
      </c>
      <c r="DA17" t="e">
        <f>AND(Bills!#REF!,"AAAAAB21/2g=")</f>
        <v>#REF!</v>
      </c>
      <c r="DB17" t="e">
        <f>AND(Bills!#REF!,"AAAAAB21/2k=")</f>
        <v>#REF!</v>
      </c>
      <c r="DC17" t="e">
        <f>AND(Bills!#REF!,"AAAAAB21/2o=")</f>
        <v>#REF!</v>
      </c>
      <c r="DD17" t="e">
        <f>AND(Bills!#REF!,"AAAAAB21/2s=")</f>
        <v>#REF!</v>
      </c>
      <c r="DE17" t="e">
        <f>AND(Bills!#REF!,"AAAAAB21/2w=")</f>
        <v>#REF!</v>
      </c>
      <c r="DF17" t="e">
        <f>AND(Bills!#REF!,"AAAAAB21/20=")</f>
        <v>#REF!</v>
      </c>
      <c r="DG17" t="e">
        <f>AND(Bills!#REF!,"AAAAAB21/24=")</f>
        <v>#REF!</v>
      </c>
      <c r="DH17" t="e">
        <f>AND(Bills!#REF!,"AAAAAB21/28=")</f>
        <v>#REF!</v>
      </c>
      <c r="DI17" t="e">
        <f>AND(Bills!#REF!,"AAAAAB21/3A=")</f>
        <v>#REF!</v>
      </c>
      <c r="DJ17" t="e">
        <f>AND(Bills!#REF!,"AAAAAB21/3E=")</f>
        <v>#REF!</v>
      </c>
      <c r="DK17" t="e">
        <f>AND(Bills!#REF!,"AAAAAB21/3I=")</f>
        <v>#REF!</v>
      </c>
      <c r="DL17" t="e">
        <f>AND(Bills!#REF!,"AAAAAB21/3M=")</f>
        <v>#REF!</v>
      </c>
      <c r="DM17" t="e">
        <f>AND(Bills!#REF!,"AAAAAB21/3Q=")</f>
        <v>#REF!</v>
      </c>
      <c r="DN17" t="e">
        <f>AND(Bills!#REF!,"AAAAAB21/3U=")</f>
        <v>#REF!</v>
      </c>
      <c r="DO17" t="e">
        <f>AND(Bills!#REF!,"AAAAAB21/3Y=")</f>
        <v>#REF!</v>
      </c>
      <c r="DP17" t="e">
        <f>AND(Bills!#REF!,"AAAAAB21/3c=")</f>
        <v>#REF!</v>
      </c>
      <c r="DQ17" t="e">
        <f>AND(Bills!#REF!,"AAAAAB21/3g=")</f>
        <v>#REF!</v>
      </c>
      <c r="DR17" t="e">
        <f>AND(Bills!#REF!,"AAAAAB21/3k=")</f>
        <v>#REF!</v>
      </c>
      <c r="DS17" t="e">
        <f>AND(Bills!#REF!,"AAAAAB21/3o=")</f>
        <v>#REF!</v>
      </c>
      <c r="DT17" t="e">
        <f>AND(Bills!#REF!,"AAAAAB21/3s=")</f>
        <v>#REF!</v>
      </c>
      <c r="DU17" t="e">
        <f>AND(Bills!#REF!,"AAAAAB21/3w=")</f>
        <v>#REF!</v>
      </c>
      <c r="DV17" t="e">
        <f>IF(Bills!#REF!,"AAAAAB21/30=",0)</f>
        <v>#REF!</v>
      </c>
      <c r="DW17" t="e">
        <f>AND(Bills!#REF!,"AAAAAB21/34=")</f>
        <v>#REF!</v>
      </c>
      <c r="DX17" t="e">
        <f>AND(Bills!#REF!,"AAAAAB21/38=")</f>
        <v>#REF!</v>
      </c>
      <c r="DY17" t="e">
        <f>AND(Bills!#REF!,"AAAAAB21/4A=")</f>
        <v>#REF!</v>
      </c>
      <c r="DZ17" t="e">
        <f>AND(Bills!#REF!,"AAAAAB21/4E=")</f>
        <v>#REF!</v>
      </c>
      <c r="EA17" t="e">
        <f>AND(Bills!#REF!,"AAAAAB21/4I=")</f>
        <v>#REF!</v>
      </c>
      <c r="EB17" t="e">
        <f>AND(Bills!#REF!,"AAAAAB21/4M=")</f>
        <v>#REF!</v>
      </c>
      <c r="EC17" t="e">
        <f>AND(Bills!#REF!,"AAAAAB21/4Q=")</f>
        <v>#REF!</v>
      </c>
      <c r="ED17" t="e">
        <f>AND(Bills!#REF!,"AAAAAB21/4U=")</f>
        <v>#REF!</v>
      </c>
      <c r="EE17" t="e">
        <f>AND(Bills!#REF!,"AAAAAB21/4Y=")</f>
        <v>#REF!</v>
      </c>
      <c r="EF17" t="e">
        <f>AND(Bills!#REF!,"AAAAAB21/4c=")</f>
        <v>#REF!</v>
      </c>
      <c r="EG17" t="e">
        <f>AND(Bills!#REF!,"AAAAAB21/4g=")</f>
        <v>#REF!</v>
      </c>
      <c r="EH17" t="e">
        <f>AND(Bills!#REF!,"AAAAAB21/4k=")</f>
        <v>#REF!</v>
      </c>
      <c r="EI17" t="e">
        <f>AND(Bills!#REF!,"AAAAAB21/4o=")</f>
        <v>#REF!</v>
      </c>
      <c r="EJ17" t="e">
        <f>AND(Bills!#REF!,"AAAAAB21/4s=")</f>
        <v>#REF!</v>
      </c>
      <c r="EK17" t="e">
        <f>AND(Bills!#REF!,"AAAAAB21/4w=")</f>
        <v>#REF!</v>
      </c>
      <c r="EL17" t="e">
        <f>AND(Bills!#REF!,"AAAAAB21/40=")</f>
        <v>#REF!</v>
      </c>
      <c r="EM17" t="e">
        <f>AND(Bills!#REF!,"AAAAAB21/44=")</f>
        <v>#REF!</v>
      </c>
      <c r="EN17" t="e">
        <f>AND(Bills!#REF!,"AAAAAB21/48=")</f>
        <v>#REF!</v>
      </c>
      <c r="EO17" t="e">
        <f>AND(Bills!#REF!,"AAAAAB21/5A=")</f>
        <v>#REF!</v>
      </c>
      <c r="EP17" t="e">
        <f>AND(Bills!#REF!,"AAAAAB21/5E=")</f>
        <v>#REF!</v>
      </c>
      <c r="EQ17" t="e">
        <f>AND(Bills!#REF!,"AAAAAB21/5I=")</f>
        <v>#REF!</v>
      </c>
      <c r="ER17" t="e">
        <f>AND(Bills!#REF!,"AAAAAB21/5M=")</f>
        <v>#REF!</v>
      </c>
      <c r="ES17" t="e">
        <f>AND(Bills!#REF!,"AAAAAB21/5Q=")</f>
        <v>#REF!</v>
      </c>
      <c r="ET17" t="e">
        <f>AND(Bills!#REF!,"AAAAAB21/5U=")</f>
        <v>#REF!</v>
      </c>
      <c r="EU17" t="e">
        <f>AND(Bills!#REF!,"AAAAAB21/5Y=")</f>
        <v>#REF!</v>
      </c>
      <c r="EV17" t="e">
        <f>AND(Bills!#REF!,"AAAAAB21/5c=")</f>
        <v>#REF!</v>
      </c>
      <c r="EW17" t="e">
        <f>AND(Bills!#REF!,"AAAAAB21/5g=")</f>
        <v>#REF!</v>
      </c>
      <c r="EX17" t="e">
        <f>AND(Bills!#REF!,"AAAAAB21/5k=")</f>
        <v>#REF!</v>
      </c>
      <c r="EY17" t="e">
        <f>AND(Bills!#REF!,"AAAAAB21/5o=")</f>
        <v>#REF!</v>
      </c>
      <c r="EZ17" t="e">
        <f>AND(Bills!#REF!,"AAAAAB21/5s=")</f>
        <v>#REF!</v>
      </c>
      <c r="FA17" t="e">
        <f>AND(Bills!#REF!,"AAAAAB21/5w=")</f>
        <v>#REF!</v>
      </c>
      <c r="FB17" t="e">
        <f>AND(Bills!#REF!,"AAAAAB21/50=")</f>
        <v>#REF!</v>
      </c>
      <c r="FC17" t="e">
        <f>AND(Bills!#REF!,"AAAAAB21/54=")</f>
        <v>#REF!</v>
      </c>
      <c r="FD17" t="e">
        <f>AND(Bills!#REF!,"AAAAAB21/58=")</f>
        <v>#REF!</v>
      </c>
      <c r="FE17" t="e">
        <f>AND(Bills!#REF!,"AAAAAB21/6A=")</f>
        <v>#REF!</v>
      </c>
      <c r="FF17" t="e">
        <f>AND(Bills!#REF!,"AAAAAB21/6E=")</f>
        <v>#REF!</v>
      </c>
      <c r="FG17" t="e">
        <f>AND(Bills!#REF!,"AAAAAB21/6I=")</f>
        <v>#REF!</v>
      </c>
      <c r="FH17" t="e">
        <f>AND(Bills!#REF!,"AAAAAB21/6M=")</f>
        <v>#REF!</v>
      </c>
      <c r="FI17" t="e">
        <f>AND(Bills!#REF!,"AAAAAB21/6Q=")</f>
        <v>#REF!</v>
      </c>
      <c r="FJ17" t="e">
        <f>AND(Bills!#REF!,"AAAAAB21/6U=")</f>
        <v>#REF!</v>
      </c>
      <c r="FK17" t="e">
        <f>AND(Bills!#REF!,"AAAAAB21/6Y=")</f>
        <v>#REF!</v>
      </c>
      <c r="FL17" t="e">
        <f>AND(Bills!#REF!,"AAAAAB21/6c=")</f>
        <v>#REF!</v>
      </c>
      <c r="FM17" t="e">
        <f>AND(Bills!#REF!,"AAAAAB21/6g=")</f>
        <v>#REF!</v>
      </c>
      <c r="FN17" t="e">
        <f>AND(Bills!#REF!,"AAAAAB21/6k=")</f>
        <v>#REF!</v>
      </c>
      <c r="FO17" t="e">
        <f>AND(Bills!#REF!,"AAAAAB21/6o=")</f>
        <v>#REF!</v>
      </c>
      <c r="FP17" t="e">
        <f>AND(Bills!#REF!,"AAAAAB21/6s=")</f>
        <v>#REF!</v>
      </c>
      <c r="FQ17" t="e">
        <f>AND(Bills!#REF!,"AAAAAB21/6w=")</f>
        <v>#REF!</v>
      </c>
      <c r="FR17" t="e">
        <f>AND(Bills!#REF!,"AAAAAB21/60=")</f>
        <v>#REF!</v>
      </c>
      <c r="FS17" t="e">
        <f>AND(Bills!#REF!,"AAAAAB21/64=")</f>
        <v>#REF!</v>
      </c>
      <c r="FT17" t="e">
        <f>AND(Bills!#REF!,"AAAAAB21/68=")</f>
        <v>#REF!</v>
      </c>
      <c r="FU17" t="e">
        <f>IF(Bills!#REF!,"AAAAAB21/7A=",0)</f>
        <v>#REF!</v>
      </c>
      <c r="FV17" t="e">
        <f>AND(Bills!#REF!,"AAAAAB21/7E=")</f>
        <v>#REF!</v>
      </c>
      <c r="FW17" t="e">
        <f>AND(Bills!#REF!,"AAAAAB21/7I=")</f>
        <v>#REF!</v>
      </c>
      <c r="FX17" t="e">
        <f>AND(Bills!#REF!,"AAAAAB21/7M=")</f>
        <v>#REF!</v>
      </c>
      <c r="FY17" t="e">
        <f>AND(Bills!#REF!,"AAAAAB21/7Q=")</f>
        <v>#REF!</v>
      </c>
      <c r="FZ17" t="e">
        <f>AND(Bills!#REF!,"AAAAAB21/7U=")</f>
        <v>#REF!</v>
      </c>
      <c r="GA17" t="e">
        <f>AND(Bills!#REF!,"AAAAAB21/7Y=")</f>
        <v>#REF!</v>
      </c>
      <c r="GB17" t="e">
        <f>AND(Bills!#REF!,"AAAAAB21/7c=")</f>
        <v>#REF!</v>
      </c>
      <c r="GC17" t="e">
        <f>AND(Bills!#REF!,"AAAAAB21/7g=")</f>
        <v>#REF!</v>
      </c>
      <c r="GD17" t="e">
        <f>AND(Bills!#REF!,"AAAAAB21/7k=")</f>
        <v>#REF!</v>
      </c>
      <c r="GE17" t="e">
        <f>AND(Bills!#REF!,"AAAAAB21/7o=")</f>
        <v>#REF!</v>
      </c>
      <c r="GF17" t="e">
        <f>AND(Bills!#REF!,"AAAAAB21/7s=")</f>
        <v>#REF!</v>
      </c>
      <c r="GG17" t="e">
        <f>AND(Bills!#REF!,"AAAAAB21/7w=")</f>
        <v>#REF!</v>
      </c>
      <c r="GH17" t="e">
        <f>AND(Bills!#REF!,"AAAAAB21/70=")</f>
        <v>#REF!</v>
      </c>
      <c r="GI17" t="e">
        <f>AND(Bills!#REF!,"AAAAAB21/74=")</f>
        <v>#REF!</v>
      </c>
      <c r="GJ17" t="e">
        <f>AND(Bills!#REF!,"AAAAAB21/78=")</f>
        <v>#REF!</v>
      </c>
      <c r="GK17" t="e">
        <f>AND(Bills!#REF!,"AAAAAB21/8A=")</f>
        <v>#REF!</v>
      </c>
      <c r="GL17" t="e">
        <f>AND(Bills!#REF!,"AAAAAB21/8E=")</f>
        <v>#REF!</v>
      </c>
      <c r="GM17" t="e">
        <f>AND(Bills!#REF!,"AAAAAB21/8I=")</f>
        <v>#REF!</v>
      </c>
      <c r="GN17" t="e">
        <f>AND(Bills!#REF!,"AAAAAB21/8M=")</f>
        <v>#REF!</v>
      </c>
      <c r="GO17" t="e">
        <f>AND(Bills!#REF!,"AAAAAB21/8Q=")</f>
        <v>#REF!</v>
      </c>
      <c r="GP17" t="e">
        <f>AND(Bills!#REF!,"AAAAAB21/8U=")</f>
        <v>#REF!</v>
      </c>
      <c r="GQ17" t="e">
        <f>AND(Bills!#REF!,"AAAAAB21/8Y=")</f>
        <v>#REF!</v>
      </c>
      <c r="GR17" t="e">
        <f>AND(Bills!#REF!,"AAAAAB21/8c=")</f>
        <v>#REF!</v>
      </c>
      <c r="GS17" t="e">
        <f>AND(Bills!#REF!,"AAAAAB21/8g=")</f>
        <v>#REF!</v>
      </c>
      <c r="GT17" t="e">
        <f>AND(Bills!#REF!,"AAAAAB21/8k=")</f>
        <v>#REF!</v>
      </c>
      <c r="GU17" t="e">
        <f>AND(Bills!#REF!,"AAAAAB21/8o=")</f>
        <v>#REF!</v>
      </c>
      <c r="GV17" t="e">
        <f>AND(Bills!#REF!,"AAAAAB21/8s=")</f>
        <v>#REF!</v>
      </c>
      <c r="GW17" t="e">
        <f>AND(Bills!#REF!,"AAAAAB21/8w=")</f>
        <v>#REF!</v>
      </c>
      <c r="GX17" t="e">
        <f>AND(Bills!#REF!,"AAAAAB21/80=")</f>
        <v>#REF!</v>
      </c>
      <c r="GY17" t="e">
        <f>AND(Bills!#REF!,"AAAAAB21/84=")</f>
        <v>#REF!</v>
      </c>
      <c r="GZ17" t="e">
        <f>AND(Bills!#REF!,"AAAAAB21/88=")</f>
        <v>#REF!</v>
      </c>
      <c r="HA17" t="e">
        <f>AND(Bills!#REF!,"AAAAAB21/9A=")</f>
        <v>#REF!</v>
      </c>
      <c r="HB17" t="e">
        <f>AND(Bills!#REF!,"AAAAAB21/9E=")</f>
        <v>#REF!</v>
      </c>
      <c r="HC17" t="e">
        <f>AND(Bills!#REF!,"AAAAAB21/9I=")</f>
        <v>#REF!</v>
      </c>
      <c r="HD17" t="e">
        <f>AND(Bills!#REF!,"AAAAAB21/9M=")</f>
        <v>#REF!</v>
      </c>
      <c r="HE17" t="e">
        <f>AND(Bills!#REF!,"AAAAAB21/9Q=")</f>
        <v>#REF!</v>
      </c>
      <c r="HF17" t="e">
        <f>AND(Bills!#REF!,"AAAAAB21/9U=")</f>
        <v>#REF!</v>
      </c>
      <c r="HG17" t="e">
        <f>AND(Bills!#REF!,"AAAAAB21/9Y=")</f>
        <v>#REF!</v>
      </c>
      <c r="HH17" t="e">
        <f>AND(Bills!#REF!,"AAAAAB21/9c=")</f>
        <v>#REF!</v>
      </c>
      <c r="HI17" t="e">
        <f>AND(Bills!#REF!,"AAAAAB21/9g=")</f>
        <v>#REF!</v>
      </c>
      <c r="HJ17" t="e">
        <f>AND(Bills!#REF!,"AAAAAB21/9k=")</f>
        <v>#REF!</v>
      </c>
      <c r="HK17" t="e">
        <f>AND(Bills!#REF!,"AAAAAB21/9o=")</f>
        <v>#REF!</v>
      </c>
      <c r="HL17" t="e">
        <f>AND(Bills!#REF!,"AAAAAB21/9s=")</f>
        <v>#REF!</v>
      </c>
      <c r="HM17" t="e">
        <f>AND(Bills!#REF!,"AAAAAB21/9w=")</f>
        <v>#REF!</v>
      </c>
      <c r="HN17" t="e">
        <f>AND(Bills!#REF!,"AAAAAB21/90=")</f>
        <v>#REF!</v>
      </c>
      <c r="HO17" t="e">
        <f>AND(Bills!#REF!,"AAAAAB21/94=")</f>
        <v>#REF!</v>
      </c>
      <c r="HP17" t="e">
        <f>AND(Bills!#REF!,"AAAAAB21/98=")</f>
        <v>#REF!</v>
      </c>
      <c r="HQ17" t="e">
        <f>AND(Bills!#REF!,"AAAAAB21/+A=")</f>
        <v>#REF!</v>
      </c>
      <c r="HR17" t="e">
        <f>AND(Bills!#REF!,"AAAAAB21/+E=")</f>
        <v>#REF!</v>
      </c>
      <c r="HS17" t="e">
        <f>AND(Bills!#REF!,"AAAAAB21/+I=")</f>
        <v>#REF!</v>
      </c>
      <c r="HT17" t="e">
        <f>IF(Bills!#REF!,"AAAAAB21/+M=",0)</f>
        <v>#REF!</v>
      </c>
      <c r="HU17" t="e">
        <f>AND(Bills!#REF!,"AAAAAB21/+Q=")</f>
        <v>#REF!</v>
      </c>
      <c r="HV17" t="e">
        <f>AND(Bills!#REF!,"AAAAAB21/+U=")</f>
        <v>#REF!</v>
      </c>
      <c r="HW17" t="e">
        <f>AND(Bills!#REF!,"AAAAAB21/+Y=")</f>
        <v>#REF!</v>
      </c>
      <c r="HX17" t="e">
        <f>AND(Bills!#REF!,"AAAAAB21/+c=")</f>
        <v>#REF!</v>
      </c>
      <c r="HY17" t="e">
        <f>AND(Bills!#REF!,"AAAAAB21/+g=")</f>
        <v>#REF!</v>
      </c>
      <c r="HZ17" t="e">
        <f>AND(Bills!#REF!,"AAAAAB21/+k=")</f>
        <v>#REF!</v>
      </c>
      <c r="IA17" t="e">
        <f>AND(Bills!#REF!,"AAAAAB21/+o=")</f>
        <v>#REF!</v>
      </c>
      <c r="IB17" t="e">
        <f>AND(Bills!#REF!,"AAAAAB21/+s=")</f>
        <v>#REF!</v>
      </c>
      <c r="IC17" t="e">
        <f>AND(Bills!#REF!,"AAAAAB21/+w=")</f>
        <v>#REF!</v>
      </c>
      <c r="ID17" t="e">
        <f>AND(Bills!#REF!,"AAAAAB21/+0=")</f>
        <v>#REF!</v>
      </c>
      <c r="IE17" t="e">
        <f>AND(Bills!#REF!,"AAAAAB21/+4=")</f>
        <v>#REF!</v>
      </c>
      <c r="IF17" t="e">
        <f>AND(Bills!#REF!,"AAAAAB21/+8=")</f>
        <v>#REF!</v>
      </c>
      <c r="IG17" t="e">
        <f>AND(Bills!#REF!,"AAAAAB21//A=")</f>
        <v>#REF!</v>
      </c>
      <c r="IH17" t="e">
        <f>AND(Bills!#REF!,"AAAAAB21//E=")</f>
        <v>#REF!</v>
      </c>
      <c r="II17" t="e">
        <f>AND(Bills!#REF!,"AAAAAB21//I=")</f>
        <v>#REF!</v>
      </c>
      <c r="IJ17" t="e">
        <f>AND(Bills!#REF!,"AAAAAB21//M=")</f>
        <v>#REF!</v>
      </c>
      <c r="IK17" t="e">
        <f>AND(Bills!#REF!,"AAAAAB21//Q=")</f>
        <v>#REF!</v>
      </c>
      <c r="IL17" t="e">
        <f>AND(Bills!#REF!,"AAAAAB21//U=")</f>
        <v>#REF!</v>
      </c>
      <c r="IM17" t="e">
        <f>AND(Bills!#REF!,"AAAAAB21//Y=")</f>
        <v>#REF!</v>
      </c>
      <c r="IN17" t="e">
        <f>AND(Bills!#REF!,"AAAAAB21//c=")</f>
        <v>#REF!</v>
      </c>
      <c r="IO17" t="e">
        <f>AND(Bills!#REF!,"AAAAAB21//g=")</f>
        <v>#REF!</v>
      </c>
      <c r="IP17" t="e">
        <f>AND(Bills!#REF!,"AAAAAB21//k=")</f>
        <v>#REF!</v>
      </c>
      <c r="IQ17" t="e">
        <f>AND(Bills!#REF!,"AAAAAB21//o=")</f>
        <v>#REF!</v>
      </c>
      <c r="IR17" t="e">
        <f>AND(Bills!#REF!,"AAAAAB21//s=")</f>
        <v>#REF!</v>
      </c>
      <c r="IS17" t="e">
        <f>AND(Bills!#REF!,"AAAAAB21//w=")</f>
        <v>#REF!</v>
      </c>
      <c r="IT17" t="e">
        <f>AND(Bills!#REF!,"AAAAAB21//0=")</f>
        <v>#REF!</v>
      </c>
      <c r="IU17" t="e">
        <f>AND(Bills!#REF!,"AAAAAB21//4=")</f>
        <v>#REF!</v>
      </c>
      <c r="IV17" t="e">
        <f>AND(Bills!#REF!,"AAAAAB21//8=")</f>
        <v>#REF!</v>
      </c>
    </row>
    <row r="18" spans="1:256">
      <c r="A18" t="e">
        <f>AND(Bills!#REF!,"AAAAAD4rFwA=")</f>
        <v>#REF!</v>
      </c>
      <c r="B18" t="e">
        <f>AND(Bills!#REF!,"AAAAAD4rFwE=")</f>
        <v>#REF!</v>
      </c>
      <c r="C18" t="e">
        <f>AND(Bills!#REF!,"AAAAAD4rFwI=")</f>
        <v>#REF!</v>
      </c>
      <c r="D18" t="e">
        <f>AND(Bills!#REF!,"AAAAAD4rFwM=")</f>
        <v>#REF!</v>
      </c>
      <c r="E18" t="e">
        <f>AND(Bills!#REF!,"AAAAAD4rFwQ=")</f>
        <v>#REF!</v>
      </c>
      <c r="F18" t="e">
        <f>AND(Bills!#REF!,"AAAAAD4rFwU=")</f>
        <v>#REF!</v>
      </c>
      <c r="G18" t="e">
        <f>AND(Bills!#REF!,"AAAAAD4rFwY=")</f>
        <v>#REF!</v>
      </c>
      <c r="H18" t="e">
        <f>AND(Bills!#REF!,"AAAAAD4rFwc=")</f>
        <v>#REF!</v>
      </c>
      <c r="I18" t="e">
        <f>AND(Bills!#REF!,"AAAAAD4rFwg=")</f>
        <v>#REF!</v>
      </c>
      <c r="J18" t="e">
        <f>AND(Bills!#REF!,"AAAAAD4rFwk=")</f>
        <v>#REF!</v>
      </c>
      <c r="K18" t="e">
        <f>AND(Bills!#REF!,"AAAAAD4rFwo=")</f>
        <v>#REF!</v>
      </c>
      <c r="L18" t="e">
        <f>AND(Bills!#REF!,"AAAAAD4rFws=")</f>
        <v>#REF!</v>
      </c>
      <c r="M18" t="e">
        <f>AND(Bills!#REF!,"AAAAAD4rFww=")</f>
        <v>#REF!</v>
      </c>
      <c r="N18" t="e">
        <f>AND(Bills!#REF!,"AAAAAD4rFw0=")</f>
        <v>#REF!</v>
      </c>
      <c r="O18" t="e">
        <f>AND(Bills!#REF!,"AAAAAD4rFw4=")</f>
        <v>#REF!</v>
      </c>
      <c r="P18" t="e">
        <f>AND(Bills!#REF!,"AAAAAD4rFw8=")</f>
        <v>#REF!</v>
      </c>
      <c r="Q18" t="e">
        <f>AND(Bills!#REF!,"AAAAAD4rFxA=")</f>
        <v>#REF!</v>
      </c>
      <c r="R18" t="e">
        <f>AND(Bills!#REF!,"AAAAAD4rFxE=")</f>
        <v>#REF!</v>
      </c>
      <c r="S18" t="e">
        <f>AND(Bills!#REF!,"AAAAAD4rFxI=")</f>
        <v>#REF!</v>
      </c>
      <c r="T18" t="e">
        <f>AND(Bills!#REF!,"AAAAAD4rFxM=")</f>
        <v>#REF!</v>
      </c>
      <c r="U18" t="e">
        <f>AND(Bills!#REF!,"AAAAAD4rFxQ=")</f>
        <v>#REF!</v>
      </c>
      <c r="V18" t="e">
        <f>AND(Bills!#REF!,"AAAAAD4rFxU=")</f>
        <v>#REF!</v>
      </c>
      <c r="W18">
        <f>IF(Bills!10:10,"AAAAAD4rFxY=",0)</f>
        <v>0</v>
      </c>
      <c r="X18" t="e">
        <f>AND(Bills!B10,"AAAAAD4rFxc=")</f>
        <v>#VALUE!</v>
      </c>
      <c r="Y18" t="e">
        <f>AND(Bills!#REF!,"AAAAAD4rFxg=")</f>
        <v>#REF!</v>
      </c>
      <c r="Z18" t="e">
        <f>AND(Bills!C10,"AAAAAD4rFxk=")</f>
        <v>#VALUE!</v>
      </c>
      <c r="AA18" t="e">
        <f>AND(Bills!#REF!,"AAAAAD4rFxo=")</f>
        <v>#REF!</v>
      </c>
      <c r="AB18" t="e">
        <f>AND(Bills!#REF!,"AAAAAD4rFxs=")</f>
        <v>#REF!</v>
      </c>
      <c r="AC18" t="e">
        <f>AND(Bills!#REF!,"AAAAAD4rFxw=")</f>
        <v>#REF!</v>
      </c>
      <c r="AD18" t="e">
        <f>AND(Bills!#REF!,"AAAAAD4rFx0=")</f>
        <v>#REF!</v>
      </c>
      <c r="AE18" t="e">
        <f>AND(Bills!#REF!,"AAAAAD4rFx4=")</f>
        <v>#REF!</v>
      </c>
      <c r="AF18" t="e">
        <f>AND(Bills!D10,"AAAAAD4rFx8=")</f>
        <v>#VALUE!</v>
      </c>
      <c r="AG18" t="e">
        <f>AND(Bills!#REF!,"AAAAAD4rFyA=")</f>
        <v>#REF!</v>
      </c>
      <c r="AH18" t="e">
        <f>AND(Bills!E10,"AAAAAD4rFyE=")</f>
        <v>#VALUE!</v>
      </c>
      <c r="AI18" t="e">
        <f>AND(Bills!F10,"AAAAAD4rFyI=")</f>
        <v>#VALUE!</v>
      </c>
      <c r="AJ18" t="e">
        <f>AND(Bills!G10,"AAAAAD4rFyM=")</f>
        <v>#VALUE!</v>
      </c>
      <c r="AK18" t="e">
        <f>AND(Bills!H10,"AAAAAD4rFyQ=")</f>
        <v>#VALUE!</v>
      </c>
      <c r="AL18" t="e">
        <f>AND(Bills!I10,"AAAAAD4rFyU=")</f>
        <v>#VALUE!</v>
      </c>
      <c r="AM18" t="e">
        <f>AND(Bills!J10,"AAAAAD4rFyY=")</f>
        <v>#VALUE!</v>
      </c>
      <c r="AN18" t="e">
        <f>AND(Bills!#REF!,"AAAAAD4rFyc=")</f>
        <v>#REF!</v>
      </c>
      <c r="AO18" t="e">
        <f>AND(Bills!K10,"AAAAAD4rFyg=")</f>
        <v>#VALUE!</v>
      </c>
      <c r="AP18" t="e">
        <f>AND(Bills!L10,"AAAAAD4rFyk=")</f>
        <v>#VALUE!</v>
      </c>
      <c r="AQ18" t="e">
        <f>AND(Bills!M10,"AAAAAD4rFyo=")</f>
        <v>#VALUE!</v>
      </c>
      <c r="AR18" t="e">
        <f>AND(Bills!N10,"AAAAAD4rFys=")</f>
        <v>#VALUE!</v>
      </c>
      <c r="AS18" t="e">
        <f>AND(Bills!O10,"AAAAAD4rFyw=")</f>
        <v>#VALUE!</v>
      </c>
      <c r="AT18" t="e">
        <f>AND(Bills!P10,"AAAAAD4rFy0=")</f>
        <v>#VALUE!</v>
      </c>
      <c r="AU18" t="e">
        <f>AND(Bills!Q10,"AAAAAD4rFy4=")</f>
        <v>#VALUE!</v>
      </c>
      <c r="AV18" t="e">
        <f>AND(Bills!R10,"AAAAAD4rFy8=")</f>
        <v>#VALUE!</v>
      </c>
      <c r="AW18" t="e">
        <f>AND(Bills!#REF!,"AAAAAD4rFzA=")</f>
        <v>#REF!</v>
      </c>
      <c r="AX18" t="e">
        <f>AND(Bills!S10,"AAAAAD4rFzE=")</f>
        <v>#VALUE!</v>
      </c>
      <c r="AY18" t="e">
        <f>AND(Bills!T10,"AAAAAD4rFzI=")</f>
        <v>#VALUE!</v>
      </c>
      <c r="AZ18" t="e">
        <f>AND(Bills!U10,"AAAAAD4rFzM=")</f>
        <v>#VALUE!</v>
      </c>
      <c r="BA18" t="e">
        <f>AND(Bills!#REF!,"AAAAAD4rFzQ=")</f>
        <v>#REF!</v>
      </c>
      <c r="BB18" t="e">
        <f>AND(Bills!#REF!,"AAAAAD4rFzU=")</f>
        <v>#REF!</v>
      </c>
      <c r="BC18" t="e">
        <f>AND(Bills!W10,"AAAAAD4rFzY=")</f>
        <v>#VALUE!</v>
      </c>
      <c r="BD18" t="e">
        <f>AND(Bills!X10,"AAAAAD4rFzc=")</f>
        <v>#VALUE!</v>
      </c>
      <c r="BE18" t="e">
        <f>AND(Bills!#REF!,"AAAAAD4rFzg=")</f>
        <v>#REF!</v>
      </c>
      <c r="BF18" t="e">
        <f>AND(Bills!#REF!,"AAAAAD4rFzk=")</f>
        <v>#REF!</v>
      </c>
      <c r="BG18" t="e">
        <f>AND(Bills!#REF!,"AAAAAD4rFzo=")</f>
        <v>#REF!</v>
      </c>
      <c r="BH18" t="e">
        <f>AND(Bills!#REF!,"AAAAAD4rFzs=")</f>
        <v>#REF!</v>
      </c>
      <c r="BI18" t="e">
        <f>AND(Bills!#REF!,"AAAAAD4rFzw=")</f>
        <v>#REF!</v>
      </c>
      <c r="BJ18" t="e">
        <f>AND(Bills!#REF!,"AAAAAD4rFz0=")</f>
        <v>#REF!</v>
      </c>
      <c r="BK18" t="e">
        <f>AND(Bills!#REF!,"AAAAAD4rFz4=")</f>
        <v>#REF!</v>
      </c>
      <c r="BL18" t="e">
        <f>AND(Bills!#REF!,"AAAAAD4rFz8=")</f>
        <v>#REF!</v>
      </c>
      <c r="BM18" t="e">
        <f>AND(Bills!#REF!,"AAAAAD4rF0A=")</f>
        <v>#REF!</v>
      </c>
      <c r="BN18" t="e">
        <f>AND(Bills!Y10,"AAAAAD4rF0E=")</f>
        <v>#VALUE!</v>
      </c>
      <c r="BO18" t="e">
        <f>AND(Bills!Z10,"AAAAAD4rF0I=")</f>
        <v>#VALUE!</v>
      </c>
      <c r="BP18" t="e">
        <f>AND(Bills!#REF!,"AAAAAD4rF0M=")</f>
        <v>#REF!</v>
      </c>
      <c r="BQ18" t="e">
        <f>AND(Bills!#REF!,"AAAAAD4rF0Q=")</f>
        <v>#REF!</v>
      </c>
      <c r="BR18" t="e">
        <f>AND(Bills!#REF!,"AAAAAD4rF0U=")</f>
        <v>#REF!</v>
      </c>
      <c r="BS18" t="e">
        <f>AND(Bills!AA10,"AAAAAD4rF0Y=")</f>
        <v>#VALUE!</v>
      </c>
      <c r="BT18" t="e">
        <f>AND(Bills!AB10,"AAAAAD4rF0c=")</f>
        <v>#VALUE!</v>
      </c>
      <c r="BU18" t="e">
        <f>AND(Bills!#REF!,"AAAAAD4rF0g=")</f>
        <v>#REF!</v>
      </c>
      <c r="BV18" t="e">
        <f>IF(Bills!#REF!,"AAAAAD4rF0k=",0)</f>
        <v>#REF!</v>
      </c>
      <c r="BW18" t="e">
        <f>AND(Bills!#REF!,"AAAAAD4rF0o=")</f>
        <v>#REF!</v>
      </c>
      <c r="BX18" t="e">
        <f>AND(Bills!#REF!,"AAAAAD4rF0s=")</f>
        <v>#REF!</v>
      </c>
      <c r="BY18" t="e">
        <f>AND(Bills!#REF!,"AAAAAD4rF0w=")</f>
        <v>#REF!</v>
      </c>
      <c r="BZ18" t="e">
        <f>AND(Bills!#REF!,"AAAAAD4rF00=")</f>
        <v>#REF!</v>
      </c>
      <c r="CA18" t="e">
        <f>AND(Bills!#REF!,"AAAAAD4rF04=")</f>
        <v>#REF!</v>
      </c>
      <c r="CB18" t="e">
        <f>AND(Bills!#REF!,"AAAAAD4rF08=")</f>
        <v>#REF!</v>
      </c>
      <c r="CC18" t="e">
        <f>AND(Bills!#REF!,"AAAAAD4rF1A=")</f>
        <v>#REF!</v>
      </c>
      <c r="CD18" t="e">
        <f>AND(Bills!#REF!,"AAAAAD4rF1E=")</f>
        <v>#REF!</v>
      </c>
      <c r="CE18" t="e">
        <f>AND(Bills!#REF!,"AAAAAD4rF1I=")</f>
        <v>#REF!</v>
      </c>
      <c r="CF18" t="e">
        <f>AND(Bills!#REF!,"AAAAAD4rF1M=")</f>
        <v>#REF!</v>
      </c>
      <c r="CG18" t="e">
        <f>AND(Bills!#REF!,"AAAAAD4rF1Q=")</f>
        <v>#REF!</v>
      </c>
      <c r="CH18" t="e">
        <f>AND(Bills!#REF!,"AAAAAD4rF1U=")</f>
        <v>#REF!</v>
      </c>
      <c r="CI18" t="e">
        <f>AND(Bills!#REF!,"AAAAAD4rF1Y=")</f>
        <v>#REF!</v>
      </c>
      <c r="CJ18" t="e">
        <f>AND(Bills!#REF!,"AAAAAD4rF1c=")</f>
        <v>#REF!</v>
      </c>
      <c r="CK18" t="e">
        <f>AND(Bills!#REF!,"AAAAAD4rF1g=")</f>
        <v>#REF!</v>
      </c>
      <c r="CL18" t="e">
        <f>AND(Bills!#REF!,"AAAAAD4rF1k=")</f>
        <v>#REF!</v>
      </c>
      <c r="CM18" t="e">
        <f>AND(Bills!#REF!,"AAAAAD4rF1o=")</f>
        <v>#REF!</v>
      </c>
      <c r="CN18" t="e">
        <f>AND(Bills!#REF!,"AAAAAD4rF1s=")</f>
        <v>#REF!</v>
      </c>
      <c r="CO18" t="e">
        <f>AND(Bills!#REF!,"AAAAAD4rF1w=")</f>
        <v>#REF!</v>
      </c>
      <c r="CP18" t="e">
        <f>AND(Bills!#REF!,"AAAAAD4rF10=")</f>
        <v>#REF!</v>
      </c>
      <c r="CQ18" t="e">
        <f>AND(Bills!#REF!,"AAAAAD4rF14=")</f>
        <v>#REF!</v>
      </c>
      <c r="CR18" t="e">
        <f>AND(Bills!#REF!,"AAAAAD4rF18=")</f>
        <v>#REF!</v>
      </c>
      <c r="CS18" t="e">
        <f>AND(Bills!#REF!,"AAAAAD4rF2A=")</f>
        <v>#REF!</v>
      </c>
      <c r="CT18" t="e">
        <f>AND(Bills!#REF!,"AAAAAD4rF2E=")</f>
        <v>#REF!</v>
      </c>
      <c r="CU18" t="e">
        <f>AND(Bills!#REF!,"AAAAAD4rF2I=")</f>
        <v>#REF!</v>
      </c>
      <c r="CV18" t="e">
        <f>AND(Bills!#REF!,"AAAAAD4rF2M=")</f>
        <v>#REF!</v>
      </c>
      <c r="CW18" t="e">
        <f>AND(Bills!#REF!,"AAAAAD4rF2Q=")</f>
        <v>#REF!</v>
      </c>
      <c r="CX18" t="e">
        <f>AND(Bills!#REF!,"AAAAAD4rF2U=")</f>
        <v>#REF!</v>
      </c>
      <c r="CY18" t="e">
        <f>AND(Bills!#REF!,"AAAAAD4rF2Y=")</f>
        <v>#REF!</v>
      </c>
      <c r="CZ18" t="e">
        <f>AND(Bills!#REF!,"AAAAAD4rF2c=")</f>
        <v>#REF!</v>
      </c>
      <c r="DA18" t="e">
        <f>AND(Bills!#REF!,"AAAAAD4rF2g=")</f>
        <v>#REF!</v>
      </c>
      <c r="DB18" t="e">
        <f>AND(Bills!#REF!,"AAAAAD4rF2k=")</f>
        <v>#REF!</v>
      </c>
      <c r="DC18" t="e">
        <f>AND(Bills!#REF!,"AAAAAD4rF2o=")</f>
        <v>#REF!</v>
      </c>
      <c r="DD18" t="e">
        <f>AND(Bills!#REF!,"AAAAAD4rF2s=")</f>
        <v>#REF!</v>
      </c>
      <c r="DE18" t="e">
        <f>AND(Bills!#REF!,"AAAAAD4rF2w=")</f>
        <v>#REF!</v>
      </c>
      <c r="DF18" t="e">
        <f>AND(Bills!#REF!,"AAAAAD4rF20=")</f>
        <v>#REF!</v>
      </c>
      <c r="DG18" t="e">
        <f>AND(Bills!#REF!,"AAAAAD4rF24=")</f>
        <v>#REF!</v>
      </c>
      <c r="DH18" t="e">
        <f>AND(Bills!#REF!,"AAAAAD4rF28=")</f>
        <v>#REF!</v>
      </c>
      <c r="DI18" t="e">
        <f>AND(Bills!#REF!,"AAAAAD4rF3A=")</f>
        <v>#REF!</v>
      </c>
      <c r="DJ18" t="e">
        <f>AND(Bills!#REF!,"AAAAAD4rF3E=")</f>
        <v>#REF!</v>
      </c>
      <c r="DK18" t="e">
        <f>AND(Bills!#REF!,"AAAAAD4rF3I=")</f>
        <v>#REF!</v>
      </c>
      <c r="DL18" t="e">
        <f>AND(Bills!#REF!,"AAAAAD4rF3M=")</f>
        <v>#REF!</v>
      </c>
      <c r="DM18" t="e">
        <f>AND(Bills!#REF!,"AAAAAD4rF3Q=")</f>
        <v>#REF!</v>
      </c>
      <c r="DN18" t="e">
        <f>AND(Bills!#REF!,"AAAAAD4rF3U=")</f>
        <v>#REF!</v>
      </c>
      <c r="DO18" t="e">
        <f>AND(Bills!#REF!,"AAAAAD4rF3Y=")</f>
        <v>#REF!</v>
      </c>
      <c r="DP18" t="e">
        <f>AND(Bills!#REF!,"AAAAAD4rF3c=")</f>
        <v>#REF!</v>
      </c>
      <c r="DQ18" t="e">
        <f>AND(Bills!#REF!,"AAAAAD4rF3g=")</f>
        <v>#REF!</v>
      </c>
      <c r="DR18" t="e">
        <f>AND(Bills!#REF!,"AAAAAD4rF3k=")</f>
        <v>#REF!</v>
      </c>
      <c r="DS18" t="e">
        <f>AND(Bills!#REF!,"AAAAAD4rF3o=")</f>
        <v>#REF!</v>
      </c>
      <c r="DT18" t="e">
        <f>AND(Bills!#REF!,"AAAAAD4rF3s=")</f>
        <v>#REF!</v>
      </c>
      <c r="DU18" t="e">
        <f>IF(Bills!#REF!,"AAAAAD4rF3w=",0)</f>
        <v>#REF!</v>
      </c>
      <c r="DV18" t="e">
        <f>AND(Bills!#REF!,"AAAAAD4rF30=")</f>
        <v>#REF!</v>
      </c>
      <c r="DW18" t="e">
        <f>AND(Bills!#REF!,"AAAAAD4rF34=")</f>
        <v>#REF!</v>
      </c>
      <c r="DX18" t="e">
        <f>AND(Bills!#REF!,"AAAAAD4rF38=")</f>
        <v>#REF!</v>
      </c>
      <c r="DY18" t="e">
        <f>AND(Bills!#REF!,"AAAAAD4rF4A=")</f>
        <v>#REF!</v>
      </c>
      <c r="DZ18" t="e">
        <f>AND(Bills!#REF!,"AAAAAD4rF4E=")</f>
        <v>#REF!</v>
      </c>
      <c r="EA18" t="e">
        <f>AND(Bills!#REF!,"AAAAAD4rF4I=")</f>
        <v>#REF!</v>
      </c>
      <c r="EB18" t="e">
        <f>AND(Bills!#REF!,"AAAAAD4rF4M=")</f>
        <v>#REF!</v>
      </c>
      <c r="EC18" t="e">
        <f>AND(Bills!#REF!,"AAAAAD4rF4Q=")</f>
        <v>#REF!</v>
      </c>
      <c r="ED18" t="e">
        <f>AND(Bills!#REF!,"AAAAAD4rF4U=")</f>
        <v>#REF!</v>
      </c>
      <c r="EE18" t="e">
        <f>AND(Bills!#REF!,"AAAAAD4rF4Y=")</f>
        <v>#REF!</v>
      </c>
      <c r="EF18" t="e">
        <f>AND(Bills!#REF!,"AAAAAD4rF4c=")</f>
        <v>#REF!</v>
      </c>
      <c r="EG18" t="e">
        <f>AND(Bills!#REF!,"AAAAAD4rF4g=")</f>
        <v>#REF!</v>
      </c>
      <c r="EH18" t="e">
        <f>AND(Bills!#REF!,"AAAAAD4rF4k=")</f>
        <v>#REF!</v>
      </c>
      <c r="EI18" t="e">
        <f>AND(Bills!#REF!,"AAAAAD4rF4o=")</f>
        <v>#REF!</v>
      </c>
      <c r="EJ18" t="e">
        <f>AND(Bills!#REF!,"AAAAAD4rF4s=")</f>
        <v>#REF!</v>
      </c>
      <c r="EK18" t="e">
        <f>AND(Bills!#REF!,"AAAAAD4rF4w=")</f>
        <v>#REF!</v>
      </c>
      <c r="EL18" t="e">
        <f>AND(Bills!#REF!,"AAAAAD4rF40=")</f>
        <v>#REF!</v>
      </c>
      <c r="EM18" t="e">
        <f>AND(Bills!#REF!,"AAAAAD4rF44=")</f>
        <v>#REF!</v>
      </c>
      <c r="EN18" t="e">
        <f>AND(Bills!#REF!,"AAAAAD4rF48=")</f>
        <v>#REF!</v>
      </c>
      <c r="EO18" t="e">
        <f>AND(Bills!#REF!,"AAAAAD4rF5A=")</f>
        <v>#REF!</v>
      </c>
      <c r="EP18" t="e">
        <f>AND(Bills!#REF!,"AAAAAD4rF5E=")</f>
        <v>#REF!</v>
      </c>
      <c r="EQ18" t="e">
        <f>AND(Bills!#REF!,"AAAAAD4rF5I=")</f>
        <v>#REF!</v>
      </c>
      <c r="ER18" t="e">
        <f>AND(Bills!#REF!,"AAAAAD4rF5M=")</f>
        <v>#REF!</v>
      </c>
      <c r="ES18" t="e">
        <f>AND(Bills!#REF!,"AAAAAD4rF5Q=")</f>
        <v>#REF!</v>
      </c>
      <c r="ET18" t="e">
        <f>AND(Bills!#REF!,"AAAAAD4rF5U=")</f>
        <v>#REF!</v>
      </c>
      <c r="EU18" t="e">
        <f>AND(Bills!#REF!,"AAAAAD4rF5Y=")</f>
        <v>#REF!</v>
      </c>
      <c r="EV18" t="e">
        <f>AND(Bills!#REF!,"AAAAAD4rF5c=")</f>
        <v>#REF!</v>
      </c>
      <c r="EW18" t="e">
        <f>AND(Bills!#REF!,"AAAAAD4rF5g=")</f>
        <v>#REF!</v>
      </c>
      <c r="EX18" t="e">
        <f>AND(Bills!#REF!,"AAAAAD4rF5k=")</f>
        <v>#REF!</v>
      </c>
      <c r="EY18" t="e">
        <f>AND(Bills!#REF!,"AAAAAD4rF5o=")</f>
        <v>#REF!</v>
      </c>
      <c r="EZ18" t="e">
        <f>AND(Bills!#REF!,"AAAAAD4rF5s=")</f>
        <v>#REF!</v>
      </c>
      <c r="FA18" t="e">
        <f>AND(Bills!#REF!,"AAAAAD4rF5w=")</f>
        <v>#REF!</v>
      </c>
      <c r="FB18" t="e">
        <f>AND(Bills!#REF!,"AAAAAD4rF50=")</f>
        <v>#REF!</v>
      </c>
      <c r="FC18" t="e">
        <f>AND(Bills!#REF!,"AAAAAD4rF54=")</f>
        <v>#REF!</v>
      </c>
      <c r="FD18" t="e">
        <f>AND(Bills!#REF!,"AAAAAD4rF58=")</f>
        <v>#REF!</v>
      </c>
      <c r="FE18" t="e">
        <f>AND(Bills!#REF!,"AAAAAD4rF6A=")</f>
        <v>#REF!</v>
      </c>
      <c r="FF18" t="e">
        <f>AND(Bills!#REF!,"AAAAAD4rF6E=")</f>
        <v>#REF!</v>
      </c>
      <c r="FG18" t="e">
        <f>AND(Bills!#REF!,"AAAAAD4rF6I=")</f>
        <v>#REF!</v>
      </c>
      <c r="FH18" t="e">
        <f>AND(Bills!#REF!,"AAAAAD4rF6M=")</f>
        <v>#REF!</v>
      </c>
      <c r="FI18" t="e">
        <f>AND(Bills!#REF!,"AAAAAD4rF6Q=")</f>
        <v>#REF!</v>
      </c>
      <c r="FJ18" t="e">
        <f>AND(Bills!#REF!,"AAAAAD4rF6U=")</f>
        <v>#REF!</v>
      </c>
      <c r="FK18" t="e">
        <f>AND(Bills!#REF!,"AAAAAD4rF6Y=")</f>
        <v>#REF!</v>
      </c>
      <c r="FL18" t="e">
        <f>AND(Bills!#REF!,"AAAAAD4rF6c=")</f>
        <v>#REF!</v>
      </c>
      <c r="FM18" t="e">
        <f>AND(Bills!#REF!,"AAAAAD4rF6g=")</f>
        <v>#REF!</v>
      </c>
      <c r="FN18" t="e">
        <f>AND(Bills!#REF!,"AAAAAD4rF6k=")</f>
        <v>#REF!</v>
      </c>
      <c r="FO18" t="e">
        <f>AND(Bills!#REF!,"AAAAAD4rF6o=")</f>
        <v>#REF!</v>
      </c>
      <c r="FP18" t="e">
        <f>AND(Bills!#REF!,"AAAAAD4rF6s=")</f>
        <v>#REF!</v>
      </c>
      <c r="FQ18" t="e">
        <f>AND(Bills!#REF!,"AAAAAD4rF6w=")</f>
        <v>#REF!</v>
      </c>
      <c r="FR18" t="e">
        <f>AND(Bills!#REF!,"AAAAAD4rF60=")</f>
        <v>#REF!</v>
      </c>
      <c r="FS18" t="e">
        <f>AND(Bills!#REF!,"AAAAAD4rF64=")</f>
        <v>#REF!</v>
      </c>
      <c r="FT18" t="e">
        <f>IF(Bills!#REF!,"AAAAAD4rF68=",0)</f>
        <v>#REF!</v>
      </c>
      <c r="FU18" t="e">
        <f>AND(Bills!#REF!,"AAAAAD4rF7A=")</f>
        <v>#REF!</v>
      </c>
      <c r="FV18" t="e">
        <f>AND(Bills!#REF!,"AAAAAD4rF7E=")</f>
        <v>#REF!</v>
      </c>
      <c r="FW18" t="e">
        <f>AND(Bills!#REF!,"AAAAAD4rF7I=")</f>
        <v>#REF!</v>
      </c>
      <c r="FX18" t="e">
        <f>AND(Bills!#REF!,"AAAAAD4rF7M=")</f>
        <v>#REF!</v>
      </c>
      <c r="FY18" t="e">
        <f>AND(Bills!#REF!,"AAAAAD4rF7Q=")</f>
        <v>#REF!</v>
      </c>
      <c r="FZ18" t="e">
        <f>AND(Bills!#REF!,"AAAAAD4rF7U=")</f>
        <v>#REF!</v>
      </c>
      <c r="GA18" t="e">
        <f>AND(Bills!#REF!,"AAAAAD4rF7Y=")</f>
        <v>#REF!</v>
      </c>
      <c r="GB18" t="e">
        <f>AND(Bills!#REF!,"AAAAAD4rF7c=")</f>
        <v>#REF!</v>
      </c>
      <c r="GC18" t="e">
        <f>AND(Bills!#REF!,"AAAAAD4rF7g=")</f>
        <v>#REF!</v>
      </c>
      <c r="GD18" t="e">
        <f>AND(Bills!#REF!,"AAAAAD4rF7k=")</f>
        <v>#REF!</v>
      </c>
      <c r="GE18" t="e">
        <f>AND(Bills!#REF!,"AAAAAD4rF7o=")</f>
        <v>#REF!</v>
      </c>
      <c r="GF18" t="e">
        <f>AND(Bills!#REF!,"AAAAAD4rF7s=")</f>
        <v>#REF!</v>
      </c>
      <c r="GG18" t="e">
        <f>AND(Bills!#REF!,"AAAAAD4rF7w=")</f>
        <v>#REF!</v>
      </c>
      <c r="GH18" t="e">
        <f>AND(Bills!#REF!,"AAAAAD4rF70=")</f>
        <v>#REF!</v>
      </c>
      <c r="GI18" t="e">
        <f>AND(Bills!#REF!,"AAAAAD4rF74=")</f>
        <v>#REF!</v>
      </c>
      <c r="GJ18" t="e">
        <f>AND(Bills!#REF!,"AAAAAD4rF78=")</f>
        <v>#REF!</v>
      </c>
      <c r="GK18" t="e">
        <f>AND(Bills!#REF!,"AAAAAD4rF8A=")</f>
        <v>#REF!</v>
      </c>
      <c r="GL18" t="e">
        <f>AND(Bills!#REF!,"AAAAAD4rF8E=")</f>
        <v>#REF!</v>
      </c>
      <c r="GM18" t="e">
        <f>AND(Bills!#REF!,"AAAAAD4rF8I=")</f>
        <v>#REF!</v>
      </c>
      <c r="GN18" t="e">
        <f>AND(Bills!#REF!,"AAAAAD4rF8M=")</f>
        <v>#REF!</v>
      </c>
      <c r="GO18" t="e">
        <f>AND(Bills!#REF!,"AAAAAD4rF8Q=")</f>
        <v>#REF!</v>
      </c>
      <c r="GP18" t="e">
        <f>AND(Bills!#REF!,"AAAAAD4rF8U=")</f>
        <v>#REF!</v>
      </c>
      <c r="GQ18" t="e">
        <f>AND(Bills!#REF!,"AAAAAD4rF8Y=")</f>
        <v>#REF!</v>
      </c>
      <c r="GR18" t="e">
        <f>AND(Bills!#REF!,"AAAAAD4rF8c=")</f>
        <v>#REF!</v>
      </c>
      <c r="GS18" t="e">
        <f>AND(Bills!#REF!,"AAAAAD4rF8g=")</f>
        <v>#REF!</v>
      </c>
      <c r="GT18" t="e">
        <f>AND(Bills!#REF!,"AAAAAD4rF8k=")</f>
        <v>#REF!</v>
      </c>
      <c r="GU18" t="e">
        <f>AND(Bills!#REF!,"AAAAAD4rF8o=")</f>
        <v>#REF!</v>
      </c>
      <c r="GV18" t="e">
        <f>AND(Bills!#REF!,"AAAAAD4rF8s=")</f>
        <v>#REF!</v>
      </c>
      <c r="GW18" t="e">
        <f>AND(Bills!#REF!,"AAAAAD4rF8w=")</f>
        <v>#REF!</v>
      </c>
      <c r="GX18" t="e">
        <f>AND(Bills!#REF!,"AAAAAD4rF80=")</f>
        <v>#REF!</v>
      </c>
      <c r="GY18" t="e">
        <f>AND(Bills!#REF!,"AAAAAD4rF84=")</f>
        <v>#REF!</v>
      </c>
      <c r="GZ18" t="e">
        <f>AND(Bills!#REF!,"AAAAAD4rF88=")</f>
        <v>#REF!</v>
      </c>
      <c r="HA18" t="e">
        <f>AND(Bills!#REF!,"AAAAAD4rF9A=")</f>
        <v>#REF!</v>
      </c>
      <c r="HB18" t="e">
        <f>AND(Bills!#REF!,"AAAAAD4rF9E=")</f>
        <v>#REF!</v>
      </c>
      <c r="HC18" t="e">
        <f>AND(Bills!#REF!,"AAAAAD4rF9I=")</f>
        <v>#REF!</v>
      </c>
      <c r="HD18" t="e">
        <f>AND(Bills!#REF!,"AAAAAD4rF9M=")</f>
        <v>#REF!</v>
      </c>
      <c r="HE18" t="e">
        <f>AND(Bills!#REF!,"AAAAAD4rF9Q=")</f>
        <v>#REF!</v>
      </c>
      <c r="HF18" t="e">
        <f>AND(Bills!#REF!,"AAAAAD4rF9U=")</f>
        <v>#REF!</v>
      </c>
      <c r="HG18" t="e">
        <f>AND(Bills!#REF!,"AAAAAD4rF9Y=")</f>
        <v>#REF!</v>
      </c>
      <c r="HH18" t="e">
        <f>AND(Bills!#REF!,"AAAAAD4rF9c=")</f>
        <v>#REF!</v>
      </c>
      <c r="HI18" t="e">
        <f>AND(Bills!#REF!,"AAAAAD4rF9g=")</f>
        <v>#REF!</v>
      </c>
      <c r="HJ18" t="e">
        <f>AND(Bills!#REF!,"AAAAAD4rF9k=")</f>
        <v>#REF!</v>
      </c>
      <c r="HK18" t="e">
        <f>AND(Bills!#REF!,"AAAAAD4rF9o=")</f>
        <v>#REF!</v>
      </c>
      <c r="HL18" t="e">
        <f>AND(Bills!#REF!,"AAAAAD4rF9s=")</f>
        <v>#REF!</v>
      </c>
      <c r="HM18" t="e">
        <f>AND(Bills!#REF!,"AAAAAD4rF9w=")</f>
        <v>#REF!</v>
      </c>
      <c r="HN18" t="e">
        <f>AND(Bills!#REF!,"AAAAAD4rF90=")</f>
        <v>#REF!</v>
      </c>
      <c r="HO18" t="e">
        <f>AND(Bills!#REF!,"AAAAAD4rF94=")</f>
        <v>#REF!</v>
      </c>
      <c r="HP18" t="e">
        <f>AND(Bills!#REF!,"AAAAAD4rF98=")</f>
        <v>#REF!</v>
      </c>
      <c r="HQ18" t="e">
        <f>AND(Bills!#REF!,"AAAAAD4rF+A=")</f>
        <v>#REF!</v>
      </c>
      <c r="HR18" t="e">
        <f>AND(Bills!#REF!,"AAAAAD4rF+E=")</f>
        <v>#REF!</v>
      </c>
      <c r="HS18" t="e">
        <f>IF(Bills!#REF!,"AAAAAD4rF+I=",0)</f>
        <v>#REF!</v>
      </c>
      <c r="HT18" t="e">
        <f>AND(Bills!#REF!,"AAAAAD4rF+M=")</f>
        <v>#REF!</v>
      </c>
      <c r="HU18" t="e">
        <f>AND(Bills!#REF!,"AAAAAD4rF+Q=")</f>
        <v>#REF!</v>
      </c>
      <c r="HV18" t="e">
        <f>AND(Bills!#REF!,"AAAAAD4rF+U=")</f>
        <v>#REF!</v>
      </c>
      <c r="HW18" t="e">
        <f>AND(Bills!#REF!,"AAAAAD4rF+Y=")</f>
        <v>#REF!</v>
      </c>
      <c r="HX18" t="e">
        <f>AND(Bills!#REF!,"AAAAAD4rF+c=")</f>
        <v>#REF!</v>
      </c>
      <c r="HY18" t="e">
        <f>AND(Bills!#REF!,"AAAAAD4rF+g=")</f>
        <v>#REF!</v>
      </c>
      <c r="HZ18" t="e">
        <f>AND(Bills!#REF!,"AAAAAD4rF+k=")</f>
        <v>#REF!</v>
      </c>
      <c r="IA18" t="e">
        <f>AND(Bills!#REF!,"AAAAAD4rF+o=")</f>
        <v>#REF!</v>
      </c>
      <c r="IB18" t="e">
        <f>AND(Bills!#REF!,"AAAAAD4rF+s=")</f>
        <v>#REF!</v>
      </c>
      <c r="IC18" t="e">
        <f>AND(Bills!#REF!,"AAAAAD4rF+w=")</f>
        <v>#REF!</v>
      </c>
      <c r="ID18" t="e">
        <f>AND(Bills!#REF!,"AAAAAD4rF+0=")</f>
        <v>#REF!</v>
      </c>
      <c r="IE18" t="e">
        <f>AND(Bills!#REF!,"AAAAAD4rF+4=")</f>
        <v>#REF!</v>
      </c>
      <c r="IF18" t="e">
        <f>AND(Bills!#REF!,"AAAAAD4rF+8=")</f>
        <v>#REF!</v>
      </c>
      <c r="IG18" t="e">
        <f>AND(Bills!#REF!,"AAAAAD4rF/A=")</f>
        <v>#REF!</v>
      </c>
      <c r="IH18" t="e">
        <f>AND(Bills!#REF!,"AAAAAD4rF/E=")</f>
        <v>#REF!</v>
      </c>
      <c r="II18" t="e">
        <f>AND(Bills!#REF!,"AAAAAD4rF/I=")</f>
        <v>#REF!</v>
      </c>
      <c r="IJ18" t="e">
        <f>AND(Bills!#REF!,"AAAAAD4rF/M=")</f>
        <v>#REF!</v>
      </c>
      <c r="IK18" t="e">
        <f>AND(Bills!#REF!,"AAAAAD4rF/Q=")</f>
        <v>#REF!</v>
      </c>
      <c r="IL18" t="e">
        <f>AND(Bills!#REF!,"AAAAAD4rF/U=")</f>
        <v>#REF!</v>
      </c>
      <c r="IM18" t="e">
        <f>AND(Bills!#REF!,"AAAAAD4rF/Y=")</f>
        <v>#REF!</v>
      </c>
      <c r="IN18" t="e">
        <f>AND(Bills!#REF!,"AAAAAD4rF/c=")</f>
        <v>#REF!</v>
      </c>
      <c r="IO18" t="e">
        <f>AND(Bills!#REF!,"AAAAAD4rF/g=")</f>
        <v>#REF!</v>
      </c>
      <c r="IP18" t="e">
        <f>AND(Bills!#REF!,"AAAAAD4rF/k=")</f>
        <v>#REF!</v>
      </c>
      <c r="IQ18" t="e">
        <f>AND(Bills!#REF!,"AAAAAD4rF/o=")</f>
        <v>#REF!</v>
      </c>
      <c r="IR18" t="e">
        <f>AND(Bills!#REF!,"AAAAAD4rF/s=")</f>
        <v>#REF!</v>
      </c>
      <c r="IS18" t="e">
        <f>AND(Bills!#REF!,"AAAAAD4rF/w=")</f>
        <v>#REF!</v>
      </c>
      <c r="IT18" t="e">
        <f>AND(Bills!#REF!,"AAAAAD4rF/0=")</f>
        <v>#REF!</v>
      </c>
      <c r="IU18" t="e">
        <f>AND(Bills!#REF!,"AAAAAD4rF/4=")</f>
        <v>#REF!</v>
      </c>
      <c r="IV18" t="e">
        <f>AND(Bills!#REF!,"AAAAAD4rF/8=")</f>
        <v>#REF!</v>
      </c>
    </row>
    <row r="19" spans="1:256">
      <c r="A19" t="e">
        <f>AND(Bills!#REF!,"AAAAAH2n3QA=")</f>
        <v>#REF!</v>
      </c>
      <c r="B19" t="e">
        <f>AND(Bills!#REF!,"AAAAAH2n3QE=")</f>
        <v>#REF!</v>
      </c>
      <c r="C19" t="e">
        <f>AND(Bills!#REF!,"AAAAAH2n3QI=")</f>
        <v>#REF!</v>
      </c>
      <c r="D19" t="e">
        <f>AND(Bills!#REF!,"AAAAAH2n3QM=")</f>
        <v>#REF!</v>
      </c>
      <c r="E19" t="e">
        <f>AND(Bills!#REF!,"AAAAAH2n3QQ=")</f>
        <v>#REF!</v>
      </c>
      <c r="F19" t="e">
        <f>AND(Bills!#REF!,"AAAAAH2n3QU=")</f>
        <v>#REF!</v>
      </c>
      <c r="G19" t="e">
        <f>AND(Bills!#REF!,"AAAAAH2n3QY=")</f>
        <v>#REF!</v>
      </c>
      <c r="H19" t="e">
        <f>AND(Bills!#REF!,"AAAAAH2n3Qc=")</f>
        <v>#REF!</v>
      </c>
      <c r="I19" t="e">
        <f>AND(Bills!#REF!,"AAAAAH2n3Qg=")</f>
        <v>#REF!</v>
      </c>
      <c r="J19" t="e">
        <f>AND(Bills!#REF!,"AAAAAH2n3Qk=")</f>
        <v>#REF!</v>
      </c>
      <c r="K19" t="e">
        <f>AND(Bills!#REF!,"AAAAAH2n3Qo=")</f>
        <v>#REF!</v>
      </c>
      <c r="L19" t="e">
        <f>AND(Bills!#REF!,"AAAAAH2n3Qs=")</f>
        <v>#REF!</v>
      </c>
      <c r="M19" t="e">
        <f>AND(Bills!#REF!,"AAAAAH2n3Qw=")</f>
        <v>#REF!</v>
      </c>
      <c r="N19" t="e">
        <f>AND(Bills!#REF!,"AAAAAH2n3Q0=")</f>
        <v>#REF!</v>
      </c>
      <c r="O19" t="e">
        <f>AND(Bills!#REF!,"AAAAAH2n3Q4=")</f>
        <v>#REF!</v>
      </c>
      <c r="P19" t="e">
        <f>AND(Bills!#REF!,"AAAAAH2n3Q8=")</f>
        <v>#REF!</v>
      </c>
      <c r="Q19" t="e">
        <f>AND(Bills!#REF!,"AAAAAH2n3RA=")</f>
        <v>#REF!</v>
      </c>
      <c r="R19" t="e">
        <f>AND(Bills!#REF!,"AAAAAH2n3RE=")</f>
        <v>#REF!</v>
      </c>
      <c r="S19" t="e">
        <f>AND(Bills!#REF!,"AAAAAH2n3RI=")</f>
        <v>#REF!</v>
      </c>
      <c r="T19" t="e">
        <f>AND(Bills!#REF!,"AAAAAH2n3RM=")</f>
        <v>#REF!</v>
      </c>
      <c r="U19" t="e">
        <f>AND(Bills!#REF!,"AAAAAH2n3RQ=")</f>
        <v>#REF!</v>
      </c>
      <c r="V19" t="e">
        <f>IF(Bills!#REF!,"AAAAAH2n3RU=",0)</f>
        <v>#REF!</v>
      </c>
      <c r="W19" t="e">
        <f>AND(Bills!#REF!,"AAAAAH2n3RY=")</f>
        <v>#REF!</v>
      </c>
      <c r="X19" t="e">
        <f>AND(Bills!#REF!,"AAAAAH2n3Rc=")</f>
        <v>#REF!</v>
      </c>
      <c r="Y19" t="e">
        <f>AND(Bills!#REF!,"AAAAAH2n3Rg=")</f>
        <v>#REF!</v>
      </c>
      <c r="Z19" t="e">
        <f>AND(Bills!#REF!,"AAAAAH2n3Rk=")</f>
        <v>#REF!</v>
      </c>
      <c r="AA19" t="e">
        <f>AND(Bills!#REF!,"AAAAAH2n3Ro=")</f>
        <v>#REF!</v>
      </c>
      <c r="AB19" t="e">
        <f>AND(Bills!#REF!,"AAAAAH2n3Rs=")</f>
        <v>#REF!</v>
      </c>
      <c r="AC19" t="e">
        <f>AND(Bills!#REF!,"AAAAAH2n3Rw=")</f>
        <v>#REF!</v>
      </c>
      <c r="AD19" t="e">
        <f>AND(Bills!#REF!,"AAAAAH2n3R0=")</f>
        <v>#REF!</v>
      </c>
      <c r="AE19" t="e">
        <f>AND(Bills!#REF!,"AAAAAH2n3R4=")</f>
        <v>#REF!</v>
      </c>
      <c r="AF19" t="e">
        <f>AND(Bills!#REF!,"AAAAAH2n3R8=")</f>
        <v>#REF!</v>
      </c>
      <c r="AG19" t="e">
        <f>AND(Bills!#REF!,"AAAAAH2n3SA=")</f>
        <v>#REF!</v>
      </c>
      <c r="AH19" t="e">
        <f>AND(Bills!#REF!,"AAAAAH2n3SE=")</f>
        <v>#REF!</v>
      </c>
      <c r="AI19" t="e">
        <f>AND(Bills!#REF!,"AAAAAH2n3SI=")</f>
        <v>#REF!</v>
      </c>
      <c r="AJ19" t="e">
        <f>AND(Bills!#REF!,"AAAAAH2n3SM=")</f>
        <v>#REF!</v>
      </c>
      <c r="AK19" t="e">
        <f>AND(Bills!#REF!,"AAAAAH2n3SQ=")</f>
        <v>#REF!</v>
      </c>
      <c r="AL19" t="e">
        <f>AND(Bills!#REF!,"AAAAAH2n3SU=")</f>
        <v>#REF!</v>
      </c>
      <c r="AM19" t="e">
        <f>AND(Bills!#REF!,"AAAAAH2n3SY=")</f>
        <v>#REF!</v>
      </c>
      <c r="AN19" t="e">
        <f>AND(Bills!#REF!,"AAAAAH2n3Sc=")</f>
        <v>#REF!</v>
      </c>
      <c r="AO19" t="e">
        <f>AND(Bills!#REF!,"AAAAAH2n3Sg=")</f>
        <v>#REF!</v>
      </c>
      <c r="AP19" t="e">
        <f>AND(Bills!#REF!,"AAAAAH2n3Sk=")</f>
        <v>#REF!</v>
      </c>
      <c r="AQ19" t="e">
        <f>AND(Bills!#REF!,"AAAAAH2n3So=")</f>
        <v>#REF!</v>
      </c>
      <c r="AR19" t="e">
        <f>AND(Bills!#REF!,"AAAAAH2n3Ss=")</f>
        <v>#REF!</v>
      </c>
      <c r="AS19" t="e">
        <f>AND(Bills!#REF!,"AAAAAH2n3Sw=")</f>
        <v>#REF!</v>
      </c>
      <c r="AT19" t="e">
        <f>AND(Bills!#REF!,"AAAAAH2n3S0=")</f>
        <v>#REF!</v>
      </c>
      <c r="AU19" t="e">
        <f>AND(Bills!#REF!,"AAAAAH2n3S4=")</f>
        <v>#REF!</v>
      </c>
      <c r="AV19" t="e">
        <f>AND(Bills!#REF!,"AAAAAH2n3S8=")</f>
        <v>#REF!</v>
      </c>
      <c r="AW19" t="e">
        <f>AND(Bills!#REF!,"AAAAAH2n3TA=")</f>
        <v>#REF!</v>
      </c>
      <c r="AX19" t="e">
        <f>AND(Bills!#REF!,"AAAAAH2n3TE=")</f>
        <v>#REF!</v>
      </c>
      <c r="AY19" t="e">
        <f>AND(Bills!#REF!,"AAAAAH2n3TI=")</f>
        <v>#REF!</v>
      </c>
      <c r="AZ19" t="e">
        <f>AND(Bills!#REF!,"AAAAAH2n3TM=")</f>
        <v>#REF!</v>
      </c>
      <c r="BA19" t="e">
        <f>AND(Bills!#REF!,"AAAAAH2n3TQ=")</f>
        <v>#REF!</v>
      </c>
      <c r="BB19" t="e">
        <f>AND(Bills!#REF!,"AAAAAH2n3TU=")</f>
        <v>#REF!</v>
      </c>
      <c r="BC19" t="e">
        <f>AND(Bills!#REF!,"AAAAAH2n3TY=")</f>
        <v>#REF!</v>
      </c>
      <c r="BD19" t="e">
        <f>AND(Bills!#REF!,"AAAAAH2n3Tc=")</f>
        <v>#REF!</v>
      </c>
      <c r="BE19" t="e">
        <f>AND(Bills!#REF!,"AAAAAH2n3Tg=")</f>
        <v>#REF!</v>
      </c>
      <c r="BF19" t="e">
        <f>AND(Bills!#REF!,"AAAAAH2n3Tk=")</f>
        <v>#REF!</v>
      </c>
      <c r="BG19" t="e">
        <f>AND(Bills!#REF!,"AAAAAH2n3To=")</f>
        <v>#REF!</v>
      </c>
      <c r="BH19" t="e">
        <f>AND(Bills!#REF!,"AAAAAH2n3Ts=")</f>
        <v>#REF!</v>
      </c>
      <c r="BI19" t="e">
        <f>AND(Bills!#REF!,"AAAAAH2n3Tw=")</f>
        <v>#REF!</v>
      </c>
      <c r="BJ19" t="e">
        <f>AND(Bills!#REF!,"AAAAAH2n3T0=")</f>
        <v>#REF!</v>
      </c>
      <c r="BK19" t="e">
        <f>AND(Bills!#REF!,"AAAAAH2n3T4=")</f>
        <v>#REF!</v>
      </c>
      <c r="BL19" t="e">
        <f>AND(Bills!#REF!,"AAAAAH2n3T8=")</f>
        <v>#REF!</v>
      </c>
      <c r="BM19" t="e">
        <f>AND(Bills!#REF!,"AAAAAH2n3UA=")</f>
        <v>#REF!</v>
      </c>
      <c r="BN19" t="e">
        <f>AND(Bills!#REF!,"AAAAAH2n3UE=")</f>
        <v>#REF!</v>
      </c>
      <c r="BO19" t="e">
        <f>AND(Bills!#REF!,"AAAAAH2n3UI=")</f>
        <v>#REF!</v>
      </c>
      <c r="BP19" t="e">
        <f>AND(Bills!#REF!,"AAAAAH2n3UM=")</f>
        <v>#REF!</v>
      </c>
      <c r="BQ19" t="e">
        <f>AND(Bills!#REF!,"AAAAAH2n3UQ=")</f>
        <v>#REF!</v>
      </c>
      <c r="BR19" t="e">
        <f>AND(Bills!#REF!,"AAAAAH2n3UU=")</f>
        <v>#REF!</v>
      </c>
      <c r="BS19" t="e">
        <f>AND(Bills!#REF!,"AAAAAH2n3UY=")</f>
        <v>#REF!</v>
      </c>
      <c r="BT19" t="e">
        <f>AND(Bills!#REF!,"AAAAAH2n3Uc=")</f>
        <v>#REF!</v>
      </c>
      <c r="BU19" t="e">
        <f>IF(Bills!#REF!,"AAAAAH2n3Ug=",0)</f>
        <v>#REF!</v>
      </c>
      <c r="BV19" t="e">
        <f>AND(Bills!#REF!,"AAAAAH2n3Uk=")</f>
        <v>#REF!</v>
      </c>
      <c r="BW19" t="e">
        <f>AND(Bills!#REF!,"AAAAAH2n3Uo=")</f>
        <v>#REF!</v>
      </c>
      <c r="BX19" t="e">
        <f>AND(Bills!#REF!,"AAAAAH2n3Us=")</f>
        <v>#REF!</v>
      </c>
      <c r="BY19" t="e">
        <f>AND(Bills!#REF!,"AAAAAH2n3Uw=")</f>
        <v>#REF!</v>
      </c>
      <c r="BZ19" t="e">
        <f>AND(Bills!#REF!,"AAAAAH2n3U0=")</f>
        <v>#REF!</v>
      </c>
      <c r="CA19" t="e">
        <f>AND(Bills!#REF!,"AAAAAH2n3U4=")</f>
        <v>#REF!</v>
      </c>
      <c r="CB19" t="e">
        <f>AND(Bills!#REF!,"AAAAAH2n3U8=")</f>
        <v>#REF!</v>
      </c>
      <c r="CC19" t="e">
        <f>AND(Bills!#REF!,"AAAAAH2n3VA=")</f>
        <v>#REF!</v>
      </c>
      <c r="CD19" t="e">
        <f>AND(Bills!#REF!,"AAAAAH2n3VE=")</f>
        <v>#REF!</v>
      </c>
      <c r="CE19" t="e">
        <f>AND(Bills!#REF!,"AAAAAH2n3VI=")</f>
        <v>#REF!</v>
      </c>
      <c r="CF19" t="e">
        <f>AND(Bills!#REF!,"AAAAAH2n3VM=")</f>
        <v>#REF!</v>
      </c>
      <c r="CG19" t="e">
        <f>AND(Bills!#REF!,"AAAAAH2n3VQ=")</f>
        <v>#REF!</v>
      </c>
      <c r="CH19" t="e">
        <f>AND(Bills!#REF!,"AAAAAH2n3VU=")</f>
        <v>#REF!</v>
      </c>
      <c r="CI19" t="e">
        <f>AND(Bills!#REF!,"AAAAAH2n3VY=")</f>
        <v>#REF!</v>
      </c>
      <c r="CJ19" t="e">
        <f>AND(Bills!#REF!,"AAAAAH2n3Vc=")</f>
        <v>#REF!</v>
      </c>
      <c r="CK19" t="e">
        <f>AND(Bills!#REF!,"AAAAAH2n3Vg=")</f>
        <v>#REF!</v>
      </c>
      <c r="CL19" t="e">
        <f>AND(Bills!#REF!,"AAAAAH2n3Vk=")</f>
        <v>#REF!</v>
      </c>
      <c r="CM19" t="e">
        <f>AND(Bills!#REF!,"AAAAAH2n3Vo=")</f>
        <v>#REF!</v>
      </c>
      <c r="CN19" t="e">
        <f>AND(Bills!#REF!,"AAAAAH2n3Vs=")</f>
        <v>#REF!</v>
      </c>
      <c r="CO19" t="e">
        <f>AND(Bills!#REF!,"AAAAAH2n3Vw=")</f>
        <v>#REF!</v>
      </c>
      <c r="CP19" t="e">
        <f>AND(Bills!#REF!,"AAAAAH2n3V0=")</f>
        <v>#REF!</v>
      </c>
      <c r="CQ19" t="e">
        <f>AND(Bills!#REF!,"AAAAAH2n3V4=")</f>
        <v>#REF!</v>
      </c>
      <c r="CR19" t="e">
        <f>AND(Bills!#REF!,"AAAAAH2n3V8=")</f>
        <v>#REF!</v>
      </c>
      <c r="CS19" t="e">
        <f>AND(Bills!#REF!,"AAAAAH2n3WA=")</f>
        <v>#REF!</v>
      </c>
      <c r="CT19" t="e">
        <f>AND(Bills!#REF!,"AAAAAH2n3WE=")</f>
        <v>#REF!</v>
      </c>
      <c r="CU19" t="e">
        <f>AND(Bills!#REF!,"AAAAAH2n3WI=")</f>
        <v>#REF!</v>
      </c>
      <c r="CV19" t="e">
        <f>AND(Bills!#REF!,"AAAAAH2n3WM=")</f>
        <v>#REF!</v>
      </c>
      <c r="CW19" t="e">
        <f>AND(Bills!#REF!,"AAAAAH2n3WQ=")</f>
        <v>#REF!</v>
      </c>
      <c r="CX19" t="e">
        <f>AND(Bills!#REF!,"AAAAAH2n3WU=")</f>
        <v>#REF!</v>
      </c>
      <c r="CY19" t="e">
        <f>AND(Bills!#REF!,"AAAAAH2n3WY=")</f>
        <v>#REF!</v>
      </c>
      <c r="CZ19" t="e">
        <f>AND(Bills!#REF!,"AAAAAH2n3Wc=")</f>
        <v>#REF!</v>
      </c>
      <c r="DA19" t="e">
        <f>AND(Bills!#REF!,"AAAAAH2n3Wg=")</f>
        <v>#REF!</v>
      </c>
      <c r="DB19" t="e">
        <f>AND(Bills!#REF!,"AAAAAH2n3Wk=")</f>
        <v>#REF!</v>
      </c>
      <c r="DC19" t="e">
        <f>AND(Bills!#REF!,"AAAAAH2n3Wo=")</f>
        <v>#REF!</v>
      </c>
      <c r="DD19" t="e">
        <f>AND(Bills!#REF!,"AAAAAH2n3Ws=")</f>
        <v>#REF!</v>
      </c>
      <c r="DE19" t="e">
        <f>AND(Bills!#REF!,"AAAAAH2n3Ww=")</f>
        <v>#REF!</v>
      </c>
      <c r="DF19" t="e">
        <f>AND(Bills!#REF!,"AAAAAH2n3W0=")</f>
        <v>#REF!</v>
      </c>
      <c r="DG19" t="e">
        <f>AND(Bills!#REF!,"AAAAAH2n3W4=")</f>
        <v>#REF!</v>
      </c>
      <c r="DH19" t="e">
        <f>AND(Bills!#REF!,"AAAAAH2n3W8=")</f>
        <v>#REF!</v>
      </c>
      <c r="DI19" t="e">
        <f>AND(Bills!#REF!,"AAAAAH2n3XA=")</f>
        <v>#REF!</v>
      </c>
      <c r="DJ19" t="e">
        <f>AND(Bills!#REF!,"AAAAAH2n3XE=")</f>
        <v>#REF!</v>
      </c>
      <c r="DK19" t="e">
        <f>AND(Bills!#REF!,"AAAAAH2n3XI=")</f>
        <v>#REF!</v>
      </c>
      <c r="DL19" t="e">
        <f>AND(Bills!#REF!,"AAAAAH2n3XM=")</f>
        <v>#REF!</v>
      </c>
      <c r="DM19" t="e">
        <f>AND(Bills!#REF!,"AAAAAH2n3XQ=")</f>
        <v>#REF!</v>
      </c>
      <c r="DN19" t="e">
        <f>AND(Bills!#REF!,"AAAAAH2n3XU=")</f>
        <v>#REF!</v>
      </c>
      <c r="DO19" t="e">
        <f>AND(Bills!#REF!,"AAAAAH2n3XY=")</f>
        <v>#REF!</v>
      </c>
      <c r="DP19" t="e">
        <f>AND(Bills!#REF!,"AAAAAH2n3Xc=")</f>
        <v>#REF!</v>
      </c>
      <c r="DQ19" t="e">
        <f>AND(Bills!#REF!,"AAAAAH2n3Xg=")</f>
        <v>#REF!</v>
      </c>
      <c r="DR19" t="e">
        <f>AND(Bills!#REF!,"AAAAAH2n3Xk=")</f>
        <v>#REF!</v>
      </c>
      <c r="DS19" t="e">
        <f>AND(Bills!#REF!,"AAAAAH2n3Xo=")</f>
        <v>#REF!</v>
      </c>
      <c r="DT19" t="e">
        <f>IF(Bills!#REF!,"AAAAAH2n3Xs=",0)</f>
        <v>#REF!</v>
      </c>
      <c r="DU19" t="e">
        <f>AND(Bills!#REF!,"AAAAAH2n3Xw=")</f>
        <v>#REF!</v>
      </c>
      <c r="DV19" t="e">
        <f>AND(Bills!#REF!,"AAAAAH2n3X0=")</f>
        <v>#REF!</v>
      </c>
      <c r="DW19" t="e">
        <f>AND(Bills!#REF!,"AAAAAH2n3X4=")</f>
        <v>#REF!</v>
      </c>
      <c r="DX19" t="e">
        <f>AND(Bills!#REF!,"AAAAAH2n3X8=")</f>
        <v>#REF!</v>
      </c>
      <c r="DY19" t="e">
        <f>AND(Bills!#REF!,"AAAAAH2n3YA=")</f>
        <v>#REF!</v>
      </c>
      <c r="DZ19" t="e">
        <f>AND(Bills!#REF!,"AAAAAH2n3YE=")</f>
        <v>#REF!</v>
      </c>
      <c r="EA19" t="e">
        <f>AND(Bills!#REF!,"AAAAAH2n3YI=")</f>
        <v>#REF!</v>
      </c>
      <c r="EB19" t="e">
        <f>AND(Bills!#REF!,"AAAAAH2n3YM=")</f>
        <v>#REF!</v>
      </c>
      <c r="EC19" t="e">
        <f>AND(Bills!#REF!,"AAAAAH2n3YQ=")</f>
        <v>#REF!</v>
      </c>
      <c r="ED19" t="e">
        <f>AND(Bills!#REF!,"AAAAAH2n3YU=")</f>
        <v>#REF!</v>
      </c>
      <c r="EE19" t="e">
        <f>AND(Bills!#REF!,"AAAAAH2n3YY=")</f>
        <v>#REF!</v>
      </c>
      <c r="EF19" t="e">
        <f>AND(Bills!#REF!,"AAAAAH2n3Yc=")</f>
        <v>#REF!</v>
      </c>
      <c r="EG19" t="e">
        <f>AND(Bills!#REF!,"AAAAAH2n3Yg=")</f>
        <v>#REF!</v>
      </c>
      <c r="EH19" t="e">
        <f>AND(Bills!#REF!,"AAAAAH2n3Yk=")</f>
        <v>#REF!</v>
      </c>
      <c r="EI19" t="e">
        <f>AND(Bills!#REF!,"AAAAAH2n3Yo=")</f>
        <v>#REF!</v>
      </c>
      <c r="EJ19" t="e">
        <f>AND(Bills!#REF!,"AAAAAH2n3Ys=")</f>
        <v>#REF!</v>
      </c>
      <c r="EK19" t="e">
        <f>AND(Bills!#REF!,"AAAAAH2n3Yw=")</f>
        <v>#REF!</v>
      </c>
      <c r="EL19" t="e">
        <f>AND(Bills!#REF!,"AAAAAH2n3Y0=")</f>
        <v>#REF!</v>
      </c>
      <c r="EM19" t="e">
        <f>AND(Bills!#REF!,"AAAAAH2n3Y4=")</f>
        <v>#REF!</v>
      </c>
      <c r="EN19" t="e">
        <f>AND(Bills!#REF!,"AAAAAH2n3Y8=")</f>
        <v>#REF!</v>
      </c>
      <c r="EO19" t="e">
        <f>AND(Bills!#REF!,"AAAAAH2n3ZA=")</f>
        <v>#REF!</v>
      </c>
      <c r="EP19" t="e">
        <f>AND(Bills!#REF!,"AAAAAH2n3ZE=")</f>
        <v>#REF!</v>
      </c>
      <c r="EQ19" t="e">
        <f>AND(Bills!#REF!,"AAAAAH2n3ZI=")</f>
        <v>#REF!</v>
      </c>
      <c r="ER19" t="e">
        <f>AND(Bills!#REF!,"AAAAAH2n3ZM=")</f>
        <v>#REF!</v>
      </c>
      <c r="ES19" t="e">
        <f>AND(Bills!#REF!,"AAAAAH2n3ZQ=")</f>
        <v>#REF!</v>
      </c>
      <c r="ET19" t="e">
        <f>AND(Bills!#REF!,"AAAAAH2n3ZU=")</f>
        <v>#REF!</v>
      </c>
      <c r="EU19" t="e">
        <f>AND(Bills!#REF!,"AAAAAH2n3ZY=")</f>
        <v>#REF!</v>
      </c>
      <c r="EV19" t="e">
        <f>AND(Bills!#REF!,"AAAAAH2n3Zc=")</f>
        <v>#REF!</v>
      </c>
      <c r="EW19" t="e">
        <f>AND(Bills!#REF!,"AAAAAH2n3Zg=")</f>
        <v>#REF!</v>
      </c>
      <c r="EX19" t="e">
        <f>AND(Bills!#REF!,"AAAAAH2n3Zk=")</f>
        <v>#REF!</v>
      </c>
      <c r="EY19" t="e">
        <f>AND(Bills!#REF!,"AAAAAH2n3Zo=")</f>
        <v>#REF!</v>
      </c>
      <c r="EZ19" t="e">
        <f>AND(Bills!#REF!,"AAAAAH2n3Zs=")</f>
        <v>#REF!</v>
      </c>
      <c r="FA19" t="e">
        <f>AND(Bills!#REF!,"AAAAAH2n3Zw=")</f>
        <v>#REF!</v>
      </c>
      <c r="FB19" t="e">
        <f>AND(Bills!#REF!,"AAAAAH2n3Z0=")</f>
        <v>#REF!</v>
      </c>
      <c r="FC19" t="e">
        <f>AND(Bills!#REF!,"AAAAAH2n3Z4=")</f>
        <v>#REF!</v>
      </c>
      <c r="FD19" t="e">
        <f>AND(Bills!#REF!,"AAAAAH2n3Z8=")</f>
        <v>#REF!</v>
      </c>
      <c r="FE19" t="e">
        <f>AND(Bills!#REF!,"AAAAAH2n3aA=")</f>
        <v>#REF!</v>
      </c>
      <c r="FF19" t="e">
        <f>AND(Bills!#REF!,"AAAAAH2n3aE=")</f>
        <v>#REF!</v>
      </c>
      <c r="FG19" t="e">
        <f>AND(Bills!#REF!,"AAAAAH2n3aI=")</f>
        <v>#REF!</v>
      </c>
      <c r="FH19" t="e">
        <f>AND(Bills!#REF!,"AAAAAH2n3aM=")</f>
        <v>#REF!</v>
      </c>
      <c r="FI19" t="e">
        <f>AND(Bills!#REF!,"AAAAAH2n3aQ=")</f>
        <v>#REF!</v>
      </c>
      <c r="FJ19" t="e">
        <f>AND(Bills!#REF!,"AAAAAH2n3aU=")</f>
        <v>#REF!</v>
      </c>
      <c r="FK19" t="e">
        <f>AND(Bills!#REF!,"AAAAAH2n3aY=")</f>
        <v>#REF!</v>
      </c>
      <c r="FL19" t="e">
        <f>AND(Bills!#REF!,"AAAAAH2n3ac=")</f>
        <v>#REF!</v>
      </c>
      <c r="FM19" t="e">
        <f>AND(Bills!#REF!,"AAAAAH2n3ag=")</f>
        <v>#REF!</v>
      </c>
      <c r="FN19" t="e">
        <f>AND(Bills!#REF!,"AAAAAH2n3ak=")</f>
        <v>#REF!</v>
      </c>
      <c r="FO19" t="e">
        <f>AND(Bills!#REF!,"AAAAAH2n3ao=")</f>
        <v>#REF!</v>
      </c>
      <c r="FP19" t="e">
        <f>AND(Bills!#REF!,"AAAAAH2n3as=")</f>
        <v>#REF!</v>
      </c>
      <c r="FQ19" t="e">
        <f>AND(Bills!#REF!,"AAAAAH2n3aw=")</f>
        <v>#REF!</v>
      </c>
      <c r="FR19" t="e">
        <f>AND(Bills!#REF!,"AAAAAH2n3a0=")</f>
        <v>#REF!</v>
      </c>
      <c r="FS19" t="e">
        <f>IF(Bills!#REF!,"AAAAAH2n3a4=",0)</f>
        <v>#REF!</v>
      </c>
      <c r="FT19" t="e">
        <f>AND(Bills!#REF!,"AAAAAH2n3a8=")</f>
        <v>#REF!</v>
      </c>
      <c r="FU19" t="e">
        <f>AND(Bills!#REF!,"AAAAAH2n3bA=")</f>
        <v>#REF!</v>
      </c>
      <c r="FV19" t="e">
        <f>AND(Bills!#REF!,"AAAAAH2n3bE=")</f>
        <v>#REF!</v>
      </c>
      <c r="FW19" t="e">
        <f>AND(Bills!#REF!,"AAAAAH2n3bI=")</f>
        <v>#REF!</v>
      </c>
      <c r="FX19" t="e">
        <f>AND(Bills!#REF!,"AAAAAH2n3bM=")</f>
        <v>#REF!</v>
      </c>
      <c r="FY19" t="e">
        <f>AND(Bills!#REF!,"AAAAAH2n3bQ=")</f>
        <v>#REF!</v>
      </c>
      <c r="FZ19" t="e">
        <f>AND(Bills!#REF!,"AAAAAH2n3bU=")</f>
        <v>#REF!</v>
      </c>
      <c r="GA19" t="e">
        <f>AND(Bills!#REF!,"AAAAAH2n3bY=")</f>
        <v>#REF!</v>
      </c>
      <c r="GB19" t="e">
        <f>AND(Bills!#REF!,"AAAAAH2n3bc=")</f>
        <v>#REF!</v>
      </c>
      <c r="GC19" t="e">
        <f>AND(Bills!#REF!,"AAAAAH2n3bg=")</f>
        <v>#REF!</v>
      </c>
      <c r="GD19" t="e">
        <f>AND(Bills!#REF!,"AAAAAH2n3bk=")</f>
        <v>#REF!</v>
      </c>
      <c r="GE19" t="e">
        <f>AND(Bills!#REF!,"AAAAAH2n3bo=")</f>
        <v>#REF!</v>
      </c>
      <c r="GF19" t="e">
        <f>AND(Bills!#REF!,"AAAAAH2n3bs=")</f>
        <v>#REF!</v>
      </c>
      <c r="GG19" t="e">
        <f>AND(Bills!#REF!,"AAAAAH2n3bw=")</f>
        <v>#REF!</v>
      </c>
      <c r="GH19" t="e">
        <f>AND(Bills!#REF!,"AAAAAH2n3b0=")</f>
        <v>#REF!</v>
      </c>
      <c r="GI19" t="e">
        <f>AND(Bills!#REF!,"AAAAAH2n3b4=")</f>
        <v>#REF!</v>
      </c>
      <c r="GJ19" t="e">
        <f>AND(Bills!#REF!,"AAAAAH2n3b8=")</f>
        <v>#REF!</v>
      </c>
      <c r="GK19" t="e">
        <f>AND(Bills!#REF!,"AAAAAH2n3cA=")</f>
        <v>#REF!</v>
      </c>
      <c r="GL19" t="e">
        <f>AND(Bills!#REF!,"AAAAAH2n3cE=")</f>
        <v>#REF!</v>
      </c>
      <c r="GM19" t="e">
        <f>AND(Bills!#REF!,"AAAAAH2n3cI=")</f>
        <v>#REF!</v>
      </c>
      <c r="GN19" t="e">
        <f>AND(Bills!#REF!,"AAAAAH2n3cM=")</f>
        <v>#REF!</v>
      </c>
      <c r="GO19" t="e">
        <f>AND(Bills!#REF!,"AAAAAH2n3cQ=")</f>
        <v>#REF!</v>
      </c>
      <c r="GP19" t="e">
        <f>AND(Bills!#REF!,"AAAAAH2n3cU=")</f>
        <v>#REF!</v>
      </c>
      <c r="GQ19" t="e">
        <f>AND(Bills!#REF!,"AAAAAH2n3cY=")</f>
        <v>#REF!</v>
      </c>
      <c r="GR19" t="e">
        <f>AND(Bills!#REF!,"AAAAAH2n3cc=")</f>
        <v>#REF!</v>
      </c>
      <c r="GS19" t="e">
        <f>AND(Bills!#REF!,"AAAAAH2n3cg=")</f>
        <v>#REF!</v>
      </c>
      <c r="GT19" t="e">
        <f>AND(Bills!#REF!,"AAAAAH2n3ck=")</f>
        <v>#REF!</v>
      </c>
      <c r="GU19" t="e">
        <f>AND(Bills!#REF!,"AAAAAH2n3co=")</f>
        <v>#REF!</v>
      </c>
      <c r="GV19" t="e">
        <f>AND(Bills!#REF!,"AAAAAH2n3cs=")</f>
        <v>#REF!</v>
      </c>
      <c r="GW19" t="e">
        <f>AND(Bills!#REF!,"AAAAAH2n3cw=")</f>
        <v>#REF!</v>
      </c>
      <c r="GX19" t="e">
        <f>AND(Bills!#REF!,"AAAAAH2n3c0=")</f>
        <v>#REF!</v>
      </c>
      <c r="GY19" t="e">
        <f>AND(Bills!#REF!,"AAAAAH2n3c4=")</f>
        <v>#REF!</v>
      </c>
      <c r="GZ19" t="e">
        <f>AND(Bills!#REF!,"AAAAAH2n3c8=")</f>
        <v>#REF!</v>
      </c>
      <c r="HA19" t="e">
        <f>AND(Bills!#REF!,"AAAAAH2n3dA=")</f>
        <v>#REF!</v>
      </c>
      <c r="HB19" t="e">
        <f>AND(Bills!#REF!,"AAAAAH2n3dE=")</f>
        <v>#REF!</v>
      </c>
      <c r="HC19" t="e">
        <f>AND(Bills!#REF!,"AAAAAH2n3dI=")</f>
        <v>#REF!</v>
      </c>
      <c r="HD19" t="e">
        <f>AND(Bills!#REF!,"AAAAAH2n3dM=")</f>
        <v>#REF!</v>
      </c>
      <c r="HE19" t="e">
        <f>AND(Bills!#REF!,"AAAAAH2n3dQ=")</f>
        <v>#REF!</v>
      </c>
      <c r="HF19" t="e">
        <f>AND(Bills!#REF!,"AAAAAH2n3dU=")</f>
        <v>#REF!</v>
      </c>
      <c r="HG19" t="e">
        <f>AND(Bills!#REF!,"AAAAAH2n3dY=")</f>
        <v>#REF!</v>
      </c>
      <c r="HH19" t="e">
        <f>AND(Bills!#REF!,"AAAAAH2n3dc=")</f>
        <v>#REF!</v>
      </c>
      <c r="HI19" t="e">
        <f>AND(Bills!#REF!,"AAAAAH2n3dg=")</f>
        <v>#REF!</v>
      </c>
      <c r="HJ19" t="e">
        <f>AND(Bills!#REF!,"AAAAAH2n3dk=")</f>
        <v>#REF!</v>
      </c>
      <c r="HK19" t="e">
        <f>AND(Bills!#REF!,"AAAAAH2n3do=")</f>
        <v>#REF!</v>
      </c>
      <c r="HL19" t="e">
        <f>AND(Bills!#REF!,"AAAAAH2n3ds=")</f>
        <v>#REF!</v>
      </c>
      <c r="HM19" t="e">
        <f>AND(Bills!#REF!,"AAAAAH2n3dw=")</f>
        <v>#REF!</v>
      </c>
      <c r="HN19" t="e">
        <f>AND(Bills!#REF!,"AAAAAH2n3d0=")</f>
        <v>#REF!</v>
      </c>
      <c r="HO19" t="e">
        <f>AND(Bills!#REF!,"AAAAAH2n3d4=")</f>
        <v>#REF!</v>
      </c>
      <c r="HP19" t="e">
        <f>AND(Bills!#REF!,"AAAAAH2n3d8=")</f>
        <v>#REF!</v>
      </c>
      <c r="HQ19" t="e">
        <f>AND(Bills!#REF!,"AAAAAH2n3eA=")</f>
        <v>#REF!</v>
      </c>
      <c r="HR19" t="e">
        <f>IF(Bills!#REF!,"AAAAAH2n3eE=",0)</f>
        <v>#REF!</v>
      </c>
      <c r="HS19" t="e">
        <f>AND(Bills!#REF!,"AAAAAH2n3eI=")</f>
        <v>#REF!</v>
      </c>
      <c r="HT19" t="e">
        <f>AND(Bills!#REF!,"AAAAAH2n3eM=")</f>
        <v>#REF!</v>
      </c>
      <c r="HU19" t="e">
        <f>AND(Bills!#REF!,"AAAAAH2n3eQ=")</f>
        <v>#REF!</v>
      </c>
      <c r="HV19" t="e">
        <f>AND(Bills!#REF!,"AAAAAH2n3eU=")</f>
        <v>#REF!</v>
      </c>
      <c r="HW19" t="e">
        <f>AND(Bills!#REF!,"AAAAAH2n3eY=")</f>
        <v>#REF!</v>
      </c>
      <c r="HX19" t="e">
        <f>AND(Bills!#REF!,"AAAAAH2n3ec=")</f>
        <v>#REF!</v>
      </c>
      <c r="HY19" t="e">
        <f>AND(Bills!#REF!,"AAAAAH2n3eg=")</f>
        <v>#REF!</v>
      </c>
      <c r="HZ19" t="e">
        <f>AND(Bills!#REF!,"AAAAAH2n3ek=")</f>
        <v>#REF!</v>
      </c>
      <c r="IA19" t="e">
        <f>AND(Bills!#REF!,"AAAAAH2n3eo=")</f>
        <v>#REF!</v>
      </c>
      <c r="IB19" t="e">
        <f>AND(Bills!#REF!,"AAAAAH2n3es=")</f>
        <v>#REF!</v>
      </c>
      <c r="IC19" t="e">
        <f>AND(Bills!#REF!,"AAAAAH2n3ew=")</f>
        <v>#REF!</v>
      </c>
      <c r="ID19" t="e">
        <f>AND(Bills!#REF!,"AAAAAH2n3e0=")</f>
        <v>#REF!</v>
      </c>
      <c r="IE19" t="e">
        <f>AND(Bills!#REF!,"AAAAAH2n3e4=")</f>
        <v>#REF!</v>
      </c>
      <c r="IF19" t="e">
        <f>AND(Bills!#REF!,"AAAAAH2n3e8=")</f>
        <v>#REF!</v>
      </c>
      <c r="IG19" t="e">
        <f>AND(Bills!#REF!,"AAAAAH2n3fA=")</f>
        <v>#REF!</v>
      </c>
      <c r="IH19" t="e">
        <f>AND(Bills!#REF!,"AAAAAH2n3fE=")</f>
        <v>#REF!</v>
      </c>
      <c r="II19" t="e">
        <f>AND(Bills!#REF!,"AAAAAH2n3fI=")</f>
        <v>#REF!</v>
      </c>
      <c r="IJ19" t="e">
        <f>AND(Bills!#REF!,"AAAAAH2n3fM=")</f>
        <v>#REF!</v>
      </c>
      <c r="IK19" t="e">
        <f>AND(Bills!#REF!,"AAAAAH2n3fQ=")</f>
        <v>#REF!</v>
      </c>
      <c r="IL19" t="e">
        <f>AND(Bills!#REF!,"AAAAAH2n3fU=")</f>
        <v>#REF!</v>
      </c>
      <c r="IM19" t="e">
        <f>AND(Bills!#REF!,"AAAAAH2n3fY=")</f>
        <v>#REF!</v>
      </c>
      <c r="IN19" t="e">
        <f>AND(Bills!#REF!,"AAAAAH2n3fc=")</f>
        <v>#REF!</v>
      </c>
      <c r="IO19" t="e">
        <f>AND(Bills!#REF!,"AAAAAH2n3fg=")</f>
        <v>#REF!</v>
      </c>
      <c r="IP19" t="e">
        <f>AND(Bills!#REF!,"AAAAAH2n3fk=")</f>
        <v>#REF!</v>
      </c>
      <c r="IQ19" t="e">
        <f>AND(Bills!#REF!,"AAAAAH2n3fo=")</f>
        <v>#REF!</v>
      </c>
      <c r="IR19" t="e">
        <f>AND(Bills!#REF!,"AAAAAH2n3fs=")</f>
        <v>#REF!</v>
      </c>
      <c r="IS19" t="e">
        <f>AND(Bills!#REF!,"AAAAAH2n3fw=")</f>
        <v>#REF!</v>
      </c>
      <c r="IT19" t="e">
        <f>AND(Bills!#REF!,"AAAAAH2n3f0=")</f>
        <v>#REF!</v>
      </c>
      <c r="IU19" t="e">
        <f>AND(Bills!#REF!,"AAAAAH2n3f4=")</f>
        <v>#REF!</v>
      </c>
      <c r="IV19" t="e">
        <f>AND(Bills!#REF!,"AAAAAH2n3f8=")</f>
        <v>#REF!</v>
      </c>
    </row>
    <row r="20" spans="1:256">
      <c r="A20" t="e">
        <f>AND(Bills!#REF!,"AAAAADH7vwA=")</f>
        <v>#REF!</v>
      </c>
      <c r="B20" t="e">
        <f>AND(Bills!#REF!,"AAAAADH7vwE=")</f>
        <v>#REF!</v>
      </c>
      <c r="C20" t="e">
        <f>AND(Bills!#REF!,"AAAAADH7vwI=")</f>
        <v>#REF!</v>
      </c>
      <c r="D20" t="e">
        <f>AND(Bills!#REF!,"AAAAADH7vwM=")</f>
        <v>#REF!</v>
      </c>
      <c r="E20" t="e">
        <f>AND(Bills!#REF!,"AAAAADH7vwQ=")</f>
        <v>#REF!</v>
      </c>
      <c r="F20" t="e">
        <f>AND(Bills!#REF!,"AAAAADH7vwU=")</f>
        <v>#REF!</v>
      </c>
      <c r="G20" t="e">
        <f>AND(Bills!#REF!,"AAAAADH7vwY=")</f>
        <v>#REF!</v>
      </c>
      <c r="H20" t="e">
        <f>AND(Bills!#REF!,"AAAAADH7vwc=")</f>
        <v>#REF!</v>
      </c>
      <c r="I20" t="e">
        <f>AND(Bills!#REF!,"AAAAADH7vwg=")</f>
        <v>#REF!</v>
      </c>
      <c r="J20" t="e">
        <f>AND(Bills!#REF!,"AAAAADH7vwk=")</f>
        <v>#REF!</v>
      </c>
      <c r="K20" t="e">
        <f>AND(Bills!#REF!,"AAAAADH7vwo=")</f>
        <v>#REF!</v>
      </c>
      <c r="L20" t="e">
        <f>AND(Bills!#REF!,"AAAAADH7vws=")</f>
        <v>#REF!</v>
      </c>
      <c r="M20" t="e">
        <f>AND(Bills!#REF!,"AAAAADH7vww=")</f>
        <v>#REF!</v>
      </c>
      <c r="N20" t="e">
        <f>AND(Bills!#REF!,"AAAAADH7vw0=")</f>
        <v>#REF!</v>
      </c>
      <c r="O20" t="e">
        <f>AND(Bills!#REF!,"AAAAADH7vw4=")</f>
        <v>#REF!</v>
      </c>
      <c r="P20" t="e">
        <f>AND(Bills!#REF!,"AAAAADH7vw8=")</f>
        <v>#REF!</v>
      </c>
      <c r="Q20" t="e">
        <f>AND(Bills!#REF!,"AAAAADH7vxA=")</f>
        <v>#REF!</v>
      </c>
      <c r="R20" t="e">
        <f>AND(Bills!#REF!,"AAAAADH7vxE=")</f>
        <v>#REF!</v>
      </c>
      <c r="S20" t="e">
        <f>AND(Bills!#REF!,"AAAAADH7vxI=")</f>
        <v>#REF!</v>
      </c>
      <c r="T20" t="e">
        <f>AND(Bills!#REF!,"AAAAADH7vxM=")</f>
        <v>#REF!</v>
      </c>
      <c r="U20" t="e">
        <f>IF(Bills!#REF!,"AAAAADH7vxQ=",0)</f>
        <v>#REF!</v>
      </c>
      <c r="V20" t="e">
        <f>AND(Bills!#REF!,"AAAAADH7vxU=")</f>
        <v>#REF!</v>
      </c>
      <c r="W20" t="e">
        <f>AND(Bills!#REF!,"AAAAADH7vxY=")</f>
        <v>#REF!</v>
      </c>
      <c r="X20" t="e">
        <f>AND(Bills!#REF!,"AAAAADH7vxc=")</f>
        <v>#REF!</v>
      </c>
      <c r="Y20" t="e">
        <f>AND(Bills!#REF!,"AAAAADH7vxg=")</f>
        <v>#REF!</v>
      </c>
      <c r="Z20" t="e">
        <f>AND(Bills!#REF!,"AAAAADH7vxk=")</f>
        <v>#REF!</v>
      </c>
      <c r="AA20" t="e">
        <f>AND(Bills!#REF!,"AAAAADH7vxo=")</f>
        <v>#REF!</v>
      </c>
      <c r="AB20" t="e">
        <f>AND(Bills!#REF!,"AAAAADH7vxs=")</f>
        <v>#REF!</v>
      </c>
      <c r="AC20" t="e">
        <f>AND(Bills!#REF!,"AAAAADH7vxw=")</f>
        <v>#REF!</v>
      </c>
      <c r="AD20" t="e">
        <f>AND(Bills!#REF!,"AAAAADH7vx0=")</f>
        <v>#REF!</v>
      </c>
      <c r="AE20" t="e">
        <f>AND(Bills!#REF!,"AAAAADH7vx4=")</f>
        <v>#REF!</v>
      </c>
      <c r="AF20" t="e">
        <f>AND(Bills!#REF!,"AAAAADH7vx8=")</f>
        <v>#REF!</v>
      </c>
      <c r="AG20" t="e">
        <f>AND(Bills!#REF!,"AAAAADH7vyA=")</f>
        <v>#REF!</v>
      </c>
      <c r="AH20" t="e">
        <f>AND(Bills!#REF!,"AAAAADH7vyE=")</f>
        <v>#REF!</v>
      </c>
      <c r="AI20" t="e">
        <f>AND(Bills!#REF!,"AAAAADH7vyI=")</f>
        <v>#REF!</v>
      </c>
      <c r="AJ20" t="e">
        <f>AND(Bills!#REF!,"AAAAADH7vyM=")</f>
        <v>#REF!</v>
      </c>
      <c r="AK20" t="e">
        <f>AND(Bills!#REF!,"AAAAADH7vyQ=")</f>
        <v>#REF!</v>
      </c>
      <c r="AL20" t="e">
        <f>AND(Bills!#REF!,"AAAAADH7vyU=")</f>
        <v>#REF!</v>
      </c>
      <c r="AM20" t="e">
        <f>AND(Bills!#REF!,"AAAAADH7vyY=")</f>
        <v>#REF!</v>
      </c>
      <c r="AN20" t="e">
        <f>AND(Bills!#REF!,"AAAAADH7vyc=")</f>
        <v>#REF!</v>
      </c>
      <c r="AO20" t="e">
        <f>AND(Bills!#REF!,"AAAAADH7vyg=")</f>
        <v>#REF!</v>
      </c>
      <c r="AP20" t="e">
        <f>AND(Bills!#REF!,"AAAAADH7vyk=")</f>
        <v>#REF!</v>
      </c>
      <c r="AQ20" t="e">
        <f>AND(Bills!#REF!,"AAAAADH7vyo=")</f>
        <v>#REF!</v>
      </c>
      <c r="AR20" t="e">
        <f>AND(Bills!#REF!,"AAAAADH7vys=")</f>
        <v>#REF!</v>
      </c>
      <c r="AS20" t="e">
        <f>AND(Bills!#REF!,"AAAAADH7vyw=")</f>
        <v>#REF!</v>
      </c>
      <c r="AT20" t="e">
        <f>AND(Bills!#REF!,"AAAAADH7vy0=")</f>
        <v>#REF!</v>
      </c>
      <c r="AU20" t="e">
        <f>AND(Bills!#REF!,"AAAAADH7vy4=")</f>
        <v>#REF!</v>
      </c>
      <c r="AV20" t="e">
        <f>AND(Bills!#REF!,"AAAAADH7vy8=")</f>
        <v>#REF!</v>
      </c>
      <c r="AW20" t="e">
        <f>AND(Bills!#REF!,"AAAAADH7vzA=")</f>
        <v>#REF!</v>
      </c>
      <c r="AX20" t="e">
        <f>AND(Bills!#REF!,"AAAAADH7vzE=")</f>
        <v>#REF!</v>
      </c>
      <c r="AY20" t="e">
        <f>AND(Bills!#REF!,"AAAAADH7vzI=")</f>
        <v>#REF!</v>
      </c>
      <c r="AZ20" t="e">
        <f>AND(Bills!#REF!,"AAAAADH7vzM=")</f>
        <v>#REF!</v>
      </c>
      <c r="BA20" t="e">
        <f>AND(Bills!#REF!,"AAAAADH7vzQ=")</f>
        <v>#REF!</v>
      </c>
      <c r="BB20" t="e">
        <f>AND(Bills!#REF!,"AAAAADH7vzU=")</f>
        <v>#REF!</v>
      </c>
      <c r="BC20" t="e">
        <f>AND(Bills!#REF!,"AAAAADH7vzY=")</f>
        <v>#REF!</v>
      </c>
      <c r="BD20" t="e">
        <f>AND(Bills!#REF!,"AAAAADH7vzc=")</f>
        <v>#REF!</v>
      </c>
      <c r="BE20" t="e">
        <f>AND(Bills!#REF!,"AAAAADH7vzg=")</f>
        <v>#REF!</v>
      </c>
      <c r="BF20" t="e">
        <f>AND(Bills!#REF!,"AAAAADH7vzk=")</f>
        <v>#REF!</v>
      </c>
      <c r="BG20" t="e">
        <f>AND(Bills!#REF!,"AAAAADH7vzo=")</f>
        <v>#REF!</v>
      </c>
      <c r="BH20" t="e">
        <f>AND(Bills!#REF!,"AAAAADH7vzs=")</f>
        <v>#REF!</v>
      </c>
      <c r="BI20" t="e">
        <f>AND(Bills!#REF!,"AAAAADH7vzw=")</f>
        <v>#REF!</v>
      </c>
      <c r="BJ20" t="e">
        <f>AND(Bills!#REF!,"AAAAADH7vz0=")</f>
        <v>#REF!</v>
      </c>
      <c r="BK20" t="e">
        <f>AND(Bills!#REF!,"AAAAADH7vz4=")</f>
        <v>#REF!</v>
      </c>
      <c r="BL20" t="e">
        <f>AND(Bills!#REF!,"AAAAADH7vz8=")</f>
        <v>#REF!</v>
      </c>
      <c r="BM20" t="e">
        <f>AND(Bills!#REF!,"AAAAADH7v0A=")</f>
        <v>#REF!</v>
      </c>
      <c r="BN20" t="e">
        <f>AND(Bills!#REF!,"AAAAADH7v0E=")</f>
        <v>#REF!</v>
      </c>
      <c r="BO20" t="e">
        <f>AND(Bills!#REF!,"AAAAADH7v0I=")</f>
        <v>#REF!</v>
      </c>
      <c r="BP20" t="e">
        <f>AND(Bills!#REF!,"AAAAADH7v0M=")</f>
        <v>#REF!</v>
      </c>
      <c r="BQ20" t="e">
        <f>AND(Bills!#REF!,"AAAAADH7v0Q=")</f>
        <v>#REF!</v>
      </c>
      <c r="BR20" t="e">
        <f>AND(Bills!#REF!,"AAAAADH7v0U=")</f>
        <v>#REF!</v>
      </c>
      <c r="BS20" t="e">
        <f>AND(Bills!#REF!,"AAAAADH7v0Y=")</f>
        <v>#REF!</v>
      </c>
      <c r="BT20" t="e">
        <f>IF(Bills!#REF!,"AAAAADH7v0c=",0)</f>
        <v>#REF!</v>
      </c>
      <c r="BU20" t="e">
        <f>AND(Bills!#REF!,"AAAAADH7v0g=")</f>
        <v>#REF!</v>
      </c>
      <c r="BV20" t="e">
        <f>AND(Bills!#REF!,"AAAAADH7v0k=")</f>
        <v>#REF!</v>
      </c>
      <c r="BW20" t="e">
        <f>AND(Bills!#REF!,"AAAAADH7v0o=")</f>
        <v>#REF!</v>
      </c>
      <c r="BX20" t="e">
        <f>AND(Bills!#REF!,"AAAAADH7v0s=")</f>
        <v>#REF!</v>
      </c>
      <c r="BY20" t="e">
        <f>AND(Bills!#REF!,"AAAAADH7v0w=")</f>
        <v>#REF!</v>
      </c>
      <c r="BZ20" t="e">
        <f>AND(Bills!#REF!,"AAAAADH7v00=")</f>
        <v>#REF!</v>
      </c>
      <c r="CA20" t="e">
        <f>AND(Bills!#REF!,"AAAAADH7v04=")</f>
        <v>#REF!</v>
      </c>
      <c r="CB20" t="e">
        <f>AND(Bills!#REF!,"AAAAADH7v08=")</f>
        <v>#REF!</v>
      </c>
      <c r="CC20" t="e">
        <f>AND(Bills!#REF!,"AAAAADH7v1A=")</f>
        <v>#REF!</v>
      </c>
      <c r="CD20" t="e">
        <f>AND(Bills!#REF!,"AAAAADH7v1E=")</f>
        <v>#REF!</v>
      </c>
      <c r="CE20" t="e">
        <f>AND(Bills!#REF!,"AAAAADH7v1I=")</f>
        <v>#REF!</v>
      </c>
      <c r="CF20" t="e">
        <f>AND(Bills!#REF!,"AAAAADH7v1M=")</f>
        <v>#REF!</v>
      </c>
      <c r="CG20" t="e">
        <f>AND(Bills!#REF!,"AAAAADH7v1Q=")</f>
        <v>#REF!</v>
      </c>
      <c r="CH20" t="e">
        <f>AND(Bills!#REF!,"AAAAADH7v1U=")</f>
        <v>#REF!</v>
      </c>
      <c r="CI20" t="e">
        <f>AND(Bills!#REF!,"AAAAADH7v1Y=")</f>
        <v>#REF!</v>
      </c>
      <c r="CJ20" t="e">
        <f>AND(Bills!#REF!,"AAAAADH7v1c=")</f>
        <v>#REF!</v>
      </c>
      <c r="CK20" t="e">
        <f>AND(Bills!#REF!,"AAAAADH7v1g=")</f>
        <v>#REF!</v>
      </c>
      <c r="CL20" t="e">
        <f>AND(Bills!#REF!,"AAAAADH7v1k=")</f>
        <v>#REF!</v>
      </c>
      <c r="CM20" t="e">
        <f>AND(Bills!#REF!,"AAAAADH7v1o=")</f>
        <v>#REF!</v>
      </c>
      <c r="CN20" t="e">
        <f>AND(Bills!#REF!,"AAAAADH7v1s=")</f>
        <v>#REF!</v>
      </c>
      <c r="CO20" t="e">
        <f>AND(Bills!#REF!,"AAAAADH7v1w=")</f>
        <v>#REF!</v>
      </c>
      <c r="CP20" t="e">
        <f>AND(Bills!#REF!,"AAAAADH7v10=")</f>
        <v>#REF!</v>
      </c>
      <c r="CQ20" t="e">
        <f>AND(Bills!#REF!,"AAAAADH7v14=")</f>
        <v>#REF!</v>
      </c>
      <c r="CR20" t="e">
        <f>AND(Bills!#REF!,"AAAAADH7v18=")</f>
        <v>#REF!</v>
      </c>
      <c r="CS20" t="e">
        <f>AND(Bills!#REF!,"AAAAADH7v2A=")</f>
        <v>#REF!</v>
      </c>
      <c r="CT20" t="e">
        <f>AND(Bills!#REF!,"AAAAADH7v2E=")</f>
        <v>#REF!</v>
      </c>
      <c r="CU20" t="e">
        <f>AND(Bills!#REF!,"AAAAADH7v2I=")</f>
        <v>#REF!</v>
      </c>
      <c r="CV20" t="e">
        <f>AND(Bills!#REF!,"AAAAADH7v2M=")</f>
        <v>#REF!</v>
      </c>
      <c r="CW20" t="e">
        <f>AND(Bills!#REF!,"AAAAADH7v2Q=")</f>
        <v>#REF!</v>
      </c>
      <c r="CX20" t="e">
        <f>AND(Bills!#REF!,"AAAAADH7v2U=")</f>
        <v>#REF!</v>
      </c>
      <c r="CY20" t="e">
        <f>AND(Bills!#REF!,"AAAAADH7v2Y=")</f>
        <v>#REF!</v>
      </c>
      <c r="CZ20" t="e">
        <f>AND(Bills!#REF!,"AAAAADH7v2c=")</f>
        <v>#REF!</v>
      </c>
      <c r="DA20" t="e">
        <f>AND(Bills!#REF!,"AAAAADH7v2g=")</f>
        <v>#REF!</v>
      </c>
      <c r="DB20" t="e">
        <f>AND(Bills!#REF!,"AAAAADH7v2k=")</f>
        <v>#REF!</v>
      </c>
      <c r="DC20" t="e">
        <f>AND(Bills!#REF!,"AAAAADH7v2o=")</f>
        <v>#REF!</v>
      </c>
      <c r="DD20" t="e">
        <f>AND(Bills!#REF!,"AAAAADH7v2s=")</f>
        <v>#REF!</v>
      </c>
      <c r="DE20" t="e">
        <f>AND(Bills!#REF!,"AAAAADH7v2w=")</f>
        <v>#REF!</v>
      </c>
      <c r="DF20" t="e">
        <f>AND(Bills!#REF!,"AAAAADH7v20=")</f>
        <v>#REF!</v>
      </c>
      <c r="DG20" t="e">
        <f>AND(Bills!#REF!,"AAAAADH7v24=")</f>
        <v>#REF!</v>
      </c>
      <c r="DH20" t="e">
        <f>AND(Bills!#REF!,"AAAAADH7v28=")</f>
        <v>#REF!</v>
      </c>
      <c r="DI20" t="e">
        <f>AND(Bills!#REF!,"AAAAADH7v3A=")</f>
        <v>#REF!</v>
      </c>
      <c r="DJ20" t="e">
        <f>AND(Bills!#REF!,"AAAAADH7v3E=")</f>
        <v>#REF!</v>
      </c>
      <c r="DK20" t="e">
        <f>AND(Bills!#REF!,"AAAAADH7v3I=")</f>
        <v>#REF!</v>
      </c>
      <c r="DL20" t="e">
        <f>AND(Bills!#REF!,"AAAAADH7v3M=")</f>
        <v>#REF!</v>
      </c>
      <c r="DM20" t="e">
        <f>AND(Bills!#REF!,"AAAAADH7v3Q=")</f>
        <v>#REF!</v>
      </c>
      <c r="DN20" t="e">
        <f>AND(Bills!#REF!,"AAAAADH7v3U=")</f>
        <v>#REF!</v>
      </c>
      <c r="DO20" t="e">
        <f>AND(Bills!#REF!,"AAAAADH7v3Y=")</f>
        <v>#REF!</v>
      </c>
      <c r="DP20" t="e">
        <f>AND(Bills!#REF!,"AAAAADH7v3c=")</f>
        <v>#REF!</v>
      </c>
      <c r="DQ20" t="e">
        <f>AND(Bills!#REF!,"AAAAADH7v3g=")</f>
        <v>#REF!</v>
      </c>
      <c r="DR20" t="e">
        <f>AND(Bills!#REF!,"AAAAADH7v3k=")</f>
        <v>#REF!</v>
      </c>
      <c r="DS20">
        <f>IF(Bills!11:11,"AAAAADH7v3o=",0)</f>
        <v>0</v>
      </c>
      <c r="DT20" t="e">
        <f>AND(Bills!B11,"AAAAADH7v3s=")</f>
        <v>#VALUE!</v>
      </c>
      <c r="DU20" t="e">
        <f>AND(Bills!#REF!,"AAAAADH7v3w=")</f>
        <v>#REF!</v>
      </c>
      <c r="DV20" t="e">
        <f>AND(Bills!C11,"AAAAADH7v30=")</f>
        <v>#VALUE!</v>
      </c>
      <c r="DW20" t="e">
        <f>AND(Bills!#REF!,"AAAAADH7v34=")</f>
        <v>#REF!</v>
      </c>
      <c r="DX20" t="e">
        <f>AND(Bills!#REF!,"AAAAADH7v38=")</f>
        <v>#REF!</v>
      </c>
      <c r="DY20" t="e">
        <f>AND(Bills!#REF!,"AAAAADH7v4A=")</f>
        <v>#REF!</v>
      </c>
      <c r="DZ20" t="e">
        <f>AND(Bills!#REF!,"AAAAADH7v4E=")</f>
        <v>#REF!</v>
      </c>
      <c r="EA20" t="e">
        <f>AND(Bills!#REF!,"AAAAADH7v4I=")</f>
        <v>#REF!</v>
      </c>
      <c r="EB20" t="e">
        <f>AND(Bills!D11,"AAAAADH7v4M=")</f>
        <v>#VALUE!</v>
      </c>
      <c r="EC20" t="e">
        <f>AND(Bills!#REF!,"AAAAADH7v4Q=")</f>
        <v>#REF!</v>
      </c>
      <c r="ED20" t="e">
        <f>AND(Bills!E11,"AAAAADH7v4U=")</f>
        <v>#VALUE!</v>
      </c>
      <c r="EE20" t="e">
        <f>AND(Bills!F11,"AAAAADH7v4Y=")</f>
        <v>#VALUE!</v>
      </c>
      <c r="EF20" t="e">
        <f>AND(Bills!G11,"AAAAADH7v4c=")</f>
        <v>#VALUE!</v>
      </c>
      <c r="EG20" t="e">
        <f>AND(Bills!H11,"AAAAADH7v4g=")</f>
        <v>#VALUE!</v>
      </c>
      <c r="EH20" t="e">
        <f>AND(Bills!I11,"AAAAADH7v4k=")</f>
        <v>#VALUE!</v>
      </c>
      <c r="EI20" t="e">
        <f>AND(Bills!J11,"AAAAADH7v4o=")</f>
        <v>#VALUE!</v>
      </c>
      <c r="EJ20" t="e">
        <f>AND(Bills!#REF!,"AAAAADH7v4s=")</f>
        <v>#REF!</v>
      </c>
      <c r="EK20" t="e">
        <f>AND(Bills!K11,"AAAAADH7v4w=")</f>
        <v>#VALUE!</v>
      </c>
      <c r="EL20" t="e">
        <f>AND(Bills!L11,"AAAAADH7v40=")</f>
        <v>#VALUE!</v>
      </c>
      <c r="EM20" t="e">
        <f>AND(Bills!M11,"AAAAADH7v44=")</f>
        <v>#VALUE!</v>
      </c>
      <c r="EN20" t="e">
        <f>AND(Bills!N11,"AAAAADH7v48=")</f>
        <v>#VALUE!</v>
      </c>
      <c r="EO20" t="e">
        <f>AND(Bills!O11,"AAAAADH7v5A=")</f>
        <v>#VALUE!</v>
      </c>
      <c r="EP20" t="e">
        <f>AND(Bills!P11,"AAAAADH7v5E=")</f>
        <v>#VALUE!</v>
      </c>
      <c r="EQ20" t="e">
        <f>AND(Bills!Q11,"AAAAADH7v5I=")</f>
        <v>#VALUE!</v>
      </c>
      <c r="ER20" t="e">
        <f>AND(Bills!R11,"AAAAADH7v5M=")</f>
        <v>#VALUE!</v>
      </c>
      <c r="ES20" t="e">
        <f>AND(Bills!#REF!,"AAAAADH7v5Q=")</f>
        <v>#REF!</v>
      </c>
      <c r="ET20" t="e">
        <f>AND(Bills!S11,"AAAAADH7v5U=")</f>
        <v>#VALUE!</v>
      </c>
      <c r="EU20" t="e">
        <f>AND(Bills!T11,"AAAAADH7v5Y=")</f>
        <v>#VALUE!</v>
      </c>
      <c r="EV20" t="e">
        <f>AND(Bills!U11,"AAAAADH7v5c=")</f>
        <v>#VALUE!</v>
      </c>
      <c r="EW20" t="e">
        <f>AND(Bills!#REF!,"AAAAADH7v5g=")</f>
        <v>#REF!</v>
      </c>
      <c r="EX20" t="e">
        <f>AND(Bills!#REF!,"AAAAADH7v5k=")</f>
        <v>#REF!</v>
      </c>
      <c r="EY20" t="e">
        <f>AND(Bills!W11,"AAAAADH7v5o=")</f>
        <v>#VALUE!</v>
      </c>
      <c r="EZ20" t="e">
        <f>AND(Bills!X11,"AAAAADH7v5s=")</f>
        <v>#VALUE!</v>
      </c>
      <c r="FA20" t="e">
        <f>AND(Bills!#REF!,"AAAAADH7v5w=")</f>
        <v>#REF!</v>
      </c>
      <c r="FB20" t="e">
        <f>AND(Bills!#REF!,"AAAAADH7v50=")</f>
        <v>#REF!</v>
      </c>
      <c r="FC20" t="e">
        <f>AND(Bills!#REF!,"AAAAADH7v54=")</f>
        <v>#REF!</v>
      </c>
      <c r="FD20" t="e">
        <f>AND(Bills!#REF!,"AAAAADH7v58=")</f>
        <v>#REF!</v>
      </c>
      <c r="FE20" t="e">
        <f>AND(Bills!#REF!,"AAAAADH7v6A=")</f>
        <v>#REF!</v>
      </c>
      <c r="FF20" t="e">
        <f>AND(Bills!#REF!,"AAAAADH7v6E=")</f>
        <v>#REF!</v>
      </c>
      <c r="FG20" t="e">
        <f>AND(Bills!#REF!,"AAAAADH7v6I=")</f>
        <v>#REF!</v>
      </c>
      <c r="FH20" t="e">
        <f>AND(Bills!#REF!,"AAAAADH7v6M=")</f>
        <v>#REF!</v>
      </c>
      <c r="FI20" t="e">
        <f>AND(Bills!#REF!,"AAAAADH7v6Q=")</f>
        <v>#REF!</v>
      </c>
      <c r="FJ20" t="e">
        <f>AND(Bills!Y11,"AAAAADH7v6U=")</f>
        <v>#VALUE!</v>
      </c>
      <c r="FK20" t="e">
        <f>AND(Bills!Z11,"AAAAADH7v6Y=")</f>
        <v>#VALUE!</v>
      </c>
      <c r="FL20" t="e">
        <f>AND(Bills!#REF!,"AAAAADH7v6c=")</f>
        <v>#REF!</v>
      </c>
      <c r="FM20" t="e">
        <f>AND(Bills!#REF!,"AAAAADH7v6g=")</f>
        <v>#REF!</v>
      </c>
      <c r="FN20" t="e">
        <f>AND(Bills!#REF!,"AAAAADH7v6k=")</f>
        <v>#REF!</v>
      </c>
      <c r="FO20" t="e">
        <f>AND(Bills!AA11,"AAAAADH7v6o=")</f>
        <v>#VALUE!</v>
      </c>
      <c r="FP20" t="e">
        <f>AND(Bills!AB11,"AAAAADH7v6s=")</f>
        <v>#VALUE!</v>
      </c>
      <c r="FQ20" t="e">
        <f>AND(Bills!#REF!,"AAAAADH7v6w=")</f>
        <v>#REF!</v>
      </c>
      <c r="FR20" t="e">
        <f>IF(Bills!#REF!,"AAAAADH7v60=",0)</f>
        <v>#REF!</v>
      </c>
      <c r="FS20" t="e">
        <f>AND(Bills!#REF!,"AAAAADH7v64=")</f>
        <v>#REF!</v>
      </c>
      <c r="FT20" t="e">
        <f>AND(Bills!#REF!,"AAAAADH7v68=")</f>
        <v>#REF!</v>
      </c>
      <c r="FU20" t="e">
        <f>AND(Bills!#REF!,"AAAAADH7v7A=")</f>
        <v>#REF!</v>
      </c>
      <c r="FV20" t="e">
        <f>AND(Bills!#REF!,"AAAAADH7v7E=")</f>
        <v>#REF!</v>
      </c>
      <c r="FW20" t="e">
        <f>AND(Bills!#REF!,"AAAAADH7v7I=")</f>
        <v>#REF!</v>
      </c>
      <c r="FX20" t="e">
        <f>AND(Bills!#REF!,"AAAAADH7v7M=")</f>
        <v>#REF!</v>
      </c>
      <c r="FY20" t="e">
        <f>AND(Bills!#REF!,"AAAAADH7v7Q=")</f>
        <v>#REF!</v>
      </c>
      <c r="FZ20" t="e">
        <f>AND(Bills!#REF!,"AAAAADH7v7U=")</f>
        <v>#REF!</v>
      </c>
      <c r="GA20" t="e">
        <f>AND(Bills!#REF!,"AAAAADH7v7Y=")</f>
        <v>#REF!</v>
      </c>
      <c r="GB20" t="e">
        <f>AND(Bills!#REF!,"AAAAADH7v7c=")</f>
        <v>#REF!</v>
      </c>
      <c r="GC20" t="e">
        <f>AND(Bills!#REF!,"AAAAADH7v7g=")</f>
        <v>#REF!</v>
      </c>
      <c r="GD20" t="e">
        <f>AND(Bills!#REF!,"AAAAADH7v7k=")</f>
        <v>#REF!</v>
      </c>
      <c r="GE20" t="e">
        <f>AND(Bills!#REF!,"AAAAADH7v7o=")</f>
        <v>#REF!</v>
      </c>
      <c r="GF20" t="e">
        <f>AND(Bills!#REF!,"AAAAADH7v7s=")</f>
        <v>#REF!</v>
      </c>
      <c r="GG20" t="e">
        <f>AND(Bills!#REF!,"AAAAADH7v7w=")</f>
        <v>#REF!</v>
      </c>
      <c r="GH20" t="e">
        <f>AND(Bills!#REF!,"AAAAADH7v70=")</f>
        <v>#REF!</v>
      </c>
      <c r="GI20" t="e">
        <f>AND(Bills!#REF!,"AAAAADH7v74=")</f>
        <v>#REF!</v>
      </c>
      <c r="GJ20" t="e">
        <f>AND(Bills!#REF!,"AAAAADH7v78=")</f>
        <v>#REF!</v>
      </c>
      <c r="GK20" t="e">
        <f>AND(Bills!#REF!,"AAAAADH7v8A=")</f>
        <v>#REF!</v>
      </c>
      <c r="GL20" t="e">
        <f>AND(Bills!#REF!,"AAAAADH7v8E=")</f>
        <v>#REF!</v>
      </c>
      <c r="GM20" t="e">
        <f>AND(Bills!#REF!,"AAAAADH7v8I=")</f>
        <v>#REF!</v>
      </c>
      <c r="GN20" t="e">
        <f>AND(Bills!#REF!,"AAAAADH7v8M=")</f>
        <v>#REF!</v>
      </c>
      <c r="GO20" t="e">
        <f>AND(Bills!#REF!,"AAAAADH7v8Q=")</f>
        <v>#REF!</v>
      </c>
      <c r="GP20" t="e">
        <f>AND(Bills!#REF!,"AAAAADH7v8U=")</f>
        <v>#REF!</v>
      </c>
      <c r="GQ20" t="e">
        <f>AND(Bills!#REF!,"AAAAADH7v8Y=")</f>
        <v>#REF!</v>
      </c>
      <c r="GR20" t="e">
        <f>AND(Bills!#REF!,"AAAAADH7v8c=")</f>
        <v>#REF!</v>
      </c>
      <c r="GS20" t="e">
        <f>AND(Bills!#REF!,"AAAAADH7v8g=")</f>
        <v>#REF!</v>
      </c>
      <c r="GT20" t="e">
        <f>AND(Bills!#REF!,"AAAAADH7v8k=")</f>
        <v>#REF!</v>
      </c>
      <c r="GU20" t="e">
        <f>AND(Bills!#REF!,"AAAAADH7v8o=")</f>
        <v>#REF!</v>
      </c>
      <c r="GV20" t="e">
        <f>AND(Bills!#REF!,"AAAAADH7v8s=")</f>
        <v>#REF!</v>
      </c>
      <c r="GW20" t="e">
        <f>AND(Bills!#REF!,"AAAAADH7v8w=")</f>
        <v>#REF!</v>
      </c>
      <c r="GX20" t="e">
        <f>AND(Bills!#REF!,"AAAAADH7v80=")</f>
        <v>#REF!</v>
      </c>
      <c r="GY20" t="e">
        <f>AND(Bills!#REF!,"AAAAADH7v84=")</f>
        <v>#REF!</v>
      </c>
      <c r="GZ20" t="e">
        <f>AND(Bills!#REF!,"AAAAADH7v88=")</f>
        <v>#REF!</v>
      </c>
      <c r="HA20" t="e">
        <f>AND(Bills!#REF!,"AAAAADH7v9A=")</f>
        <v>#REF!</v>
      </c>
      <c r="HB20" t="e">
        <f>AND(Bills!#REF!,"AAAAADH7v9E=")</f>
        <v>#REF!</v>
      </c>
      <c r="HC20" t="e">
        <f>AND(Bills!#REF!,"AAAAADH7v9I=")</f>
        <v>#REF!</v>
      </c>
      <c r="HD20" t="e">
        <f>AND(Bills!#REF!,"AAAAADH7v9M=")</f>
        <v>#REF!</v>
      </c>
      <c r="HE20" t="e">
        <f>AND(Bills!#REF!,"AAAAADH7v9Q=")</f>
        <v>#REF!</v>
      </c>
      <c r="HF20" t="e">
        <f>AND(Bills!#REF!,"AAAAADH7v9U=")</f>
        <v>#REF!</v>
      </c>
      <c r="HG20" t="e">
        <f>AND(Bills!#REF!,"AAAAADH7v9Y=")</f>
        <v>#REF!</v>
      </c>
      <c r="HH20" t="e">
        <f>AND(Bills!#REF!,"AAAAADH7v9c=")</f>
        <v>#REF!</v>
      </c>
      <c r="HI20" t="e">
        <f>AND(Bills!#REF!,"AAAAADH7v9g=")</f>
        <v>#REF!</v>
      </c>
      <c r="HJ20" t="e">
        <f>AND(Bills!#REF!,"AAAAADH7v9k=")</f>
        <v>#REF!</v>
      </c>
      <c r="HK20" t="e">
        <f>AND(Bills!#REF!,"AAAAADH7v9o=")</f>
        <v>#REF!</v>
      </c>
      <c r="HL20" t="e">
        <f>AND(Bills!#REF!,"AAAAADH7v9s=")</f>
        <v>#REF!</v>
      </c>
      <c r="HM20" t="e">
        <f>AND(Bills!#REF!,"AAAAADH7v9w=")</f>
        <v>#REF!</v>
      </c>
      <c r="HN20" t="e">
        <f>AND(Bills!#REF!,"AAAAADH7v90=")</f>
        <v>#REF!</v>
      </c>
      <c r="HO20" t="e">
        <f>AND(Bills!#REF!,"AAAAADH7v94=")</f>
        <v>#REF!</v>
      </c>
      <c r="HP20" t="e">
        <f>AND(Bills!#REF!,"AAAAADH7v98=")</f>
        <v>#REF!</v>
      </c>
      <c r="HQ20" t="e">
        <f>IF(Bills!#REF!,"AAAAADH7v+A=",0)</f>
        <v>#REF!</v>
      </c>
      <c r="HR20" t="e">
        <f>AND(Bills!#REF!,"AAAAADH7v+E=")</f>
        <v>#REF!</v>
      </c>
      <c r="HS20" t="e">
        <f>AND(Bills!#REF!,"AAAAADH7v+I=")</f>
        <v>#REF!</v>
      </c>
      <c r="HT20" t="e">
        <f>AND(Bills!#REF!,"AAAAADH7v+M=")</f>
        <v>#REF!</v>
      </c>
      <c r="HU20" t="e">
        <f>AND(Bills!#REF!,"AAAAADH7v+Q=")</f>
        <v>#REF!</v>
      </c>
      <c r="HV20" t="e">
        <f>AND(Bills!#REF!,"AAAAADH7v+U=")</f>
        <v>#REF!</v>
      </c>
      <c r="HW20" t="e">
        <f>AND(Bills!#REF!,"AAAAADH7v+Y=")</f>
        <v>#REF!</v>
      </c>
      <c r="HX20" t="e">
        <f>AND(Bills!#REF!,"AAAAADH7v+c=")</f>
        <v>#REF!</v>
      </c>
      <c r="HY20" t="e">
        <f>AND(Bills!#REF!,"AAAAADH7v+g=")</f>
        <v>#REF!</v>
      </c>
      <c r="HZ20" t="e">
        <f>AND(Bills!#REF!,"AAAAADH7v+k=")</f>
        <v>#REF!</v>
      </c>
      <c r="IA20" t="e">
        <f>AND(Bills!#REF!,"AAAAADH7v+o=")</f>
        <v>#REF!</v>
      </c>
      <c r="IB20" t="e">
        <f>AND(Bills!#REF!,"AAAAADH7v+s=")</f>
        <v>#REF!</v>
      </c>
      <c r="IC20" t="e">
        <f>AND(Bills!#REF!,"AAAAADH7v+w=")</f>
        <v>#REF!</v>
      </c>
      <c r="ID20" t="e">
        <f>AND(Bills!#REF!,"AAAAADH7v+0=")</f>
        <v>#REF!</v>
      </c>
      <c r="IE20" t="e">
        <f>AND(Bills!#REF!,"AAAAADH7v+4=")</f>
        <v>#REF!</v>
      </c>
      <c r="IF20" t="e">
        <f>AND(Bills!#REF!,"AAAAADH7v+8=")</f>
        <v>#REF!</v>
      </c>
      <c r="IG20" t="e">
        <f>AND(Bills!#REF!,"AAAAADH7v/A=")</f>
        <v>#REF!</v>
      </c>
      <c r="IH20" t="e">
        <f>AND(Bills!#REF!,"AAAAADH7v/E=")</f>
        <v>#REF!</v>
      </c>
      <c r="II20" t="e">
        <f>AND(Bills!#REF!,"AAAAADH7v/I=")</f>
        <v>#REF!</v>
      </c>
      <c r="IJ20" t="e">
        <f>AND(Bills!#REF!,"AAAAADH7v/M=")</f>
        <v>#REF!</v>
      </c>
      <c r="IK20" t="e">
        <f>AND(Bills!#REF!,"AAAAADH7v/Q=")</f>
        <v>#REF!</v>
      </c>
      <c r="IL20" t="e">
        <f>AND(Bills!#REF!,"AAAAADH7v/U=")</f>
        <v>#REF!</v>
      </c>
      <c r="IM20" t="e">
        <f>AND(Bills!#REF!,"AAAAADH7v/Y=")</f>
        <v>#REF!</v>
      </c>
      <c r="IN20" t="e">
        <f>AND(Bills!#REF!,"AAAAADH7v/c=")</f>
        <v>#REF!</v>
      </c>
      <c r="IO20" t="e">
        <f>AND(Bills!#REF!,"AAAAADH7v/g=")</f>
        <v>#REF!</v>
      </c>
      <c r="IP20" t="e">
        <f>AND(Bills!#REF!,"AAAAADH7v/k=")</f>
        <v>#REF!</v>
      </c>
      <c r="IQ20" t="e">
        <f>AND(Bills!#REF!,"AAAAADH7v/o=")</f>
        <v>#REF!</v>
      </c>
      <c r="IR20" t="e">
        <f>AND(Bills!#REF!,"AAAAADH7v/s=")</f>
        <v>#REF!</v>
      </c>
      <c r="IS20" t="e">
        <f>AND(Bills!#REF!,"AAAAADH7v/w=")</f>
        <v>#REF!</v>
      </c>
      <c r="IT20" t="e">
        <f>AND(Bills!#REF!,"AAAAADH7v/0=")</f>
        <v>#REF!</v>
      </c>
      <c r="IU20" t="e">
        <f>AND(Bills!#REF!,"AAAAADH7v/4=")</f>
        <v>#REF!</v>
      </c>
      <c r="IV20" t="e">
        <f>AND(Bills!#REF!,"AAAAADH7v/8=")</f>
        <v>#REF!</v>
      </c>
    </row>
    <row r="21" spans="1:256">
      <c r="A21" t="e">
        <f>AND(Bills!#REF!,"AAAAAD7+bAA=")</f>
        <v>#REF!</v>
      </c>
      <c r="B21" t="e">
        <f>AND(Bills!#REF!,"AAAAAD7+bAE=")</f>
        <v>#REF!</v>
      </c>
      <c r="C21" t="e">
        <f>AND(Bills!#REF!,"AAAAAD7+bAI=")</f>
        <v>#REF!</v>
      </c>
      <c r="D21" t="e">
        <f>AND(Bills!#REF!,"AAAAAD7+bAM=")</f>
        <v>#REF!</v>
      </c>
      <c r="E21" t="e">
        <f>AND(Bills!#REF!,"AAAAAD7+bAQ=")</f>
        <v>#REF!</v>
      </c>
      <c r="F21" t="e">
        <f>AND(Bills!#REF!,"AAAAAD7+bAU=")</f>
        <v>#REF!</v>
      </c>
      <c r="G21" t="e">
        <f>AND(Bills!#REF!,"AAAAAD7+bAY=")</f>
        <v>#REF!</v>
      </c>
      <c r="H21" t="e">
        <f>AND(Bills!#REF!,"AAAAAD7+bAc=")</f>
        <v>#REF!</v>
      </c>
      <c r="I21" t="e">
        <f>AND(Bills!#REF!,"AAAAAD7+bAg=")</f>
        <v>#REF!</v>
      </c>
      <c r="J21" t="e">
        <f>AND(Bills!#REF!,"AAAAAD7+bAk=")</f>
        <v>#REF!</v>
      </c>
      <c r="K21" t="e">
        <f>AND(Bills!#REF!,"AAAAAD7+bAo=")</f>
        <v>#REF!</v>
      </c>
      <c r="L21" t="e">
        <f>AND(Bills!#REF!,"AAAAAD7+bAs=")</f>
        <v>#REF!</v>
      </c>
      <c r="M21" t="e">
        <f>AND(Bills!#REF!,"AAAAAD7+bAw=")</f>
        <v>#REF!</v>
      </c>
      <c r="N21" t="e">
        <f>AND(Bills!#REF!,"AAAAAD7+bA0=")</f>
        <v>#REF!</v>
      </c>
      <c r="O21" t="e">
        <f>AND(Bills!#REF!,"AAAAAD7+bA4=")</f>
        <v>#REF!</v>
      </c>
      <c r="P21" t="e">
        <f>AND(Bills!#REF!,"AAAAAD7+bA8=")</f>
        <v>#REF!</v>
      </c>
      <c r="Q21" t="e">
        <f>AND(Bills!#REF!,"AAAAAD7+bBA=")</f>
        <v>#REF!</v>
      </c>
      <c r="R21" t="e">
        <f>AND(Bills!#REF!,"AAAAAD7+bBE=")</f>
        <v>#REF!</v>
      </c>
      <c r="S21" t="e">
        <f>AND(Bills!#REF!,"AAAAAD7+bBI=")</f>
        <v>#REF!</v>
      </c>
      <c r="T21" t="e">
        <f>IF(Bills!#REF!,"AAAAAD7+bBM=",0)</f>
        <v>#REF!</v>
      </c>
      <c r="U21" t="e">
        <f>AND(Bills!#REF!,"AAAAAD7+bBQ=")</f>
        <v>#REF!</v>
      </c>
      <c r="V21" t="e">
        <f>AND(Bills!#REF!,"AAAAAD7+bBU=")</f>
        <v>#REF!</v>
      </c>
      <c r="W21" t="e">
        <f>AND(Bills!#REF!,"AAAAAD7+bBY=")</f>
        <v>#REF!</v>
      </c>
      <c r="X21" t="e">
        <f>AND(Bills!#REF!,"AAAAAD7+bBc=")</f>
        <v>#REF!</v>
      </c>
      <c r="Y21" t="e">
        <f>AND(Bills!#REF!,"AAAAAD7+bBg=")</f>
        <v>#REF!</v>
      </c>
      <c r="Z21" t="e">
        <f>AND(Bills!#REF!,"AAAAAD7+bBk=")</f>
        <v>#REF!</v>
      </c>
      <c r="AA21" t="e">
        <f>AND(Bills!#REF!,"AAAAAD7+bBo=")</f>
        <v>#REF!</v>
      </c>
      <c r="AB21" t="e">
        <f>AND(Bills!#REF!,"AAAAAD7+bBs=")</f>
        <v>#REF!</v>
      </c>
      <c r="AC21" t="e">
        <f>AND(Bills!#REF!,"AAAAAD7+bBw=")</f>
        <v>#REF!</v>
      </c>
      <c r="AD21" t="e">
        <f>AND(Bills!#REF!,"AAAAAD7+bB0=")</f>
        <v>#REF!</v>
      </c>
      <c r="AE21" t="e">
        <f>AND(Bills!#REF!,"AAAAAD7+bB4=")</f>
        <v>#REF!</v>
      </c>
      <c r="AF21" t="e">
        <f>AND(Bills!#REF!,"AAAAAD7+bB8=")</f>
        <v>#REF!</v>
      </c>
      <c r="AG21" t="e">
        <f>AND(Bills!#REF!,"AAAAAD7+bCA=")</f>
        <v>#REF!</v>
      </c>
      <c r="AH21" t="e">
        <f>AND(Bills!#REF!,"AAAAAD7+bCE=")</f>
        <v>#REF!</v>
      </c>
      <c r="AI21" t="e">
        <f>AND(Bills!#REF!,"AAAAAD7+bCI=")</f>
        <v>#REF!</v>
      </c>
      <c r="AJ21" t="e">
        <f>AND(Bills!#REF!,"AAAAAD7+bCM=")</f>
        <v>#REF!</v>
      </c>
      <c r="AK21" t="e">
        <f>AND(Bills!#REF!,"AAAAAD7+bCQ=")</f>
        <v>#REF!</v>
      </c>
      <c r="AL21" t="e">
        <f>AND(Bills!#REF!,"AAAAAD7+bCU=")</f>
        <v>#REF!</v>
      </c>
      <c r="AM21" t="e">
        <f>AND(Bills!#REF!,"AAAAAD7+bCY=")</f>
        <v>#REF!</v>
      </c>
      <c r="AN21" t="e">
        <f>AND(Bills!#REF!,"AAAAAD7+bCc=")</f>
        <v>#REF!</v>
      </c>
      <c r="AO21" t="e">
        <f>AND(Bills!#REF!,"AAAAAD7+bCg=")</f>
        <v>#REF!</v>
      </c>
      <c r="AP21" t="e">
        <f>AND(Bills!#REF!,"AAAAAD7+bCk=")</f>
        <v>#REF!</v>
      </c>
      <c r="AQ21" t="e">
        <f>AND(Bills!#REF!,"AAAAAD7+bCo=")</f>
        <v>#REF!</v>
      </c>
      <c r="AR21" t="e">
        <f>AND(Bills!#REF!,"AAAAAD7+bCs=")</f>
        <v>#REF!</v>
      </c>
      <c r="AS21" t="e">
        <f>AND(Bills!#REF!,"AAAAAD7+bCw=")</f>
        <v>#REF!</v>
      </c>
      <c r="AT21" t="e">
        <f>AND(Bills!#REF!,"AAAAAD7+bC0=")</f>
        <v>#REF!</v>
      </c>
      <c r="AU21" t="e">
        <f>AND(Bills!#REF!,"AAAAAD7+bC4=")</f>
        <v>#REF!</v>
      </c>
      <c r="AV21" t="e">
        <f>AND(Bills!#REF!,"AAAAAD7+bC8=")</f>
        <v>#REF!</v>
      </c>
      <c r="AW21" t="e">
        <f>AND(Bills!#REF!,"AAAAAD7+bDA=")</f>
        <v>#REF!</v>
      </c>
      <c r="AX21" t="e">
        <f>AND(Bills!#REF!,"AAAAAD7+bDE=")</f>
        <v>#REF!</v>
      </c>
      <c r="AY21" t="e">
        <f>AND(Bills!#REF!,"AAAAAD7+bDI=")</f>
        <v>#REF!</v>
      </c>
      <c r="AZ21" t="e">
        <f>AND(Bills!#REF!,"AAAAAD7+bDM=")</f>
        <v>#REF!</v>
      </c>
      <c r="BA21" t="e">
        <f>AND(Bills!#REF!,"AAAAAD7+bDQ=")</f>
        <v>#REF!</v>
      </c>
      <c r="BB21" t="e">
        <f>AND(Bills!#REF!,"AAAAAD7+bDU=")</f>
        <v>#REF!</v>
      </c>
      <c r="BC21" t="e">
        <f>AND(Bills!#REF!,"AAAAAD7+bDY=")</f>
        <v>#REF!</v>
      </c>
      <c r="BD21" t="e">
        <f>AND(Bills!#REF!,"AAAAAD7+bDc=")</f>
        <v>#REF!</v>
      </c>
      <c r="BE21" t="e">
        <f>AND(Bills!#REF!,"AAAAAD7+bDg=")</f>
        <v>#REF!</v>
      </c>
      <c r="BF21" t="e">
        <f>AND(Bills!#REF!,"AAAAAD7+bDk=")</f>
        <v>#REF!</v>
      </c>
      <c r="BG21" t="e">
        <f>AND(Bills!#REF!,"AAAAAD7+bDo=")</f>
        <v>#REF!</v>
      </c>
      <c r="BH21" t="e">
        <f>AND(Bills!#REF!,"AAAAAD7+bDs=")</f>
        <v>#REF!</v>
      </c>
      <c r="BI21" t="e">
        <f>AND(Bills!#REF!,"AAAAAD7+bDw=")</f>
        <v>#REF!</v>
      </c>
      <c r="BJ21" t="e">
        <f>AND(Bills!#REF!,"AAAAAD7+bD0=")</f>
        <v>#REF!</v>
      </c>
      <c r="BK21" t="e">
        <f>AND(Bills!#REF!,"AAAAAD7+bD4=")</f>
        <v>#REF!</v>
      </c>
      <c r="BL21" t="e">
        <f>AND(Bills!#REF!,"AAAAAD7+bD8=")</f>
        <v>#REF!</v>
      </c>
      <c r="BM21" t="e">
        <f>AND(Bills!#REF!,"AAAAAD7+bEA=")</f>
        <v>#REF!</v>
      </c>
      <c r="BN21" t="e">
        <f>AND(Bills!#REF!,"AAAAAD7+bEE=")</f>
        <v>#REF!</v>
      </c>
      <c r="BO21" t="e">
        <f>AND(Bills!#REF!,"AAAAAD7+bEI=")</f>
        <v>#REF!</v>
      </c>
      <c r="BP21" t="e">
        <f>AND(Bills!#REF!,"AAAAAD7+bEM=")</f>
        <v>#REF!</v>
      </c>
      <c r="BQ21" t="e">
        <f>AND(Bills!#REF!,"AAAAAD7+bEQ=")</f>
        <v>#REF!</v>
      </c>
      <c r="BR21" t="e">
        <f>AND(Bills!#REF!,"AAAAAD7+bEU=")</f>
        <v>#REF!</v>
      </c>
      <c r="BS21" t="e">
        <f>IF(Bills!#REF!,"AAAAAD7+bEY=",0)</f>
        <v>#REF!</v>
      </c>
      <c r="BT21" t="e">
        <f>AND(Bills!#REF!,"AAAAAD7+bEc=")</f>
        <v>#REF!</v>
      </c>
      <c r="BU21" t="e">
        <f>AND(Bills!#REF!,"AAAAAD7+bEg=")</f>
        <v>#REF!</v>
      </c>
      <c r="BV21" t="e">
        <f>AND(Bills!#REF!,"AAAAAD7+bEk=")</f>
        <v>#REF!</v>
      </c>
      <c r="BW21" t="e">
        <f>AND(Bills!#REF!,"AAAAAD7+bEo=")</f>
        <v>#REF!</v>
      </c>
      <c r="BX21" t="e">
        <f>AND(Bills!#REF!,"AAAAAD7+bEs=")</f>
        <v>#REF!</v>
      </c>
      <c r="BY21" t="e">
        <f>AND(Bills!#REF!,"AAAAAD7+bEw=")</f>
        <v>#REF!</v>
      </c>
      <c r="BZ21" t="e">
        <f>AND(Bills!#REF!,"AAAAAD7+bE0=")</f>
        <v>#REF!</v>
      </c>
      <c r="CA21" t="e">
        <f>AND(Bills!#REF!,"AAAAAD7+bE4=")</f>
        <v>#REF!</v>
      </c>
      <c r="CB21" t="e">
        <f>AND(Bills!#REF!,"AAAAAD7+bE8=")</f>
        <v>#REF!</v>
      </c>
      <c r="CC21" t="e">
        <f>AND(Bills!#REF!,"AAAAAD7+bFA=")</f>
        <v>#REF!</v>
      </c>
      <c r="CD21" t="e">
        <f>AND(Bills!#REF!,"AAAAAD7+bFE=")</f>
        <v>#REF!</v>
      </c>
      <c r="CE21" t="e">
        <f>AND(Bills!#REF!,"AAAAAD7+bFI=")</f>
        <v>#REF!</v>
      </c>
      <c r="CF21" t="e">
        <f>AND(Bills!#REF!,"AAAAAD7+bFM=")</f>
        <v>#REF!</v>
      </c>
      <c r="CG21" t="e">
        <f>AND(Bills!#REF!,"AAAAAD7+bFQ=")</f>
        <v>#REF!</v>
      </c>
      <c r="CH21" t="e">
        <f>AND(Bills!#REF!,"AAAAAD7+bFU=")</f>
        <v>#REF!</v>
      </c>
      <c r="CI21" t="e">
        <f>AND(Bills!#REF!,"AAAAAD7+bFY=")</f>
        <v>#REF!</v>
      </c>
      <c r="CJ21" t="e">
        <f>AND(Bills!#REF!,"AAAAAD7+bFc=")</f>
        <v>#REF!</v>
      </c>
      <c r="CK21" t="e">
        <f>AND(Bills!#REF!,"AAAAAD7+bFg=")</f>
        <v>#REF!</v>
      </c>
      <c r="CL21" t="e">
        <f>AND(Bills!#REF!,"AAAAAD7+bFk=")</f>
        <v>#REF!</v>
      </c>
      <c r="CM21" t="e">
        <f>AND(Bills!#REF!,"AAAAAD7+bFo=")</f>
        <v>#REF!</v>
      </c>
      <c r="CN21" t="e">
        <f>AND(Bills!#REF!,"AAAAAD7+bFs=")</f>
        <v>#REF!</v>
      </c>
      <c r="CO21" t="e">
        <f>AND(Bills!#REF!,"AAAAAD7+bFw=")</f>
        <v>#REF!</v>
      </c>
      <c r="CP21" t="e">
        <f>AND(Bills!#REF!,"AAAAAD7+bF0=")</f>
        <v>#REF!</v>
      </c>
      <c r="CQ21" t="e">
        <f>AND(Bills!#REF!,"AAAAAD7+bF4=")</f>
        <v>#REF!</v>
      </c>
      <c r="CR21" t="e">
        <f>AND(Bills!#REF!,"AAAAAD7+bF8=")</f>
        <v>#REF!</v>
      </c>
      <c r="CS21" t="e">
        <f>AND(Bills!#REF!,"AAAAAD7+bGA=")</f>
        <v>#REF!</v>
      </c>
      <c r="CT21" t="e">
        <f>AND(Bills!#REF!,"AAAAAD7+bGE=")</f>
        <v>#REF!</v>
      </c>
      <c r="CU21" t="e">
        <f>AND(Bills!#REF!,"AAAAAD7+bGI=")</f>
        <v>#REF!</v>
      </c>
      <c r="CV21" t="e">
        <f>AND(Bills!#REF!,"AAAAAD7+bGM=")</f>
        <v>#REF!</v>
      </c>
      <c r="CW21" t="e">
        <f>AND(Bills!#REF!,"AAAAAD7+bGQ=")</f>
        <v>#REF!</v>
      </c>
      <c r="CX21" t="e">
        <f>AND(Bills!#REF!,"AAAAAD7+bGU=")</f>
        <v>#REF!</v>
      </c>
      <c r="CY21" t="e">
        <f>AND(Bills!#REF!,"AAAAAD7+bGY=")</f>
        <v>#REF!</v>
      </c>
      <c r="CZ21" t="e">
        <f>AND(Bills!#REF!,"AAAAAD7+bGc=")</f>
        <v>#REF!</v>
      </c>
      <c r="DA21" t="e">
        <f>AND(Bills!#REF!,"AAAAAD7+bGg=")</f>
        <v>#REF!</v>
      </c>
      <c r="DB21" t="e">
        <f>AND(Bills!#REF!,"AAAAAD7+bGk=")</f>
        <v>#REF!</v>
      </c>
      <c r="DC21" t="e">
        <f>AND(Bills!#REF!,"AAAAAD7+bGo=")</f>
        <v>#REF!</v>
      </c>
      <c r="DD21" t="e">
        <f>AND(Bills!#REF!,"AAAAAD7+bGs=")</f>
        <v>#REF!</v>
      </c>
      <c r="DE21" t="e">
        <f>AND(Bills!#REF!,"AAAAAD7+bGw=")</f>
        <v>#REF!</v>
      </c>
      <c r="DF21" t="e">
        <f>AND(Bills!#REF!,"AAAAAD7+bG0=")</f>
        <v>#REF!</v>
      </c>
      <c r="DG21" t="e">
        <f>AND(Bills!#REF!,"AAAAAD7+bG4=")</f>
        <v>#REF!</v>
      </c>
      <c r="DH21" t="e">
        <f>AND(Bills!#REF!,"AAAAAD7+bG8=")</f>
        <v>#REF!</v>
      </c>
      <c r="DI21" t="e">
        <f>AND(Bills!#REF!,"AAAAAD7+bHA=")</f>
        <v>#REF!</v>
      </c>
      <c r="DJ21" t="e">
        <f>AND(Bills!#REF!,"AAAAAD7+bHE=")</f>
        <v>#REF!</v>
      </c>
      <c r="DK21" t="e">
        <f>AND(Bills!#REF!,"AAAAAD7+bHI=")</f>
        <v>#REF!</v>
      </c>
      <c r="DL21" t="e">
        <f>AND(Bills!#REF!,"AAAAAD7+bHM=")</f>
        <v>#REF!</v>
      </c>
      <c r="DM21" t="e">
        <f>AND(Bills!#REF!,"AAAAAD7+bHQ=")</f>
        <v>#REF!</v>
      </c>
      <c r="DN21" t="e">
        <f>AND(Bills!#REF!,"AAAAAD7+bHU=")</f>
        <v>#REF!</v>
      </c>
      <c r="DO21" t="e">
        <f>AND(Bills!#REF!,"AAAAAD7+bHY=")</f>
        <v>#REF!</v>
      </c>
      <c r="DP21" t="e">
        <f>AND(Bills!#REF!,"AAAAAD7+bHc=")</f>
        <v>#REF!</v>
      </c>
      <c r="DQ21" t="e">
        <f>AND(Bills!#REF!,"AAAAAD7+bHg=")</f>
        <v>#REF!</v>
      </c>
      <c r="DR21" t="e">
        <f>IF(Bills!#REF!,"AAAAAD7+bHk=",0)</f>
        <v>#REF!</v>
      </c>
      <c r="DS21" t="e">
        <f>AND(Bills!#REF!,"AAAAAD7+bHo=")</f>
        <v>#REF!</v>
      </c>
      <c r="DT21" t="e">
        <f>AND(Bills!#REF!,"AAAAAD7+bHs=")</f>
        <v>#REF!</v>
      </c>
      <c r="DU21" t="e">
        <f>AND(Bills!#REF!,"AAAAAD7+bHw=")</f>
        <v>#REF!</v>
      </c>
      <c r="DV21" t="e">
        <f>AND(Bills!#REF!,"AAAAAD7+bH0=")</f>
        <v>#REF!</v>
      </c>
      <c r="DW21" t="e">
        <f>AND(Bills!#REF!,"AAAAAD7+bH4=")</f>
        <v>#REF!</v>
      </c>
      <c r="DX21" t="e">
        <f>AND(Bills!#REF!,"AAAAAD7+bH8=")</f>
        <v>#REF!</v>
      </c>
      <c r="DY21" t="e">
        <f>AND(Bills!#REF!,"AAAAAD7+bIA=")</f>
        <v>#REF!</v>
      </c>
      <c r="DZ21" t="e">
        <f>AND(Bills!#REF!,"AAAAAD7+bIE=")</f>
        <v>#REF!</v>
      </c>
      <c r="EA21" t="e">
        <f>AND(Bills!#REF!,"AAAAAD7+bII=")</f>
        <v>#REF!</v>
      </c>
      <c r="EB21" t="e">
        <f>AND(Bills!#REF!,"AAAAAD7+bIM=")</f>
        <v>#REF!</v>
      </c>
      <c r="EC21" t="e">
        <f>AND(Bills!#REF!,"AAAAAD7+bIQ=")</f>
        <v>#REF!</v>
      </c>
      <c r="ED21" t="e">
        <f>AND(Bills!#REF!,"AAAAAD7+bIU=")</f>
        <v>#REF!</v>
      </c>
      <c r="EE21" t="e">
        <f>AND(Bills!#REF!,"AAAAAD7+bIY=")</f>
        <v>#REF!</v>
      </c>
      <c r="EF21" t="e">
        <f>AND(Bills!#REF!,"AAAAAD7+bIc=")</f>
        <v>#REF!</v>
      </c>
      <c r="EG21" t="e">
        <f>AND(Bills!#REF!,"AAAAAD7+bIg=")</f>
        <v>#REF!</v>
      </c>
      <c r="EH21" t="e">
        <f>AND(Bills!#REF!,"AAAAAD7+bIk=")</f>
        <v>#REF!</v>
      </c>
      <c r="EI21" t="e">
        <f>AND(Bills!#REF!,"AAAAAD7+bIo=")</f>
        <v>#REF!</v>
      </c>
      <c r="EJ21" t="e">
        <f>AND(Bills!#REF!,"AAAAAD7+bIs=")</f>
        <v>#REF!</v>
      </c>
      <c r="EK21" t="e">
        <f>AND(Bills!#REF!,"AAAAAD7+bIw=")</f>
        <v>#REF!</v>
      </c>
      <c r="EL21" t="e">
        <f>AND(Bills!#REF!,"AAAAAD7+bI0=")</f>
        <v>#REF!</v>
      </c>
      <c r="EM21" t="e">
        <f>AND(Bills!#REF!,"AAAAAD7+bI4=")</f>
        <v>#REF!</v>
      </c>
      <c r="EN21" t="e">
        <f>AND(Bills!#REF!,"AAAAAD7+bI8=")</f>
        <v>#REF!</v>
      </c>
      <c r="EO21" t="e">
        <f>AND(Bills!#REF!,"AAAAAD7+bJA=")</f>
        <v>#REF!</v>
      </c>
      <c r="EP21" t="e">
        <f>AND(Bills!#REF!,"AAAAAD7+bJE=")</f>
        <v>#REF!</v>
      </c>
      <c r="EQ21" t="e">
        <f>AND(Bills!#REF!,"AAAAAD7+bJI=")</f>
        <v>#REF!</v>
      </c>
      <c r="ER21" t="e">
        <f>AND(Bills!#REF!,"AAAAAD7+bJM=")</f>
        <v>#REF!</v>
      </c>
      <c r="ES21" t="e">
        <f>AND(Bills!#REF!,"AAAAAD7+bJQ=")</f>
        <v>#REF!</v>
      </c>
      <c r="ET21" t="e">
        <f>AND(Bills!#REF!,"AAAAAD7+bJU=")</f>
        <v>#REF!</v>
      </c>
      <c r="EU21" t="e">
        <f>AND(Bills!#REF!,"AAAAAD7+bJY=")</f>
        <v>#REF!</v>
      </c>
      <c r="EV21" t="e">
        <f>AND(Bills!#REF!,"AAAAAD7+bJc=")</f>
        <v>#REF!</v>
      </c>
      <c r="EW21" t="e">
        <f>AND(Bills!#REF!,"AAAAAD7+bJg=")</f>
        <v>#REF!</v>
      </c>
      <c r="EX21" t="e">
        <f>AND(Bills!#REF!,"AAAAAD7+bJk=")</f>
        <v>#REF!</v>
      </c>
      <c r="EY21" t="e">
        <f>AND(Bills!#REF!,"AAAAAD7+bJo=")</f>
        <v>#REF!</v>
      </c>
      <c r="EZ21" t="e">
        <f>AND(Bills!#REF!,"AAAAAD7+bJs=")</f>
        <v>#REF!</v>
      </c>
      <c r="FA21" t="e">
        <f>AND(Bills!#REF!,"AAAAAD7+bJw=")</f>
        <v>#REF!</v>
      </c>
      <c r="FB21" t="e">
        <f>AND(Bills!#REF!,"AAAAAD7+bJ0=")</f>
        <v>#REF!</v>
      </c>
      <c r="FC21" t="e">
        <f>AND(Bills!#REF!,"AAAAAD7+bJ4=")</f>
        <v>#REF!</v>
      </c>
      <c r="FD21" t="e">
        <f>AND(Bills!#REF!,"AAAAAD7+bJ8=")</f>
        <v>#REF!</v>
      </c>
      <c r="FE21" t="e">
        <f>AND(Bills!#REF!,"AAAAAD7+bKA=")</f>
        <v>#REF!</v>
      </c>
      <c r="FF21" t="e">
        <f>AND(Bills!#REF!,"AAAAAD7+bKE=")</f>
        <v>#REF!</v>
      </c>
      <c r="FG21" t="e">
        <f>AND(Bills!#REF!,"AAAAAD7+bKI=")</f>
        <v>#REF!</v>
      </c>
      <c r="FH21" t="e">
        <f>AND(Bills!#REF!,"AAAAAD7+bKM=")</f>
        <v>#REF!</v>
      </c>
      <c r="FI21" t="e">
        <f>AND(Bills!#REF!,"AAAAAD7+bKQ=")</f>
        <v>#REF!</v>
      </c>
      <c r="FJ21" t="e">
        <f>AND(Bills!#REF!,"AAAAAD7+bKU=")</f>
        <v>#REF!</v>
      </c>
      <c r="FK21" t="e">
        <f>AND(Bills!#REF!,"AAAAAD7+bKY=")</f>
        <v>#REF!</v>
      </c>
      <c r="FL21" t="e">
        <f>AND(Bills!#REF!,"AAAAAD7+bKc=")</f>
        <v>#REF!</v>
      </c>
      <c r="FM21" t="e">
        <f>AND(Bills!#REF!,"AAAAAD7+bKg=")</f>
        <v>#REF!</v>
      </c>
      <c r="FN21" t="e">
        <f>AND(Bills!#REF!,"AAAAAD7+bKk=")</f>
        <v>#REF!</v>
      </c>
      <c r="FO21" t="e">
        <f>AND(Bills!#REF!,"AAAAAD7+bKo=")</f>
        <v>#REF!</v>
      </c>
      <c r="FP21" t="e">
        <f>AND(Bills!#REF!,"AAAAAD7+bKs=")</f>
        <v>#REF!</v>
      </c>
      <c r="FQ21" t="e">
        <f>IF(Bills!#REF!,"AAAAAD7+bKw=",0)</f>
        <v>#REF!</v>
      </c>
      <c r="FR21" t="e">
        <f>AND(Bills!#REF!,"AAAAAD7+bK0=")</f>
        <v>#REF!</v>
      </c>
      <c r="FS21" t="e">
        <f>AND(Bills!#REF!,"AAAAAD7+bK4=")</f>
        <v>#REF!</v>
      </c>
      <c r="FT21" t="e">
        <f>AND(Bills!#REF!,"AAAAAD7+bK8=")</f>
        <v>#REF!</v>
      </c>
      <c r="FU21" t="e">
        <f>AND(Bills!#REF!,"AAAAAD7+bLA=")</f>
        <v>#REF!</v>
      </c>
      <c r="FV21" t="e">
        <f>AND(Bills!#REF!,"AAAAAD7+bLE=")</f>
        <v>#REF!</v>
      </c>
      <c r="FW21" t="e">
        <f>AND(Bills!#REF!,"AAAAAD7+bLI=")</f>
        <v>#REF!</v>
      </c>
      <c r="FX21" t="e">
        <f>AND(Bills!#REF!,"AAAAAD7+bLM=")</f>
        <v>#REF!</v>
      </c>
      <c r="FY21" t="e">
        <f>AND(Bills!#REF!,"AAAAAD7+bLQ=")</f>
        <v>#REF!</v>
      </c>
      <c r="FZ21" t="e">
        <f>AND(Bills!#REF!,"AAAAAD7+bLU=")</f>
        <v>#REF!</v>
      </c>
      <c r="GA21" t="e">
        <f>AND(Bills!#REF!,"AAAAAD7+bLY=")</f>
        <v>#REF!</v>
      </c>
      <c r="GB21" t="e">
        <f>AND(Bills!#REF!,"AAAAAD7+bLc=")</f>
        <v>#REF!</v>
      </c>
      <c r="GC21" t="e">
        <f>AND(Bills!#REF!,"AAAAAD7+bLg=")</f>
        <v>#REF!</v>
      </c>
      <c r="GD21" t="e">
        <f>AND(Bills!#REF!,"AAAAAD7+bLk=")</f>
        <v>#REF!</v>
      </c>
      <c r="GE21" t="e">
        <f>AND(Bills!#REF!,"AAAAAD7+bLo=")</f>
        <v>#REF!</v>
      </c>
      <c r="GF21" t="e">
        <f>AND(Bills!#REF!,"AAAAAD7+bLs=")</f>
        <v>#REF!</v>
      </c>
      <c r="GG21" t="e">
        <f>AND(Bills!#REF!,"AAAAAD7+bLw=")</f>
        <v>#REF!</v>
      </c>
      <c r="GH21" t="e">
        <f>AND(Bills!#REF!,"AAAAAD7+bL0=")</f>
        <v>#REF!</v>
      </c>
      <c r="GI21" t="e">
        <f>AND(Bills!#REF!,"AAAAAD7+bL4=")</f>
        <v>#REF!</v>
      </c>
      <c r="GJ21" t="e">
        <f>AND(Bills!#REF!,"AAAAAD7+bL8=")</f>
        <v>#REF!</v>
      </c>
      <c r="GK21" t="e">
        <f>AND(Bills!#REF!,"AAAAAD7+bMA=")</f>
        <v>#REF!</v>
      </c>
      <c r="GL21" t="e">
        <f>AND(Bills!#REF!,"AAAAAD7+bME=")</f>
        <v>#REF!</v>
      </c>
      <c r="GM21" t="e">
        <f>AND(Bills!#REF!,"AAAAAD7+bMI=")</f>
        <v>#REF!</v>
      </c>
      <c r="GN21" t="e">
        <f>AND(Bills!#REF!,"AAAAAD7+bMM=")</f>
        <v>#REF!</v>
      </c>
      <c r="GO21" t="e">
        <f>AND(Bills!#REF!,"AAAAAD7+bMQ=")</f>
        <v>#REF!</v>
      </c>
      <c r="GP21" t="e">
        <f>AND(Bills!#REF!,"AAAAAD7+bMU=")</f>
        <v>#REF!</v>
      </c>
      <c r="GQ21" t="e">
        <f>AND(Bills!#REF!,"AAAAAD7+bMY=")</f>
        <v>#REF!</v>
      </c>
      <c r="GR21" t="e">
        <f>AND(Bills!#REF!,"AAAAAD7+bMc=")</f>
        <v>#REF!</v>
      </c>
      <c r="GS21" t="e">
        <f>AND(Bills!#REF!,"AAAAAD7+bMg=")</f>
        <v>#REF!</v>
      </c>
      <c r="GT21" t="e">
        <f>AND(Bills!#REF!,"AAAAAD7+bMk=")</f>
        <v>#REF!</v>
      </c>
      <c r="GU21" t="e">
        <f>AND(Bills!#REF!,"AAAAAD7+bMo=")</f>
        <v>#REF!</v>
      </c>
      <c r="GV21" t="e">
        <f>AND(Bills!#REF!,"AAAAAD7+bMs=")</f>
        <v>#REF!</v>
      </c>
      <c r="GW21" t="e">
        <f>AND(Bills!#REF!,"AAAAAD7+bMw=")</f>
        <v>#REF!</v>
      </c>
      <c r="GX21" t="e">
        <f>AND(Bills!#REF!,"AAAAAD7+bM0=")</f>
        <v>#REF!</v>
      </c>
      <c r="GY21" t="e">
        <f>AND(Bills!#REF!,"AAAAAD7+bM4=")</f>
        <v>#REF!</v>
      </c>
      <c r="GZ21" t="e">
        <f>AND(Bills!#REF!,"AAAAAD7+bM8=")</f>
        <v>#REF!</v>
      </c>
      <c r="HA21" t="e">
        <f>AND(Bills!#REF!,"AAAAAD7+bNA=")</f>
        <v>#REF!</v>
      </c>
      <c r="HB21" t="e">
        <f>AND(Bills!#REF!,"AAAAAD7+bNE=")</f>
        <v>#REF!</v>
      </c>
      <c r="HC21" t="e">
        <f>AND(Bills!#REF!,"AAAAAD7+bNI=")</f>
        <v>#REF!</v>
      </c>
      <c r="HD21" t="e">
        <f>AND(Bills!#REF!,"AAAAAD7+bNM=")</f>
        <v>#REF!</v>
      </c>
      <c r="HE21" t="e">
        <f>AND(Bills!#REF!,"AAAAAD7+bNQ=")</f>
        <v>#REF!</v>
      </c>
      <c r="HF21" t="e">
        <f>AND(Bills!#REF!,"AAAAAD7+bNU=")</f>
        <v>#REF!</v>
      </c>
      <c r="HG21" t="e">
        <f>AND(Bills!#REF!,"AAAAAD7+bNY=")</f>
        <v>#REF!</v>
      </c>
      <c r="HH21" t="e">
        <f>AND(Bills!#REF!,"AAAAAD7+bNc=")</f>
        <v>#REF!</v>
      </c>
      <c r="HI21" t="e">
        <f>AND(Bills!#REF!,"AAAAAD7+bNg=")</f>
        <v>#REF!</v>
      </c>
      <c r="HJ21" t="e">
        <f>AND(Bills!#REF!,"AAAAAD7+bNk=")</f>
        <v>#REF!</v>
      </c>
      <c r="HK21" t="e">
        <f>AND(Bills!#REF!,"AAAAAD7+bNo=")</f>
        <v>#REF!</v>
      </c>
      <c r="HL21" t="e">
        <f>AND(Bills!#REF!,"AAAAAD7+bNs=")</f>
        <v>#REF!</v>
      </c>
      <c r="HM21" t="e">
        <f>AND(Bills!#REF!,"AAAAAD7+bNw=")</f>
        <v>#REF!</v>
      </c>
      <c r="HN21" t="e">
        <f>AND(Bills!#REF!,"AAAAAD7+bN0=")</f>
        <v>#REF!</v>
      </c>
      <c r="HO21" t="e">
        <f>AND(Bills!#REF!,"AAAAAD7+bN4=")</f>
        <v>#REF!</v>
      </c>
      <c r="HP21" t="e">
        <f>IF(Bills!#REF!,"AAAAAD7+bN8=",0)</f>
        <v>#REF!</v>
      </c>
      <c r="HQ21" t="e">
        <f>AND(Bills!#REF!,"AAAAAD7+bOA=")</f>
        <v>#REF!</v>
      </c>
      <c r="HR21" t="e">
        <f>AND(Bills!#REF!,"AAAAAD7+bOE=")</f>
        <v>#REF!</v>
      </c>
      <c r="HS21" t="e">
        <f>AND(Bills!#REF!,"AAAAAD7+bOI=")</f>
        <v>#REF!</v>
      </c>
      <c r="HT21" t="e">
        <f>AND(Bills!#REF!,"AAAAAD7+bOM=")</f>
        <v>#REF!</v>
      </c>
      <c r="HU21" t="e">
        <f>AND(Bills!#REF!,"AAAAAD7+bOQ=")</f>
        <v>#REF!</v>
      </c>
      <c r="HV21" t="e">
        <f>AND(Bills!#REF!,"AAAAAD7+bOU=")</f>
        <v>#REF!</v>
      </c>
      <c r="HW21" t="e">
        <f>AND(Bills!#REF!,"AAAAAD7+bOY=")</f>
        <v>#REF!</v>
      </c>
      <c r="HX21" t="e">
        <f>AND(Bills!#REF!,"AAAAAD7+bOc=")</f>
        <v>#REF!</v>
      </c>
      <c r="HY21" t="e">
        <f>AND(Bills!#REF!,"AAAAAD7+bOg=")</f>
        <v>#REF!</v>
      </c>
      <c r="HZ21" t="e">
        <f>AND(Bills!#REF!,"AAAAAD7+bOk=")</f>
        <v>#REF!</v>
      </c>
      <c r="IA21" t="e">
        <f>AND(Bills!#REF!,"AAAAAD7+bOo=")</f>
        <v>#REF!</v>
      </c>
      <c r="IB21" t="e">
        <f>AND(Bills!#REF!,"AAAAAD7+bOs=")</f>
        <v>#REF!</v>
      </c>
      <c r="IC21" t="e">
        <f>AND(Bills!#REF!,"AAAAAD7+bOw=")</f>
        <v>#REF!</v>
      </c>
      <c r="ID21" t="e">
        <f>AND(Bills!#REF!,"AAAAAD7+bO0=")</f>
        <v>#REF!</v>
      </c>
      <c r="IE21" t="e">
        <f>AND(Bills!#REF!,"AAAAAD7+bO4=")</f>
        <v>#REF!</v>
      </c>
      <c r="IF21" t="e">
        <f>AND(Bills!#REF!,"AAAAAD7+bO8=")</f>
        <v>#REF!</v>
      </c>
      <c r="IG21" t="e">
        <f>AND(Bills!#REF!,"AAAAAD7+bPA=")</f>
        <v>#REF!</v>
      </c>
      <c r="IH21" t="e">
        <f>AND(Bills!#REF!,"AAAAAD7+bPE=")</f>
        <v>#REF!</v>
      </c>
      <c r="II21" t="e">
        <f>AND(Bills!#REF!,"AAAAAD7+bPI=")</f>
        <v>#REF!</v>
      </c>
      <c r="IJ21" t="e">
        <f>AND(Bills!#REF!,"AAAAAD7+bPM=")</f>
        <v>#REF!</v>
      </c>
      <c r="IK21" t="e">
        <f>AND(Bills!#REF!,"AAAAAD7+bPQ=")</f>
        <v>#REF!</v>
      </c>
      <c r="IL21" t="e">
        <f>AND(Bills!#REF!,"AAAAAD7+bPU=")</f>
        <v>#REF!</v>
      </c>
      <c r="IM21" t="e">
        <f>AND(Bills!#REF!,"AAAAAD7+bPY=")</f>
        <v>#REF!</v>
      </c>
      <c r="IN21" t="e">
        <f>AND(Bills!#REF!,"AAAAAD7+bPc=")</f>
        <v>#REF!</v>
      </c>
      <c r="IO21" t="e">
        <f>AND(Bills!#REF!,"AAAAAD7+bPg=")</f>
        <v>#REF!</v>
      </c>
      <c r="IP21" t="e">
        <f>AND(Bills!#REF!,"AAAAAD7+bPk=")</f>
        <v>#REF!</v>
      </c>
      <c r="IQ21" t="e">
        <f>AND(Bills!#REF!,"AAAAAD7+bPo=")</f>
        <v>#REF!</v>
      </c>
      <c r="IR21" t="e">
        <f>AND(Bills!#REF!,"AAAAAD7+bPs=")</f>
        <v>#REF!</v>
      </c>
      <c r="IS21" t="e">
        <f>AND(Bills!#REF!,"AAAAAD7+bPw=")</f>
        <v>#REF!</v>
      </c>
      <c r="IT21" t="e">
        <f>AND(Bills!#REF!,"AAAAAD7+bP0=")</f>
        <v>#REF!</v>
      </c>
      <c r="IU21" t="e">
        <f>AND(Bills!#REF!,"AAAAAD7+bP4=")</f>
        <v>#REF!</v>
      </c>
      <c r="IV21" t="e">
        <f>AND(Bills!#REF!,"AAAAAD7+bP8=")</f>
        <v>#REF!</v>
      </c>
    </row>
    <row r="22" spans="1:256">
      <c r="A22" t="e">
        <f>AND(Bills!#REF!,"AAAAAD9VdwA=")</f>
        <v>#REF!</v>
      </c>
      <c r="B22" t="e">
        <f>AND(Bills!#REF!,"AAAAAD9VdwE=")</f>
        <v>#REF!</v>
      </c>
      <c r="C22" t="e">
        <f>AND(Bills!#REF!,"AAAAAD9VdwI=")</f>
        <v>#REF!</v>
      </c>
      <c r="D22" t="e">
        <f>AND(Bills!#REF!,"AAAAAD9VdwM=")</f>
        <v>#REF!</v>
      </c>
      <c r="E22" t="e">
        <f>AND(Bills!#REF!,"AAAAAD9VdwQ=")</f>
        <v>#REF!</v>
      </c>
      <c r="F22" t="e">
        <f>AND(Bills!#REF!,"AAAAAD9VdwU=")</f>
        <v>#REF!</v>
      </c>
      <c r="G22" t="e">
        <f>AND(Bills!#REF!,"AAAAAD9VdwY=")</f>
        <v>#REF!</v>
      </c>
      <c r="H22" t="e">
        <f>AND(Bills!#REF!,"AAAAAD9Vdwc=")</f>
        <v>#REF!</v>
      </c>
      <c r="I22" t="e">
        <f>AND(Bills!#REF!,"AAAAAD9Vdwg=")</f>
        <v>#REF!</v>
      </c>
      <c r="J22" t="e">
        <f>AND(Bills!#REF!,"AAAAAD9Vdwk=")</f>
        <v>#REF!</v>
      </c>
      <c r="K22" t="e">
        <f>AND(Bills!#REF!,"AAAAAD9Vdwo=")</f>
        <v>#REF!</v>
      </c>
      <c r="L22" t="e">
        <f>AND(Bills!#REF!,"AAAAAD9Vdws=")</f>
        <v>#REF!</v>
      </c>
      <c r="M22" t="e">
        <f>AND(Bills!#REF!,"AAAAAD9Vdww=")</f>
        <v>#REF!</v>
      </c>
      <c r="N22" t="e">
        <f>AND(Bills!#REF!,"AAAAAD9Vdw0=")</f>
        <v>#REF!</v>
      </c>
      <c r="O22" t="e">
        <f>AND(Bills!#REF!,"AAAAAD9Vdw4=")</f>
        <v>#REF!</v>
      </c>
      <c r="P22" t="e">
        <f>AND(Bills!#REF!,"AAAAAD9Vdw8=")</f>
        <v>#REF!</v>
      </c>
      <c r="Q22" t="e">
        <f>AND(Bills!#REF!,"AAAAAD9VdxA=")</f>
        <v>#REF!</v>
      </c>
      <c r="R22" t="e">
        <f>AND(Bills!#REF!,"AAAAAD9VdxE=")</f>
        <v>#REF!</v>
      </c>
      <c r="S22" t="e">
        <f>IF(Bills!#REF!,"AAAAAD9VdxI=",0)</f>
        <v>#REF!</v>
      </c>
      <c r="T22" t="e">
        <f>AND(Bills!#REF!,"AAAAAD9VdxM=")</f>
        <v>#REF!</v>
      </c>
      <c r="U22" t="e">
        <f>AND(Bills!#REF!,"AAAAAD9VdxQ=")</f>
        <v>#REF!</v>
      </c>
      <c r="V22" t="e">
        <f>AND(Bills!#REF!,"AAAAAD9VdxU=")</f>
        <v>#REF!</v>
      </c>
      <c r="W22" t="e">
        <f>AND(Bills!#REF!,"AAAAAD9VdxY=")</f>
        <v>#REF!</v>
      </c>
      <c r="X22" t="e">
        <f>AND(Bills!#REF!,"AAAAAD9Vdxc=")</f>
        <v>#REF!</v>
      </c>
      <c r="Y22" t="e">
        <f>AND(Bills!#REF!,"AAAAAD9Vdxg=")</f>
        <v>#REF!</v>
      </c>
      <c r="Z22" t="e">
        <f>AND(Bills!#REF!,"AAAAAD9Vdxk=")</f>
        <v>#REF!</v>
      </c>
      <c r="AA22" t="e">
        <f>AND(Bills!#REF!,"AAAAAD9Vdxo=")</f>
        <v>#REF!</v>
      </c>
      <c r="AB22" t="e">
        <f>AND(Bills!#REF!,"AAAAAD9Vdxs=")</f>
        <v>#REF!</v>
      </c>
      <c r="AC22" t="e">
        <f>AND(Bills!#REF!,"AAAAAD9Vdxw=")</f>
        <v>#REF!</v>
      </c>
      <c r="AD22" t="e">
        <f>AND(Bills!#REF!,"AAAAAD9Vdx0=")</f>
        <v>#REF!</v>
      </c>
      <c r="AE22" t="e">
        <f>AND(Bills!#REF!,"AAAAAD9Vdx4=")</f>
        <v>#REF!</v>
      </c>
      <c r="AF22" t="e">
        <f>AND(Bills!#REF!,"AAAAAD9Vdx8=")</f>
        <v>#REF!</v>
      </c>
      <c r="AG22" t="e">
        <f>AND(Bills!#REF!,"AAAAAD9VdyA=")</f>
        <v>#REF!</v>
      </c>
      <c r="AH22" t="e">
        <f>AND(Bills!#REF!,"AAAAAD9VdyE=")</f>
        <v>#REF!</v>
      </c>
      <c r="AI22" t="e">
        <f>AND(Bills!#REF!,"AAAAAD9VdyI=")</f>
        <v>#REF!</v>
      </c>
      <c r="AJ22" t="e">
        <f>AND(Bills!#REF!,"AAAAAD9VdyM=")</f>
        <v>#REF!</v>
      </c>
      <c r="AK22" t="e">
        <f>AND(Bills!#REF!,"AAAAAD9VdyQ=")</f>
        <v>#REF!</v>
      </c>
      <c r="AL22" t="e">
        <f>AND(Bills!#REF!,"AAAAAD9VdyU=")</f>
        <v>#REF!</v>
      </c>
      <c r="AM22" t="e">
        <f>AND(Bills!#REF!,"AAAAAD9VdyY=")</f>
        <v>#REF!</v>
      </c>
      <c r="AN22" t="e">
        <f>AND(Bills!#REF!,"AAAAAD9Vdyc=")</f>
        <v>#REF!</v>
      </c>
      <c r="AO22" t="e">
        <f>AND(Bills!#REF!,"AAAAAD9Vdyg=")</f>
        <v>#REF!</v>
      </c>
      <c r="AP22" t="e">
        <f>AND(Bills!#REF!,"AAAAAD9Vdyk=")</f>
        <v>#REF!</v>
      </c>
      <c r="AQ22" t="e">
        <f>AND(Bills!#REF!,"AAAAAD9Vdyo=")</f>
        <v>#REF!</v>
      </c>
      <c r="AR22" t="e">
        <f>AND(Bills!#REF!,"AAAAAD9Vdys=")</f>
        <v>#REF!</v>
      </c>
      <c r="AS22" t="e">
        <f>AND(Bills!#REF!,"AAAAAD9Vdyw=")</f>
        <v>#REF!</v>
      </c>
      <c r="AT22" t="e">
        <f>AND(Bills!#REF!,"AAAAAD9Vdy0=")</f>
        <v>#REF!</v>
      </c>
      <c r="AU22" t="e">
        <f>AND(Bills!#REF!,"AAAAAD9Vdy4=")</f>
        <v>#REF!</v>
      </c>
      <c r="AV22" t="e">
        <f>AND(Bills!#REF!,"AAAAAD9Vdy8=")</f>
        <v>#REF!</v>
      </c>
      <c r="AW22" t="e">
        <f>AND(Bills!#REF!,"AAAAAD9VdzA=")</f>
        <v>#REF!</v>
      </c>
      <c r="AX22" t="e">
        <f>AND(Bills!#REF!,"AAAAAD9VdzE=")</f>
        <v>#REF!</v>
      </c>
      <c r="AY22" t="e">
        <f>AND(Bills!#REF!,"AAAAAD9VdzI=")</f>
        <v>#REF!</v>
      </c>
      <c r="AZ22" t="e">
        <f>AND(Bills!#REF!,"AAAAAD9VdzM=")</f>
        <v>#REF!</v>
      </c>
      <c r="BA22" t="e">
        <f>AND(Bills!#REF!,"AAAAAD9VdzQ=")</f>
        <v>#REF!</v>
      </c>
      <c r="BB22" t="e">
        <f>AND(Bills!#REF!,"AAAAAD9VdzU=")</f>
        <v>#REF!</v>
      </c>
      <c r="BC22" t="e">
        <f>AND(Bills!#REF!,"AAAAAD9VdzY=")</f>
        <v>#REF!</v>
      </c>
      <c r="BD22" t="e">
        <f>AND(Bills!#REF!,"AAAAAD9Vdzc=")</f>
        <v>#REF!</v>
      </c>
      <c r="BE22" t="e">
        <f>AND(Bills!#REF!,"AAAAAD9Vdzg=")</f>
        <v>#REF!</v>
      </c>
      <c r="BF22" t="e">
        <f>AND(Bills!#REF!,"AAAAAD9Vdzk=")</f>
        <v>#REF!</v>
      </c>
      <c r="BG22" t="e">
        <f>AND(Bills!#REF!,"AAAAAD9Vdzo=")</f>
        <v>#REF!</v>
      </c>
      <c r="BH22" t="e">
        <f>AND(Bills!#REF!,"AAAAAD9Vdzs=")</f>
        <v>#REF!</v>
      </c>
      <c r="BI22" t="e">
        <f>AND(Bills!#REF!,"AAAAAD9Vdzw=")</f>
        <v>#REF!</v>
      </c>
      <c r="BJ22" t="e">
        <f>AND(Bills!#REF!,"AAAAAD9Vdz0=")</f>
        <v>#REF!</v>
      </c>
      <c r="BK22" t="e">
        <f>AND(Bills!#REF!,"AAAAAD9Vdz4=")</f>
        <v>#REF!</v>
      </c>
      <c r="BL22" t="e">
        <f>AND(Bills!#REF!,"AAAAAD9Vdz8=")</f>
        <v>#REF!</v>
      </c>
      <c r="BM22" t="e">
        <f>AND(Bills!#REF!,"AAAAAD9Vd0A=")</f>
        <v>#REF!</v>
      </c>
      <c r="BN22" t="e">
        <f>AND(Bills!#REF!,"AAAAAD9Vd0E=")</f>
        <v>#REF!</v>
      </c>
      <c r="BO22" t="e">
        <f>AND(Bills!#REF!,"AAAAAD9Vd0I=")</f>
        <v>#REF!</v>
      </c>
      <c r="BP22" t="e">
        <f>AND(Bills!#REF!,"AAAAAD9Vd0M=")</f>
        <v>#REF!</v>
      </c>
      <c r="BQ22" t="e">
        <f>AND(Bills!#REF!,"AAAAAD9Vd0Q=")</f>
        <v>#REF!</v>
      </c>
      <c r="BR22" t="e">
        <f>IF(Bills!#REF!,"AAAAAD9Vd0U=",0)</f>
        <v>#REF!</v>
      </c>
      <c r="BS22" t="e">
        <f>AND(Bills!#REF!,"AAAAAD9Vd0Y=")</f>
        <v>#REF!</v>
      </c>
      <c r="BT22" t="e">
        <f>AND(Bills!#REF!,"AAAAAD9Vd0c=")</f>
        <v>#REF!</v>
      </c>
      <c r="BU22" t="e">
        <f>AND(Bills!#REF!,"AAAAAD9Vd0g=")</f>
        <v>#REF!</v>
      </c>
      <c r="BV22" t="e">
        <f>AND(Bills!#REF!,"AAAAAD9Vd0k=")</f>
        <v>#REF!</v>
      </c>
      <c r="BW22" t="e">
        <f>AND(Bills!#REF!,"AAAAAD9Vd0o=")</f>
        <v>#REF!</v>
      </c>
      <c r="BX22" t="e">
        <f>AND(Bills!#REF!,"AAAAAD9Vd0s=")</f>
        <v>#REF!</v>
      </c>
      <c r="BY22" t="e">
        <f>AND(Bills!#REF!,"AAAAAD9Vd0w=")</f>
        <v>#REF!</v>
      </c>
      <c r="BZ22" t="e">
        <f>AND(Bills!#REF!,"AAAAAD9Vd00=")</f>
        <v>#REF!</v>
      </c>
      <c r="CA22" t="e">
        <f>AND(Bills!#REF!,"AAAAAD9Vd04=")</f>
        <v>#REF!</v>
      </c>
      <c r="CB22" t="e">
        <f>AND(Bills!#REF!,"AAAAAD9Vd08=")</f>
        <v>#REF!</v>
      </c>
      <c r="CC22" t="e">
        <f>AND(Bills!#REF!,"AAAAAD9Vd1A=")</f>
        <v>#REF!</v>
      </c>
      <c r="CD22" t="e">
        <f>AND(Bills!#REF!,"AAAAAD9Vd1E=")</f>
        <v>#REF!</v>
      </c>
      <c r="CE22" t="e">
        <f>AND(Bills!#REF!,"AAAAAD9Vd1I=")</f>
        <v>#REF!</v>
      </c>
      <c r="CF22" t="e">
        <f>AND(Bills!#REF!,"AAAAAD9Vd1M=")</f>
        <v>#REF!</v>
      </c>
      <c r="CG22" t="e">
        <f>AND(Bills!#REF!,"AAAAAD9Vd1Q=")</f>
        <v>#REF!</v>
      </c>
      <c r="CH22" t="e">
        <f>AND(Bills!#REF!,"AAAAAD9Vd1U=")</f>
        <v>#REF!</v>
      </c>
      <c r="CI22" t="e">
        <f>AND(Bills!#REF!,"AAAAAD9Vd1Y=")</f>
        <v>#REF!</v>
      </c>
      <c r="CJ22" t="e">
        <f>AND(Bills!#REF!,"AAAAAD9Vd1c=")</f>
        <v>#REF!</v>
      </c>
      <c r="CK22" t="e">
        <f>AND(Bills!#REF!,"AAAAAD9Vd1g=")</f>
        <v>#REF!</v>
      </c>
      <c r="CL22" t="e">
        <f>AND(Bills!#REF!,"AAAAAD9Vd1k=")</f>
        <v>#REF!</v>
      </c>
      <c r="CM22" t="e">
        <f>AND(Bills!#REF!,"AAAAAD9Vd1o=")</f>
        <v>#REF!</v>
      </c>
      <c r="CN22" t="e">
        <f>AND(Bills!#REF!,"AAAAAD9Vd1s=")</f>
        <v>#REF!</v>
      </c>
      <c r="CO22" t="e">
        <f>AND(Bills!#REF!,"AAAAAD9Vd1w=")</f>
        <v>#REF!</v>
      </c>
      <c r="CP22" t="e">
        <f>AND(Bills!#REF!,"AAAAAD9Vd10=")</f>
        <v>#REF!</v>
      </c>
      <c r="CQ22" t="e">
        <f>AND(Bills!#REF!,"AAAAAD9Vd14=")</f>
        <v>#REF!</v>
      </c>
      <c r="CR22" t="e">
        <f>AND(Bills!#REF!,"AAAAAD9Vd18=")</f>
        <v>#REF!</v>
      </c>
      <c r="CS22" t="e">
        <f>AND(Bills!#REF!,"AAAAAD9Vd2A=")</f>
        <v>#REF!</v>
      </c>
      <c r="CT22" t="e">
        <f>AND(Bills!#REF!,"AAAAAD9Vd2E=")</f>
        <v>#REF!</v>
      </c>
      <c r="CU22" t="e">
        <f>AND(Bills!#REF!,"AAAAAD9Vd2I=")</f>
        <v>#REF!</v>
      </c>
      <c r="CV22" t="e">
        <f>AND(Bills!#REF!,"AAAAAD9Vd2M=")</f>
        <v>#REF!</v>
      </c>
      <c r="CW22" t="e">
        <f>AND(Bills!#REF!,"AAAAAD9Vd2Q=")</f>
        <v>#REF!</v>
      </c>
      <c r="CX22" t="e">
        <f>AND(Bills!#REF!,"AAAAAD9Vd2U=")</f>
        <v>#REF!</v>
      </c>
      <c r="CY22" t="e">
        <f>AND(Bills!#REF!,"AAAAAD9Vd2Y=")</f>
        <v>#REF!</v>
      </c>
      <c r="CZ22" t="e">
        <f>AND(Bills!#REF!,"AAAAAD9Vd2c=")</f>
        <v>#REF!</v>
      </c>
      <c r="DA22" t="e">
        <f>AND(Bills!#REF!,"AAAAAD9Vd2g=")</f>
        <v>#REF!</v>
      </c>
      <c r="DB22" t="e">
        <f>AND(Bills!#REF!,"AAAAAD9Vd2k=")</f>
        <v>#REF!</v>
      </c>
      <c r="DC22" t="e">
        <f>AND(Bills!#REF!,"AAAAAD9Vd2o=")</f>
        <v>#REF!</v>
      </c>
      <c r="DD22" t="e">
        <f>AND(Bills!#REF!,"AAAAAD9Vd2s=")</f>
        <v>#REF!</v>
      </c>
      <c r="DE22" t="e">
        <f>AND(Bills!#REF!,"AAAAAD9Vd2w=")</f>
        <v>#REF!</v>
      </c>
      <c r="DF22" t="e">
        <f>AND(Bills!#REF!,"AAAAAD9Vd20=")</f>
        <v>#REF!</v>
      </c>
      <c r="DG22" t="e">
        <f>AND(Bills!#REF!,"AAAAAD9Vd24=")</f>
        <v>#REF!</v>
      </c>
      <c r="DH22" t="e">
        <f>AND(Bills!#REF!,"AAAAAD9Vd28=")</f>
        <v>#REF!</v>
      </c>
      <c r="DI22" t="e">
        <f>AND(Bills!#REF!,"AAAAAD9Vd3A=")</f>
        <v>#REF!</v>
      </c>
      <c r="DJ22" t="e">
        <f>AND(Bills!#REF!,"AAAAAD9Vd3E=")</f>
        <v>#REF!</v>
      </c>
      <c r="DK22" t="e">
        <f>AND(Bills!#REF!,"AAAAAD9Vd3I=")</f>
        <v>#REF!</v>
      </c>
      <c r="DL22" t="e">
        <f>AND(Bills!#REF!,"AAAAAD9Vd3M=")</f>
        <v>#REF!</v>
      </c>
      <c r="DM22" t="e">
        <f>AND(Bills!#REF!,"AAAAAD9Vd3Q=")</f>
        <v>#REF!</v>
      </c>
      <c r="DN22" t="e">
        <f>AND(Bills!#REF!,"AAAAAD9Vd3U=")</f>
        <v>#REF!</v>
      </c>
      <c r="DO22" t="e">
        <f>AND(Bills!#REF!,"AAAAAD9Vd3Y=")</f>
        <v>#REF!</v>
      </c>
      <c r="DP22" t="e">
        <f>AND(Bills!#REF!,"AAAAAD9Vd3c=")</f>
        <v>#REF!</v>
      </c>
      <c r="DQ22" t="e">
        <f>IF(Bills!#REF!,"AAAAAD9Vd3g=",0)</f>
        <v>#REF!</v>
      </c>
      <c r="DR22" t="e">
        <f>AND(Bills!#REF!,"AAAAAD9Vd3k=")</f>
        <v>#REF!</v>
      </c>
      <c r="DS22" t="e">
        <f>AND(Bills!#REF!,"AAAAAD9Vd3o=")</f>
        <v>#REF!</v>
      </c>
      <c r="DT22" t="e">
        <f>AND(Bills!#REF!,"AAAAAD9Vd3s=")</f>
        <v>#REF!</v>
      </c>
      <c r="DU22" t="e">
        <f>AND(Bills!#REF!,"AAAAAD9Vd3w=")</f>
        <v>#REF!</v>
      </c>
      <c r="DV22" t="e">
        <f>AND(Bills!#REF!,"AAAAAD9Vd30=")</f>
        <v>#REF!</v>
      </c>
      <c r="DW22" t="e">
        <f>AND(Bills!#REF!,"AAAAAD9Vd34=")</f>
        <v>#REF!</v>
      </c>
      <c r="DX22" t="e">
        <f>AND(Bills!#REF!,"AAAAAD9Vd38=")</f>
        <v>#REF!</v>
      </c>
      <c r="DY22" t="e">
        <f>AND(Bills!#REF!,"AAAAAD9Vd4A=")</f>
        <v>#REF!</v>
      </c>
      <c r="DZ22" t="e">
        <f>AND(Bills!#REF!,"AAAAAD9Vd4E=")</f>
        <v>#REF!</v>
      </c>
      <c r="EA22" t="e">
        <f>AND(Bills!#REF!,"AAAAAD9Vd4I=")</f>
        <v>#REF!</v>
      </c>
      <c r="EB22" t="e">
        <f>AND(Bills!#REF!,"AAAAAD9Vd4M=")</f>
        <v>#REF!</v>
      </c>
      <c r="EC22" t="e">
        <f>AND(Bills!#REF!,"AAAAAD9Vd4Q=")</f>
        <v>#REF!</v>
      </c>
      <c r="ED22" t="e">
        <f>AND(Bills!#REF!,"AAAAAD9Vd4U=")</f>
        <v>#REF!</v>
      </c>
      <c r="EE22" t="e">
        <f>AND(Bills!#REF!,"AAAAAD9Vd4Y=")</f>
        <v>#REF!</v>
      </c>
      <c r="EF22" t="e">
        <f>AND(Bills!#REF!,"AAAAAD9Vd4c=")</f>
        <v>#REF!</v>
      </c>
      <c r="EG22" t="e">
        <f>AND(Bills!#REF!,"AAAAAD9Vd4g=")</f>
        <v>#REF!</v>
      </c>
      <c r="EH22" t="e">
        <f>AND(Bills!#REF!,"AAAAAD9Vd4k=")</f>
        <v>#REF!</v>
      </c>
      <c r="EI22" t="e">
        <f>AND(Bills!#REF!,"AAAAAD9Vd4o=")</f>
        <v>#REF!</v>
      </c>
      <c r="EJ22" t="e">
        <f>AND(Bills!#REF!,"AAAAAD9Vd4s=")</f>
        <v>#REF!</v>
      </c>
      <c r="EK22" t="e">
        <f>AND(Bills!#REF!,"AAAAAD9Vd4w=")</f>
        <v>#REF!</v>
      </c>
      <c r="EL22" t="e">
        <f>AND(Bills!#REF!,"AAAAAD9Vd40=")</f>
        <v>#REF!</v>
      </c>
      <c r="EM22" t="e">
        <f>AND(Bills!#REF!,"AAAAAD9Vd44=")</f>
        <v>#REF!</v>
      </c>
      <c r="EN22" t="e">
        <f>AND(Bills!#REF!,"AAAAAD9Vd48=")</f>
        <v>#REF!</v>
      </c>
      <c r="EO22" t="e">
        <f>AND(Bills!#REF!,"AAAAAD9Vd5A=")</f>
        <v>#REF!</v>
      </c>
      <c r="EP22" t="e">
        <f>AND(Bills!#REF!,"AAAAAD9Vd5E=")</f>
        <v>#REF!</v>
      </c>
      <c r="EQ22" t="e">
        <f>AND(Bills!#REF!,"AAAAAD9Vd5I=")</f>
        <v>#REF!</v>
      </c>
      <c r="ER22" t="e">
        <f>AND(Bills!#REF!,"AAAAAD9Vd5M=")</f>
        <v>#REF!</v>
      </c>
      <c r="ES22" t="e">
        <f>AND(Bills!#REF!,"AAAAAD9Vd5Q=")</f>
        <v>#REF!</v>
      </c>
      <c r="ET22" t="e">
        <f>AND(Bills!#REF!,"AAAAAD9Vd5U=")</f>
        <v>#REF!</v>
      </c>
      <c r="EU22" t="e">
        <f>AND(Bills!#REF!,"AAAAAD9Vd5Y=")</f>
        <v>#REF!</v>
      </c>
      <c r="EV22" t="e">
        <f>AND(Bills!#REF!,"AAAAAD9Vd5c=")</f>
        <v>#REF!</v>
      </c>
      <c r="EW22" t="e">
        <f>AND(Bills!#REF!,"AAAAAD9Vd5g=")</f>
        <v>#REF!</v>
      </c>
      <c r="EX22" t="e">
        <f>AND(Bills!#REF!,"AAAAAD9Vd5k=")</f>
        <v>#REF!</v>
      </c>
      <c r="EY22" t="e">
        <f>AND(Bills!#REF!,"AAAAAD9Vd5o=")</f>
        <v>#REF!</v>
      </c>
      <c r="EZ22" t="e">
        <f>AND(Bills!#REF!,"AAAAAD9Vd5s=")</f>
        <v>#REF!</v>
      </c>
      <c r="FA22" t="e">
        <f>AND(Bills!#REF!,"AAAAAD9Vd5w=")</f>
        <v>#REF!</v>
      </c>
      <c r="FB22" t="e">
        <f>AND(Bills!#REF!,"AAAAAD9Vd50=")</f>
        <v>#REF!</v>
      </c>
      <c r="FC22" t="e">
        <f>AND(Bills!#REF!,"AAAAAD9Vd54=")</f>
        <v>#REF!</v>
      </c>
      <c r="FD22" t="e">
        <f>AND(Bills!#REF!,"AAAAAD9Vd58=")</f>
        <v>#REF!</v>
      </c>
      <c r="FE22" t="e">
        <f>AND(Bills!#REF!,"AAAAAD9Vd6A=")</f>
        <v>#REF!</v>
      </c>
      <c r="FF22" t="e">
        <f>AND(Bills!#REF!,"AAAAAD9Vd6E=")</f>
        <v>#REF!</v>
      </c>
      <c r="FG22" t="e">
        <f>AND(Bills!#REF!,"AAAAAD9Vd6I=")</f>
        <v>#REF!</v>
      </c>
      <c r="FH22" t="e">
        <f>AND(Bills!#REF!,"AAAAAD9Vd6M=")</f>
        <v>#REF!</v>
      </c>
      <c r="FI22" t="e">
        <f>AND(Bills!#REF!,"AAAAAD9Vd6Q=")</f>
        <v>#REF!</v>
      </c>
      <c r="FJ22" t="e">
        <f>AND(Bills!#REF!,"AAAAAD9Vd6U=")</f>
        <v>#REF!</v>
      </c>
      <c r="FK22" t="e">
        <f>AND(Bills!#REF!,"AAAAAD9Vd6Y=")</f>
        <v>#REF!</v>
      </c>
      <c r="FL22" t="e">
        <f>AND(Bills!#REF!,"AAAAAD9Vd6c=")</f>
        <v>#REF!</v>
      </c>
      <c r="FM22" t="e">
        <f>AND(Bills!#REF!,"AAAAAD9Vd6g=")</f>
        <v>#REF!</v>
      </c>
      <c r="FN22" t="e">
        <f>AND(Bills!#REF!,"AAAAAD9Vd6k=")</f>
        <v>#REF!</v>
      </c>
      <c r="FO22" t="e">
        <f>AND(Bills!#REF!,"AAAAAD9Vd6o=")</f>
        <v>#REF!</v>
      </c>
      <c r="FP22">
        <f>IF(Bills!12:12,"AAAAAD9Vd6s=",0)</f>
        <v>0</v>
      </c>
      <c r="FQ22" t="e">
        <f>AND(Bills!B12,"AAAAAD9Vd6w=")</f>
        <v>#VALUE!</v>
      </c>
      <c r="FR22" t="e">
        <f>AND(Bills!#REF!,"AAAAAD9Vd60=")</f>
        <v>#REF!</v>
      </c>
      <c r="FS22" t="e">
        <f>AND(Bills!C12,"AAAAAD9Vd64=")</f>
        <v>#VALUE!</v>
      </c>
      <c r="FT22" t="e">
        <f>AND(Bills!#REF!,"AAAAAD9Vd68=")</f>
        <v>#REF!</v>
      </c>
      <c r="FU22" t="e">
        <f>AND(Bills!#REF!,"AAAAAD9Vd7A=")</f>
        <v>#REF!</v>
      </c>
      <c r="FV22" t="e">
        <f>AND(Bills!#REF!,"AAAAAD9Vd7E=")</f>
        <v>#REF!</v>
      </c>
      <c r="FW22" t="e">
        <f>AND(Bills!#REF!,"AAAAAD9Vd7I=")</f>
        <v>#REF!</v>
      </c>
      <c r="FX22" t="e">
        <f>AND(Bills!#REF!,"AAAAAD9Vd7M=")</f>
        <v>#REF!</v>
      </c>
      <c r="FY22" t="e">
        <f>AND(Bills!D12,"AAAAAD9Vd7Q=")</f>
        <v>#VALUE!</v>
      </c>
      <c r="FZ22" t="e">
        <f>AND(Bills!#REF!,"AAAAAD9Vd7U=")</f>
        <v>#REF!</v>
      </c>
      <c r="GA22" t="e">
        <f>AND(Bills!E12,"AAAAAD9Vd7Y=")</f>
        <v>#VALUE!</v>
      </c>
      <c r="GB22" t="e">
        <f>AND(Bills!F12,"AAAAAD9Vd7c=")</f>
        <v>#VALUE!</v>
      </c>
      <c r="GC22" t="e">
        <f>AND(Bills!G12,"AAAAAD9Vd7g=")</f>
        <v>#VALUE!</v>
      </c>
      <c r="GD22" t="e">
        <f>AND(Bills!H12,"AAAAAD9Vd7k=")</f>
        <v>#VALUE!</v>
      </c>
      <c r="GE22" t="e">
        <f>AND(Bills!I12,"AAAAAD9Vd7o=")</f>
        <v>#VALUE!</v>
      </c>
      <c r="GF22" t="e">
        <f>AND(Bills!J12,"AAAAAD9Vd7s=")</f>
        <v>#VALUE!</v>
      </c>
      <c r="GG22" t="e">
        <f>AND(Bills!#REF!,"AAAAAD9Vd7w=")</f>
        <v>#REF!</v>
      </c>
      <c r="GH22" t="e">
        <f>AND(Bills!K12,"AAAAAD9Vd70=")</f>
        <v>#VALUE!</v>
      </c>
      <c r="GI22" t="e">
        <f>AND(Bills!L12,"AAAAAD9Vd74=")</f>
        <v>#VALUE!</v>
      </c>
      <c r="GJ22" t="e">
        <f>AND(Bills!M12,"AAAAAD9Vd78=")</f>
        <v>#VALUE!</v>
      </c>
      <c r="GK22" t="e">
        <f>AND(Bills!N12,"AAAAAD9Vd8A=")</f>
        <v>#VALUE!</v>
      </c>
      <c r="GL22" t="e">
        <f>AND(Bills!O12,"AAAAAD9Vd8E=")</f>
        <v>#VALUE!</v>
      </c>
      <c r="GM22" t="e">
        <f>AND(Bills!P12,"AAAAAD9Vd8I=")</f>
        <v>#VALUE!</v>
      </c>
      <c r="GN22" t="e">
        <f>AND(Bills!Q12,"AAAAAD9Vd8M=")</f>
        <v>#VALUE!</v>
      </c>
      <c r="GO22" t="e">
        <f>AND(Bills!R12,"AAAAAD9Vd8Q=")</f>
        <v>#VALUE!</v>
      </c>
      <c r="GP22" t="e">
        <f>AND(Bills!#REF!,"AAAAAD9Vd8U=")</f>
        <v>#REF!</v>
      </c>
      <c r="GQ22" t="e">
        <f>AND(Bills!S12,"AAAAAD9Vd8Y=")</f>
        <v>#VALUE!</v>
      </c>
      <c r="GR22" t="e">
        <f>AND(Bills!T12,"AAAAAD9Vd8c=")</f>
        <v>#VALUE!</v>
      </c>
      <c r="GS22" t="e">
        <f>AND(Bills!U12,"AAAAAD9Vd8g=")</f>
        <v>#VALUE!</v>
      </c>
      <c r="GT22" t="e">
        <f>AND(Bills!#REF!,"AAAAAD9Vd8k=")</f>
        <v>#REF!</v>
      </c>
      <c r="GU22" t="e">
        <f>AND(Bills!#REF!,"AAAAAD9Vd8o=")</f>
        <v>#REF!</v>
      </c>
      <c r="GV22" t="e">
        <f>AND(Bills!W12,"AAAAAD9Vd8s=")</f>
        <v>#VALUE!</v>
      </c>
      <c r="GW22" t="e">
        <f>AND(Bills!X12,"AAAAAD9Vd8w=")</f>
        <v>#VALUE!</v>
      </c>
      <c r="GX22" t="e">
        <f>AND(Bills!#REF!,"AAAAAD9Vd80=")</f>
        <v>#REF!</v>
      </c>
      <c r="GY22" t="e">
        <f>AND(Bills!#REF!,"AAAAAD9Vd84=")</f>
        <v>#REF!</v>
      </c>
      <c r="GZ22" t="e">
        <f>AND(Bills!#REF!,"AAAAAD9Vd88=")</f>
        <v>#REF!</v>
      </c>
      <c r="HA22" t="e">
        <f>AND(Bills!#REF!,"AAAAAD9Vd9A=")</f>
        <v>#REF!</v>
      </c>
      <c r="HB22" t="e">
        <f>AND(Bills!#REF!,"AAAAAD9Vd9E=")</f>
        <v>#REF!</v>
      </c>
      <c r="HC22" t="e">
        <f>AND(Bills!#REF!,"AAAAAD9Vd9I=")</f>
        <v>#REF!</v>
      </c>
      <c r="HD22" t="e">
        <f>AND(Bills!#REF!,"AAAAAD9Vd9M=")</f>
        <v>#REF!</v>
      </c>
      <c r="HE22" t="e">
        <f>AND(Bills!#REF!,"AAAAAD9Vd9Q=")</f>
        <v>#REF!</v>
      </c>
      <c r="HF22" t="e">
        <f>AND(Bills!#REF!,"AAAAAD9Vd9U=")</f>
        <v>#REF!</v>
      </c>
      <c r="HG22" t="e">
        <f>AND(Bills!Y12,"AAAAAD9Vd9Y=")</f>
        <v>#VALUE!</v>
      </c>
      <c r="HH22" t="e">
        <f>AND(Bills!Z12,"AAAAAD9Vd9c=")</f>
        <v>#VALUE!</v>
      </c>
      <c r="HI22" t="e">
        <f>AND(Bills!#REF!,"AAAAAD9Vd9g=")</f>
        <v>#REF!</v>
      </c>
      <c r="HJ22" t="e">
        <f>AND(Bills!#REF!,"AAAAAD9Vd9k=")</f>
        <v>#REF!</v>
      </c>
      <c r="HK22" t="e">
        <f>AND(Bills!#REF!,"AAAAAD9Vd9o=")</f>
        <v>#REF!</v>
      </c>
      <c r="HL22" t="e">
        <f>AND(Bills!AA12,"AAAAAD9Vd9s=")</f>
        <v>#VALUE!</v>
      </c>
      <c r="HM22" t="e">
        <f>AND(Bills!AB12,"AAAAAD9Vd9w=")</f>
        <v>#VALUE!</v>
      </c>
      <c r="HN22" t="e">
        <f>AND(Bills!#REF!,"AAAAAD9Vd90=")</f>
        <v>#REF!</v>
      </c>
      <c r="HO22" t="e">
        <f>IF(Bills!#REF!,"AAAAAD9Vd94=",0)</f>
        <v>#REF!</v>
      </c>
      <c r="HP22" t="e">
        <f>AND(Bills!#REF!,"AAAAAD9Vd98=")</f>
        <v>#REF!</v>
      </c>
      <c r="HQ22" t="e">
        <f>AND(Bills!#REF!,"AAAAAD9Vd+A=")</f>
        <v>#REF!</v>
      </c>
      <c r="HR22" t="e">
        <f>AND(Bills!#REF!,"AAAAAD9Vd+E=")</f>
        <v>#REF!</v>
      </c>
      <c r="HS22" t="e">
        <f>AND(Bills!#REF!,"AAAAAD9Vd+I=")</f>
        <v>#REF!</v>
      </c>
      <c r="HT22" t="e">
        <f>AND(Bills!#REF!,"AAAAAD9Vd+M=")</f>
        <v>#REF!</v>
      </c>
      <c r="HU22" t="e">
        <f>AND(Bills!#REF!,"AAAAAD9Vd+Q=")</f>
        <v>#REF!</v>
      </c>
      <c r="HV22" t="e">
        <f>AND(Bills!#REF!,"AAAAAD9Vd+U=")</f>
        <v>#REF!</v>
      </c>
      <c r="HW22" t="e">
        <f>AND(Bills!#REF!,"AAAAAD9Vd+Y=")</f>
        <v>#REF!</v>
      </c>
      <c r="HX22" t="e">
        <f>AND(Bills!#REF!,"AAAAAD9Vd+c=")</f>
        <v>#REF!</v>
      </c>
      <c r="HY22" t="e">
        <f>AND(Bills!#REF!,"AAAAAD9Vd+g=")</f>
        <v>#REF!</v>
      </c>
      <c r="HZ22" t="e">
        <f>AND(Bills!#REF!,"AAAAAD9Vd+k=")</f>
        <v>#REF!</v>
      </c>
      <c r="IA22" t="e">
        <f>AND(Bills!#REF!,"AAAAAD9Vd+o=")</f>
        <v>#REF!</v>
      </c>
      <c r="IB22" t="e">
        <f>AND(Bills!#REF!,"AAAAAD9Vd+s=")</f>
        <v>#REF!</v>
      </c>
      <c r="IC22" t="e">
        <f>AND(Bills!#REF!,"AAAAAD9Vd+w=")</f>
        <v>#REF!</v>
      </c>
      <c r="ID22" t="e">
        <f>AND(Bills!#REF!,"AAAAAD9Vd+0=")</f>
        <v>#REF!</v>
      </c>
      <c r="IE22" t="e">
        <f>AND(Bills!#REF!,"AAAAAD9Vd+4=")</f>
        <v>#REF!</v>
      </c>
      <c r="IF22" t="e">
        <f>AND(Bills!#REF!,"AAAAAD9Vd+8=")</f>
        <v>#REF!</v>
      </c>
      <c r="IG22" t="e">
        <f>AND(Bills!#REF!,"AAAAAD9Vd/A=")</f>
        <v>#REF!</v>
      </c>
      <c r="IH22" t="e">
        <f>AND(Bills!#REF!,"AAAAAD9Vd/E=")</f>
        <v>#REF!</v>
      </c>
      <c r="II22" t="e">
        <f>AND(Bills!#REF!,"AAAAAD9Vd/I=")</f>
        <v>#REF!</v>
      </c>
      <c r="IJ22" t="e">
        <f>AND(Bills!#REF!,"AAAAAD9Vd/M=")</f>
        <v>#REF!</v>
      </c>
      <c r="IK22" t="e">
        <f>AND(Bills!#REF!,"AAAAAD9Vd/Q=")</f>
        <v>#REF!</v>
      </c>
      <c r="IL22" t="e">
        <f>AND(Bills!#REF!,"AAAAAD9Vd/U=")</f>
        <v>#REF!</v>
      </c>
      <c r="IM22" t="e">
        <f>AND(Bills!#REF!,"AAAAAD9Vd/Y=")</f>
        <v>#REF!</v>
      </c>
      <c r="IN22" t="e">
        <f>AND(Bills!#REF!,"AAAAAD9Vd/c=")</f>
        <v>#REF!</v>
      </c>
      <c r="IO22" t="e">
        <f>AND(Bills!#REF!,"AAAAAD9Vd/g=")</f>
        <v>#REF!</v>
      </c>
      <c r="IP22" t="e">
        <f>AND(Bills!#REF!,"AAAAAD9Vd/k=")</f>
        <v>#REF!</v>
      </c>
      <c r="IQ22" t="e">
        <f>AND(Bills!#REF!,"AAAAAD9Vd/o=")</f>
        <v>#REF!</v>
      </c>
      <c r="IR22" t="e">
        <f>AND(Bills!#REF!,"AAAAAD9Vd/s=")</f>
        <v>#REF!</v>
      </c>
      <c r="IS22" t="e">
        <f>AND(Bills!#REF!,"AAAAAD9Vd/w=")</f>
        <v>#REF!</v>
      </c>
      <c r="IT22" t="e">
        <f>AND(Bills!#REF!,"AAAAAD9Vd/0=")</f>
        <v>#REF!</v>
      </c>
      <c r="IU22" t="e">
        <f>AND(Bills!#REF!,"AAAAAD9Vd/4=")</f>
        <v>#REF!</v>
      </c>
      <c r="IV22" t="e">
        <f>AND(Bills!#REF!,"AAAAAD9Vd/8=")</f>
        <v>#REF!</v>
      </c>
    </row>
    <row r="23" spans="1:256">
      <c r="A23" t="e">
        <f>AND(Bills!#REF!,"AAAAAH43nwA=")</f>
        <v>#REF!</v>
      </c>
      <c r="B23" t="e">
        <f>AND(Bills!#REF!,"AAAAAH43nwE=")</f>
        <v>#REF!</v>
      </c>
      <c r="C23" t="e">
        <f>AND(Bills!#REF!,"AAAAAH43nwI=")</f>
        <v>#REF!</v>
      </c>
      <c r="D23" t="e">
        <f>AND(Bills!#REF!,"AAAAAH43nwM=")</f>
        <v>#REF!</v>
      </c>
      <c r="E23" t="e">
        <f>AND(Bills!#REF!,"AAAAAH43nwQ=")</f>
        <v>#REF!</v>
      </c>
      <c r="F23" t="e">
        <f>AND(Bills!#REF!,"AAAAAH43nwU=")</f>
        <v>#REF!</v>
      </c>
      <c r="G23" t="e">
        <f>AND(Bills!#REF!,"AAAAAH43nwY=")</f>
        <v>#REF!</v>
      </c>
      <c r="H23" t="e">
        <f>AND(Bills!#REF!,"AAAAAH43nwc=")</f>
        <v>#REF!</v>
      </c>
      <c r="I23" t="e">
        <f>AND(Bills!#REF!,"AAAAAH43nwg=")</f>
        <v>#REF!</v>
      </c>
      <c r="J23" t="e">
        <f>AND(Bills!#REF!,"AAAAAH43nwk=")</f>
        <v>#REF!</v>
      </c>
      <c r="K23" t="e">
        <f>AND(Bills!#REF!,"AAAAAH43nwo=")</f>
        <v>#REF!</v>
      </c>
      <c r="L23" t="e">
        <f>AND(Bills!#REF!,"AAAAAH43nws=")</f>
        <v>#REF!</v>
      </c>
      <c r="M23" t="e">
        <f>AND(Bills!#REF!,"AAAAAH43nww=")</f>
        <v>#REF!</v>
      </c>
      <c r="N23" t="e">
        <f>AND(Bills!#REF!,"AAAAAH43nw0=")</f>
        <v>#REF!</v>
      </c>
      <c r="O23" t="e">
        <f>AND(Bills!#REF!,"AAAAAH43nw4=")</f>
        <v>#REF!</v>
      </c>
      <c r="P23" t="e">
        <f>AND(Bills!#REF!,"AAAAAH43nw8=")</f>
        <v>#REF!</v>
      </c>
      <c r="Q23" t="e">
        <f>AND(Bills!#REF!,"AAAAAH43nxA=")</f>
        <v>#REF!</v>
      </c>
      <c r="R23" t="e">
        <f>IF(Bills!#REF!,"AAAAAH43nxE=",0)</f>
        <v>#REF!</v>
      </c>
      <c r="S23" t="e">
        <f>AND(Bills!#REF!,"AAAAAH43nxI=")</f>
        <v>#REF!</v>
      </c>
      <c r="T23" t="e">
        <f>AND(Bills!#REF!,"AAAAAH43nxM=")</f>
        <v>#REF!</v>
      </c>
      <c r="U23" t="e">
        <f>AND(Bills!#REF!,"AAAAAH43nxQ=")</f>
        <v>#REF!</v>
      </c>
      <c r="V23" t="e">
        <f>AND(Bills!#REF!,"AAAAAH43nxU=")</f>
        <v>#REF!</v>
      </c>
      <c r="W23" t="e">
        <f>AND(Bills!#REF!,"AAAAAH43nxY=")</f>
        <v>#REF!</v>
      </c>
      <c r="X23" t="e">
        <f>AND(Bills!#REF!,"AAAAAH43nxc=")</f>
        <v>#REF!</v>
      </c>
      <c r="Y23" t="e">
        <f>AND(Bills!#REF!,"AAAAAH43nxg=")</f>
        <v>#REF!</v>
      </c>
      <c r="Z23" t="e">
        <f>AND(Bills!#REF!,"AAAAAH43nxk=")</f>
        <v>#REF!</v>
      </c>
      <c r="AA23" t="e">
        <f>AND(Bills!#REF!,"AAAAAH43nxo=")</f>
        <v>#REF!</v>
      </c>
      <c r="AB23" t="e">
        <f>AND(Bills!#REF!,"AAAAAH43nxs=")</f>
        <v>#REF!</v>
      </c>
      <c r="AC23" t="e">
        <f>AND(Bills!#REF!,"AAAAAH43nxw=")</f>
        <v>#REF!</v>
      </c>
      <c r="AD23" t="e">
        <f>AND(Bills!#REF!,"AAAAAH43nx0=")</f>
        <v>#REF!</v>
      </c>
      <c r="AE23" t="e">
        <f>AND(Bills!#REF!,"AAAAAH43nx4=")</f>
        <v>#REF!</v>
      </c>
      <c r="AF23" t="e">
        <f>AND(Bills!#REF!,"AAAAAH43nx8=")</f>
        <v>#REF!</v>
      </c>
      <c r="AG23" t="e">
        <f>AND(Bills!#REF!,"AAAAAH43nyA=")</f>
        <v>#REF!</v>
      </c>
      <c r="AH23" t="e">
        <f>AND(Bills!#REF!,"AAAAAH43nyE=")</f>
        <v>#REF!</v>
      </c>
      <c r="AI23" t="e">
        <f>AND(Bills!#REF!,"AAAAAH43nyI=")</f>
        <v>#REF!</v>
      </c>
      <c r="AJ23" t="e">
        <f>AND(Bills!#REF!,"AAAAAH43nyM=")</f>
        <v>#REF!</v>
      </c>
      <c r="AK23" t="e">
        <f>AND(Bills!#REF!,"AAAAAH43nyQ=")</f>
        <v>#REF!</v>
      </c>
      <c r="AL23" t="e">
        <f>AND(Bills!#REF!,"AAAAAH43nyU=")</f>
        <v>#REF!</v>
      </c>
      <c r="AM23" t="e">
        <f>AND(Bills!#REF!,"AAAAAH43nyY=")</f>
        <v>#REF!</v>
      </c>
      <c r="AN23" t="e">
        <f>AND(Bills!#REF!,"AAAAAH43nyc=")</f>
        <v>#REF!</v>
      </c>
      <c r="AO23" t="e">
        <f>AND(Bills!#REF!,"AAAAAH43nyg=")</f>
        <v>#REF!</v>
      </c>
      <c r="AP23" t="e">
        <f>AND(Bills!#REF!,"AAAAAH43nyk=")</f>
        <v>#REF!</v>
      </c>
      <c r="AQ23" t="e">
        <f>AND(Bills!#REF!,"AAAAAH43nyo=")</f>
        <v>#REF!</v>
      </c>
      <c r="AR23" t="e">
        <f>AND(Bills!#REF!,"AAAAAH43nys=")</f>
        <v>#REF!</v>
      </c>
      <c r="AS23" t="e">
        <f>AND(Bills!#REF!,"AAAAAH43nyw=")</f>
        <v>#REF!</v>
      </c>
      <c r="AT23" t="e">
        <f>AND(Bills!#REF!,"AAAAAH43ny0=")</f>
        <v>#REF!</v>
      </c>
      <c r="AU23" t="e">
        <f>AND(Bills!#REF!,"AAAAAH43ny4=")</f>
        <v>#REF!</v>
      </c>
      <c r="AV23" t="e">
        <f>AND(Bills!#REF!,"AAAAAH43ny8=")</f>
        <v>#REF!</v>
      </c>
      <c r="AW23" t="e">
        <f>AND(Bills!#REF!,"AAAAAH43nzA=")</f>
        <v>#REF!</v>
      </c>
      <c r="AX23" t="e">
        <f>AND(Bills!#REF!,"AAAAAH43nzE=")</f>
        <v>#REF!</v>
      </c>
      <c r="AY23" t="e">
        <f>AND(Bills!#REF!,"AAAAAH43nzI=")</f>
        <v>#REF!</v>
      </c>
      <c r="AZ23" t="e">
        <f>AND(Bills!#REF!,"AAAAAH43nzM=")</f>
        <v>#REF!</v>
      </c>
      <c r="BA23" t="e">
        <f>AND(Bills!#REF!,"AAAAAH43nzQ=")</f>
        <v>#REF!</v>
      </c>
      <c r="BB23" t="e">
        <f>AND(Bills!#REF!,"AAAAAH43nzU=")</f>
        <v>#REF!</v>
      </c>
      <c r="BC23" t="e">
        <f>AND(Bills!#REF!,"AAAAAH43nzY=")</f>
        <v>#REF!</v>
      </c>
      <c r="BD23" t="e">
        <f>AND(Bills!#REF!,"AAAAAH43nzc=")</f>
        <v>#REF!</v>
      </c>
      <c r="BE23" t="e">
        <f>AND(Bills!#REF!,"AAAAAH43nzg=")</f>
        <v>#REF!</v>
      </c>
      <c r="BF23" t="e">
        <f>AND(Bills!#REF!,"AAAAAH43nzk=")</f>
        <v>#REF!</v>
      </c>
      <c r="BG23" t="e">
        <f>AND(Bills!#REF!,"AAAAAH43nzo=")</f>
        <v>#REF!</v>
      </c>
      <c r="BH23" t="e">
        <f>AND(Bills!#REF!,"AAAAAH43nzs=")</f>
        <v>#REF!</v>
      </c>
      <c r="BI23" t="e">
        <f>AND(Bills!#REF!,"AAAAAH43nzw=")</f>
        <v>#REF!</v>
      </c>
      <c r="BJ23" t="e">
        <f>AND(Bills!#REF!,"AAAAAH43nz0=")</f>
        <v>#REF!</v>
      </c>
      <c r="BK23" t="e">
        <f>AND(Bills!#REF!,"AAAAAH43nz4=")</f>
        <v>#REF!</v>
      </c>
      <c r="BL23" t="e">
        <f>AND(Bills!#REF!,"AAAAAH43nz8=")</f>
        <v>#REF!</v>
      </c>
      <c r="BM23" t="e">
        <f>AND(Bills!#REF!,"AAAAAH43n0A=")</f>
        <v>#REF!</v>
      </c>
      <c r="BN23" t="e">
        <f>AND(Bills!#REF!,"AAAAAH43n0E=")</f>
        <v>#REF!</v>
      </c>
      <c r="BO23" t="e">
        <f>AND(Bills!#REF!,"AAAAAH43n0I=")</f>
        <v>#REF!</v>
      </c>
      <c r="BP23" t="e">
        <f>AND(Bills!#REF!,"AAAAAH43n0M=")</f>
        <v>#REF!</v>
      </c>
      <c r="BQ23" t="e">
        <f>IF(Bills!#REF!,"AAAAAH43n0Q=",0)</f>
        <v>#REF!</v>
      </c>
      <c r="BR23" t="e">
        <f>AND(Bills!#REF!,"AAAAAH43n0U=")</f>
        <v>#REF!</v>
      </c>
      <c r="BS23" t="e">
        <f>AND(Bills!#REF!,"AAAAAH43n0Y=")</f>
        <v>#REF!</v>
      </c>
      <c r="BT23" t="e">
        <f>AND(Bills!#REF!,"AAAAAH43n0c=")</f>
        <v>#REF!</v>
      </c>
      <c r="BU23" t="e">
        <f>AND(Bills!#REF!,"AAAAAH43n0g=")</f>
        <v>#REF!</v>
      </c>
      <c r="BV23" t="e">
        <f>AND(Bills!#REF!,"AAAAAH43n0k=")</f>
        <v>#REF!</v>
      </c>
      <c r="BW23" t="e">
        <f>AND(Bills!#REF!,"AAAAAH43n0o=")</f>
        <v>#REF!</v>
      </c>
      <c r="BX23" t="e">
        <f>AND(Bills!#REF!,"AAAAAH43n0s=")</f>
        <v>#REF!</v>
      </c>
      <c r="BY23" t="e">
        <f>AND(Bills!#REF!,"AAAAAH43n0w=")</f>
        <v>#REF!</v>
      </c>
      <c r="BZ23" t="e">
        <f>AND(Bills!#REF!,"AAAAAH43n00=")</f>
        <v>#REF!</v>
      </c>
      <c r="CA23" t="e">
        <f>AND(Bills!#REF!,"AAAAAH43n04=")</f>
        <v>#REF!</v>
      </c>
      <c r="CB23" t="e">
        <f>AND(Bills!#REF!,"AAAAAH43n08=")</f>
        <v>#REF!</v>
      </c>
      <c r="CC23" t="e">
        <f>AND(Bills!#REF!,"AAAAAH43n1A=")</f>
        <v>#REF!</v>
      </c>
      <c r="CD23" t="e">
        <f>AND(Bills!#REF!,"AAAAAH43n1E=")</f>
        <v>#REF!</v>
      </c>
      <c r="CE23" t="e">
        <f>AND(Bills!#REF!,"AAAAAH43n1I=")</f>
        <v>#REF!</v>
      </c>
      <c r="CF23" t="e">
        <f>AND(Bills!#REF!,"AAAAAH43n1M=")</f>
        <v>#REF!</v>
      </c>
      <c r="CG23" t="e">
        <f>AND(Bills!#REF!,"AAAAAH43n1Q=")</f>
        <v>#REF!</v>
      </c>
      <c r="CH23" t="e">
        <f>AND(Bills!#REF!,"AAAAAH43n1U=")</f>
        <v>#REF!</v>
      </c>
      <c r="CI23" t="e">
        <f>AND(Bills!#REF!,"AAAAAH43n1Y=")</f>
        <v>#REF!</v>
      </c>
      <c r="CJ23" t="e">
        <f>AND(Bills!#REF!,"AAAAAH43n1c=")</f>
        <v>#REF!</v>
      </c>
      <c r="CK23" t="e">
        <f>AND(Bills!#REF!,"AAAAAH43n1g=")</f>
        <v>#REF!</v>
      </c>
      <c r="CL23" t="e">
        <f>AND(Bills!#REF!,"AAAAAH43n1k=")</f>
        <v>#REF!</v>
      </c>
      <c r="CM23" t="e">
        <f>AND(Bills!#REF!,"AAAAAH43n1o=")</f>
        <v>#REF!</v>
      </c>
      <c r="CN23" t="e">
        <f>AND(Bills!#REF!,"AAAAAH43n1s=")</f>
        <v>#REF!</v>
      </c>
      <c r="CO23" t="e">
        <f>AND(Bills!#REF!,"AAAAAH43n1w=")</f>
        <v>#REF!</v>
      </c>
      <c r="CP23" t="e">
        <f>AND(Bills!#REF!,"AAAAAH43n10=")</f>
        <v>#REF!</v>
      </c>
      <c r="CQ23" t="e">
        <f>AND(Bills!#REF!,"AAAAAH43n14=")</f>
        <v>#REF!</v>
      </c>
      <c r="CR23" t="e">
        <f>AND(Bills!#REF!,"AAAAAH43n18=")</f>
        <v>#REF!</v>
      </c>
      <c r="CS23" t="e">
        <f>AND(Bills!#REF!,"AAAAAH43n2A=")</f>
        <v>#REF!</v>
      </c>
      <c r="CT23" t="e">
        <f>AND(Bills!#REF!,"AAAAAH43n2E=")</f>
        <v>#REF!</v>
      </c>
      <c r="CU23" t="e">
        <f>AND(Bills!#REF!,"AAAAAH43n2I=")</f>
        <v>#REF!</v>
      </c>
      <c r="CV23" t="e">
        <f>AND(Bills!#REF!,"AAAAAH43n2M=")</f>
        <v>#REF!</v>
      </c>
      <c r="CW23" t="e">
        <f>AND(Bills!#REF!,"AAAAAH43n2Q=")</f>
        <v>#REF!</v>
      </c>
      <c r="CX23" t="e">
        <f>AND(Bills!#REF!,"AAAAAH43n2U=")</f>
        <v>#REF!</v>
      </c>
      <c r="CY23" t="e">
        <f>AND(Bills!#REF!,"AAAAAH43n2Y=")</f>
        <v>#REF!</v>
      </c>
      <c r="CZ23" t="e">
        <f>AND(Bills!#REF!,"AAAAAH43n2c=")</f>
        <v>#REF!</v>
      </c>
      <c r="DA23" t="e">
        <f>AND(Bills!#REF!,"AAAAAH43n2g=")</f>
        <v>#REF!</v>
      </c>
      <c r="DB23" t="e">
        <f>AND(Bills!#REF!,"AAAAAH43n2k=")</f>
        <v>#REF!</v>
      </c>
      <c r="DC23" t="e">
        <f>AND(Bills!#REF!,"AAAAAH43n2o=")</f>
        <v>#REF!</v>
      </c>
      <c r="DD23" t="e">
        <f>AND(Bills!#REF!,"AAAAAH43n2s=")</f>
        <v>#REF!</v>
      </c>
      <c r="DE23" t="e">
        <f>AND(Bills!#REF!,"AAAAAH43n2w=")</f>
        <v>#REF!</v>
      </c>
      <c r="DF23" t="e">
        <f>AND(Bills!#REF!,"AAAAAH43n20=")</f>
        <v>#REF!</v>
      </c>
      <c r="DG23" t="e">
        <f>AND(Bills!#REF!,"AAAAAH43n24=")</f>
        <v>#REF!</v>
      </c>
      <c r="DH23" t="e">
        <f>AND(Bills!#REF!,"AAAAAH43n28=")</f>
        <v>#REF!</v>
      </c>
      <c r="DI23" t="e">
        <f>AND(Bills!#REF!,"AAAAAH43n3A=")</f>
        <v>#REF!</v>
      </c>
      <c r="DJ23" t="e">
        <f>AND(Bills!#REF!,"AAAAAH43n3E=")</f>
        <v>#REF!</v>
      </c>
      <c r="DK23" t="e">
        <f>AND(Bills!#REF!,"AAAAAH43n3I=")</f>
        <v>#REF!</v>
      </c>
      <c r="DL23" t="e">
        <f>AND(Bills!#REF!,"AAAAAH43n3M=")</f>
        <v>#REF!</v>
      </c>
      <c r="DM23" t="e">
        <f>AND(Bills!#REF!,"AAAAAH43n3Q=")</f>
        <v>#REF!</v>
      </c>
      <c r="DN23" t="e">
        <f>AND(Bills!#REF!,"AAAAAH43n3U=")</f>
        <v>#REF!</v>
      </c>
      <c r="DO23" t="e">
        <f>AND(Bills!#REF!,"AAAAAH43n3Y=")</f>
        <v>#REF!</v>
      </c>
      <c r="DP23" t="e">
        <f>IF(Bills!#REF!,"AAAAAH43n3c=",0)</f>
        <v>#REF!</v>
      </c>
      <c r="DQ23" t="e">
        <f>AND(Bills!#REF!,"AAAAAH43n3g=")</f>
        <v>#REF!</v>
      </c>
      <c r="DR23" t="e">
        <f>AND(Bills!#REF!,"AAAAAH43n3k=")</f>
        <v>#REF!</v>
      </c>
      <c r="DS23" t="e">
        <f>AND(Bills!#REF!,"AAAAAH43n3o=")</f>
        <v>#REF!</v>
      </c>
      <c r="DT23" t="e">
        <f>AND(Bills!#REF!,"AAAAAH43n3s=")</f>
        <v>#REF!</v>
      </c>
      <c r="DU23" t="e">
        <f>AND(Bills!#REF!,"AAAAAH43n3w=")</f>
        <v>#REF!</v>
      </c>
      <c r="DV23" t="e">
        <f>AND(Bills!#REF!,"AAAAAH43n30=")</f>
        <v>#REF!</v>
      </c>
      <c r="DW23" t="e">
        <f>AND(Bills!#REF!,"AAAAAH43n34=")</f>
        <v>#REF!</v>
      </c>
      <c r="DX23" t="e">
        <f>AND(Bills!#REF!,"AAAAAH43n38=")</f>
        <v>#REF!</v>
      </c>
      <c r="DY23" t="e">
        <f>AND(Bills!#REF!,"AAAAAH43n4A=")</f>
        <v>#REF!</v>
      </c>
      <c r="DZ23" t="e">
        <f>AND(Bills!#REF!,"AAAAAH43n4E=")</f>
        <v>#REF!</v>
      </c>
      <c r="EA23" t="e">
        <f>AND(Bills!#REF!,"AAAAAH43n4I=")</f>
        <v>#REF!</v>
      </c>
      <c r="EB23" t="e">
        <f>AND(Bills!#REF!,"AAAAAH43n4M=")</f>
        <v>#REF!</v>
      </c>
      <c r="EC23" t="e">
        <f>AND(Bills!#REF!,"AAAAAH43n4Q=")</f>
        <v>#REF!</v>
      </c>
      <c r="ED23" t="e">
        <f>AND(Bills!#REF!,"AAAAAH43n4U=")</f>
        <v>#REF!</v>
      </c>
      <c r="EE23" t="e">
        <f>AND(Bills!#REF!,"AAAAAH43n4Y=")</f>
        <v>#REF!</v>
      </c>
      <c r="EF23" t="e">
        <f>AND(Bills!#REF!,"AAAAAH43n4c=")</f>
        <v>#REF!</v>
      </c>
      <c r="EG23" t="e">
        <f>AND(Bills!#REF!,"AAAAAH43n4g=")</f>
        <v>#REF!</v>
      </c>
      <c r="EH23" t="e">
        <f>AND(Bills!#REF!,"AAAAAH43n4k=")</f>
        <v>#REF!</v>
      </c>
      <c r="EI23" t="e">
        <f>AND(Bills!#REF!,"AAAAAH43n4o=")</f>
        <v>#REF!</v>
      </c>
      <c r="EJ23" t="e">
        <f>AND(Bills!#REF!,"AAAAAH43n4s=")</f>
        <v>#REF!</v>
      </c>
      <c r="EK23" t="e">
        <f>AND(Bills!#REF!,"AAAAAH43n4w=")</f>
        <v>#REF!</v>
      </c>
      <c r="EL23" t="e">
        <f>AND(Bills!#REF!,"AAAAAH43n40=")</f>
        <v>#REF!</v>
      </c>
      <c r="EM23" t="e">
        <f>AND(Bills!#REF!,"AAAAAH43n44=")</f>
        <v>#REF!</v>
      </c>
      <c r="EN23" t="e">
        <f>AND(Bills!#REF!,"AAAAAH43n48=")</f>
        <v>#REF!</v>
      </c>
      <c r="EO23" t="e">
        <f>AND(Bills!#REF!,"AAAAAH43n5A=")</f>
        <v>#REF!</v>
      </c>
      <c r="EP23" t="e">
        <f>AND(Bills!#REF!,"AAAAAH43n5E=")</f>
        <v>#REF!</v>
      </c>
      <c r="EQ23" t="e">
        <f>AND(Bills!#REF!,"AAAAAH43n5I=")</f>
        <v>#REF!</v>
      </c>
      <c r="ER23" t="e">
        <f>AND(Bills!#REF!,"AAAAAH43n5M=")</f>
        <v>#REF!</v>
      </c>
      <c r="ES23" t="e">
        <f>AND(Bills!#REF!,"AAAAAH43n5Q=")</f>
        <v>#REF!</v>
      </c>
      <c r="ET23" t="e">
        <f>AND(Bills!#REF!,"AAAAAH43n5U=")</f>
        <v>#REF!</v>
      </c>
      <c r="EU23" t="e">
        <f>AND(Bills!#REF!,"AAAAAH43n5Y=")</f>
        <v>#REF!</v>
      </c>
      <c r="EV23" t="e">
        <f>AND(Bills!#REF!,"AAAAAH43n5c=")</f>
        <v>#REF!</v>
      </c>
      <c r="EW23" t="e">
        <f>AND(Bills!#REF!,"AAAAAH43n5g=")</f>
        <v>#REF!</v>
      </c>
      <c r="EX23" t="e">
        <f>AND(Bills!#REF!,"AAAAAH43n5k=")</f>
        <v>#REF!</v>
      </c>
      <c r="EY23" t="e">
        <f>AND(Bills!#REF!,"AAAAAH43n5o=")</f>
        <v>#REF!</v>
      </c>
      <c r="EZ23" t="e">
        <f>AND(Bills!#REF!,"AAAAAH43n5s=")</f>
        <v>#REF!</v>
      </c>
      <c r="FA23" t="e">
        <f>AND(Bills!#REF!,"AAAAAH43n5w=")</f>
        <v>#REF!</v>
      </c>
      <c r="FB23" t="e">
        <f>AND(Bills!#REF!,"AAAAAH43n50=")</f>
        <v>#REF!</v>
      </c>
      <c r="FC23" t="e">
        <f>AND(Bills!#REF!,"AAAAAH43n54=")</f>
        <v>#REF!</v>
      </c>
      <c r="FD23" t="e">
        <f>AND(Bills!#REF!,"AAAAAH43n58=")</f>
        <v>#REF!</v>
      </c>
      <c r="FE23" t="e">
        <f>AND(Bills!#REF!,"AAAAAH43n6A=")</f>
        <v>#REF!</v>
      </c>
      <c r="FF23" t="e">
        <f>AND(Bills!#REF!,"AAAAAH43n6E=")</f>
        <v>#REF!</v>
      </c>
      <c r="FG23" t="e">
        <f>AND(Bills!#REF!,"AAAAAH43n6I=")</f>
        <v>#REF!</v>
      </c>
      <c r="FH23" t="e">
        <f>AND(Bills!#REF!,"AAAAAH43n6M=")</f>
        <v>#REF!</v>
      </c>
      <c r="FI23" t="e">
        <f>AND(Bills!#REF!,"AAAAAH43n6Q=")</f>
        <v>#REF!</v>
      </c>
      <c r="FJ23" t="e">
        <f>AND(Bills!#REF!,"AAAAAH43n6U=")</f>
        <v>#REF!</v>
      </c>
      <c r="FK23" t="e">
        <f>AND(Bills!#REF!,"AAAAAH43n6Y=")</f>
        <v>#REF!</v>
      </c>
      <c r="FL23" t="e">
        <f>AND(Bills!#REF!,"AAAAAH43n6c=")</f>
        <v>#REF!</v>
      </c>
      <c r="FM23" t="e">
        <f>AND(Bills!#REF!,"AAAAAH43n6g=")</f>
        <v>#REF!</v>
      </c>
      <c r="FN23" t="e">
        <f>AND(Bills!#REF!,"AAAAAH43n6k=")</f>
        <v>#REF!</v>
      </c>
      <c r="FO23" t="e">
        <f>IF(Bills!#REF!,"AAAAAH43n6o=",0)</f>
        <v>#REF!</v>
      </c>
      <c r="FP23" t="e">
        <f>AND(Bills!#REF!,"AAAAAH43n6s=")</f>
        <v>#REF!</v>
      </c>
      <c r="FQ23" t="e">
        <f>AND(Bills!#REF!,"AAAAAH43n6w=")</f>
        <v>#REF!</v>
      </c>
      <c r="FR23" t="e">
        <f>AND(Bills!#REF!,"AAAAAH43n60=")</f>
        <v>#REF!</v>
      </c>
      <c r="FS23" t="e">
        <f>AND(Bills!#REF!,"AAAAAH43n64=")</f>
        <v>#REF!</v>
      </c>
      <c r="FT23" t="e">
        <f>AND(Bills!#REF!,"AAAAAH43n68=")</f>
        <v>#REF!</v>
      </c>
      <c r="FU23" t="e">
        <f>AND(Bills!#REF!,"AAAAAH43n7A=")</f>
        <v>#REF!</v>
      </c>
      <c r="FV23" t="e">
        <f>AND(Bills!#REF!,"AAAAAH43n7E=")</f>
        <v>#REF!</v>
      </c>
      <c r="FW23" t="e">
        <f>AND(Bills!#REF!,"AAAAAH43n7I=")</f>
        <v>#REF!</v>
      </c>
      <c r="FX23" t="e">
        <f>AND(Bills!#REF!,"AAAAAH43n7M=")</f>
        <v>#REF!</v>
      </c>
      <c r="FY23" t="e">
        <f>AND(Bills!#REF!,"AAAAAH43n7Q=")</f>
        <v>#REF!</v>
      </c>
      <c r="FZ23" t="e">
        <f>AND(Bills!#REF!,"AAAAAH43n7U=")</f>
        <v>#REF!</v>
      </c>
      <c r="GA23" t="e">
        <f>AND(Bills!#REF!,"AAAAAH43n7Y=")</f>
        <v>#REF!</v>
      </c>
      <c r="GB23" t="e">
        <f>AND(Bills!#REF!,"AAAAAH43n7c=")</f>
        <v>#REF!</v>
      </c>
      <c r="GC23" t="e">
        <f>AND(Bills!#REF!,"AAAAAH43n7g=")</f>
        <v>#REF!</v>
      </c>
      <c r="GD23" t="e">
        <f>AND(Bills!#REF!,"AAAAAH43n7k=")</f>
        <v>#REF!</v>
      </c>
      <c r="GE23" t="e">
        <f>AND(Bills!#REF!,"AAAAAH43n7o=")</f>
        <v>#REF!</v>
      </c>
      <c r="GF23" t="e">
        <f>AND(Bills!#REF!,"AAAAAH43n7s=")</f>
        <v>#REF!</v>
      </c>
      <c r="GG23" t="e">
        <f>AND(Bills!#REF!,"AAAAAH43n7w=")</f>
        <v>#REF!</v>
      </c>
      <c r="GH23" t="e">
        <f>AND(Bills!#REF!,"AAAAAH43n70=")</f>
        <v>#REF!</v>
      </c>
      <c r="GI23" t="e">
        <f>AND(Bills!#REF!,"AAAAAH43n74=")</f>
        <v>#REF!</v>
      </c>
      <c r="GJ23" t="e">
        <f>AND(Bills!#REF!,"AAAAAH43n78=")</f>
        <v>#REF!</v>
      </c>
      <c r="GK23" t="e">
        <f>AND(Bills!#REF!,"AAAAAH43n8A=")</f>
        <v>#REF!</v>
      </c>
      <c r="GL23" t="e">
        <f>AND(Bills!#REF!,"AAAAAH43n8E=")</f>
        <v>#REF!</v>
      </c>
      <c r="GM23" t="e">
        <f>AND(Bills!#REF!,"AAAAAH43n8I=")</f>
        <v>#REF!</v>
      </c>
      <c r="GN23" t="e">
        <f>AND(Bills!#REF!,"AAAAAH43n8M=")</f>
        <v>#REF!</v>
      </c>
      <c r="GO23" t="e">
        <f>AND(Bills!#REF!,"AAAAAH43n8Q=")</f>
        <v>#REF!</v>
      </c>
      <c r="GP23" t="e">
        <f>AND(Bills!#REF!,"AAAAAH43n8U=")</f>
        <v>#REF!</v>
      </c>
      <c r="GQ23" t="e">
        <f>AND(Bills!#REF!,"AAAAAH43n8Y=")</f>
        <v>#REF!</v>
      </c>
      <c r="GR23" t="e">
        <f>AND(Bills!#REF!,"AAAAAH43n8c=")</f>
        <v>#REF!</v>
      </c>
      <c r="GS23" t="e">
        <f>AND(Bills!#REF!,"AAAAAH43n8g=")</f>
        <v>#REF!</v>
      </c>
      <c r="GT23" t="e">
        <f>AND(Bills!#REF!,"AAAAAH43n8k=")</f>
        <v>#REF!</v>
      </c>
      <c r="GU23" t="e">
        <f>AND(Bills!#REF!,"AAAAAH43n8o=")</f>
        <v>#REF!</v>
      </c>
      <c r="GV23" t="e">
        <f>AND(Bills!#REF!,"AAAAAH43n8s=")</f>
        <v>#REF!</v>
      </c>
      <c r="GW23" t="e">
        <f>AND(Bills!#REF!,"AAAAAH43n8w=")</f>
        <v>#REF!</v>
      </c>
      <c r="GX23" t="e">
        <f>AND(Bills!#REF!,"AAAAAH43n80=")</f>
        <v>#REF!</v>
      </c>
      <c r="GY23" t="e">
        <f>AND(Bills!#REF!,"AAAAAH43n84=")</f>
        <v>#REF!</v>
      </c>
      <c r="GZ23" t="e">
        <f>AND(Bills!#REF!,"AAAAAH43n88=")</f>
        <v>#REF!</v>
      </c>
      <c r="HA23" t="e">
        <f>AND(Bills!#REF!,"AAAAAH43n9A=")</f>
        <v>#REF!</v>
      </c>
      <c r="HB23" t="e">
        <f>AND(Bills!#REF!,"AAAAAH43n9E=")</f>
        <v>#REF!</v>
      </c>
      <c r="HC23" t="e">
        <f>AND(Bills!#REF!,"AAAAAH43n9I=")</f>
        <v>#REF!</v>
      </c>
      <c r="HD23" t="e">
        <f>AND(Bills!#REF!,"AAAAAH43n9M=")</f>
        <v>#REF!</v>
      </c>
      <c r="HE23" t="e">
        <f>AND(Bills!#REF!,"AAAAAH43n9Q=")</f>
        <v>#REF!</v>
      </c>
      <c r="HF23" t="e">
        <f>AND(Bills!#REF!,"AAAAAH43n9U=")</f>
        <v>#REF!</v>
      </c>
      <c r="HG23" t="e">
        <f>AND(Bills!#REF!,"AAAAAH43n9Y=")</f>
        <v>#REF!</v>
      </c>
      <c r="HH23" t="e">
        <f>AND(Bills!#REF!,"AAAAAH43n9c=")</f>
        <v>#REF!</v>
      </c>
      <c r="HI23" t="e">
        <f>AND(Bills!#REF!,"AAAAAH43n9g=")</f>
        <v>#REF!</v>
      </c>
      <c r="HJ23" t="e">
        <f>AND(Bills!#REF!,"AAAAAH43n9k=")</f>
        <v>#REF!</v>
      </c>
      <c r="HK23" t="e">
        <f>AND(Bills!#REF!,"AAAAAH43n9o=")</f>
        <v>#REF!</v>
      </c>
      <c r="HL23" t="e">
        <f>AND(Bills!#REF!,"AAAAAH43n9s=")</f>
        <v>#REF!</v>
      </c>
      <c r="HM23" t="e">
        <f>AND(Bills!#REF!,"AAAAAH43n9w=")</f>
        <v>#REF!</v>
      </c>
      <c r="HN23">
        <f>IF(Bills!13:13,"AAAAAH43n90=",0)</f>
        <v>0</v>
      </c>
      <c r="HO23" t="e">
        <f>AND(Bills!B13,"AAAAAH43n94=")</f>
        <v>#VALUE!</v>
      </c>
      <c r="HP23" t="e">
        <f>AND(Bills!#REF!,"AAAAAH43n98=")</f>
        <v>#REF!</v>
      </c>
      <c r="HQ23" t="e">
        <f>AND(Bills!C13,"AAAAAH43n+A=")</f>
        <v>#VALUE!</v>
      </c>
      <c r="HR23" t="e">
        <f>AND(Bills!#REF!,"AAAAAH43n+E=")</f>
        <v>#REF!</v>
      </c>
      <c r="HS23" t="e">
        <f>AND(Bills!#REF!,"AAAAAH43n+I=")</f>
        <v>#REF!</v>
      </c>
      <c r="HT23" t="e">
        <f>AND(Bills!#REF!,"AAAAAH43n+M=")</f>
        <v>#REF!</v>
      </c>
      <c r="HU23" t="e">
        <f>AND(Bills!#REF!,"AAAAAH43n+Q=")</f>
        <v>#REF!</v>
      </c>
      <c r="HV23" t="e">
        <f>AND(Bills!#REF!,"AAAAAH43n+U=")</f>
        <v>#REF!</v>
      </c>
      <c r="HW23" t="e">
        <f>AND(Bills!D13,"AAAAAH43n+Y=")</f>
        <v>#VALUE!</v>
      </c>
      <c r="HX23" t="e">
        <f>AND(Bills!#REF!,"AAAAAH43n+c=")</f>
        <v>#REF!</v>
      </c>
      <c r="HY23" t="e">
        <f>AND(Bills!E13,"AAAAAH43n+g=")</f>
        <v>#VALUE!</v>
      </c>
      <c r="HZ23" t="e">
        <f>AND(Bills!F13,"AAAAAH43n+k=")</f>
        <v>#VALUE!</v>
      </c>
      <c r="IA23" t="e">
        <f>AND(Bills!G13,"AAAAAH43n+o=")</f>
        <v>#VALUE!</v>
      </c>
      <c r="IB23" t="e">
        <f>AND(Bills!H13,"AAAAAH43n+s=")</f>
        <v>#VALUE!</v>
      </c>
      <c r="IC23" t="e">
        <f>AND(Bills!I13,"AAAAAH43n+w=")</f>
        <v>#VALUE!</v>
      </c>
      <c r="ID23" t="e">
        <f>AND(Bills!J13,"AAAAAH43n+0=")</f>
        <v>#VALUE!</v>
      </c>
      <c r="IE23" t="e">
        <f>AND(Bills!#REF!,"AAAAAH43n+4=")</f>
        <v>#REF!</v>
      </c>
      <c r="IF23" t="e">
        <f>AND(Bills!K13,"AAAAAH43n+8=")</f>
        <v>#VALUE!</v>
      </c>
      <c r="IG23" t="e">
        <f>AND(Bills!L13,"AAAAAH43n/A=")</f>
        <v>#VALUE!</v>
      </c>
      <c r="IH23" t="e">
        <f>AND(Bills!M13,"AAAAAH43n/E=")</f>
        <v>#VALUE!</v>
      </c>
      <c r="II23" t="e">
        <f>AND(Bills!N13,"AAAAAH43n/I=")</f>
        <v>#VALUE!</v>
      </c>
      <c r="IJ23" t="e">
        <f>AND(Bills!O13,"AAAAAH43n/M=")</f>
        <v>#VALUE!</v>
      </c>
      <c r="IK23" t="e">
        <f>AND(Bills!P13,"AAAAAH43n/Q=")</f>
        <v>#VALUE!</v>
      </c>
      <c r="IL23" t="e">
        <f>AND(Bills!Q13,"AAAAAH43n/U=")</f>
        <v>#VALUE!</v>
      </c>
      <c r="IM23" t="e">
        <f>AND(Bills!R13,"AAAAAH43n/Y=")</f>
        <v>#VALUE!</v>
      </c>
      <c r="IN23" t="e">
        <f>AND(Bills!#REF!,"AAAAAH43n/c=")</f>
        <v>#REF!</v>
      </c>
      <c r="IO23" t="e">
        <f>AND(Bills!S13,"AAAAAH43n/g=")</f>
        <v>#VALUE!</v>
      </c>
      <c r="IP23" t="e">
        <f>AND(Bills!T13,"AAAAAH43n/k=")</f>
        <v>#VALUE!</v>
      </c>
      <c r="IQ23" t="e">
        <f>AND(Bills!U13,"AAAAAH43n/o=")</f>
        <v>#VALUE!</v>
      </c>
      <c r="IR23" t="e">
        <f>AND(Bills!#REF!,"AAAAAH43n/s=")</f>
        <v>#REF!</v>
      </c>
      <c r="IS23" t="e">
        <f>AND(Bills!#REF!,"AAAAAH43n/w=")</f>
        <v>#REF!</v>
      </c>
      <c r="IT23" t="e">
        <f>AND(Bills!W13,"AAAAAH43n/0=")</f>
        <v>#VALUE!</v>
      </c>
      <c r="IU23" t="e">
        <f>AND(Bills!X13,"AAAAAH43n/4=")</f>
        <v>#VALUE!</v>
      </c>
      <c r="IV23" t="e">
        <f>AND(Bills!#REF!,"AAAAAH43n/8=")</f>
        <v>#REF!</v>
      </c>
    </row>
    <row r="24" spans="1:256">
      <c r="A24" t="e">
        <f>AND(Bills!#REF!,"AAAAAHX58wA=")</f>
        <v>#REF!</v>
      </c>
      <c r="B24" t="e">
        <f>AND(Bills!#REF!,"AAAAAHX58wE=")</f>
        <v>#REF!</v>
      </c>
      <c r="C24" t="e">
        <f>AND(Bills!#REF!,"AAAAAHX58wI=")</f>
        <v>#REF!</v>
      </c>
      <c r="D24" t="e">
        <f>AND(Bills!#REF!,"AAAAAHX58wM=")</f>
        <v>#REF!</v>
      </c>
      <c r="E24" t="e">
        <f>AND(Bills!#REF!,"AAAAAHX58wQ=")</f>
        <v>#REF!</v>
      </c>
      <c r="F24" t="e">
        <f>AND(Bills!#REF!,"AAAAAHX58wU=")</f>
        <v>#REF!</v>
      </c>
      <c r="G24" t="e">
        <f>AND(Bills!#REF!,"AAAAAHX58wY=")</f>
        <v>#REF!</v>
      </c>
      <c r="H24" t="e">
        <f>AND(Bills!#REF!,"AAAAAHX58wc=")</f>
        <v>#REF!</v>
      </c>
      <c r="I24" t="e">
        <f>AND(Bills!Y13,"AAAAAHX58wg=")</f>
        <v>#VALUE!</v>
      </c>
      <c r="J24" t="e">
        <f>AND(Bills!Z13,"AAAAAHX58wk=")</f>
        <v>#VALUE!</v>
      </c>
      <c r="K24" t="e">
        <f>AND(Bills!#REF!,"AAAAAHX58wo=")</f>
        <v>#REF!</v>
      </c>
      <c r="L24" t="e">
        <f>AND(Bills!#REF!,"AAAAAHX58ws=")</f>
        <v>#REF!</v>
      </c>
      <c r="M24" t="e">
        <f>AND(Bills!#REF!,"AAAAAHX58ww=")</f>
        <v>#REF!</v>
      </c>
      <c r="N24" t="e">
        <f>AND(Bills!AA13,"AAAAAHX58w0=")</f>
        <v>#VALUE!</v>
      </c>
      <c r="O24" t="e">
        <f>AND(Bills!AB13,"AAAAAHX58w4=")</f>
        <v>#VALUE!</v>
      </c>
      <c r="P24" t="e">
        <f>AND(Bills!#REF!,"AAAAAHX58w8=")</f>
        <v>#REF!</v>
      </c>
      <c r="Q24" t="e">
        <f>IF(Bills!#REF!,"AAAAAHX58xA=",0)</f>
        <v>#REF!</v>
      </c>
      <c r="R24" t="e">
        <f>AND(Bills!#REF!,"AAAAAHX58xE=")</f>
        <v>#REF!</v>
      </c>
      <c r="S24" t="e">
        <f>AND(Bills!#REF!,"AAAAAHX58xI=")</f>
        <v>#REF!</v>
      </c>
      <c r="T24" t="e">
        <f>AND(Bills!#REF!,"AAAAAHX58xM=")</f>
        <v>#REF!</v>
      </c>
      <c r="U24" t="e">
        <f>AND(Bills!#REF!,"AAAAAHX58xQ=")</f>
        <v>#REF!</v>
      </c>
      <c r="V24" t="e">
        <f>AND(Bills!#REF!,"AAAAAHX58xU=")</f>
        <v>#REF!</v>
      </c>
      <c r="W24" t="e">
        <f>AND(Bills!#REF!,"AAAAAHX58xY=")</f>
        <v>#REF!</v>
      </c>
      <c r="X24" t="e">
        <f>AND(Bills!#REF!,"AAAAAHX58xc=")</f>
        <v>#REF!</v>
      </c>
      <c r="Y24" t="e">
        <f>AND(Bills!#REF!,"AAAAAHX58xg=")</f>
        <v>#REF!</v>
      </c>
      <c r="Z24" t="e">
        <f>AND(Bills!#REF!,"AAAAAHX58xk=")</f>
        <v>#REF!</v>
      </c>
      <c r="AA24" t="e">
        <f>AND(Bills!#REF!,"AAAAAHX58xo=")</f>
        <v>#REF!</v>
      </c>
      <c r="AB24" t="e">
        <f>AND(Bills!#REF!,"AAAAAHX58xs=")</f>
        <v>#REF!</v>
      </c>
      <c r="AC24" t="e">
        <f>AND(Bills!#REF!,"AAAAAHX58xw=")</f>
        <v>#REF!</v>
      </c>
      <c r="AD24" t="e">
        <f>AND(Bills!#REF!,"AAAAAHX58x0=")</f>
        <v>#REF!</v>
      </c>
      <c r="AE24" t="e">
        <f>AND(Bills!#REF!,"AAAAAHX58x4=")</f>
        <v>#REF!</v>
      </c>
      <c r="AF24" t="e">
        <f>AND(Bills!#REF!,"AAAAAHX58x8=")</f>
        <v>#REF!</v>
      </c>
      <c r="AG24" t="e">
        <f>AND(Bills!#REF!,"AAAAAHX58yA=")</f>
        <v>#REF!</v>
      </c>
      <c r="AH24" t="e">
        <f>AND(Bills!#REF!,"AAAAAHX58yE=")</f>
        <v>#REF!</v>
      </c>
      <c r="AI24" t="e">
        <f>AND(Bills!#REF!,"AAAAAHX58yI=")</f>
        <v>#REF!</v>
      </c>
      <c r="AJ24" t="e">
        <f>AND(Bills!#REF!,"AAAAAHX58yM=")</f>
        <v>#REF!</v>
      </c>
      <c r="AK24" t="e">
        <f>AND(Bills!#REF!,"AAAAAHX58yQ=")</f>
        <v>#REF!</v>
      </c>
      <c r="AL24" t="e">
        <f>AND(Bills!#REF!,"AAAAAHX58yU=")</f>
        <v>#REF!</v>
      </c>
      <c r="AM24" t="e">
        <f>AND(Bills!#REF!,"AAAAAHX58yY=")</f>
        <v>#REF!</v>
      </c>
      <c r="AN24" t="e">
        <f>AND(Bills!#REF!,"AAAAAHX58yc=")</f>
        <v>#REF!</v>
      </c>
      <c r="AO24" t="e">
        <f>AND(Bills!#REF!,"AAAAAHX58yg=")</f>
        <v>#REF!</v>
      </c>
      <c r="AP24" t="e">
        <f>AND(Bills!#REF!,"AAAAAHX58yk=")</f>
        <v>#REF!</v>
      </c>
      <c r="AQ24" t="e">
        <f>AND(Bills!#REF!,"AAAAAHX58yo=")</f>
        <v>#REF!</v>
      </c>
      <c r="AR24" t="e">
        <f>AND(Bills!#REF!,"AAAAAHX58ys=")</f>
        <v>#REF!</v>
      </c>
      <c r="AS24" t="e">
        <f>AND(Bills!#REF!,"AAAAAHX58yw=")</f>
        <v>#REF!</v>
      </c>
      <c r="AT24" t="e">
        <f>AND(Bills!#REF!,"AAAAAHX58y0=")</f>
        <v>#REF!</v>
      </c>
      <c r="AU24" t="e">
        <f>AND(Bills!#REF!,"AAAAAHX58y4=")</f>
        <v>#REF!</v>
      </c>
      <c r="AV24" t="e">
        <f>AND(Bills!#REF!,"AAAAAHX58y8=")</f>
        <v>#REF!</v>
      </c>
      <c r="AW24" t="e">
        <f>AND(Bills!#REF!,"AAAAAHX58zA=")</f>
        <v>#REF!</v>
      </c>
      <c r="AX24" t="e">
        <f>AND(Bills!#REF!,"AAAAAHX58zE=")</f>
        <v>#REF!</v>
      </c>
      <c r="AY24" t="e">
        <f>AND(Bills!#REF!,"AAAAAHX58zI=")</f>
        <v>#REF!</v>
      </c>
      <c r="AZ24" t="e">
        <f>AND(Bills!#REF!,"AAAAAHX58zM=")</f>
        <v>#REF!</v>
      </c>
      <c r="BA24" t="e">
        <f>AND(Bills!#REF!,"AAAAAHX58zQ=")</f>
        <v>#REF!</v>
      </c>
      <c r="BB24" t="e">
        <f>AND(Bills!#REF!,"AAAAAHX58zU=")</f>
        <v>#REF!</v>
      </c>
      <c r="BC24" t="e">
        <f>AND(Bills!#REF!,"AAAAAHX58zY=")</f>
        <v>#REF!</v>
      </c>
      <c r="BD24" t="e">
        <f>AND(Bills!#REF!,"AAAAAHX58zc=")</f>
        <v>#REF!</v>
      </c>
      <c r="BE24" t="e">
        <f>AND(Bills!#REF!,"AAAAAHX58zg=")</f>
        <v>#REF!</v>
      </c>
      <c r="BF24" t="e">
        <f>AND(Bills!#REF!,"AAAAAHX58zk=")</f>
        <v>#REF!</v>
      </c>
      <c r="BG24" t="e">
        <f>AND(Bills!#REF!,"AAAAAHX58zo=")</f>
        <v>#REF!</v>
      </c>
      <c r="BH24" t="e">
        <f>AND(Bills!#REF!,"AAAAAHX58zs=")</f>
        <v>#REF!</v>
      </c>
      <c r="BI24" t="e">
        <f>AND(Bills!#REF!,"AAAAAHX58zw=")</f>
        <v>#REF!</v>
      </c>
      <c r="BJ24" t="e">
        <f>AND(Bills!#REF!,"AAAAAHX58z0=")</f>
        <v>#REF!</v>
      </c>
      <c r="BK24" t="e">
        <f>AND(Bills!#REF!,"AAAAAHX58z4=")</f>
        <v>#REF!</v>
      </c>
      <c r="BL24" t="e">
        <f>AND(Bills!#REF!,"AAAAAHX58z8=")</f>
        <v>#REF!</v>
      </c>
      <c r="BM24" t="e">
        <f>AND(Bills!#REF!,"AAAAAHX580A=")</f>
        <v>#REF!</v>
      </c>
      <c r="BN24" t="e">
        <f>AND(Bills!#REF!,"AAAAAHX580E=")</f>
        <v>#REF!</v>
      </c>
      <c r="BO24" t="e">
        <f>AND(Bills!#REF!,"AAAAAHX580I=")</f>
        <v>#REF!</v>
      </c>
      <c r="BP24" t="e">
        <f>IF(Bills!#REF!,"AAAAAHX580M=",0)</f>
        <v>#REF!</v>
      </c>
      <c r="BQ24" t="e">
        <f>AND(Bills!#REF!,"AAAAAHX580Q=")</f>
        <v>#REF!</v>
      </c>
      <c r="BR24" t="e">
        <f>AND(Bills!#REF!,"AAAAAHX580U=")</f>
        <v>#REF!</v>
      </c>
      <c r="BS24" t="e">
        <f>AND(Bills!#REF!,"AAAAAHX580Y=")</f>
        <v>#REF!</v>
      </c>
      <c r="BT24" t="e">
        <f>AND(Bills!#REF!,"AAAAAHX580c=")</f>
        <v>#REF!</v>
      </c>
      <c r="BU24" t="e">
        <f>AND(Bills!#REF!,"AAAAAHX580g=")</f>
        <v>#REF!</v>
      </c>
      <c r="BV24" t="e">
        <f>AND(Bills!#REF!,"AAAAAHX580k=")</f>
        <v>#REF!</v>
      </c>
      <c r="BW24" t="e">
        <f>AND(Bills!#REF!,"AAAAAHX580o=")</f>
        <v>#REF!</v>
      </c>
      <c r="BX24" t="e">
        <f>AND(Bills!#REF!,"AAAAAHX580s=")</f>
        <v>#REF!</v>
      </c>
      <c r="BY24" t="e">
        <f>AND(Bills!#REF!,"AAAAAHX580w=")</f>
        <v>#REF!</v>
      </c>
      <c r="BZ24" t="e">
        <f>AND(Bills!#REF!,"AAAAAHX5800=")</f>
        <v>#REF!</v>
      </c>
      <c r="CA24" t="e">
        <f>AND(Bills!#REF!,"AAAAAHX5804=")</f>
        <v>#REF!</v>
      </c>
      <c r="CB24" t="e">
        <f>AND(Bills!#REF!,"AAAAAHX5808=")</f>
        <v>#REF!</v>
      </c>
      <c r="CC24" t="e">
        <f>AND(Bills!#REF!,"AAAAAHX581A=")</f>
        <v>#REF!</v>
      </c>
      <c r="CD24" t="e">
        <f>AND(Bills!#REF!,"AAAAAHX581E=")</f>
        <v>#REF!</v>
      </c>
      <c r="CE24" t="e">
        <f>AND(Bills!#REF!,"AAAAAHX581I=")</f>
        <v>#REF!</v>
      </c>
      <c r="CF24" t="e">
        <f>AND(Bills!#REF!,"AAAAAHX581M=")</f>
        <v>#REF!</v>
      </c>
      <c r="CG24" t="e">
        <f>AND(Bills!#REF!,"AAAAAHX581Q=")</f>
        <v>#REF!</v>
      </c>
      <c r="CH24" t="e">
        <f>AND(Bills!#REF!,"AAAAAHX581U=")</f>
        <v>#REF!</v>
      </c>
      <c r="CI24" t="e">
        <f>AND(Bills!#REF!,"AAAAAHX581Y=")</f>
        <v>#REF!</v>
      </c>
      <c r="CJ24" t="e">
        <f>AND(Bills!#REF!,"AAAAAHX581c=")</f>
        <v>#REF!</v>
      </c>
      <c r="CK24" t="e">
        <f>AND(Bills!#REF!,"AAAAAHX581g=")</f>
        <v>#REF!</v>
      </c>
      <c r="CL24" t="e">
        <f>AND(Bills!#REF!,"AAAAAHX581k=")</f>
        <v>#REF!</v>
      </c>
      <c r="CM24" t="e">
        <f>AND(Bills!#REF!,"AAAAAHX581o=")</f>
        <v>#REF!</v>
      </c>
      <c r="CN24" t="e">
        <f>AND(Bills!#REF!,"AAAAAHX581s=")</f>
        <v>#REF!</v>
      </c>
      <c r="CO24" t="e">
        <f>AND(Bills!#REF!,"AAAAAHX581w=")</f>
        <v>#REF!</v>
      </c>
      <c r="CP24" t="e">
        <f>AND(Bills!#REF!,"AAAAAHX5810=")</f>
        <v>#REF!</v>
      </c>
      <c r="CQ24" t="e">
        <f>AND(Bills!#REF!,"AAAAAHX5814=")</f>
        <v>#REF!</v>
      </c>
      <c r="CR24" t="e">
        <f>AND(Bills!#REF!,"AAAAAHX5818=")</f>
        <v>#REF!</v>
      </c>
      <c r="CS24" t="e">
        <f>AND(Bills!#REF!,"AAAAAHX582A=")</f>
        <v>#REF!</v>
      </c>
      <c r="CT24" t="e">
        <f>AND(Bills!#REF!,"AAAAAHX582E=")</f>
        <v>#REF!</v>
      </c>
      <c r="CU24" t="e">
        <f>AND(Bills!#REF!,"AAAAAHX582I=")</f>
        <v>#REF!</v>
      </c>
      <c r="CV24" t="e">
        <f>AND(Bills!#REF!,"AAAAAHX582M=")</f>
        <v>#REF!</v>
      </c>
      <c r="CW24" t="e">
        <f>AND(Bills!#REF!,"AAAAAHX582Q=")</f>
        <v>#REF!</v>
      </c>
      <c r="CX24" t="e">
        <f>AND(Bills!#REF!,"AAAAAHX582U=")</f>
        <v>#REF!</v>
      </c>
      <c r="CY24" t="e">
        <f>AND(Bills!#REF!,"AAAAAHX582Y=")</f>
        <v>#REF!</v>
      </c>
      <c r="CZ24" t="e">
        <f>AND(Bills!#REF!,"AAAAAHX582c=")</f>
        <v>#REF!</v>
      </c>
      <c r="DA24" t="e">
        <f>AND(Bills!#REF!,"AAAAAHX582g=")</f>
        <v>#REF!</v>
      </c>
      <c r="DB24" t="e">
        <f>AND(Bills!#REF!,"AAAAAHX582k=")</f>
        <v>#REF!</v>
      </c>
      <c r="DC24" t="e">
        <f>AND(Bills!#REF!,"AAAAAHX582o=")</f>
        <v>#REF!</v>
      </c>
      <c r="DD24" t="e">
        <f>AND(Bills!#REF!,"AAAAAHX582s=")</f>
        <v>#REF!</v>
      </c>
      <c r="DE24" t="e">
        <f>AND(Bills!#REF!,"AAAAAHX582w=")</f>
        <v>#REF!</v>
      </c>
      <c r="DF24" t="e">
        <f>AND(Bills!#REF!,"AAAAAHX5820=")</f>
        <v>#REF!</v>
      </c>
      <c r="DG24" t="e">
        <f>AND(Bills!#REF!,"AAAAAHX5824=")</f>
        <v>#REF!</v>
      </c>
      <c r="DH24" t="e">
        <f>AND(Bills!#REF!,"AAAAAHX5828=")</f>
        <v>#REF!</v>
      </c>
      <c r="DI24" t="e">
        <f>AND(Bills!#REF!,"AAAAAHX583A=")</f>
        <v>#REF!</v>
      </c>
      <c r="DJ24" t="e">
        <f>AND(Bills!#REF!,"AAAAAHX583E=")</f>
        <v>#REF!</v>
      </c>
      <c r="DK24" t="e">
        <f>AND(Bills!#REF!,"AAAAAHX583I=")</f>
        <v>#REF!</v>
      </c>
      <c r="DL24" t="e">
        <f>AND(Bills!#REF!,"AAAAAHX583M=")</f>
        <v>#REF!</v>
      </c>
      <c r="DM24" t="e">
        <f>AND(Bills!#REF!,"AAAAAHX583Q=")</f>
        <v>#REF!</v>
      </c>
      <c r="DN24" t="e">
        <f>AND(Bills!#REF!,"AAAAAHX583U=")</f>
        <v>#REF!</v>
      </c>
      <c r="DO24" t="e">
        <f>IF(Bills!#REF!,"AAAAAHX583Y=",0)</f>
        <v>#REF!</v>
      </c>
      <c r="DP24" t="e">
        <f>AND(Bills!#REF!,"AAAAAHX583c=")</f>
        <v>#REF!</v>
      </c>
      <c r="DQ24" t="e">
        <f>AND(Bills!#REF!,"AAAAAHX583g=")</f>
        <v>#REF!</v>
      </c>
      <c r="DR24" t="e">
        <f>AND(Bills!#REF!,"AAAAAHX583k=")</f>
        <v>#REF!</v>
      </c>
      <c r="DS24" t="e">
        <f>AND(Bills!#REF!,"AAAAAHX583o=")</f>
        <v>#REF!</v>
      </c>
      <c r="DT24" t="e">
        <f>AND(Bills!#REF!,"AAAAAHX583s=")</f>
        <v>#REF!</v>
      </c>
      <c r="DU24" t="e">
        <f>AND(Bills!#REF!,"AAAAAHX583w=")</f>
        <v>#REF!</v>
      </c>
      <c r="DV24" t="e">
        <f>AND(Bills!#REF!,"AAAAAHX5830=")</f>
        <v>#REF!</v>
      </c>
      <c r="DW24" t="e">
        <f>AND(Bills!#REF!,"AAAAAHX5834=")</f>
        <v>#REF!</v>
      </c>
      <c r="DX24" t="e">
        <f>AND(Bills!#REF!,"AAAAAHX5838=")</f>
        <v>#REF!</v>
      </c>
      <c r="DY24" t="e">
        <f>AND(Bills!#REF!,"AAAAAHX584A=")</f>
        <v>#REF!</v>
      </c>
      <c r="DZ24" t="e">
        <f>AND(Bills!#REF!,"AAAAAHX584E=")</f>
        <v>#REF!</v>
      </c>
      <c r="EA24" t="e">
        <f>AND(Bills!#REF!,"AAAAAHX584I=")</f>
        <v>#REF!</v>
      </c>
      <c r="EB24" t="e">
        <f>AND(Bills!#REF!,"AAAAAHX584M=")</f>
        <v>#REF!</v>
      </c>
      <c r="EC24" t="e">
        <f>AND(Bills!#REF!,"AAAAAHX584Q=")</f>
        <v>#REF!</v>
      </c>
      <c r="ED24" t="e">
        <f>AND(Bills!#REF!,"AAAAAHX584U=")</f>
        <v>#REF!</v>
      </c>
      <c r="EE24" t="e">
        <f>AND(Bills!#REF!,"AAAAAHX584Y=")</f>
        <v>#REF!</v>
      </c>
      <c r="EF24" t="e">
        <f>AND(Bills!#REF!,"AAAAAHX584c=")</f>
        <v>#REF!</v>
      </c>
      <c r="EG24" t="e">
        <f>AND(Bills!#REF!,"AAAAAHX584g=")</f>
        <v>#REF!</v>
      </c>
      <c r="EH24" t="e">
        <f>AND(Bills!#REF!,"AAAAAHX584k=")</f>
        <v>#REF!</v>
      </c>
      <c r="EI24" t="e">
        <f>AND(Bills!#REF!,"AAAAAHX584o=")</f>
        <v>#REF!</v>
      </c>
      <c r="EJ24" t="e">
        <f>AND(Bills!#REF!,"AAAAAHX584s=")</f>
        <v>#REF!</v>
      </c>
      <c r="EK24" t="e">
        <f>AND(Bills!#REF!,"AAAAAHX584w=")</f>
        <v>#REF!</v>
      </c>
      <c r="EL24" t="e">
        <f>AND(Bills!#REF!,"AAAAAHX5840=")</f>
        <v>#REF!</v>
      </c>
      <c r="EM24" t="e">
        <f>AND(Bills!#REF!,"AAAAAHX5844=")</f>
        <v>#REF!</v>
      </c>
      <c r="EN24" t="e">
        <f>AND(Bills!#REF!,"AAAAAHX5848=")</f>
        <v>#REF!</v>
      </c>
      <c r="EO24" t="e">
        <f>AND(Bills!#REF!,"AAAAAHX585A=")</f>
        <v>#REF!</v>
      </c>
      <c r="EP24" t="e">
        <f>AND(Bills!#REF!,"AAAAAHX585E=")</f>
        <v>#REF!</v>
      </c>
      <c r="EQ24" t="e">
        <f>AND(Bills!#REF!,"AAAAAHX585I=")</f>
        <v>#REF!</v>
      </c>
      <c r="ER24" t="e">
        <f>AND(Bills!#REF!,"AAAAAHX585M=")</f>
        <v>#REF!</v>
      </c>
      <c r="ES24" t="e">
        <f>AND(Bills!#REF!,"AAAAAHX585Q=")</f>
        <v>#REF!</v>
      </c>
      <c r="ET24" t="e">
        <f>AND(Bills!#REF!,"AAAAAHX585U=")</f>
        <v>#REF!</v>
      </c>
      <c r="EU24" t="e">
        <f>AND(Bills!#REF!,"AAAAAHX585Y=")</f>
        <v>#REF!</v>
      </c>
      <c r="EV24" t="e">
        <f>AND(Bills!#REF!,"AAAAAHX585c=")</f>
        <v>#REF!</v>
      </c>
      <c r="EW24" t="e">
        <f>AND(Bills!#REF!,"AAAAAHX585g=")</f>
        <v>#REF!</v>
      </c>
      <c r="EX24" t="e">
        <f>AND(Bills!#REF!,"AAAAAHX585k=")</f>
        <v>#REF!</v>
      </c>
      <c r="EY24" t="e">
        <f>AND(Bills!#REF!,"AAAAAHX585o=")</f>
        <v>#REF!</v>
      </c>
      <c r="EZ24" t="e">
        <f>AND(Bills!#REF!,"AAAAAHX585s=")</f>
        <v>#REF!</v>
      </c>
      <c r="FA24" t="e">
        <f>AND(Bills!#REF!,"AAAAAHX585w=")</f>
        <v>#REF!</v>
      </c>
      <c r="FB24" t="e">
        <f>AND(Bills!#REF!,"AAAAAHX5850=")</f>
        <v>#REF!</v>
      </c>
      <c r="FC24" t="e">
        <f>AND(Bills!#REF!,"AAAAAHX5854=")</f>
        <v>#REF!</v>
      </c>
      <c r="FD24" t="e">
        <f>AND(Bills!#REF!,"AAAAAHX5858=")</f>
        <v>#REF!</v>
      </c>
      <c r="FE24" t="e">
        <f>AND(Bills!#REF!,"AAAAAHX586A=")</f>
        <v>#REF!</v>
      </c>
      <c r="FF24" t="e">
        <f>AND(Bills!#REF!,"AAAAAHX586E=")</f>
        <v>#REF!</v>
      </c>
      <c r="FG24" t="e">
        <f>AND(Bills!#REF!,"AAAAAHX586I=")</f>
        <v>#REF!</v>
      </c>
      <c r="FH24" t="e">
        <f>AND(Bills!#REF!,"AAAAAHX586M=")</f>
        <v>#REF!</v>
      </c>
      <c r="FI24" t="e">
        <f>AND(Bills!#REF!,"AAAAAHX586Q=")</f>
        <v>#REF!</v>
      </c>
      <c r="FJ24" t="e">
        <f>AND(Bills!#REF!,"AAAAAHX586U=")</f>
        <v>#REF!</v>
      </c>
      <c r="FK24" t="e">
        <f>AND(Bills!#REF!,"AAAAAHX586Y=")</f>
        <v>#REF!</v>
      </c>
      <c r="FL24" t="e">
        <f>AND(Bills!#REF!,"AAAAAHX586c=")</f>
        <v>#REF!</v>
      </c>
      <c r="FM24" t="e">
        <f>AND(Bills!#REF!,"AAAAAHX586g=")</f>
        <v>#REF!</v>
      </c>
      <c r="FN24" t="e">
        <f>IF(Bills!#REF!,"AAAAAHX586k=",0)</f>
        <v>#REF!</v>
      </c>
      <c r="FO24" t="e">
        <f>AND(Bills!#REF!,"AAAAAHX586o=")</f>
        <v>#REF!</v>
      </c>
      <c r="FP24" t="e">
        <f>AND(Bills!#REF!,"AAAAAHX586s=")</f>
        <v>#REF!</v>
      </c>
      <c r="FQ24" t="e">
        <f>AND(Bills!#REF!,"AAAAAHX586w=")</f>
        <v>#REF!</v>
      </c>
      <c r="FR24" t="e">
        <f>AND(Bills!#REF!,"AAAAAHX5860=")</f>
        <v>#REF!</v>
      </c>
      <c r="FS24" t="e">
        <f>AND(Bills!#REF!,"AAAAAHX5864=")</f>
        <v>#REF!</v>
      </c>
      <c r="FT24" t="e">
        <f>AND(Bills!#REF!,"AAAAAHX5868=")</f>
        <v>#REF!</v>
      </c>
      <c r="FU24" t="e">
        <f>AND(Bills!#REF!,"AAAAAHX587A=")</f>
        <v>#REF!</v>
      </c>
      <c r="FV24" t="e">
        <f>AND(Bills!#REF!,"AAAAAHX587E=")</f>
        <v>#REF!</v>
      </c>
      <c r="FW24" t="e">
        <f>AND(Bills!#REF!,"AAAAAHX587I=")</f>
        <v>#REF!</v>
      </c>
      <c r="FX24" t="e">
        <f>AND(Bills!#REF!,"AAAAAHX587M=")</f>
        <v>#REF!</v>
      </c>
      <c r="FY24" t="e">
        <f>AND(Bills!#REF!,"AAAAAHX587Q=")</f>
        <v>#REF!</v>
      </c>
      <c r="FZ24" t="e">
        <f>AND(Bills!#REF!,"AAAAAHX587U=")</f>
        <v>#REF!</v>
      </c>
      <c r="GA24" t="e">
        <f>AND(Bills!#REF!,"AAAAAHX587Y=")</f>
        <v>#REF!</v>
      </c>
      <c r="GB24" t="e">
        <f>AND(Bills!#REF!,"AAAAAHX587c=")</f>
        <v>#REF!</v>
      </c>
      <c r="GC24" t="e">
        <f>AND(Bills!#REF!,"AAAAAHX587g=")</f>
        <v>#REF!</v>
      </c>
      <c r="GD24" t="e">
        <f>AND(Bills!#REF!,"AAAAAHX587k=")</f>
        <v>#REF!</v>
      </c>
      <c r="GE24" t="e">
        <f>AND(Bills!#REF!,"AAAAAHX587o=")</f>
        <v>#REF!</v>
      </c>
      <c r="GF24" t="e">
        <f>AND(Bills!#REF!,"AAAAAHX587s=")</f>
        <v>#REF!</v>
      </c>
      <c r="GG24" t="e">
        <f>AND(Bills!#REF!,"AAAAAHX587w=")</f>
        <v>#REF!</v>
      </c>
      <c r="GH24" t="e">
        <f>AND(Bills!#REF!,"AAAAAHX5870=")</f>
        <v>#REF!</v>
      </c>
      <c r="GI24" t="e">
        <f>AND(Bills!#REF!,"AAAAAHX5874=")</f>
        <v>#REF!</v>
      </c>
      <c r="GJ24" t="e">
        <f>AND(Bills!#REF!,"AAAAAHX5878=")</f>
        <v>#REF!</v>
      </c>
      <c r="GK24" t="e">
        <f>AND(Bills!#REF!,"AAAAAHX588A=")</f>
        <v>#REF!</v>
      </c>
      <c r="GL24" t="e">
        <f>AND(Bills!#REF!,"AAAAAHX588E=")</f>
        <v>#REF!</v>
      </c>
      <c r="GM24" t="e">
        <f>AND(Bills!#REF!,"AAAAAHX588I=")</f>
        <v>#REF!</v>
      </c>
      <c r="GN24" t="e">
        <f>AND(Bills!#REF!,"AAAAAHX588M=")</f>
        <v>#REF!</v>
      </c>
      <c r="GO24" t="e">
        <f>AND(Bills!#REF!,"AAAAAHX588Q=")</f>
        <v>#REF!</v>
      </c>
      <c r="GP24" t="e">
        <f>AND(Bills!#REF!,"AAAAAHX588U=")</f>
        <v>#REF!</v>
      </c>
      <c r="GQ24" t="e">
        <f>AND(Bills!#REF!,"AAAAAHX588Y=")</f>
        <v>#REF!</v>
      </c>
      <c r="GR24" t="e">
        <f>AND(Bills!#REF!,"AAAAAHX588c=")</f>
        <v>#REF!</v>
      </c>
      <c r="GS24" t="e">
        <f>AND(Bills!#REF!,"AAAAAHX588g=")</f>
        <v>#REF!</v>
      </c>
      <c r="GT24" t="e">
        <f>AND(Bills!#REF!,"AAAAAHX588k=")</f>
        <v>#REF!</v>
      </c>
      <c r="GU24" t="e">
        <f>AND(Bills!#REF!,"AAAAAHX588o=")</f>
        <v>#REF!</v>
      </c>
      <c r="GV24" t="e">
        <f>AND(Bills!#REF!,"AAAAAHX588s=")</f>
        <v>#REF!</v>
      </c>
      <c r="GW24" t="e">
        <f>AND(Bills!#REF!,"AAAAAHX588w=")</f>
        <v>#REF!</v>
      </c>
      <c r="GX24" t="e">
        <f>AND(Bills!#REF!,"AAAAAHX5880=")</f>
        <v>#REF!</v>
      </c>
      <c r="GY24" t="e">
        <f>AND(Bills!#REF!,"AAAAAHX5884=")</f>
        <v>#REF!</v>
      </c>
      <c r="GZ24" t="e">
        <f>AND(Bills!#REF!,"AAAAAHX5888=")</f>
        <v>#REF!</v>
      </c>
      <c r="HA24" t="e">
        <f>AND(Bills!#REF!,"AAAAAHX589A=")</f>
        <v>#REF!</v>
      </c>
      <c r="HB24" t="e">
        <f>AND(Bills!#REF!,"AAAAAHX589E=")</f>
        <v>#REF!</v>
      </c>
      <c r="HC24" t="e">
        <f>AND(Bills!#REF!,"AAAAAHX589I=")</f>
        <v>#REF!</v>
      </c>
      <c r="HD24" t="e">
        <f>AND(Bills!#REF!,"AAAAAHX589M=")</f>
        <v>#REF!</v>
      </c>
      <c r="HE24" t="e">
        <f>AND(Bills!#REF!,"AAAAAHX589Q=")</f>
        <v>#REF!</v>
      </c>
      <c r="HF24" t="e">
        <f>AND(Bills!#REF!,"AAAAAHX589U=")</f>
        <v>#REF!</v>
      </c>
      <c r="HG24" t="e">
        <f>AND(Bills!#REF!,"AAAAAHX589Y=")</f>
        <v>#REF!</v>
      </c>
      <c r="HH24" t="e">
        <f>AND(Bills!#REF!,"AAAAAHX589c=")</f>
        <v>#REF!</v>
      </c>
      <c r="HI24" t="e">
        <f>AND(Bills!#REF!,"AAAAAHX589g=")</f>
        <v>#REF!</v>
      </c>
      <c r="HJ24" t="e">
        <f>AND(Bills!#REF!,"AAAAAHX589k=")</f>
        <v>#REF!</v>
      </c>
      <c r="HK24" t="e">
        <f>AND(Bills!#REF!,"AAAAAHX589o=")</f>
        <v>#REF!</v>
      </c>
      <c r="HL24" t="e">
        <f>AND(Bills!#REF!,"AAAAAHX589s=")</f>
        <v>#REF!</v>
      </c>
      <c r="HM24" t="e">
        <f>IF(Bills!#REF!,"AAAAAHX589w=",0)</f>
        <v>#REF!</v>
      </c>
      <c r="HN24" t="e">
        <f>AND(Bills!#REF!,"AAAAAHX5890=")</f>
        <v>#REF!</v>
      </c>
      <c r="HO24" t="e">
        <f>AND(Bills!#REF!,"AAAAAHX5894=")</f>
        <v>#REF!</v>
      </c>
      <c r="HP24" t="e">
        <f>AND(Bills!#REF!,"AAAAAHX5898=")</f>
        <v>#REF!</v>
      </c>
      <c r="HQ24" t="e">
        <f>AND(Bills!#REF!,"AAAAAHX58+A=")</f>
        <v>#REF!</v>
      </c>
      <c r="HR24" t="e">
        <f>AND(Bills!#REF!,"AAAAAHX58+E=")</f>
        <v>#REF!</v>
      </c>
      <c r="HS24" t="e">
        <f>AND(Bills!#REF!,"AAAAAHX58+I=")</f>
        <v>#REF!</v>
      </c>
      <c r="HT24" t="e">
        <f>AND(Bills!#REF!,"AAAAAHX58+M=")</f>
        <v>#REF!</v>
      </c>
      <c r="HU24" t="e">
        <f>AND(Bills!#REF!,"AAAAAHX58+Q=")</f>
        <v>#REF!</v>
      </c>
      <c r="HV24" t="e">
        <f>AND(Bills!#REF!,"AAAAAHX58+U=")</f>
        <v>#REF!</v>
      </c>
      <c r="HW24" t="e">
        <f>AND(Bills!#REF!,"AAAAAHX58+Y=")</f>
        <v>#REF!</v>
      </c>
      <c r="HX24" t="e">
        <f>AND(Bills!#REF!,"AAAAAHX58+c=")</f>
        <v>#REF!</v>
      </c>
      <c r="HY24" t="e">
        <f>AND(Bills!#REF!,"AAAAAHX58+g=")</f>
        <v>#REF!</v>
      </c>
      <c r="HZ24" t="e">
        <f>AND(Bills!#REF!,"AAAAAHX58+k=")</f>
        <v>#REF!</v>
      </c>
      <c r="IA24" t="e">
        <f>AND(Bills!#REF!,"AAAAAHX58+o=")</f>
        <v>#REF!</v>
      </c>
      <c r="IB24" t="e">
        <f>AND(Bills!#REF!,"AAAAAHX58+s=")</f>
        <v>#REF!</v>
      </c>
      <c r="IC24" t="e">
        <f>AND(Bills!#REF!,"AAAAAHX58+w=")</f>
        <v>#REF!</v>
      </c>
      <c r="ID24" t="e">
        <f>AND(Bills!#REF!,"AAAAAHX58+0=")</f>
        <v>#REF!</v>
      </c>
      <c r="IE24" t="e">
        <f>AND(Bills!#REF!,"AAAAAHX58+4=")</f>
        <v>#REF!</v>
      </c>
      <c r="IF24" t="e">
        <f>AND(Bills!#REF!,"AAAAAHX58+8=")</f>
        <v>#REF!</v>
      </c>
      <c r="IG24" t="e">
        <f>AND(Bills!#REF!,"AAAAAHX58/A=")</f>
        <v>#REF!</v>
      </c>
      <c r="IH24" t="e">
        <f>AND(Bills!#REF!,"AAAAAHX58/E=")</f>
        <v>#REF!</v>
      </c>
      <c r="II24" t="e">
        <f>AND(Bills!#REF!,"AAAAAHX58/I=")</f>
        <v>#REF!</v>
      </c>
      <c r="IJ24" t="e">
        <f>AND(Bills!#REF!,"AAAAAHX58/M=")</f>
        <v>#REF!</v>
      </c>
      <c r="IK24" t="e">
        <f>AND(Bills!#REF!,"AAAAAHX58/Q=")</f>
        <v>#REF!</v>
      </c>
      <c r="IL24" t="e">
        <f>AND(Bills!#REF!,"AAAAAHX58/U=")</f>
        <v>#REF!</v>
      </c>
      <c r="IM24" t="e">
        <f>AND(Bills!#REF!,"AAAAAHX58/Y=")</f>
        <v>#REF!</v>
      </c>
      <c r="IN24" t="e">
        <f>AND(Bills!#REF!,"AAAAAHX58/c=")</f>
        <v>#REF!</v>
      </c>
      <c r="IO24" t="e">
        <f>AND(Bills!#REF!,"AAAAAHX58/g=")</f>
        <v>#REF!</v>
      </c>
      <c r="IP24" t="e">
        <f>AND(Bills!#REF!,"AAAAAHX58/k=")</f>
        <v>#REF!</v>
      </c>
      <c r="IQ24" t="e">
        <f>AND(Bills!#REF!,"AAAAAHX58/o=")</f>
        <v>#REF!</v>
      </c>
      <c r="IR24" t="e">
        <f>AND(Bills!#REF!,"AAAAAHX58/s=")</f>
        <v>#REF!</v>
      </c>
      <c r="IS24" t="e">
        <f>AND(Bills!#REF!,"AAAAAHX58/w=")</f>
        <v>#REF!</v>
      </c>
      <c r="IT24" t="e">
        <f>AND(Bills!#REF!,"AAAAAHX58/0=")</f>
        <v>#REF!</v>
      </c>
      <c r="IU24" t="e">
        <f>AND(Bills!#REF!,"AAAAAHX58/4=")</f>
        <v>#REF!</v>
      </c>
      <c r="IV24" t="e">
        <f>AND(Bills!#REF!,"AAAAAHX58/8=")</f>
        <v>#REF!</v>
      </c>
    </row>
    <row r="25" spans="1:256">
      <c r="A25" t="e">
        <f>AND(Bills!#REF!,"AAAAAG+7bgA=")</f>
        <v>#REF!</v>
      </c>
      <c r="B25" t="e">
        <f>AND(Bills!#REF!,"AAAAAG+7bgE=")</f>
        <v>#REF!</v>
      </c>
      <c r="C25" t="e">
        <f>AND(Bills!#REF!,"AAAAAG+7bgI=")</f>
        <v>#REF!</v>
      </c>
      <c r="D25" t="e">
        <f>AND(Bills!#REF!,"AAAAAG+7bgM=")</f>
        <v>#REF!</v>
      </c>
      <c r="E25" t="e">
        <f>AND(Bills!#REF!,"AAAAAG+7bgQ=")</f>
        <v>#REF!</v>
      </c>
      <c r="F25" t="e">
        <f>AND(Bills!#REF!,"AAAAAG+7bgU=")</f>
        <v>#REF!</v>
      </c>
      <c r="G25" t="e">
        <f>AND(Bills!#REF!,"AAAAAG+7bgY=")</f>
        <v>#REF!</v>
      </c>
      <c r="H25" t="e">
        <f>AND(Bills!#REF!,"AAAAAG+7bgc=")</f>
        <v>#REF!</v>
      </c>
      <c r="I25" t="e">
        <f>AND(Bills!#REF!,"AAAAAG+7bgg=")</f>
        <v>#REF!</v>
      </c>
      <c r="J25" t="e">
        <f>AND(Bills!#REF!,"AAAAAG+7bgk=")</f>
        <v>#REF!</v>
      </c>
      <c r="K25" t="e">
        <f>AND(Bills!#REF!,"AAAAAG+7bgo=")</f>
        <v>#REF!</v>
      </c>
      <c r="L25" t="e">
        <f>AND(Bills!#REF!,"AAAAAG+7bgs=")</f>
        <v>#REF!</v>
      </c>
      <c r="M25" t="e">
        <f>AND(Bills!#REF!,"AAAAAG+7bgw=")</f>
        <v>#REF!</v>
      </c>
      <c r="N25" t="e">
        <f>AND(Bills!#REF!,"AAAAAG+7bg0=")</f>
        <v>#REF!</v>
      </c>
      <c r="O25" t="e">
        <f>AND(Bills!#REF!,"AAAAAG+7bg4=")</f>
        <v>#REF!</v>
      </c>
      <c r="P25" t="str">
        <f>IF(Bills!14:14,"AAAAAG+7bg8=",0)</f>
        <v>AAAAAG+7bg8=</v>
      </c>
      <c r="Q25" t="e">
        <f>AND(Bills!B14,"AAAAAG+7bhA=")</f>
        <v>#VALUE!</v>
      </c>
      <c r="R25" t="e">
        <f>AND(Bills!#REF!,"AAAAAG+7bhE=")</f>
        <v>#REF!</v>
      </c>
      <c r="S25" t="e">
        <f>AND(Bills!C14,"AAAAAG+7bhI=")</f>
        <v>#VALUE!</v>
      </c>
      <c r="T25" t="e">
        <f>AND(Bills!#REF!,"AAAAAG+7bhM=")</f>
        <v>#REF!</v>
      </c>
      <c r="U25" t="e">
        <f>AND(Bills!#REF!,"AAAAAG+7bhQ=")</f>
        <v>#REF!</v>
      </c>
      <c r="V25" t="e">
        <f>AND(Bills!#REF!,"AAAAAG+7bhU=")</f>
        <v>#REF!</v>
      </c>
      <c r="W25" t="e">
        <f>AND(Bills!#REF!,"AAAAAG+7bhY=")</f>
        <v>#REF!</v>
      </c>
      <c r="X25" t="e">
        <f>AND(Bills!#REF!,"AAAAAG+7bhc=")</f>
        <v>#REF!</v>
      </c>
      <c r="Y25" t="e">
        <f>AND(Bills!D14,"AAAAAG+7bhg=")</f>
        <v>#VALUE!</v>
      </c>
      <c r="Z25" t="e">
        <f>AND(Bills!#REF!,"AAAAAG+7bhk=")</f>
        <v>#REF!</v>
      </c>
      <c r="AA25" t="e">
        <f>AND(Bills!E14,"AAAAAG+7bho=")</f>
        <v>#VALUE!</v>
      </c>
      <c r="AB25" t="e">
        <f>AND(Bills!F14,"AAAAAG+7bhs=")</f>
        <v>#VALUE!</v>
      </c>
      <c r="AC25" t="e">
        <f>AND(Bills!G14,"AAAAAG+7bhw=")</f>
        <v>#VALUE!</v>
      </c>
      <c r="AD25" t="e">
        <f>AND(Bills!H14,"AAAAAG+7bh0=")</f>
        <v>#VALUE!</v>
      </c>
      <c r="AE25" t="e">
        <f>AND(Bills!I14,"AAAAAG+7bh4=")</f>
        <v>#VALUE!</v>
      </c>
      <c r="AF25" t="e">
        <f>AND(Bills!J14,"AAAAAG+7bh8=")</f>
        <v>#VALUE!</v>
      </c>
      <c r="AG25" t="e">
        <f>AND(Bills!#REF!,"AAAAAG+7biA=")</f>
        <v>#REF!</v>
      </c>
      <c r="AH25" t="e">
        <f>AND(Bills!K14,"AAAAAG+7biE=")</f>
        <v>#VALUE!</v>
      </c>
      <c r="AI25" t="e">
        <f>AND(Bills!L14,"AAAAAG+7biI=")</f>
        <v>#VALUE!</v>
      </c>
      <c r="AJ25" t="e">
        <f>AND(Bills!M14,"AAAAAG+7biM=")</f>
        <v>#VALUE!</v>
      </c>
      <c r="AK25" t="e">
        <f>AND(Bills!N14,"AAAAAG+7biQ=")</f>
        <v>#VALUE!</v>
      </c>
      <c r="AL25" t="e">
        <f>AND(Bills!O14,"AAAAAG+7biU=")</f>
        <v>#VALUE!</v>
      </c>
      <c r="AM25" t="e">
        <f>AND(Bills!P14,"AAAAAG+7biY=")</f>
        <v>#VALUE!</v>
      </c>
      <c r="AN25" t="e">
        <f>AND(Bills!Q14,"AAAAAG+7bic=")</f>
        <v>#VALUE!</v>
      </c>
      <c r="AO25" t="e">
        <f>AND(Bills!R14,"AAAAAG+7big=")</f>
        <v>#VALUE!</v>
      </c>
      <c r="AP25" t="e">
        <f>AND(Bills!#REF!,"AAAAAG+7bik=")</f>
        <v>#REF!</v>
      </c>
      <c r="AQ25" t="e">
        <f>AND(Bills!S14,"AAAAAG+7bio=")</f>
        <v>#VALUE!</v>
      </c>
      <c r="AR25" t="e">
        <f>AND(Bills!T14,"AAAAAG+7bis=")</f>
        <v>#VALUE!</v>
      </c>
      <c r="AS25" t="e">
        <f>AND(Bills!U14,"AAAAAG+7biw=")</f>
        <v>#VALUE!</v>
      </c>
      <c r="AT25" t="e">
        <f>AND(Bills!#REF!,"AAAAAG+7bi0=")</f>
        <v>#REF!</v>
      </c>
      <c r="AU25" t="e">
        <f>AND(Bills!#REF!,"AAAAAG+7bi4=")</f>
        <v>#REF!</v>
      </c>
      <c r="AV25" t="e">
        <f>AND(Bills!W14,"AAAAAG+7bi8=")</f>
        <v>#VALUE!</v>
      </c>
      <c r="AW25" t="e">
        <f>AND(Bills!X14,"AAAAAG+7bjA=")</f>
        <v>#VALUE!</v>
      </c>
      <c r="AX25" t="e">
        <f>AND(Bills!#REF!,"AAAAAG+7bjE=")</f>
        <v>#REF!</v>
      </c>
      <c r="AY25" t="e">
        <f>AND(Bills!#REF!,"AAAAAG+7bjI=")</f>
        <v>#REF!</v>
      </c>
      <c r="AZ25" t="e">
        <f>AND(Bills!#REF!,"AAAAAG+7bjM=")</f>
        <v>#REF!</v>
      </c>
      <c r="BA25" t="e">
        <f>AND(Bills!#REF!,"AAAAAG+7bjQ=")</f>
        <v>#REF!</v>
      </c>
      <c r="BB25" t="e">
        <f>AND(Bills!#REF!,"AAAAAG+7bjU=")</f>
        <v>#REF!</v>
      </c>
      <c r="BC25" t="e">
        <f>AND(Bills!#REF!,"AAAAAG+7bjY=")</f>
        <v>#REF!</v>
      </c>
      <c r="BD25" t="e">
        <f>AND(Bills!#REF!,"AAAAAG+7bjc=")</f>
        <v>#REF!</v>
      </c>
      <c r="BE25" t="e">
        <f>AND(Bills!#REF!,"AAAAAG+7bjg=")</f>
        <v>#REF!</v>
      </c>
      <c r="BF25" t="e">
        <f>AND(Bills!#REF!,"AAAAAG+7bjk=")</f>
        <v>#REF!</v>
      </c>
      <c r="BG25" t="e">
        <f>AND(Bills!Y14,"AAAAAG+7bjo=")</f>
        <v>#VALUE!</v>
      </c>
      <c r="BH25" t="e">
        <f>AND(Bills!Z14,"AAAAAG+7bjs=")</f>
        <v>#VALUE!</v>
      </c>
      <c r="BI25" t="e">
        <f>AND(Bills!#REF!,"AAAAAG+7bjw=")</f>
        <v>#REF!</v>
      </c>
      <c r="BJ25" t="e">
        <f>AND(Bills!#REF!,"AAAAAG+7bj0=")</f>
        <v>#REF!</v>
      </c>
      <c r="BK25" t="e">
        <f>AND(Bills!#REF!,"AAAAAG+7bj4=")</f>
        <v>#REF!</v>
      </c>
      <c r="BL25" t="e">
        <f>AND(Bills!AA14,"AAAAAG+7bj8=")</f>
        <v>#VALUE!</v>
      </c>
      <c r="BM25" t="e">
        <f>AND(Bills!AB14,"AAAAAG+7bkA=")</f>
        <v>#VALUE!</v>
      </c>
      <c r="BN25" t="e">
        <f>AND(Bills!#REF!,"AAAAAG+7bkE=")</f>
        <v>#REF!</v>
      </c>
      <c r="BO25" t="e">
        <f>IF(Bills!#REF!,"AAAAAG+7bkI=",0)</f>
        <v>#REF!</v>
      </c>
      <c r="BP25" t="e">
        <f>AND(Bills!#REF!,"AAAAAG+7bkM=")</f>
        <v>#REF!</v>
      </c>
      <c r="BQ25" t="e">
        <f>AND(Bills!#REF!,"AAAAAG+7bkQ=")</f>
        <v>#REF!</v>
      </c>
      <c r="BR25" t="e">
        <f>AND(Bills!#REF!,"AAAAAG+7bkU=")</f>
        <v>#REF!</v>
      </c>
      <c r="BS25" t="e">
        <f>AND(Bills!#REF!,"AAAAAG+7bkY=")</f>
        <v>#REF!</v>
      </c>
      <c r="BT25" t="e">
        <f>AND(Bills!#REF!,"AAAAAG+7bkc=")</f>
        <v>#REF!</v>
      </c>
      <c r="BU25" t="e">
        <f>AND(Bills!#REF!,"AAAAAG+7bkg=")</f>
        <v>#REF!</v>
      </c>
      <c r="BV25" t="e">
        <f>AND(Bills!#REF!,"AAAAAG+7bkk=")</f>
        <v>#REF!</v>
      </c>
      <c r="BW25" t="e">
        <f>AND(Bills!#REF!,"AAAAAG+7bko=")</f>
        <v>#REF!</v>
      </c>
      <c r="BX25" t="e">
        <f>AND(Bills!#REF!,"AAAAAG+7bks=")</f>
        <v>#REF!</v>
      </c>
      <c r="BY25" t="e">
        <f>AND(Bills!#REF!,"AAAAAG+7bkw=")</f>
        <v>#REF!</v>
      </c>
      <c r="BZ25" t="e">
        <f>AND(Bills!#REF!,"AAAAAG+7bk0=")</f>
        <v>#REF!</v>
      </c>
      <c r="CA25" t="e">
        <f>AND(Bills!#REF!,"AAAAAG+7bk4=")</f>
        <v>#REF!</v>
      </c>
      <c r="CB25" t="e">
        <f>AND(Bills!#REF!,"AAAAAG+7bk8=")</f>
        <v>#REF!</v>
      </c>
      <c r="CC25" t="e">
        <f>AND(Bills!#REF!,"AAAAAG+7blA=")</f>
        <v>#REF!</v>
      </c>
      <c r="CD25" t="e">
        <f>AND(Bills!#REF!,"AAAAAG+7blE=")</f>
        <v>#REF!</v>
      </c>
      <c r="CE25" t="e">
        <f>AND(Bills!#REF!,"AAAAAG+7blI=")</f>
        <v>#REF!</v>
      </c>
      <c r="CF25" t="e">
        <f>AND(Bills!#REF!,"AAAAAG+7blM=")</f>
        <v>#REF!</v>
      </c>
      <c r="CG25" t="e">
        <f>AND(Bills!#REF!,"AAAAAG+7blQ=")</f>
        <v>#REF!</v>
      </c>
      <c r="CH25" t="e">
        <f>AND(Bills!#REF!,"AAAAAG+7blU=")</f>
        <v>#REF!</v>
      </c>
      <c r="CI25" t="e">
        <f>AND(Bills!#REF!,"AAAAAG+7blY=")</f>
        <v>#REF!</v>
      </c>
      <c r="CJ25" t="e">
        <f>AND(Bills!#REF!,"AAAAAG+7blc=")</f>
        <v>#REF!</v>
      </c>
      <c r="CK25" t="e">
        <f>AND(Bills!#REF!,"AAAAAG+7blg=")</f>
        <v>#REF!</v>
      </c>
      <c r="CL25" t="e">
        <f>AND(Bills!#REF!,"AAAAAG+7blk=")</f>
        <v>#REF!</v>
      </c>
      <c r="CM25" t="e">
        <f>AND(Bills!#REF!,"AAAAAG+7blo=")</f>
        <v>#REF!</v>
      </c>
      <c r="CN25" t="e">
        <f>AND(Bills!#REF!,"AAAAAG+7bls=")</f>
        <v>#REF!</v>
      </c>
      <c r="CO25" t="e">
        <f>AND(Bills!#REF!,"AAAAAG+7blw=")</f>
        <v>#REF!</v>
      </c>
      <c r="CP25" t="e">
        <f>AND(Bills!#REF!,"AAAAAG+7bl0=")</f>
        <v>#REF!</v>
      </c>
      <c r="CQ25" t="e">
        <f>AND(Bills!#REF!,"AAAAAG+7bl4=")</f>
        <v>#REF!</v>
      </c>
      <c r="CR25" t="e">
        <f>AND(Bills!#REF!,"AAAAAG+7bl8=")</f>
        <v>#REF!</v>
      </c>
      <c r="CS25" t="e">
        <f>AND(Bills!#REF!,"AAAAAG+7bmA=")</f>
        <v>#REF!</v>
      </c>
      <c r="CT25" t="e">
        <f>AND(Bills!#REF!,"AAAAAG+7bmE=")</f>
        <v>#REF!</v>
      </c>
      <c r="CU25" t="e">
        <f>AND(Bills!#REF!,"AAAAAG+7bmI=")</f>
        <v>#REF!</v>
      </c>
      <c r="CV25" t="e">
        <f>AND(Bills!#REF!,"AAAAAG+7bmM=")</f>
        <v>#REF!</v>
      </c>
      <c r="CW25" t="e">
        <f>AND(Bills!#REF!,"AAAAAG+7bmQ=")</f>
        <v>#REF!</v>
      </c>
      <c r="CX25" t="e">
        <f>AND(Bills!#REF!,"AAAAAG+7bmU=")</f>
        <v>#REF!</v>
      </c>
      <c r="CY25" t="e">
        <f>AND(Bills!#REF!,"AAAAAG+7bmY=")</f>
        <v>#REF!</v>
      </c>
      <c r="CZ25" t="e">
        <f>AND(Bills!#REF!,"AAAAAG+7bmc=")</f>
        <v>#REF!</v>
      </c>
      <c r="DA25" t="e">
        <f>AND(Bills!#REF!,"AAAAAG+7bmg=")</f>
        <v>#REF!</v>
      </c>
      <c r="DB25" t="e">
        <f>AND(Bills!#REF!,"AAAAAG+7bmk=")</f>
        <v>#REF!</v>
      </c>
      <c r="DC25" t="e">
        <f>AND(Bills!#REF!,"AAAAAG+7bmo=")</f>
        <v>#REF!</v>
      </c>
      <c r="DD25" t="e">
        <f>AND(Bills!#REF!,"AAAAAG+7bms=")</f>
        <v>#REF!</v>
      </c>
      <c r="DE25" t="e">
        <f>AND(Bills!#REF!,"AAAAAG+7bmw=")</f>
        <v>#REF!</v>
      </c>
      <c r="DF25" t="e">
        <f>AND(Bills!#REF!,"AAAAAG+7bm0=")</f>
        <v>#REF!</v>
      </c>
      <c r="DG25" t="e">
        <f>AND(Bills!#REF!,"AAAAAG+7bm4=")</f>
        <v>#REF!</v>
      </c>
      <c r="DH25" t="e">
        <f>AND(Bills!#REF!,"AAAAAG+7bm8=")</f>
        <v>#REF!</v>
      </c>
      <c r="DI25" t="e">
        <f>AND(Bills!#REF!,"AAAAAG+7bnA=")</f>
        <v>#REF!</v>
      </c>
      <c r="DJ25" t="e">
        <f>AND(Bills!#REF!,"AAAAAG+7bnE=")</f>
        <v>#REF!</v>
      </c>
      <c r="DK25" t="e">
        <f>AND(Bills!#REF!,"AAAAAG+7bnI=")</f>
        <v>#REF!</v>
      </c>
      <c r="DL25" t="e">
        <f>AND(Bills!#REF!,"AAAAAG+7bnM=")</f>
        <v>#REF!</v>
      </c>
      <c r="DM25" t="e">
        <f>AND(Bills!#REF!,"AAAAAG+7bnQ=")</f>
        <v>#REF!</v>
      </c>
      <c r="DN25" t="e">
        <f>IF(Bills!#REF!,"AAAAAG+7bnU=",0)</f>
        <v>#REF!</v>
      </c>
      <c r="DO25" t="e">
        <f>AND(Bills!#REF!,"AAAAAG+7bnY=")</f>
        <v>#REF!</v>
      </c>
      <c r="DP25" t="e">
        <f>AND(Bills!#REF!,"AAAAAG+7bnc=")</f>
        <v>#REF!</v>
      </c>
      <c r="DQ25" t="e">
        <f>AND(Bills!#REF!,"AAAAAG+7bng=")</f>
        <v>#REF!</v>
      </c>
      <c r="DR25" t="e">
        <f>AND(Bills!#REF!,"AAAAAG+7bnk=")</f>
        <v>#REF!</v>
      </c>
      <c r="DS25" t="e">
        <f>AND(Bills!#REF!,"AAAAAG+7bno=")</f>
        <v>#REF!</v>
      </c>
      <c r="DT25" t="e">
        <f>AND(Bills!#REF!,"AAAAAG+7bns=")</f>
        <v>#REF!</v>
      </c>
      <c r="DU25" t="e">
        <f>AND(Bills!#REF!,"AAAAAG+7bnw=")</f>
        <v>#REF!</v>
      </c>
      <c r="DV25" t="e">
        <f>AND(Bills!#REF!,"AAAAAG+7bn0=")</f>
        <v>#REF!</v>
      </c>
      <c r="DW25" t="e">
        <f>AND(Bills!#REF!,"AAAAAG+7bn4=")</f>
        <v>#REF!</v>
      </c>
      <c r="DX25" t="e">
        <f>AND(Bills!#REF!,"AAAAAG+7bn8=")</f>
        <v>#REF!</v>
      </c>
      <c r="DY25" t="e">
        <f>AND(Bills!#REF!,"AAAAAG+7boA=")</f>
        <v>#REF!</v>
      </c>
      <c r="DZ25" t="e">
        <f>AND(Bills!#REF!,"AAAAAG+7boE=")</f>
        <v>#REF!</v>
      </c>
      <c r="EA25" t="e">
        <f>AND(Bills!#REF!,"AAAAAG+7boI=")</f>
        <v>#REF!</v>
      </c>
      <c r="EB25" t="e">
        <f>AND(Bills!#REF!,"AAAAAG+7boM=")</f>
        <v>#REF!</v>
      </c>
      <c r="EC25" t="e">
        <f>AND(Bills!#REF!,"AAAAAG+7boQ=")</f>
        <v>#REF!</v>
      </c>
      <c r="ED25" t="e">
        <f>AND(Bills!#REF!,"AAAAAG+7boU=")</f>
        <v>#REF!</v>
      </c>
      <c r="EE25" t="e">
        <f>AND(Bills!#REF!,"AAAAAG+7boY=")</f>
        <v>#REF!</v>
      </c>
      <c r="EF25" t="e">
        <f>AND(Bills!#REF!,"AAAAAG+7boc=")</f>
        <v>#REF!</v>
      </c>
      <c r="EG25" t="e">
        <f>AND(Bills!#REF!,"AAAAAG+7bog=")</f>
        <v>#REF!</v>
      </c>
      <c r="EH25" t="e">
        <f>AND(Bills!#REF!,"AAAAAG+7bok=")</f>
        <v>#REF!</v>
      </c>
      <c r="EI25" t="e">
        <f>AND(Bills!#REF!,"AAAAAG+7boo=")</f>
        <v>#REF!</v>
      </c>
      <c r="EJ25" t="e">
        <f>AND(Bills!#REF!,"AAAAAG+7bos=")</f>
        <v>#REF!</v>
      </c>
      <c r="EK25" t="e">
        <f>AND(Bills!#REF!,"AAAAAG+7bow=")</f>
        <v>#REF!</v>
      </c>
      <c r="EL25" t="e">
        <f>AND(Bills!#REF!,"AAAAAG+7bo0=")</f>
        <v>#REF!</v>
      </c>
      <c r="EM25" t="e">
        <f>AND(Bills!#REF!,"AAAAAG+7bo4=")</f>
        <v>#REF!</v>
      </c>
      <c r="EN25" t="e">
        <f>AND(Bills!#REF!,"AAAAAG+7bo8=")</f>
        <v>#REF!</v>
      </c>
      <c r="EO25" t="e">
        <f>AND(Bills!#REF!,"AAAAAG+7bpA=")</f>
        <v>#REF!</v>
      </c>
      <c r="EP25" t="e">
        <f>AND(Bills!#REF!,"AAAAAG+7bpE=")</f>
        <v>#REF!</v>
      </c>
      <c r="EQ25" t="e">
        <f>AND(Bills!#REF!,"AAAAAG+7bpI=")</f>
        <v>#REF!</v>
      </c>
      <c r="ER25" t="e">
        <f>AND(Bills!#REF!,"AAAAAG+7bpM=")</f>
        <v>#REF!</v>
      </c>
      <c r="ES25" t="e">
        <f>AND(Bills!#REF!,"AAAAAG+7bpQ=")</f>
        <v>#REF!</v>
      </c>
      <c r="ET25" t="e">
        <f>AND(Bills!#REF!,"AAAAAG+7bpU=")</f>
        <v>#REF!</v>
      </c>
      <c r="EU25" t="e">
        <f>AND(Bills!#REF!,"AAAAAG+7bpY=")</f>
        <v>#REF!</v>
      </c>
      <c r="EV25" t="e">
        <f>AND(Bills!#REF!,"AAAAAG+7bpc=")</f>
        <v>#REF!</v>
      </c>
      <c r="EW25" t="e">
        <f>AND(Bills!#REF!,"AAAAAG+7bpg=")</f>
        <v>#REF!</v>
      </c>
      <c r="EX25" t="e">
        <f>AND(Bills!#REF!,"AAAAAG+7bpk=")</f>
        <v>#REF!</v>
      </c>
      <c r="EY25" t="e">
        <f>AND(Bills!#REF!,"AAAAAG+7bpo=")</f>
        <v>#REF!</v>
      </c>
      <c r="EZ25" t="e">
        <f>AND(Bills!#REF!,"AAAAAG+7bps=")</f>
        <v>#REF!</v>
      </c>
      <c r="FA25" t="e">
        <f>AND(Bills!#REF!,"AAAAAG+7bpw=")</f>
        <v>#REF!</v>
      </c>
      <c r="FB25" t="e">
        <f>AND(Bills!#REF!,"AAAAAG+7bp0=")</f>
        <v>#REF!</v>
      </c>
      <c r="FC25" t="e">
        <f>AND(Bills!#REF!,"AAAAAG+7bp4=")</f>
        <v>#REF!</v>
      </c>
      <c r="FD25" t="e">
        <f>AND(Bills!#REF!,"AAAAAG+7bp8=")</f>
        <v>#REF!</v>
      </c>
      <c r="FE25" t="e">
        <f>AND(Bills!#REF!,"AAAAAG+7bqA=")</f>
        <v>#REF!</v>
      </c>
      <c r="FF25" t="e">
        <f>AND(Bills!#REF!,"AAAAAG+7bqE=")</f>
        <v>#REF!</v>
      </c>
      <c r="FG25" t="e">
        <f>AND(Bills!#REF!,"AAAAAG+7bqI=")</f>
        <v>#REF!</v>
      </c>
      <c r="FH25" t="e">
        <f>AND(Bills!#REF!,"AAAAAG+7bqM=")</f>
        <v>#REF!</v>
      </c>
      <c r="FI25" t="e">
        <f>AND(Bills!#REF!,"AAAAAG+7bqQ=")</f>
        <v>#REF!</v>
      </c>
      <c r="FJ25" t="e">
        <f>AND(Bills!#REF!,"AAAAAG+7bqU=")</f>
        <v>#REF!</v>
      </c>
      <c r="FK25" t="e">
        <f>AND(Bills!#REF!,"AAAAAG+7bqY=")</f>
        <v>#REF!</v>
      </c>
      <c r="FL25" t="e">
        <f>AND(Bills!#REF!,"AAAAAG+7bqc=")</f>
        <v>#REF!</v>
      </c>
      <c r="FM25" t="e">
        <f>IF(Bills!#REF!,"AAAAAG+7bqg=",0)</f>
        <v>#REF!</v>
      </c>
      <c r="FN25" t="e">
        <f>AND(Bills!#REF!,"AAAAAG+7bqk=")</f>
        <v>#REF!</v>
      </c>
      <c r="FO25" t="e">
        <f>AND(Bills!#REF!,"AAAAAG+7bqo=")</f>
        <v>#REF!</v>
      </c>
      <c r="FP25" t="e">
        <f>AND(Bills!#REF!,"AAAAAG+7bqs=")</f>
        <v>#REF!</v>
      </c>
      <c r="FQ25" t="e">
        <f>AND(Bills!#REF!,"AAAAAG+7bqw=")</f>
        <v>#REF!</v>
      </c>
      <c r="FR25" t="e">
        <f>AND(Bills!#REF!,"AAAAAG+7bq0=")</f>
        <v>#REF!</v>
      </c>
      <c r="FS25" t="e">
        <f>AND(Bills!#REF!,"AAAAAG+7bq4=")</f>
        <v>#REF!</v>
      </c>
      <c r="FT25" t="e">
        <f>AND(Bills!#REF!,"AAAAAG+7bq8=")</f>
        <v>#REF!</v>
      </c>
      <c r="FU25" t="e">
        <f>AND(Bills!#REF!,"AAAAAG+7brA=")</f>
        <v>#REF!</v>
      </c>
      <c r="FV25" t="e">
        <f>AND(Bills!#REF!,"AAAAAG+7brE=")</f>
        <v>#REF!</v>
      </c>
      <c r="FW25" t="e">
        <f>AND(Bills!#REF!,"AAAAAG+7brI=")</f>
        <v>#REF!</v>
      </c>
      <c r="FX25" t="e">
        <f>AND(Bills!#REF!,"AAAAAG+7brM=")</f>
        <v>#REF!</v>
      </c>
      <c r="FY25" t="e">
        <f>AND(Bills!#REF!,"AAAAAG+7brQ=")</f>
        <v>#REF!</v>
      </c>
      <c r="FZ25" t="e">
        <f>AND(Bills!#REF!,"AAAAAG+7brU=")</f>
        <v>#REF!</v>
      </c>
      <c r="GA25" t="e">
        <f>AND(Bills!#REF!,"AAAAAG+7brY=")</f>
        <v>#REF!</v>
      </c>
      <c r="GB25" t="e">
        <f>AND(Bills!#REF!,"AAAAAG+7brc=")</f>
        <v>#REF!</v>
      </c>
      <c r="GC25" t="e">
        <f>AND(Bills!#REF!,"AAAAAG+7brg=")</f>
        <v>#REF!</v>
      </c>
      <c r="GD25" t="e">
        <f>AND(Bills!#REF!,"AAAAAG+7brk=")</f>
        <v>#REF!</v>
      </c>
      <c r="GE25" t="e">
        <f>AND(Bills!#REF!,"AAAAAG+7bro=")</f>
        <v>#REF!</v>
      </c>
      <c r="GF25" t="e">
        <f>AND(Bills!#REF!,"AAAAAG+7brs=")</f>
        <v>#REF!</v>
      </c>
      <c r="GG25" t="e">
        <f>AND(Bills!#REF!,"AAAAAG+7brw=")</f>
        <v>#REF!</v>
      </c>
      <c r="GH25" t="e">
        <f>AND(Bills!#REF!,"AAAAAG+7br0=")</f>
        <v>#REF!</v>
      </c>
      <c r="GI25" t="e">
        <f>AND(Bills!#REF!,"AAAAAG+7br4=")</f>
        <v>#REF!</v>
      </c>
      <c r="GJ25" t="e">
        <f>AND(Bills!#REF!,"AAAAAG+7br8=")</f>
        <v>#REF!</v>
      </c>
      <c r="GK25" t="e">
        <f>AND(Bills!#REF!,"AAAAAG+7bsA=")</f>
        <v>#REF!</v>
      </c>
      <c r="GL25" t="e">
        <f>AND(Bills!#REF!,"AAAAAG+7bsE=")</f>
        <v>#REF!</v>
      </c>
      <c r="GM25" t="e">
        <f>AND(Bills!#REF!,"AAAAAG+7bsI=")</f>
        <v>#REF!</v>
      </c>
      <c r="GN25" t="e">
        <f>AND(Bills!#REF!,"AAAAAG+7bsM=")</f>
        <v>#REF!</v>
      </c>
      <c r="GO25" t="e">
        <f>AND(Bills!#REF!,"AAAAAG+7bsQ=")</f>
        <v>#REF!</v>
      </c>
      <c r="GP25" t="e">
        <f>AND(Bills!#REF!,"AAAAAG+7bsU=")</f>
        <v>#REF!</v>
      </c>
      <c r="GQ25" t="e">
        <f>AND(Bills!#REF!,"AAAAAG+7bsY=")</f>
        <v>#REF!</v>
      </c>
      <c r="GR25" t="e">
        <f>AND(Bills!#REF!,"AAAAAG+7bsc=")</f>
        <v>#REF!</v>
      </c>
      <c r="GS25" t="e">
        <f>AND(Bills!#REF!,"AAAAAG+7bsg=")</f>
        <v>#REF!</v>
      </c>
      <c r="GT25" t="e">
        <f>AND(Bills!#REF!,"AAAAAG+7bsk=")</f>
        <v>#REF!</v>
      </c>
      <c r="GU25" t="e">
        <f>AND(Bills!#REF!,"AAAAAG+7bso=")</f>
        <v>#REF!</v>
      </c>
      <c r="GV25" t="e">
        <f>AND(Bills!#REF!,"AAAAAG+7bss=")</f>
        <v>#REF!</v>
      </c>
      <c r="GW25" t="e">
        <f>AND(Bills!#REF!,"AAAAAG+7bsw=")</f>
        <v>#REF!</v>
      </c>
      <c r="GX25" t="e">
        <f>AND(Bills!#REF!,"AAAAAG+7bs0=")</f>
        <v>#REF!</v>
      </c>
      <c r="GY25" t="e">
        <f>AND(Bills!#REF!,"AAAAAG+7bs4=")</f>
        <v>#REF!</v>
      </c>
      <c r="GZ25" t="e">
        <f>AND(Bills!#REF!,"AAAAAG+7bs8=")</f>
        <v>#REF!</v>
      </c>
      <c r="HA25" t="e">
        <f>AND(Bills!#REF!,"AAAAAG+7btA=")</f>
        <v>#REF!</v>
      </c>
      <c r="HB25" t="e">
        <f>AND(Bills!#REF!,"AAAAAG+7btE=")</f>
        <v>#REF!</v>
      </c>
      <c r="HC25" t="e">
        <f>AND(Bills!#REF!,"AAAAAG+7btI=")</f>
        <v>#REF!</v>
      </c>
      <c r="HD25" t="e">
        <f>AND(Bills!#REF!,"AAAAAG+7btM=")</f>
        <v>#REF!</v>
      </c>
      <c r="HE25" t="e">
        <f>AND(Bills!#REF!,"AAAAAG+7btQ=")</f>
        <v>#REF!</v>
      </c>
      <c r="HF25" t="e">
        <f>AND(Bills!#REF!,"AAAAAG+7btU=")</f>
        <v>#REF!</v>
      </c>
      <c r="HG25" t="e">
        <f>AND(Bills!#REF!,"AAAAAG+7btY=")</f>
        <v>#REF!</v>
      </c>
      <c r="HH25" t="e">
        <f>AND(Bills!#REF!,"AAAAAG+7btc=")</f>
        <v>#REF!</v>
      </c>
      <c r="HI25" t="e">
        <f>AND(Bills!#REF!,"AAAAAG+7btg=")</f>
        <v>#REF!</v>
      </c>
      <c r="HJ25" t="e">
        <f>AND(Bills!#REF!,"AAAAAG+7btk=")</f>
        <v>#REF!</v>
      </c>
      <c r="HK25" t="e">
        <f>AND(Bills!#REF!,"AAAAAG+7bto=")</f>
        <v>#REF!</v>
      </c>
      <c r="HL25" t="e">
        <f>IF(Bills!#REF!,"AAAAAG+7bts=",0)</f>
        <v>#REF!</v>
      </c>
      <c r="HM25" t="e">
        <f>AND(Bills!#REF!,"AAAAAG+7btw=")</f>
        <v>#REF!</v>
      </c>
      <c r="HN25" t="e">
        <f>AND(Bills!#REF!,"AAAAAG+7bt0=")</f>
        <v>#REF!</v>
      </c>
      <c r="HO25" t="e">
        <f>AND(Bills!#REF!,"AAAAAG+7bt4=")</f>
        <v>#REF!</v>
      </c>
      <c r="HP25" t="e">
        <f>AND(Bills!#REF!,"AAAAAG+7bt8=")</f>
        <v>#REF!</v>
      </c>
      <c r="HQ25" t="e">
        <f>AND(Bills!#REF!,"AAAAAG+7buA=")</f>
        <v>#REF!</v>
      </c>
      <c r="HR25" t="e">
        <f>AND(Bills!#REF!,"AAAAAG+7buE=")</f>
        <v>#REF!</v>
      </c>
      <c r="HS25" t="e">
        <f>AND(Bills!#REF!,"AAAAAG+7buI=")</f>
        <v>#REF!</v>
      </c>
      <c r="HT25" t="e">
        <f>AND(Bills!#REF!,"AAAAAG+7buM=")</f>
        <v>#REF!</v>
      </c>
      <c r="HU25" t="e">
        <f>AND(Bills!#REF!,"AAAAAG+7buQ=")</f>
        <v>#REF!</v>
      </c>
      <c r="HV25" t="e">
        <f>AND(Bills!#REF!,"AAAAAG+7buU=")</f>
        <v>#REF!</v>
      </c>
      <c r="HW25" t="e">
        <f>AND(Bills!#REF!,"AAAAAG+7buY=")</f>
        <v>#REF!</v>
      </c>
      <c r="HX25" t="e">
        <f>AND(Bills!#REF!,"AAAAAG+7buc=")</f>
        <v>#REF!</v>
      </c>
      <c r="HY25" t="e">
        <f>AND(Bills!#REF!,"AAAAAG+7bug=")</f>
        <v>#REF!</v>
      </c>
      <c r="HZ25" t="e">
        <f>AND(Bills!#REF!,"AAAAAG+7buk=")</f>
        <v>#REF!</v>
      </c>
      <c r="IA25" t="e">
        <f>AND(Bills!#REF!,"AAAAAG+7buo=")</f>
        <v>#REF!</v>
      </c>
      <c r="IB25" t="e">
        <f>AND(Bills!#REF!,"AAAAAG+7bus=")</f>
        <v>#REF!</v>
      </c>
      <c r="IC25" t="e">
        <f>AND(Bills!#REF!,"AAAAAG+7buw=")</f>
        <v>#REF!</v>
      </c>
      <c r="ID25" t="e">
        <f>AND(Bills!#REF!,"AAAAAG+7bu0=")</f>
        <v>#REF!</v>
      </c>
      <c r="IE25" t="e">
        <f>AND(Bills!#REF!,"AAAAAG+7bu4=")</f>
        <v>#REF!</v>
      </c>
      <c r="IF25" t="e">
        <f>AND(Bills!#REF!,"AAAAAG+7bu8=")</f>
        <v>#REF!</v>
      </c>
      <c r="IG25" t="e">
        <f>AND(Bills!#REF!,"AAAAAG+7bvA=")</f>
        <v>#REF!</v>
      </c>
      <c r="IH25" t="e">
        <f>AND(Bills!#REF!,"AAAAAG+7bvE=")</f>
        <v>#REF!</v>
      </c>
      <c r="II25" t="e">
        <f>AND(Bills!#REF!,"AAAAAG+7bvI=")</f>
        <v>#REF!</v>
      </c>
      <c r="IJ25" t="e">
        <f>AND(Bills!#REF!,"AAAAAG+7bvM=")</f>
        <v>#REF!</v>
      </c>
      <c r="IK25" t="e">
        <f>AND(Bills!#REF!,"AAAAAG+7bvQ=")</f>
        <v>#REF!</v>
      </c>
      <c r="IL25" t="e">
        <f>AND(Bills!#REF!,"AAAAAG+7bvU=")</f>
        <v>#REF!</v>
      </c>
      <c r="IM25" t="e">
        <f>AND(Bills!#REF!,"AAAAAG+7bvY=")</f>
        <v>#REF!</v>
      </c>
      <c r="IN25" t="e">
        <f>AND(Bills!#REF!,"AAAAAG+7bvc=")</f>
        <v>#REF!</v>
      </c>
      <c r="IO25" t="e">
        <f>AND(Bills!#REF!,"AAAAAG+7bvg=")</f>
        <v>#REF!</v>
      </c>
      <c r="IP25" t="e">
        <f>AND(Bills!#REF!,"AAAAAG+7bvk=")</f>
        <v>#REF!</v>
      </c>
      <c r="IQ25" t="e">
        <f>AND(Bills!#REF!,"AAAAAG+7bvo=")</f>
        <v>#REF!</v>
      </c>
      <c r="IR25" t="e">
        <f>AND(Bills!#REF!,"AAAAAG+7bvs=")</f>
        <v>#REF!</v>
      </c>
      <c r="IS25" t="e">
        <f>AND(Bills!#REF!,"AAAAAG+7bvw=")</f>
        <v>#REF!</v>
      </c>
      <c r="IT25" t="e">
        <f>AND(Bills!#REF!,"AAAAAG+7bv0=")</f>
        <v>#REF!</v>
      </c>
      <c r="IU25" t="e">
        <f>AND(Bills!#REF!,"AAAAAG+7bv4=")</f>
        <v>#REF!</v>
      </c>
      <c r="IV25" t="e">
        <f>AND(Bills!#REF!,"AAAAAG+7bv8=")</f>
        <v>#REF!</v>
      </c>
    </row>
    <row r="26" spans="1:256">
      <c r="A26" t="e">
        <f>AND(Bills!#REF!,"AAAAAF9/1AA=")</f>
        <v>#REF!</v>
      </c>
      <c r="B26" t="e">
        <f>AND(Bills!#REF!,"AAAAAF9/1AE=")</f>
        <v>#REF!</v>
      </c>
      <c r="C26" t="e">
        <f>AND(Bills!#REF!,"AAAAAF9/1AI=")</f>
        <v>#REF!</v>
      </c>
      <c r="D26" t="e">
        <f>AND(Bills!#REF!,"AAAAAF9/1AM=")</f>
        <v>#REF!</v>
      </c>
      <c r="E26" t="e">
        <f>AND(Bills!#REF!,"AAAAAF9/1AQ=")</f>
        <v>#REF!</v>
      </c>
      <c r="F26" t="e">
        <f>AND(Bills!#REF!,"AAAAAF9/1AU=")</f>
        <v>#REF!</v>
      </c>
      <c r="G26" t="e">
        <f>AND(Bills!#REF!,"AAAAAF9/1AY=")</f>
        <v>#REF!</v>
      </c>
      <c r="H26" t="e">
        <f>AND(Bills!#REF!,"AAAAAF9/1Ac=")</f>
        <v>#REF!</v>
      </c>
      <c r="I26" t="e">
        <f>AND(Bills!#REF!,"AAAAAF9/1Ag=")</f>
        <v>#REF!</v>
      </c>
      <c r="J26" t="e">
        <f>AND(Bills!#REF!,"AAAAAF9/1Ak=")</f>
        <v>#REF!</v>
      </c>
      <c r="K26" t="e">
        <f>AND(Bills!#REF!,"AAAAAF9/1Ao=")</f>
        <v>#REF!</v>
      </c>
      <c r="L26" t="e">
        <f>AND(Bills!#REF!,"AAAAAF9/1As=")</f>
        <v>#REF!</v>
      </c>
      <c r="M26" t="e">
        <f>AND(Bills!#REF!,"AAAAAF9/1Aw=")</f>
        <v>#REF!</v>
      </c>
      <c r="N26" t="e">
        <f>AND(Bills!#REF!,"AAAAAF9/1A0=")</f>
        <v>#REF!</v>
      </c>
      <c r="O26" t="e">
        <f>IF(Bills!#REF!,"AAAAAF9/1A4=",0)</f>
        <v>#REF!</v>
      </c>
      <c r="P26" t="e">
        <f>AND(Bills!#REF!,"AAAAAF9/1A8=")</f>
        <v>#REF!</v>
      </c>
      <c r="Q26" t="e">
        <f>AND(Bills!#REF!,"AAAAAF9/1BA=")</f>
        <v>#REF!</v>
      </c>
      <c r="R26" t="e">
        <f>AND(Bills!#REF!,"AAAAAF9/1BE=")</f>
        <v>#REF!</v>
      </c>
      <c r="S26" t="e">
        <f>AND(Bills!#REF!,"AAAAAF9/1BI=")</f>
        <v>#REF!</v>
      </c>
      <c r="T26" t="e">
        <f>AND(Bills!#REF!,"AAAAAF9/1BM=")</f>
        <v>#REF!</v>
      </c>
      <c r="U26" t="e">
        <f>AND(Bills!#REF!,"AAAAAF9/1BQ=")</f>
        <v>#REF!</v>
      </c>
      <c r="V26" t="e">
        <f>AND(Bills!#REF!,"AAAAAF9/1BU=")</f>
        <v>#REF!</v>
      </c>
      <c r="W26" t="e">
        <f>AND(Bills!#REF!,"AAAAAF9/1BY=")</f>
        <v>#REF!</v>
      </c>
      <c r="X26" t="e">
        <f>AND(Bills!#REF!,"AAAAAF9/1Bc=")</f>
        <v>#REF!</v>
      </c>
      <c r="Y26" t="e">
        <f>AND(Bills!#REF!,"AAAAAF9/1Bg=")</f>
        <v>#REF!</v>
      </c>
      <c r="Z26" t="e">
        <f>AND(Bills!#REF!,"AAAAAF9/1Bk=")</f>
        <v>#REF!</v>
      </c>
      <c r="AA26" t="e">
        <f>AND(Bills!#REF!,"AAAAAF9/1Bo=")</f>
        <v>#REF!</v>
      </c>
      <c r="AB26" t="e">
        <f>AND(Bills!#REF!,"AAAAAF9/1Bs=")</f>
        <v>#REF!</v>
      </c>
      <c r="AC26" t="e">
        <f>AND(Bills!#REF!,"AAAAAF9/1Bw=")</f>
        <v>#REF!</v>
      </c>
      <c r="AD26" t="e">
        <f>AND(Bills!#REF!,"AAAAAF9/1B0=")</f>
        <v>#REF!</v>
      </c>
      <c r="AE26" t="e">
        <f>AND(Bills!#REF!,"AAAAAF9/1B4=")</f>
        <v>#REF!</v>
      </c>
      <c r="AF26" t="e">
        <f>AND(Bills!#REF!,"AAAAAF9/1B8=")</f>
        <v>#REF!</v>
      </c>
      <c r="AG26" t="e">
        <f>AND(Bills!#REF!,"AAAAAF9/1CA=")</f>
        <v>#REF!</v>
      </c>
      <c r="AH26" t="e">
        <f>AND(Bills!#REF!,"AAAAAF9/1CE=")</f>
        <v>#REF!</v>
      </c>
      <c r="AI26" t="e">
        <f>AND(Bills!#REF!,"AAAAAF9/1CI=")</f>
        <v>#REF!</v>
      </c>
      <c r="AJ26" t="e">
        <f>AND(Bills!#REF!,"AAAAAF9/1CM=")</f>
        <v>#REF!</v>
      </c>
      <c r="AK26" t="e">
        <f>AND(Bills!#REF!,"AAAAAF9/1CQ=")</f>
        <v>#REF!</v>
      </c>
      <c r="AL26" t="e">
        <f>AND(Bills!#REF!,"AAAAAF9/1CU=")</f>
        <v>#REF!</v>
      </c>
      <c r="AM26" t="e">
        <f>AND(Bills!#REF!,"AAAAAF9/1CY=")</f>
        <v>#REF!</v>
      </c>
      <c r="AN26" t="e">
        <f>AND(Bills!#REF!,"AAAAAF9/1Cc=")</f>
        <v>#REF!</v>
      </c>
      <c r="AO26" t="e">
        <f>AND(Bills!#REF!,"AAAAAF9/1Cg=")</f>
        <v>#REF!</v>
      </c>
      <c r="AP26" t="e">
        <f>AND(Bills!#REF!,"AAAAAF9/1Ck=")</f>
        <v>#REF!</v>
      </c>
      <c r="AQ26" t="e">
        <f>AND(Bills!#REF!,"AAAAAF9/1Co=")</f>
        <v>#REF!</v>
      </c>
      <c r="AR26" t="e">
        <f>AND(Bills!#REF!,"AAAAAF9/1Cs=")</f>
        <v>#REF!</v>
      </c>
      <c r="AS26" t="e">
        <f>AND(Bills!#REF!,"AAAAAF9/1Cw=")</f>
        <v>#REF!</v>
      </c>
      <c r="AT26" t="e">
        <f>AND(Bills!#REF!,"AAAAAF9/1C0=")</f>
        <v>#REF!</v>
      </c>
      <c r="AU26" t="e">
        <f>AND(Bills!#REF!,"AAAAAF9/1C4=")</f>
        <v>#REF!</v>
      </c>
      <c r="AV26" t="e">
        <f>AND(Bills!#REF!,"AAAAAF9/1C8=")</f>
        <v>#REF!</v>
      </c>
      <c r="AW26" t="e">
        <f>AND(Bills!#REF!,"AAAAAF9/1DA=")</f>
        <v>#REF!</v>
      </c>
      <c r="AX26" t="e">
        <f>AND(Bills!#REF!,"AAAAAF9/1DE=")</f>
        <v>#REF!</v>
      </c>
      <c r="AY26" t="e">
        <f>AND(Bills!#REF!,"AAAAAF9/1DI=")</f>
        <v>#REF!</v>
      </c>
      <c r="AZ26" t="e">
        <f>AND(Bills!#REF!,"AAAAAF9/1DM=")</f>
        <v>#REF!</v>
      </c>
      <c r="BA26" t="e">
        <f>AND(Bills!#REF!,"AAAAAF9/1DQ=")</f>
        <v>#REF!</v>
      </c>
      <c r="BB26" t="e">
        <f>AND(Bills!#REF!,"AAAAAF9/1DU=")</f>
        <v>#REF!</v>
      </c>
      <c r="BC26" t="e">
        <f>AND(Bills!#REF!,"AAAAAF9/1DY=")</f>
        <v>#REF!</v>
      </c>
      <c r="BD26" t="e">
        <f>AND(Bills!#REF!,"AAAAAF9/1Dc=")</f>
        <v>#REF!</v>
      </c>
      <c r="BE26" t="e">
        <f>AND(Bills!#REF!,"AAAAAF9/1Dg=")</f>
        <v>#REF!</v>
      </c>
      <c r="BF26" t="e">
        <f>AND(Bills!#REF!,"AAAAAF9/1Dk=")</f>
        <v>#REF!</v>
      </c>
      <c r="BG26" t="e">
        <f>AND(Bills!#REF!,"AAAAAF9/1Do=")</f>
        <v>#REF!</v>
      </c>
      <c r="BH26" t="e">
        <f>AND(Bills!#REF!,"AAAAAF9/1Ds=")</f>
        <v>#REF!</v>
      </c>
      <c r="BI26" t="e">
        <f>AND(Bills!#REF!,"AAAAAF9/1Dw=")</f>
        <v>#REF!</v>
      </c>
      <c r="BJ26" t="e">
        <f>AND(Bills!#REF!,"AAAAAF9/1D0=")</f>
        <v>#REF!</v>
      </c>
      <c r="BK26" t="e">
        <f>AND(Bills!#REF!,"AAAAAF9/1D4=")</f>
        <v>#REF!</v>
      </c>
      <c r="BL26" t="e">
        <f>AND(Bills!#REF!,"AAAAAF9/1D8=")</f>
        <v>#REF!</v>
      </c>
      <c r="BM26" t="e">
        <f>AND(Bills!#REF!,"AAAAAF9/1EA=")</f>
        <v>#REF!</v>
      </c>
      <c r="BN26">
        <f>IF(Bills!15:15,"AAAAAF9/1EE=",0)</f>
        <v>0</v>
      </c>
      <c r="BO26" t="e">
        <f>AND(Bills!B15,"AAAAAF9/1EI=")</f>
        <v>#VALUE!</v>
      </c>
      <c r="BP26" t="e">
        <f>AND(Bills!#REF!,"AAAAAF9/1EM=")</f>
        <v>#REF!</v>
      </c>
      <c r="BQ26" t="e">
        <f>AND(Bills!C15,"AAAAAF9/1EQ=")</f>
        <v>#VALUE!</v>
      </c>
      <c r="BR26" t="e">
        <f>AND(Bills!#REF!,"AAAAAF9/1EU=")</f>
        <v>#REF!</v>
      </c>
      <c r="BS26" t="e">
        <f>AND(Bills!#REF!,"AAAAAF9/1EY=")</f>
        <v>#REF!</v>
      </c>
      <c r="BT26" t="e">
        <f>AND(Bills!#REF!,"AAAAAF9/1Ec=")</f>
        <v>#REF!</v>
      </c>
      <c r="BU26" t="e">
        <f>AND(Bills!#REF!,"AAAAAF9/1Eg=")</f>
        <v>#REF!</v>
      </c>
      <c r="BV26" t="e">
        <f>AND(Bills!#REF!,"AAAAAF9/1Ek=")</f>
        <v>#REF!</v>
      </c>
      <c r="BW26" t="e">
        <f>AND(Bills!D15,"AAAAAF9/1Eo=")</f>
        <v>#VALUE!</v>
      </c>
      <c r="BX26" t="e">
        <f>AND(Bills!#REF!,"AAAAAF9/1Es=")</f>
        <v>#REF!</v>
      </c>
      <c r="BY26" t="e">
        <f>AND(Bills!E15,"AAAAAF9/1Ew=")</f>
        <v>#VALUE!</v>
      </c>
      <c r="BZ26" t="e">
        <f>AND(Bills!F15,"AAAAAF9/1E0=")</f>
        <v>#VALUE!</v>
      </c>
      <c r="CA26" t="e">
        <f>AND(Bills!G15,"AAAAAF9/1E4=")</f>
        <v>#VALUE!</v>
      </c>
      <c r="CB26" t="e">
        <f>AND(Bills!H15,"AAAAAF9/1E8=")</f>
        <v>#VALUE!</v>
      </c>
      <c r="CC26" t="e">
        <f>AND(Bills!I15,"AAAAAF9/1FA=")</f>
        <v>#VALUE!</v>
      </c>
      <c r="CD26" t="e">
        <f>AND(Bills!J15,"AAAAAF9/1FE=")</f>
        <v>#VALUE!</v>
      </c>
      <c r="CE26" t="e">
        <f>AND(Bills!#REF!,"AAAAAF9/1FI=")</f>
        <v>#REF!</v>
      </c>
      <c r="CF26" t="e">
        <f>AND(Bills!K15,"AAAAAF9/1FM=")</f>
        <v>#VALUE!</v>
      </c>
      <c r="CG26" t="e">
        <f>AND(Bills!L15,"AAAAAF9/1FQ=")</f>
        <v>#VALUE!</v>
      </c>
      <c r="CH26" t="e">
        <f>AND(Bills!M15,"AAAAAF9/1FU=")</f>
        <v>#VALUE!</v>
      </c>
      <c r="CI26" t="e">
        <f>AND(Bills!N15,"AAAAAF9/1FY=")</f>
        <v>#VALUE!</v>
      </c>
      <c r="CJ26" t="e">
        <f>AND(Bills!O15,"AAAAAF9/1Fc=")</f>
        <v>#VALUE!</v>
      </c>
      <c r="CK26" t="e">
        <f>AND(Bills!P15,"AAAAAF9/1Fg=")</f>
        <v>#VALUE!</v>
      </c>
      <c r="CL26" t="e">
        <f>AND(Bills!Q15,"AAAAAF9/1Fk=")</f>
        <v>#VALUE!</v>
      </c>
      <c r="CM26" t="e">
        <f>AND(Bills!R15,"AAAAAF9/1Fo=")</f>
        <v>#VALUE!</v>
      </c>
      <c r="CN26" t="e">
        <f>AND(Bills!#REF!,"AAAAAF9/1Fs=")</f>
        <v>#REF!</v>
      </c>
      <c r="CO26" t="e">
        <f>AND(Bills!S15,"AAAAAF9/1Fw=")</f>
        <v>#VALUE!</v>
      </c>
      <c r="CP26" t="e">
        <f>AND(Bills!T15,"AAAAAF9/1F0=")</f>
        <v>#VALUE!</v>
      </c>
      <c r="CQ26" t="e">
        <f>AND(Bills!U15,"AAAAAF9/1F4=")</f>
        <v>#VALUE!</v>
      </c>
      <c r="CR26" t="e">
        <f>AND(Bills!#REF!,"AAAAAF9/1F8=")</f>
        <v>#REF!</v>
      </c>
      <c r="CS26" t="e">
        <f>AND(Bills!#REF!,"AAAAAF9/1GA=")</f>
        <v>#REF!</v>
      </c>
      <c r="CT26" t="e">
        <f>AND(Bills!W15,"AAAAAF9/1GE=")</f>
        <v>#VALUE!</v>
      </c>
      <c r="CU26" t="e">
        <f>AND(Bills!X15,"AAAAAF9/1GI=")</f>
        <v>#VALUE!</v>
      </c>
      <c r="CV26" t="e">
        <f>AND(Bills!#REF!,"AAAAAF9/1GM=")</f>
        <v>#REF!</v>
      </c>
      <c r="CW26" t="e">
        <f>AND(Bills!#REF!,"AAAAAF9/1GQ=")</f>
        <v>#REF!</v>
      </c>
      <c r="CX26" t="e">
        <f>AND(Bills!#REF!,"AAAAAF9/1GU=")</f>
        <v>#REF!</v>
      </c>
      <c r="CY26" t="e">
        <f>AND(Bills!#REF!,"AAAAAF9/1GY=")</f>
        <v>#REF!</v>
      </c>
      <c r="CZ26" t="e">
        <f>AND(Bills!#REF!,"AAAAAF9/1Gc=")</f>
        <v>#REF!</v>
      </c>
      <c r="DA26" t="e">
        <f>AND(Bills!#REF!,"AAAAAF9/1Gg=")</f>
        <v>#REF!</v>
      </c>
      <c r="DB26" t="e">
        <f>AND(Bills!#REF!,"AAAAAF9/1Gk=")</f>
        <v>#REF!</v>
      </c>
      <c r="DC26" t="e">
        <f>AND(Bills!#REF!,"AAAAAF9/1Go=")</f>
        <v>#REF!</v>
      </c>
      <c r="DD26" t="e">
        <f>AND(Bills!#REF!,"AAAAAF9/1Gs=")</f>
        <v>#REF!</v>
      </c>
      <c r="DE26" t="e">
        <f>AND(Bills!Y15,"AAAAAF9/1Gw=")</f>
        <v>#VALUE!</v>
      </c>
      <c r="DF26" t="e">
        <f>AND(Bills!Z15,"AAAAAF9/1G0=")</f>
        <v>#VALUE!</v>
      </c>
      <c r="DG26" t="e">
        <f>AND(Bills!#REF!,"AAAAAF9/1G4=")</f>
        <v>#REF!</v>
      </c>
      <c r="DH26" t="e">
        <f>AND(Bills!#REF!,"AAAAAF9/1G8=")</f>
        <v>#REF!</v>
      </c>
      <c r="DI26" t="e">
        <f>AND(Bills!#REF!,"AAAAAF9/1HA=")</f>
        <v>#REF!</v>
      </c>
      <c r="DJ26" t="e">
        <f>AND(Bills!AA15,"AAAAAF9/1HE=")</f>
        <v>#VALUE!</v>
      </c>
      <c r="DK26" t="e">
        <f>AND(Bills!AB15,"AAAAAF9/1HI=")</f>
        <v>#VALUE!</v>
      </c>
      <c r="DL26" t="e">
        <f>AND(Bills!#REF!,"AAAAAF9/1HM=")</f>
        <v>#REF!</v>
      </c>
      <c r="DM26" t="e">
        <f>IF(Bills!#REF!,"AAAAAF9/1HQ=",0)</f>
        <v>#REF!</v>
      </c>
      <c r="DN26" t="e">
        <f>AND(Bills!#REF!,"AAAAAF9/1HU=")</f>
        <v>#REF!</v>
      </c>
      <c r="DO26" t="e">
        <f>AND(Bills!#REF!,"AAAAAF9/1HY=")</f>
        <v>#REF!</v>
      </c>
      <c r="DP26" t="e">
        <f>AND(Bills!#REF!,"AAAAAF9/1Hc=")</f>
        <v>#REF!</v>
      </c>
      <c r="DQ26" t="e">
        <f>AND(Bills!#REF!,"AAAAAF9/1Hg=")</f>
        <v>#REF!</v>
      </c>
      <c r="DR26" t="e">
        <f>AND(Bills!#REF!,"AAAAAF9/1Hk=")</f>
        <v>#REF!</v>
      </c>
      <c r="DS26" t="e">
        <f>AND(Bills!#REF!,"AAAAAF9/1Ho=")</f>
        <v>#REF!</v>
      </c>
      <c r="DT26" t="e">
        <f>AND(Bills!#REF!,"AAAAAF9/1Hs=")</f>
        <v>#REF!</v>
      </c>
      <c r="DU26" t="e">
        <f>AND(Bills!#REF!,"AAAAAF9/1Hw=")</f>
        <v>#REF!</v>
      </c>
      <c r="DV26" t="e">
        <f>AND(Bills!#REF!,"AAAAAF9/1H0=")</f>
        <v>#REF!</v>
      </c>
      <c r="DW26" t="e">
        <f>AND(Bills!#REF!,"AAAAAF9/1H4=")</f>
        <v>#REF!</v>
      </c>
      <c r="DX26" t="e">
        <f>AND(Bills!#REF!,"AAAAAF9/1H8=")</f>
        <v>#REF!</v>
      </c>
      <c r="DY26" t="e">
        <f>AND(Bills!#REF!,"AAAAAF9/1IA=")</f>
        <v>#REF!</v>
      </c>
      <c r="DZ26" t="e">
        <f>AND(Bills!#REF!,"AAAAAF9/1IE=")</f>
        <v>#REF!</v>
      </c>
      <c r="EA26" t="e">
        <f>AND(Bills!#REF!,"AAAAAF9/1II=")</f>
        <v>#REF!</v>
      </c>
      <c r="EB26" t="e">
        <f>AND(Bills!#REF!,"AAAAAF9/1IM=")</f>
        <v>#REF!</v>
      </c>
      <c r="EC26" t="e">
        <f>AND(Bills!#REF!,"AAAAAF9/1IQ=")</f>
        <v>#REF!</v>
      </c>
      <c r="ED26" t="e">
        <f>AND(Bills!#REF!,"AAAAAF9/1IU=")</f>
        <v>#REF!</v>
      </c>
      <c r="EE26" t="e">
        <f>AND(Bills!#REF!,"AAAAAF9/1IY=")</f>
        <v>#REF!</v>
      </c>
      <c r="EF26" t="e">
        <f>AND(Bills!#REF!,"AAAAAF9/1Ic=")</f>
        <v>#REF!</v>
      </c>
      <c r="EG26" t="e">
        <f>AND(Bills!#REF!,"AAAAAF9/1Ig=")</f>
        <v>#REF!</v>
      </c>
      <c r="EH26" t="e">
        <f>AND(Bills!#REF!,"AAAAAF9/1Ik=")</f>
        <v>#REF!</v>
      </c>
      <c r="EI26" t="e">
        <f>AND(Bills!#REF!,"AAAAAF9/1Io=")</f>
        <v>#REF!</v>
      </c>
      <c r="EJ26" t="e">
        <f>AND(Bills!#REF!,"AAAAAF9/1Is=")</f>
        <v>#REF!</v>
      </c>
      <c r="EK26" t="e">
        <f>AND(Bills!#REF!,"AAAAAF9/1Iw=")</f>
        <v>#REF!</v>
      </c>
      <c r="EL26" t="e">
        <f>AND(Bills!#REF!,"AAAAAF9/1I0=")</f>
        <v>#REF!</v>
      </c>
      <c r="EM26" t="e">
        <f>AND(Bills!#REF!,"AAAAAF9/1I4=")</f>
        <v>#REF!</v>
      </c>
      <c r="EN26" t="e">
        <f>AND(Bills!#REF!,"AAAAAF9/1I8=")</f>
        <v>#REF!</v>
      </c>
      <c r="EO26" t="e">
        <f>AND(Bills!#REF!,"AAAAAF9/1JA=")</f>
        <v>#REF!</v>
      </c>
      <c r="EP26" t="e">
        <f>AND(Bills!#REF!,"AAAAAF9/1JE=")</f>
        <v>#REF!</v>
      </c>
      <c r="EQ26" t="e">
        <f>AND(Bills!#REF!,"AAAAAF9/1JI=")</f>
        <v>#REF!</v>
      </c>
      <c r="ER26" t="e">
        <f>AND(Bills!#REF!,"AAAAAF9/1JM=")</f>
        <v>#REF!</v>
      </c>
      <c r="ES26" t="e">
        <f>AND(Bills!#REF!,"AAAAAF9/1JQ=")</f>
        <v>#REF!</v>
      </c>
      <c r="ET26" t="e">
        <f>AND(Bills!#REF!,"AAAAAF9/1JU=")</f>
        <v>#REF!</v>
      </c>
      <c r="EU26" t="e">
        <f>AND(Bills!#REF!,"AAAAAF9/1JY=")</f>
        <v>#REF!</v>
      </c>
      <c r="EV26" t="e">
        <f>AND(Bills!#REF!,"AAAAAF9/1Jc=")</f>
        <v>#REF!</v>
      </c>
      <c r="EW26" t="e">
        <f>AND(Bills!#REF!,"AAAAAF9/1Jg=")</f>
        <v>#REF!</v>
      </c>
      <c r="EX26" t="e">
        <f>AND(Bills!#REF!,"AAAAAF9/1Jk=")</f>
        <v>#REF!</v>
      </c>
      <c r="EY26" t="e">
        <f>AND(Bills!#REF!,"AAAAAF9/1Jo=")</f>
        <v>#REF!</v>
      </c>
      <c r="EZ26" t="e">
        <f>AND(Bills!#REF!,"AAAAAF9/1Js=")</f>
        <v>#REF!</v>
      </c>
      <c r="FA26" t="e">
        <f>AND(Bills!#REF!,"AAAAAF9/1Jw=")</f>
        <v>#REF!</v>
      </c>
      <c r="FB26" t="e">
        <f>AND(Bills!#REF!,"AAAAAF9/1J0=")</f>
        <v>#REF!</v>
      </c>
      <c r="FC26" t="e">
        <f>AND(Bills!#REF!,"AAAAAF9/1J4=")</f>
        <v>#REF!</v>
      </c>
      <c r="FD26" t="e">
        <f>AND(Bills!#REF!,"AAAAAF9/1J8=")</f>
        <v>#REF!</v>
      </c>
      <c r="FE26" t="e">
        <f>AND(Bills!#REF!,"AAAAAF9/1KA=")</f>
        <v>#REF!</v>
      </c>
      <c r="FF26" t="e">
        <f>AND(Bills!#REF!,"AAAAAF9/1KE=")</f>
        <v>#REF!</v>
      </c>
      <c r="FG26" t="e">
        <f>AND(Bills!#REF!,"AAAAAF9/1KI=")</f>
        <v>#REF!</v>
      </c>
      <c r="FH26" t="e">
        <f>AND(Bills!#REF!,"AAAAAF9/1KM=")</f>
        <v>#REF!</v>
      </c>
      <c r="FI26" t="e">
        <f>AND(Bills!#REF!,"AAAAAF9/1KQ=")</f>
        <v>#REF!</v>
      </c>
      <c r="FJ26" t="e">
        <f>AND(Bills!#REF!,"AAAAAF9/1KU=")</f>
        <v>#REF!</v>
      </c>
      <c r="FK26" t="e">
        <f>AND(Bills!#REF!,"AAAAAF9/1KY=")</f>
        <v>#REF!</v>
      </c>
      <c r="FL26" t="e">
        <f>IF(Bills!#REF!,"AAAAAF9/1Kc=",0)</f>
        <v>#REF!</v>
      </c>
      <c r="FM26" t="e">
        <f>AND(Bills!#REF!,"AAAAAF9/1Kg=")</f>
        <v>#REF!</v>
      </c>
      <c r="FN26" t="e">
        <f>AND(Bills!#REF!,"AAAAAF9/1Kk=")</f>
        <v>#REF!</v>
      </c>
      <c r="FO26" t="e">
        <f>AND(Bills!#REF!,"AAAAAF9/1Ko=")</f>
        <v>#REF!</v>
      </c>
      <c r="FP26" t="e">
        <f>AND(Bills!#REF!,"AAAAAF9/1Ks=")</f>
        <v>#REF!</v>
      </c>
      <c r="FQ26" t="e">
        <f>AND(Bills!#REF!,"AAAAAF9/1Kw=")</f>
        <v>#REF!</v>
      </c>
      <c r="FR26" t="e">
        <f>AND(Bills!#REF!,"AAAAAF9/1K0=")</f>
        <v>#REF!</v>
      </c>
      <c r="FS26" t="e">
        <f>AND(Bills!#REF!,"AAAAAF9/1K4=")</f>
        <v>#REF!</v>
      </c>
      <c r="FT26" t="e">
        <f>AND(Bills!#REF!,"AAAAAF9/1K8=")</f>
        <v>#REF!</v>
      </c>
      <c r="FU26" t="e">
        <f>AND(Bills!#REF!,"AAAAAF9/1LA=")</f>
        <v>#REF!</v>
      </c>
      <c r="FV26" t="e">
        <f>AND(Bills!#REF!,"AAAAAF9/1LE=")</f>
        <v>#REF!</v>
      </c>
      <c r="FW26" t="e">
        <f>AND(Bills!#REF!,"AAAAAF9/1LI=")</f>
        <v>#REF!</v>
      </c>
      <c r="FX26" t="e">
        <f>AND(Bills!#REF!,"AAAAAF9/1LM=")</f>
        <v>#REF!</v>
      </c>
      <c r="FY26" t="e">
        <f>AND(Bills!#REF!,"AAAAAF9/1LQ=")</f>
        <v>#REF!</v>
      </c>
      <c r="FZ26" t="e">
        <f>AND(Bills!#REF!,"AAAAAF9/1LU=")</f>
        <v>#REF!</v>
      </c>
      <c r="GA26" t="e">
        <f>AND(Bills!#REF!,"AAAAAF9/1LY=")</f>
        <v>#REF!</v>
      </c>
      <c r="GB26" t="e">
        <f>AND(Bills!#REF!,"AAAAAF9/1Lc=")</f>
        <v>#REF!</v>
      </c>
      <c r="GC26" t="e">
        <f>AND(Bills!#REF!,"AAAAAF9/1Lg=")</f>
        <v>#REF!</v>
      </c>
      <c r="GD26" t="e">
        <f>AND(Bills!#REF!,"AAAAAF9/1Lk=")</f>
        <v>#REF!</v>
      </c>
      <c r="GE26" t="e">
        <f>AND(Bills!#REF!,"AAAAAF9/1Lo=")</f>
        <v>#REF!</v>
      </c>
      <c r="GF26" t="e">
        <f>AND(Bills!#REF!,"AAAAAF9/1Ls=")</f>
        <v>#REF!</v>
      </c>
      <c r="GG26" t="e">
        <f>AND(Bills!#REF!,"AAAAAF9/1Lw=")</f>
        <v>#REF!</v>
      </c>
      <c r="GH26" t="e">
        <f>AND(Bills!#REF!,"AAAAAF9/1L0=")</f>
        <v>#REF!</v>
      </c>
      <c r="GI26" t="e">
        <f>AND(Bills!#REF!,"AAAAAF9/1L4=")</f>
        <v>#REF!</v>
      </c>
      <c r="GJ26" t="e">
        <f>AND(Bills!#REF!,"AAAAAF9/1L8=")</f>
        <v>#REF!</v>
      </c>
      <c r="GK26" t="e">
        <f>AND(Bills!#REF!,"AAAAAF9/1MA=")</f>
        <v>#REF!</v>
      </c>
      <c r="GL26" t="e">
        <f>AND(Bills!#REF!,"AAAAAF9/1ME=")</f>
        <v>#REF!</v>
      </c>
      <c r="GM26" t="e">
        <f>AND(Bills!#REF!,"AAAAAF9/1MI=")</f>
        <v>#REF!</v>
      </c>
      <c r="GN26" t="e">
        <f>AND(Bills!#REF!,"AAAAAF9/1MM=")</f>
        <v>#REF!</v>
      </c>
      <c r="GO26" t="e">
        <f>AND(Bills!#REF!,"AAAAAF9/1MQ=")</f>
        <v>#REF!</v>
      </c>
      <c r="GP26" t="e">
        <f>AND(Bills!#REF!,"AAAAAF9/1MU=")</f>
        <v>#REF!</v>
      </c>
      <c r="GQ26" t="e">
        <f>AND(Bills!#REF!,"AAAAAF9/1MY=")</f>
        <v>#REF!</v>
      </c>
      <c r="GR26" t="e">
        <f>AND(Bills!#REF!,"AAAAAF9/1Mc=")</f>
        <v>#REF!</v>
      </c>
      <c r="GS26" t="e">
        <f>AND(Bills!#REF!,"AAAAAF9/1Mg=")</f>
        <v>#REF!</v>
      </c>
      <c r="GT26" t="e">
        <f>AND(Bills!#REF!,"AAAAAF9/1Mk=")</f>
        <v>#REF!</v>
      </c>
      <c r="GU26" t="e">
        <f>AND(Bills!#REF!,"AAAAAF9/1Mo=")</f>
        <v>#REF!</v>
      </c>
      <c r="GV26" t="e">
        <f>AND(Bills!#REF!,"AAAAAF9/1Ms=")</f>
        <v>#REF!</v>
      </c>
      <c r="GW26" t="e">
        <f>AND(Bills!#REF!,"AAAAAF9/1Mw=")</f>
        <v>#REF!</v>
      </c>
      <c r="GX26" t="e">
        <f>AND(Bills!#REF!,"AAAAAF9/1M0=")</f>
        <v>#REF!</v>
      </c>
      <c r="GY26" t="e">
        <f>AND(Bills!#REF!,"AAAAAF9/1M4=")</f>
        <v>#REF!</v>
      </c>
      <c r="GZ26" t="e">
        <f>AND(Bills!#REF!,"AAAAAF9/1M8=")</f>
        <v>#REF!</v>
      </c>
      <c r="HA26" t="e">
        <f>AND(Bills!#REF!,"AAAAAF9/1NA=")</f>
        <v>#REF!</v>
      </c>
      <c r="HB26" t="e">
        <f>AND(Bills!#REF!,"AAAAAF9/1NE=")</f>
        <v>#REF!</v>
      </c>
      <c r="HC26" t="e">
        <f>AND(Bills!#REF!,"AAAAAF9/1NI=")</f>
        <v>#REF!</v>
      </c>
      <c r="HD26" t="e">
        <f>AND(Bills!#REF!,"AAAAAF9/1NM=")</f>
        <v>#REF!</v>
      </c>
      <c r="HE26" t="e">
        <f>AND(Bills!#REF!,"AAAAAF9/1NQ=")</f>
        <v>#REF!</v>
      </c>
      <c r="HF26" t="e">
        <f>AND(Bills!#REF!,"AAAAAF9/1NU=")</f>
        <v>#REF!</v>
      </c>
      <c r="HG26" t="e">
        <f>AND(Bills!#REF!,"AAAAAF9/1NY=")</f>
        <v>#REF!</v>
      </c>
      <c r="HH26" t="e">
        <f>AND(Bills!#REF!,"AAAAAF9/1Nc=")</f>
        <v>#REF!</v>
      </c>
      <c r="HI26" t="e">
        <f>AND(Bills!#REF!,"AAAAAF9/1Ng=")</f>
        <v>#REF!</v>
      </c>
      <c r="HJ26" t="e">
        <f>AND(Bills!#REF!,"AAAAAF9/1Nk=")</f>
        <v>#REF!</v>
      </c>
      <c r="HK26" t="e">
        <f>IF(Bills!#REF!,"AAAAAF9/1No=",0)</f>
        <v>#REF!</v>
      </c>
      <c r="HL26" t="e">
        <f>AND(Bills!#REF!,"AAAAAF9/1Ns=")</f>
        <v>#REF!</v>
      </c>
      <c r="HM26" t="e">
        <f>AND(Bills!#REF!,"AAAAAF9/1Nw=")</f>
        <v>#REF!</v>
      </c>
      <c r="HN26" t="e">
        <f>AND(Bills!#REF!,"AAAAAF9/1N0=")</f>
        <v>#REF!</v>
      </c>
      <c r="HO26" t="e">
        <f>AND(Bills!#REF!,"AAAAAF9/1N4=")</f>
        <v>#REF!</v>
      </c>
      <c r="HP26" t="e">
        <f>AND(Bills!#REF!,"AAAAAF9/1N8=")</f>
        <v>#REF!</v>
      </c>
      <c r="HQ26" t="e">
        <f>AND(Bills!#REF!,"AAAAAF9/1OA=")</f>
        <v>#REF!</v>
      </c>
      <c r="HR26" t="e">
        <f>AND(Bills!#REF!,"AAAAAF9/1OE=")</f>
        <v>#REF!</v>
      </c>
      <c r="HS26" t="e">
        <f>AND(Bills!#REF!,"AAAAAF9/1OI=")</f>
        <v>#REF!</v>
      </c>
      <c r="HT26" t="e">
        <f>AND(Bills!#REF!,"AAAAAF9/1OM=")</f>
        <v>#REF!</v>
      </c>
      <c r="HU26" t="e">
        <f>AND(Bills!#REF!,"AAAAAF9/1OQ=")</f>
        <v>#REF!</v>
      </c>
      <c r="HV26" t="e">
        <f>AND(Bills!#REF!,"AAAAAF9/1OU=")</f>
        <v>#REF!</v>
      </c>
      <c r="HW26" t="e">
        <f>AND(Bills!#REF!,"AAAAAF9/1OY=")</f>
        <v>#REF!</v>
      </c>
      <c r="HX26" t="e">
        <f>AND(Bills!#REF!,"AAAAAF9/1Oc=")</f>
        <v>#REF!</v>
      </c>
      <c r="HY26" t="e">
        <f>AND(Bills!#REF!,"AAAAAF9/1Og=")</f>
        <v>#REF!</v>
      </c>
      <c r="HZ26" t="e">
        <f>AND(Bills!#REF!,"AAAAAF9/1Ok=")</f>
        <v>#REF!</v>
      </c>
      <c r="IA26" t="e">
        <f>AND(Bills!#REF!,"AAAAAF9/1Oo=")</f>
        <v>#REF!</v>
      </c>
      <c r="IB26" t="e">
        <f>AND(Bills!#REF!,"AAAAAF9/1Os=")</f>
        <v>#REF!</v>
      </c>
      <c r="IC26" t="e">
        <f>AND(Bills!#REF!,"AAAAAF9/1Ow=")</f>
        <v>#REF!</v>
      </c>
      <c r="ID26" t="e">
        <f>AND(Bills!#REF!,"AAAAAF9/1O0=")</f>
        <v>#REF!</v>
      </c>
      <c r="IE26" t="e">
        <f>AND(Bills!#REF!,"AAAAAF9/1O4=")</f>
        <v>#REF!</v>
      </c>
      <c r="IF26" t="e">
        <f>AND(Bills!#REF!,"AAAAAF9/1O8=")</f>
        <v>#REF!</v>
      </c>
      <c r="IG26" t="e">
        <f>AND(Bills!#REF!,"AAAAAF9/1PA=")</f>
        <v>#REF!</v>
      </c>
      <c r="IH26" t="e">
        <f>AND(Bills!#REF!,"AAAAAF9/1PE=")</f>
        <v>#REF!</v>
      </c>
      <c r="II26" t="e">
        <f>AND(Bills!#REF!,"AAAAAF9/1PI=")</f>
        <v>#REF!</v>
      </c>
      <c r="IJ26" t="e">
        <f>AND(Bills!#REF!,"AAAAAF9/1PM=")</f>
        <v>#REF!</v>
      </c>
      <c r="IK26" t="e">
        <f>AND(Bills!#REF!,"AAAAAF9/1PQ=")</f>
        <v>#REF!</v>
      </c>
      <c r="IL26" t="e">
        <f>AND(Bills!#REF!,"AAAAAF9/1PU=")</f>
        <v>#REF!</v>
      </c>
      <c r="IM26" t="e">
        <f>AND(Bills!#REF!,"AAAAAF9/1PY=")</f>
        <v>#REF!</v>
      </c>
      <c r="IN26" t="e">
        <f>AND(Bills!#REF!,"AAAAAF9/1Pc=")</f>
        <v>#REF!</v>
      </c>
      <c r="IO26" t="e">
        <f>AND(Bills!#REF!,"AAAAAF9/1Pg=")</f>
        <v>#REF!</v>
      </c>
      <c r="IP26" t="e">
        <f>AND(Bills!#REF!,"AAAAAF9/1Pk=")</f>
        <v>#REF!</v>
      </c>
      <c r="IQ26" t="e">
        <f>AND(Bills!#REF!,"AAAAAF9/1Po=")</f>
        <v>#REF!</v>
      </c>
      <c r="IR26" t="e">
        <f>AND(Bills!#REF!,"AAAAAF9/1Ps=")</f>
        <v>#REF!</v>
      </c>
      <c r="IS26" t="e">
        <f>AND(Bills!#REF!,"AAAAAF9/1Pw=")</f>
        <v>#REF!</v>
      </c>
      <c r="IT26" t="e">
        <f>AND(Bills!#REF!,"AAAAAF9/1P0=")</f>
        <v>#REF!</v>
      </c>
      <c r="IU26" t="e">
        <f>AND(Bills!#REF!,"AAAAAF9/1P4=")</f>
        <v>#REF!</v>
      </c>
      <c r="IV26" t="e">
        <f>AND(Bills!#REF!,"AAAAAF9/1P8=")</f>
        <v>#REF!</v>
      </c>
    </row>
    <row r="27" spans="1:256">
      <c r="A27" t="e">
        <f>AND(Bills!#REF!,"AAAAAFFf1wA=")</f>
        <v>#REF!</v>
      </c>
      <c r="B27" t="e">
        <f>AND(Bills!#REF!,"AAAAAFFf1wE=")</f>
        <v>#REF!</v>
      </c>
      <c r="C27" t="e">
        <f>AND(Bills!#REF!,"AAAAAFFf1wI=")</f>
        <v>#REF!</v>
      </c>
      <c r="D27" t="e">
        <f>AND(Bills!#REF!,"AAAAAFFf1wM=")</f>
        <v>#REF!</v>
      </c>
      <c r="E27" t="e">
        <f>AND(Bills!#REF!,"AAAAAFFf1wQ=")</f>
        <v>#REF!</v>
      </c>
      <c r="F27" t="e">
        <f>AND(Bills!#REF!,"AAAAAFFf1wU=")</f>
        <v>#REF!</v>
      </c>
      <c r="G27" t="e">
        <f>AND(Bills!#REF!,"AAAAAFFf1wY=")</f>
        <v>#REF!</v>
      </c>
      <c r="H27" t="e">
        <f>AND(Bills!#REF!,"AAAAAFFf1wc=")</f>
        <v>#REF!</v>
      </c>
      <c r="I27" t="e">
        <f>AND(Bills!#REF!,"AAAAAFFf1wg=")</f>
        <v>#REF!</v>
      </c>
      <c r="J27" t="e">
        <f>AND(Bills!#REF!,"AAAAAFFf1wk=")</f>
        <v>#REF!</v>
      </c>
      <c r="K27" t="e">
        <f>AND(Bills!#REF!,"AAAAAFFf1wo=")</f>
        <v>#REF!</v>
      </c>
      <c r="L27" t="e">
        <f>AND(Bills!#REF!,"AAAAAFFf1ws=")</f>
        <v>#REF!</v>
      </c>
      <c r="M27" t="e">
        <f>AND(Bills!#REF!,"AAAAAFFf1ww=")</f>
        <v>#REF!</v>
      </c>
      <c r="N27" t="e">
        <f>IF(Bills!#REF!,"AAAAAFFf1w0=",0)</f>
        <v>#REF!</v>
      </c>
      <c r="O27" t="e">
        <f>AND(Bills!#REF!,"AAAAAFFf1w4=")</f>
        <v>#REF!</v>
      </c>
      <c r="P27" t="e">
        <f>AND(Bills!#REF!,"AAAAAFFf1w8=")</f>
        <v>#REF!</v>
      </c>
      <c r="Q27" t="e">
        <f>AND(Bills!#REF!,"AAAAAFFf1xA=")</f>
        <v>#REF!</v>
      </c>
      <c r="R27" t="e">
        <f>AND(Bills!#REF!,"AAAAAFFf1xE=")</f>
        <v>#REF!</v>
      </c>
      <c r="S27" t="e">
        <f>AND(Bills!#REF!,"AAAAAFFf1xI=")</f>
        <v>#REF!</v>
      </c>
      <c r="T27" t="e">
        <f>AND(Bills!#REF!,"AAAAAFFf1xM=")</f>
        <v>#REF!</v>
      </c>
      <c r="U27" t="e">
        <f>AND(Bills!#REF!,"AAAAAFFf1xQ=")</f>
        <v>#REF!</v>
      </c>
      <c r="V27" t="e">
        <f>AND(Bills!#REF!,"AAAAAFFf1xU=")</f>
        <v>#REF!</v>
      </c>
      <c r="W27" t="e">
        <f>AND(Bills!#REF!,"AAAAAFFf1xY=")</f>
        <v>#REF!</v>
      </c>
      <c r="X27" t="e">
        <f>AND(Bills!#REF!,"AAAAAFFf1xc=")</f>
        <v>#REF!</v>
      </c>
      <c r="Y27" t="e">
        <f>AND(Bills!#REF!,"AAAAAFFf1xg=")</f>
        <v>#REF!</v>
      </c>
      <c r="Z27" t="e">
        <f>AND(Bills!#REF!,"AAAAAFFf1xk=")</f>
        <v>#REF!</v>
      </c>
      <c r="AA27" t="e">
        <f>AND(Bills!#REF!,"AAAAAFFf1xo=")</f>
        <v>#REF!</v>
      </c>
      <c r="AB27" t="e">
        <f>AND(Bills!#REF!,"AAAAAFFf1xs=")</f>
        <v>#REF!</v>
      </c>
      <c r="AC27" t="e">
        <f>AND(Bills!#REF!,"AAAAAFFf1xw=")</f>
        <v>#REF!</v>
      </c>
      <c r="AD27" t="e">
        <f>AND(Bills!#REF!,"AAAAAFFf1x0=")</f>
        <v>#REF!</v>
      </c>
      <c r="AE27" t="e">
        <f>AND(Bills!#REF!,"AAAAAFFf1x4=")</f>
        <v>#REF!</v>
      </c>
      <c r="AF27" t="e">
        <f>AND(Bills!#REF!,"AAAAAFFf1x8=")</f>
        <v>#REF!</v>
      </c>
      <c r="AG27" t="e">
        <f>AND(Bills!#REF!,"AAAAAFFf1yA=")</f>
        <v>#REF!</v>
      </c>
      <c r="AH27" t="e">
        <f>AND(Bills!#REF!,"AAAAAFFf1yE=")</f>
        <v>#REF!</v>
      </c>
      <c r="AI27" t="e">
        <f>AND(Bills!#REF!,"AAAAAFFf1yI=")</f>
        <v>#REF!</v>
      </c>
      <c r="AJ27" t="e">
        <f>AND(Bills!#REF!,"AAAAAFFf1yM=")</f>
        <v>#REF!</v>
      </c>
      <c r="AK27" t="e">
        <f>AND(Bills!#REF!,"AAAAAFFf1yQ=")</f>
        <v>#REF!</v>
      </c>
      <c r="AL27" t="e">
        <f>AND(Bills!#REF!,"AAAAAFFf1yU=")</f>
        <v>#REF!</v>
      </c>
      <c r="AM27" t="e">
        <f>AND(Bills!#REF!,"AAAAAFFf1yY=")</f>
        <v>#REF!</v>
      </c>
      <c r="AN27" t="e">
        <f>AND(Bills!#REF!,"AAAAAFFf1yc=")</f>
        <v>#REF!</v>
      </c>
      <c r="AO27" t="e">
        <f>AND(Bills!#REF!,"AAAAAFFf1yg=")</f>
        <v>#REF!</v>
      </c>
      <c r="AP27" t="e">
        <f>AND(Bills!#REF!,"AAAAAFFf1yk=")</f>
        <v>#REF!</v>
      </c>
      <c r="AQ27" t="e">
        <f>AND(Bills!#REF!,"AAAAAFFf1yo=")</f>
        <v>#REF!</v>
      </c>
      <c r="AR27" t="e">
        <f>AND(Bills!#REF!,"AAAAAFFf1ys=")</f>
        <v>#REF!</v>
      </c>
      <c r="AS27" t="e">
        <f>AND(Bills!#REF!,"AAAAAFFf1yw=")</f>
        <v>#REF!</v>
      </c>
      <c r="AT27" t="e">
        <f>AND(Bills!#REF!,"AAAAAFFf1y0=")</f>
        <v>#REF!</v>
      </c>
      <c r="AU27" t="e">
        <f>AND(Bills!#REF!,"AAAAAFFf1y4=")</f>
        <v>#REF!</v>
      </c>
      <c r="AV27" t="e">
        <f>AND(Bills!#REF!,"AAAAAFFf1y8=")</f>
        <v>#REF!</v>
      </c>
      <c r="AW27" t="e">
        <f>AND(Bills!#REF!,"AAAAAFFf1zA=")</f>
        <v>#REF!</v>
      </c>
      <c r="AX27" t="e">
        <f>AND(Bills!#REF!,"AAAAAFFf1zE=")</f>
        <v>#REF!</v>
      </c>
      <c r="AY27" t="e">
        <f>AND(Bills!#REF!,"AAAAAFFf1zI=")</f>
        <v>#REF!</v>
      </c>
      <c r="AZ27" t="e">
        <f>AND(Bills!#REF!,"AAAAAFFf1zM=")</f>
        <v>#REF!</v>
      </c>
      <c r="BA27" t="e">
        <f>AND(Bills!#REF!,"AAAAAFFf1zQ=")</f>
        <v>#REF!</v>
      </c>
      <c r="BB27" t="e">
        <f>AND(Bills!#REF!,"AAAAAFFf1zU=")</f>
        <v>#REF!</v>
      </c>
      <c r="BC27" t="e">
        <f>AND(Bills!#REF!,"AAAAAFFf1zY=")</f>
        <v>#REF!</v>
      </c>
      <c r="BD27" t="e">
        <f>AND(Bills!#REF!,"AAAAAFFf1zc=")</f>
        <v>#REF!</v>
      </c>
      <c r="BE27" t="e">
        <f>AND(Bills!#REF!,"AAAAAFFf1zg=")</f>
        <v>#REF!</v>
      </c>
      <c r="BF27" t="e">
        <f>AND(Bills!#REF!,"AAAAAFFf1zk=")</f>
        <v>#REF!</v>
      </c>
      <c r="BG27" t="e">
        <f>AND(Bills!#REF!,"AAAAAFFf1zo=")</f>
        <v>#REF!</v>
      </c>
      <c r="BH27" t="e">
        <f>AND(Bills!#REF!,"AAAAAFFf1zs=")</f>
        <v>#REF!</v>
      </c>
      <c r="BI27" t="e">
        <f>AND(Bills!#REF!,"AAAAAFFf1zw=")</f>
        <v>#REF!</v>
      </c>
      <c r="BJ27" t="e">
        <f>AND(Bills!#REF!,"AAAAAFFf1z0=")</f>
        <v>#REF!</v>
      </c>
      <c r="BK27" t="e">
        <f>AND(Bills!#REF!,"AAAAAFFf1z4=")</f>
        <v>#REF!</v>
      </c>
      <c r="BL27" t="e">
        <f>AND(Bills!#REF!,"AAAAAFFf1z8=")</f>
        <v>#REF!</v>
      </c>
      <c r="BM27" t="e">
        <f>IF(Bills!#REF!,"AAAAAFFf10A=",0)</f>
        <v>#REF!</v>
      </c>
      <c r="BN27" t="e">
        <f>AND(Bills!#REF!,"AAAAAFFf10E=")</f>
        <v>#REF!</v>
      </c>
      <c r="BO27" t="e">
        <f>AND(Bills!#REF!,"AAAAAFFf10I=")</f>
        <v>#REF!</v>
      </c>
      <c r="BP27" t="e">
        <f>AND(Bills!#REF!,"AAAAAFFf10M=")</f>
        <v>#REF!</v>
      </c>
      <c r="BQ27" t="e">
        <f>AND(Bills!#REF!,"AAAAAFFf10Q=")</f>
        <v>#REF!</v>
      </c>
      <c r="BR27" t="e">
        <f>AND(Bills!#REF!,"AAAAAFFf10U=")</f>
        <v>#REF!</v>
      </c>
      <c r="BS27" t="e">
        <f>AND(Bills!#REF!,"AAAAAFFf10Y=")</f>
        <v>#REF!</v>
      </c>
      <c r="BT27" t="e">
        <f>AND(Bills!#REF!,"AAAAAFFf10c=")</f>
        <v>#REF!</v>
      </c>
      <c r="BU27" t="e">
        <f>AND(Bills!#REF!,"AAAAAFFf10g=")</f>
        <v>#REF!</v>
      </c>
      <c r="BV27" t="e">
        <f>AND(Bills!#REF!,"AAAAAFFf10k=")</f>
        <v>#REF!</v>
      </c>
      <c r="BW27" t="e">
        <f>AND(Bills!#REF!,"AAAAAFFf10o=")</f>
        <v>#REF!</v>
      </c>
      <c r="BX27" t="e">
        <f>AND(Bills!#REF!,"AAAAAFFf10s=")</f>
        <v>#REF!</v>
      </c>
      <c r="BY27" t="e">
        <f>AND(Bills!#REF!,"AAAAAFFf10w=")</f>
        <v>#REF!</v>
      </c>
      <c r="BZ27" t="e">
        <f>AND(Bills!#REF!,"AAAAAFFf100=")</f>
        <v>#REF!</v>
      </c>
      <c r="CA27" t="e">
        <f>AND(Bills!#REF!,"AAAAAFFf104=")</f>
        <v>#REF!</v>
      </c>
      <c r="CB27" t="e">
        <f>AND(Bills!#REF!,"AAAAAFFf108=")</f>
        <v>#REF!</v>
      </c>
      <c r="CC27" t="e">
        <f>AND(Bills!#REF!,"AAAAAFFf11A=")</f>
        <v>#REF!</v>
      </c>
      <c r="CD27" t="e">
        <f>AND(Bills!#REF!,"AAAAAFFf11E=")</f>
        <v>#REF!</v>
      </c>
      <c r="CE27" t="e">
        <f>AND(Bills!#REF!,"AAAAAFFf11I=")</f>
        <v>#REF!</v>
      </c>
      <c r="CF27" t="e">
        <f>AND(Bills!#REF!,"AAAAAFFf11M=")</f>
        <v>#REF!</v>
      </c>
      <c r="CG27" t="e">
        <f>AND(Bills!#REF!,"AAAAAFFf11Q=")</f>
        <v>#REF!</v>
      </c>
      <c r="CH27" t="e">
        <f>AND(Bills!#REF!,"AAAAAFFf11U=")</f>
        <v>#REF!</v>
      </c>
      <c r="CI27" t="e">
        <f>AND(Bills!#REF!,"AAAAAFFf11Y=")</f>
        <v>#REF!</v>
      </c>
      <c r="CJ27" t="e">
        <f>AND(Bills!#REF!,"AAAAAFFf11c=")</f>
        <v>#REF!</v>
      </c>
      <c r="CK27" t="e">
        <f>AND(Bills!#REF!,"AAAAAFFf11g=")</f>
        <v>#REF!</v>
      </c>
      <c r="CL27" t="e">
        <f>AND(Bills!#REF!,"AAAAAFFf11k=")</f>
        <v>#REF!</v>
      </c>
      <c r="CM27" t="e">
        <f>AND(Bills!#REF!,"AAAAAFFf11o=")</f>
        <v>#REF!</v>
      </c>
      <c r="CN27" t="e">
        <f>AND(Bills!#REF!,"AAAAAFFf11s=")</f>
        <v>#REF!</v>
      </c>
      <c r="CO27" t="e">
        <f>AND(Bills!#REF!,"AAAAAFFf11w=")</f>
        <v>#REF!</v>
      </c>
      <c r="CP27" t="e">
        <f>AND(Bills!#REF!,"AAAAAFFf110=")</f>
        <v>#REF!</v>
      </c>
      <c r="CQ27" t="e">
        <f>AND(Bills!#REF!,"AAAAAFFf114=")</f>
        <v>#REF!</v>
      </c>
      <c r="CR27" t="e">
        <f>AND(Bills!#REF!,"AAAAAFFf118=")</f>
        <v>#REF!</v>
      </c>
      <c r="CS27" t="e">
        <f>AND(Bills!#REF!,"AAAAAFFf12A=")</f>
        <v>#REF!</v>
      </c>
      <c r="CT27" t="e">
        <f>AND(Bills!#REF!,"AAAAAFFf12E=")</f>
        <v>#REF!</v>
      </c>
      <c r="CU27" t="e">
        <f>AND(Bills!#REF!,"AAAAAFFf12I=")</f>
        <v>#REF!</v>
      </c>
      <c r="CV27" t="e">
        <f>AND(Bills!#REF!,"AAAAAFFf12M=")</f>
        <v>#REF!</v>
      </c>
      <c r="CW27" t="e">
        <f>AND(Bills!#REF!,"AAAAAFFf12Q=")</f>
        <v>#REF!</v>
      </c>
      <c r="CX27" t="e">
        <f>AND(Bills!#REF!,"AAAAAFFf12U=")</f>
        <v>#REF!</v>
      </c>
      <c r="CY27" t="e">
        <f>AND(Bills!#REF!,"AAAAAFFf12Y=")</f>
        <v>#REF!</v>
      </c>
      <c r="CZ27" t="e">
        <f>AND(Bills!#REF!,"AAAAAFFf12c=")</f>
        <v>#REF!</v>
      </c>
      <c r="DA27" t="e">
        <f>AND(Bills!#REF!,"AAAAAFFf12g=")</f>
        <v>#REF!</v>
      </c>
      <c r="DB27" t="e">
        <f>AND(Bills!#REF!,"AAAAAFFf12k=")</f>
        <v>#REF!</v>
      </c>
      <c r="DC27" t="e">
        <f>AND(Bills!#REF!,"AAAAAFFf12o=")</f>
        <v>#REF!</v>
      </c>
      <c r="DD27" t="e">
        <f>AND(Bills!#REF!,"AAAAAFFf12s=")</f>
        <v>#REF!</v>
      </c>
      <c r="DE27" t="e">
        <f>AND(Bills!#REF!,"AAAAAFFf12w=")</f>
        <v>#REF!</v>
      </c>
      <c r="DF27" t="e">
        <f>AND(Bills!#REF!,"AAAAAFFf120=")</f>
        <v>#REF!</v>
      </c>
      <c r="DG27" t="e">
        <f>AND(Bills!#REF!,"AAAAAFFf124=")</f>
        <v>#REF!</v>
      </c>
      <c r="DH27" t="e">
        <f>AND(Bills!#REF!,"AAAAAFFf128=")</f>
        <v>#REF!</v>
      </c>
      <c r="DI27" t="e">
        <f>AND(Bills!#REF!,"AAAAAFFf13A=")</f>
        <v>#REF!</v>
      </c>
      <c r="DJ27" t="e">
        <f>AND(Bills!#REF!,"AAAAAFFf13E=")</f>
        <v>#REF!</v>
      </c>
      <c r="DK27" t="e">
        <f>AND(Bills!#REF!,"AAAAAFFf13I=")</f>
        <v>#REF!</v>
      </c>
      <c r="DL27">
        <f>IF(Bills!16:16,"AAAAAFFf13M=",0)</f>
        <v>0</v>
      </c>
      <c r="DM27" t="e">
        <f>AND(Bills!B16,"AAAAAFFf13Q=")</f>
        <v>#VALUE!</v>
      </c>
      <c r="DN27" t="e">
        <f>AND(Bills!#REF!,"AAAAAFFf13U=")</f>
        <v>#REF!</v>
      </c>
      <c r="DO27" t="e">
        <f>AND(Bills!C16,"AAAAAFFf13Y=")</f>
        <v>#VALUE!</v>
      </c>
      <c r="DP27" t="e">
        <f>AND(Bills!#REF!,"AAAAAFFf13c=")</f>
        <v>#REF!</v>
      </c>
      <c r="DQ27" t="e">
        <f>AND(Bills!#REF!,"AAAAAFFf13g=")</f>
        <v>#REF!</v>
      </c>
      <c r="DR27" t="e">
        <f>AND(Bills!#REF!,"AAAAAFFf13k=")</f>
        <v>#REF!</v>
      </c>
      <c r="DS27" t="e">
        <f>AND(Bills!#REF!,"AAAAAFFf13o=")</f>
        <v>#REF!</v>
      </c>
      <c r="DT27" t="e">
        <f>AND(Bills!#REF!,"AAAAAFFf13s=")</f>
        <v>#REF!</v>
      </c>
      <c r="DU27" t="e">
        <f>AND(Bills!D16,"AAAAAFFf13w=")</f>
        <v>#VALUE!</v>
      </c>
      <c r="DV27" t="e">
        <f>AND(Bills!#REF!,"AAAAAFFf130=")</f>
        <v>#REF!</v>
      </c>
      <c r="DW27" t="e">
        <f>AND(Bills!E16,"AAAAAFFf134=")</f>
        <v>#VALUE!</v>
      </c>
      <c r="DX27" t="e">
        <f>AND(Bills!F16,"AAAAAFFf138=")</f>
        <v>#VALUE!</v>
      </c>
      <c r="DY27" t="e">
        <f>AND(Bills!G16,"AAAAAFFf14A=")</f>
        <v>#VALUE!</v>
      </c>
      <c r="DZ27" t="e">
        <f>AND(Bills!H16,"AAAAAFFf14E=")</f>
        <v>#VALUE!</v>
      </c>
      <c r="EA27" t="e">
        <f>AND(Bills!I16,"AAAAAFFf14I=")</f>
        <v>#VALUE!</v>
      </c>
      <c r="EB27" t="e">
        <f>AND(Bills!J16,"AAAAAFFf14M=")</f>
        <v>#VALUE!</v>
      </c>
      <c r="EC27" t="e">
        <f>AND(Bills!#REF!,"AAAAAFFf14Q=")</f>
        <v>#REF!</v>
      </c>
      <c r="ED27" t="e">
        <f>AND(Bills!K16,"AAAAAFFf14U=")</f>
        <v>#VALUE!</v>
      </c>
      <c r="EE27" t="e">
        <f>AND(Bills!L16,"AAAAAFFf14Y=")</f>
        <v>#VALUE!</v>
      </c>
      <c r="EF27" t="e">
        <f>AND(Bills!M16,"AAAAAFFf14c=")</f>
        <v>#VALUE!</v>
      </c>
      <c r="EG27" t="e">
        <f>AND(Bills!N16,"AAAAAFFf14g=")</f>
        <v>#VALUE!</v>
      </c>
      <c r="EH27" t="e">
        <f>AND(Bills!O16,"AAAAAFFf14k=")</f>
        <v>#VALUE!</v>
      </c>
      <c r="EI27" t="e">
        <f>AND(Bills!P16,"AAAAAFFf14o=")</f>
        <v>#VALUE!</v>
      </c>
      <c r="EJ27" t="e">
        <f>AND(Bills!Q16,"AAAAAFFf14s=")</f>
        <v>#VALUE!</v>
      </c>
      <c r="EK27" t="e">
        <f>AND(Bills!R16,"AAAAAFFf14w=")</f>
        <v>#VALUE!</v>
      </c>
      <c r="EL27" t="e">
        <f>AND(Bills!#REF!,"AAAAAFFf140=")</f>
        <v>#REF!</v>
      </c>
      <c r="EM27" t="e">
        <f>AND(Bills!S16,"AAAAAFFf144=")</f>
        <v>#VALUE!</v>
      </c>
      <c r="EN27" t="e">
        <f>AND(Bills!T16,"AAAAAFFf148=")</f>
        <v>#VALUE!</v>
      </c>
      <c r="EO27" t="e">
        <f>AND(Bills!U16,"AAAAAFFf15A=")</f>
        <v>#VALUE!</v>
      </c>
      <c r="EP27" t="e">
        <f>AND(Bills!#REF!,"AAAAAFFf15E=")</f>
        <v>#REF!</v>
      </c>
      <c r="EQ27" t="e">
        <f>AND(Bills!#REF!,"AAAAAFFf15I=")</f>
        <v>#REF!</v>
      </c>
      <c r="ER27" t="e">
        <f>AND(Bills!W16,"AAAAAFFf15M=")</f>
        <v>#VALUE!</v>
      </c>
      <c r="ES27" t="e">
        <f>AND(Bills!X16,"AAAAAFFf15Q=")</f>
        <v>#VALUE!</v>
      </c>
      <c r="ET27" t="e">
        <f>AND(Bills!#REF!,"AAAAAFFf15U=")</f>
        <v>#REF!</v>
      </c>
      <c r="EU27" t="e">
        <f>AND(Bills!#REF!,"AAAAAFFf15Y=")</f>
        <v>#REF!</v>
      </c>
      <c r="EV27" t="e">
        <f>AND(Bills!#REF!,"AAAAAFFf15c=")</f>
        <v>#REF!</v>
      </c>
      <c r="EW27" t="e">
        <f>AND(Bills!#REF!,"AAAAAFFf15g=")</f>
        <v>#REF!</v>
      </c>
      <c r="EX27" t="e">
        <f>AND(Bills!#REF!,"AAAAAFFf15k=")</f>
        <v>#REF!</v>
      </c>
      <c r="EY27" t="e">
        <f>AND(Bills!#REF!,"AAAAAFFf15o=")</f>
        <v>#REF!</v>
      </c>
      <c r="EZ27" t="e">
        <f>AND(Bills!#REF!,"AAAAAFFf15s=")</f>
        <v>#REF!</v>
      </c>
      <c r="FA27" t="e">
        <f>AND(Bills!#REF!,"AAAAAFFf15w=")</f>
        <v>#REF!</v>
      </c>
      <c r="FB27" t="e">
        <f>AND(Bills!#REF!,"AAAAAFFf150=")</f>
        <v>#REF!</v>
      </c>
      <c r="FC27" t="e">
        <f>AND(Bills!Y16,"AAAAAFFf154=")</f>
        <v>#VALUE!</v>
      </c>
      <c r="FD27" t="e">
        <f>AND(Bills!Z16,"AAAAAFFf158=")</f>
        <v>#VALUE!</v>
      </c>
      <c r="FE27" t="e">
        <f>AND(Bills!#REF!,"AAAAAFFf16A=")</f>
        <v>#REF!</v>
      </c>
      <c r="FF27" t="e">
        <f>AND(Bills!#REF!,"AAAAAFFf16E=")</f>
        <v>#REF!</v>
      </c>
      <c r="FG27" t="e">
        <f>AND(Bills!#REF!,"AAAAAFFf16I=")</f>
        <v>#REF!</v>
      </c>
      <c r="FH27" t="e">
        <f>AND(Bills!AA16,"AAAAAFFf16M=")</f>
        <v>#VALUE!</v>
      </c>
      <c r="FI27" t="e">
        <f>AND(Bills!AB16,"AAAAAFFf16Q=")</f>
        <v>#VALUE!</v>
      </c>
      <c r="FJ27" t="e">
        <f>AND(Bills!#REF!,"AAAAAFFf16U=")</f>
        <v>#REF!</v>
      </c>
      <c r="FK27" t="e">
        <f>IF(Bills!#REF!,"AAAAAFFf16Y=",0)</f>
        <v>#REF!</v>
      </c>
      <c r="FL27" t="e">
        <f>AND(Bills!#REF!,"AAAAAFFf16c=")</f>
        <v>#REF!</v>
      </c>
      <c r="FM27" t="e">
        <f>AND(Bills!#REF!,"AAAAAFFf16g=")</f>
        <v>#REF!</v>
      </c>
      <c r="FN27" t="e">
        <f>AND(Bills!#REF!,"AAAAAFFf16k=")</f>
        <v>#REF!</v>
      </c>
      <c r="FO27" t="e">
        <f>AND(Bills!#REF!,"AAAAAFFf16o=")</f>
        <v>#REF!</v>
      </c>
      <c r="FP27" t="e">
        <f>AND(Bills!#REF!,"AAAAAFFf16s=")</f>
        <v>#REF!</v>
      </c>
      <c r="FQ27" t="e">
        <f>AND(Bills!#REF!,"AAAAAFFf16w=")</f>
        <v>#REF!</v>
      </c>
      <c r="FR27" t="e">
        <f>AND(Bills!#REF!,"AAAAAFFf160=")</f>
        <v>#REF!</v>
      </c>
      <c r="FS27" t="e">
        <f>AND(Bills!#REF!,"AAAAAFFf164=")</f>
        <v>#REF!</v>
      </c>
      <c r="FT27" t="e">
        <f>AND(Bills!#REF!,"AAAAAFFf168=")</f>
        <v>#REF!</v>
      </c>
      <c r="FU27" t="e">
        <f>AND(Bills!#REF!,"AAAAAFFf17A=")</f>
        <v>#REF!</v>
      </c>
      <c r="FV27" t="e">
        <f>AND(Bills!#REF!,"AAAAAFFf17E=")</f>
        <v>#REF!</v>
      </c>
      <c r="FW27" t="e">
        <f>AND(Bills!#REF!,"AAAAAFFf17I=")</f>
        <v>#REF!</v>
      </c>
      <c r="FX27" t="e">
        <f>AND(Bills!#REF!,"AAAAAFFf17M=")</f>
        <v>#REF!</v>
      </c>
      <c r="FY27" t="e">
        <f>AND(Bills!#REF!,"AAAAAFFf17Q=")</f>
        <v>#REF!</v>
      </c>
      <c r="FZ27" t="e">
        <f>AND(Bills!#REF!,"AAAAAFFf17U=")</f>
        <v>#REF!</v>
      </c>
      <c r="GA27" t="e">
        <f>AND(Bills!#REF!,"AAAAAFFf17Y=")</f>
        <v>#REF!</v>
      </c>
      <c r="GB27" t="e">
        <f>AND(Bills!#REF!,"AAAAAFFf17c=")</f>
        <v>#REF!</v>
      </c>
      <c r="GC27" t="e">
        <f>AND(Bills!#REF!,"AAAAAFFf17g=")</f>
        <v>#REF!</v>
      </c>
      <c r="GD27" t="e">
        <f>AND(Bills!#REF!,"AAAAAFFf17k=")</f>
        <v>#REF!</v>
      </c>
      <c r="GE27" t="e">
        <f>AND(Bills!#REF!,"AAAAAFFf17o=")</f>
        <v>#REF!</v>
      </c>
      <c r="GF27" t="e">
        <f>AND(Bills!#REF!,"AAAAAFFf17s=")</f>
        <v>#REF!</v>
      </c>
      <c r="GG27" t="e">
        <f>AND(Bills!#REF!,"AAAAAFFf17w=")</f>
        <v>#REF!</v>
      </c>
      <c r="GH27" t="e">
        <f>AND(Bills!#REF!,"AAAAAFFf170=")</f>
        <v>#REF!</v>
      </c>
      <c r="GI27" t="e">
        <f>AND(Bills!#REF!,"AAAAAFFf174=")</f>
        <v>#REF!</v>
      </c>
      <c r="GJ27" t="e">
        <f>AND(Bills!#REF!,"AAAAAFFf178=")</f>
        <v>#REF!</v>
      </c>
      <c r="GK27" t="e">
        <f>AND(Bills!#REF!,"AAAAAFFf18A=")</f>
        <v>#REF!</v>
      </c>
      <c r="GL27" t="e">
        <f>AND(Bills!#REF!,"AAAAAFFf18E=")</f>
        <v>#REF!</v>
      </c>
      <c r="GM27" t="e">
        <f>AND(Bills!#REF!,"AAAAAFFf18I=")</f>
        <v>#REF!</v>
      </c>
      <c r="GN27" t="e">
        <f>AND(Bills!#REF!,"AAAAAFFf18M=")</f>
        <v>#REF!</v>
      </c>
      <c r="GO27" t="e">
        <f>AND(Bills!#REF!,"AAAAAFFf18Q=")</f>
        <v>#REF!</v>
      </c>
      <c r="GP27" t="e">
        <f>AND(Bills!#REF!,"AAAAAFFf18U=")</f>
        <v>#REF!</v>
      </c>
      <c r="GQ27" t="e">
        <f>AND(Bills!#REF!,"AAAAAFFf18Y=")</f>
        <v>#REF!</v>
      </c>
      <c r="GR27" t="e">
        <f>AND(Bills!#REF!,"AAAAAFFf18c=")</f>
        <v>#REF!</v>
      </c>
      <c r="GS27" t="e">
        <f>AND(Bills!#REF!,"AAAAAFFf18g=")</f>
        <v>#REF!</v>
      </c>
      <c r="GT27" t="e">
        <f>AND(Bills!#REF!,"AAAAAFFf18k=")</f>
        <v>#REF!</v>
      </c>
      <c r="GU27" t="e">
        <f>AND(Bills!#REF!,"AAAAAFFf18o=")</f>
        <v>#REF!</v>
      </c>
      <c r="GV27" t="e">
        <f>AND(Bills!#REF!,"AAAAAFFf18s=")</f>
        <v>#REF!</v>
      </c>
      <c r="GW27" t="e">
        <f>AND(Bills!#REF!,"AAAAAFFf18w=")</f>
        <v>#REF!</v>
      </c>
      <c r="GX27" t="e">
        <f>AND(Bills!#REF!,"AAAAAFFf180=")</f>
        <v>#REF!</v>
      </c>
      <c r="GY27" t="e">
        <f>AND(Bills!#REF!,"AAAAAFFf184=")</f>
        <v>#REF!</v>
      </c>
      <c r="GZ27" t="e">
        <f>AND(Bills!#REF!,"AAAAAFFf188=")</f>
        <v>#REF!</v>
      </c>
      <c r="HA27" t="e">
        <f>AND(Bills!#REF!,"AAAAAFFf19A=")</f>
        <v>#REF!</v>
      </c>
      <c r="HB27" t="e">
        <f>AND(Bills!#REF!,"AAAAAFFf19E=")</f>
        <v>#REF!</v>
      </c>
      <c r="HC27" t="e">
        <f>AND(Bills!#REF!,"AAAAAFFf19I=")</f>
        <v>#REF!</v>
      </c>
      <c r="HD27" t="e">
        <f>AND(Bills!#REF!,"AAAAAFFf19M=")</f>
        <v>#REF!</v>
      </c>
      <c r="HE27" t="e">
        <f>AND(Bills!#REF!,"AAAAAFFf19Q=")</f>
        <v>#REF!</v>
      </c>
      <c r="HF27" t="e">
        <f>AND(Bills!#REF!,"AAAAAFFf19U=")</f>
        <v>#REF!</v>
      </c>
      <c r="HG27" t="e">
        <f>AND(Bills!#REF!,"AAAAAFFf19Y=")</f>
        <v>#REF!</v>
      </c>
      <c r="HH27" t="e">
        <f>AND(Bills!#REF!,"AAAAAFFf19c=")</f>
        <v>#REF!</v>
      </c>
      <c r="HI27" t="e">
        <f>AND(Bills!#REF!,"AAAAAFFf19g=")</f>
        <v>#REF!</v>
      </c>
      <c r="HJ27" t="e">
        <f>IF(Bills!#REF!,"AAAAAFFf19k=",0)</f>
        <v>#REF!</v>
      </c>
      <c r="HK27" t="e">
        <f>AND(Bills!#REF!,"AAAAAFFf19o=")</f>
        <v>#REF!</v>
      </c>
      <c r="HL27" t="e">
        <f>AND(Bills!#REF!,"AAAAAFFf19s=")</f>
        <v>#REF!</v>
      </c>
      <c r="HM27" t="e">
        <f>AND(Bills!#REF!,"AAAAAFFf19w=")</f>
        <v>#REF!</v>
      </c>
      <c r="HN27" t="e">
        <f>AND(Bills!#REF!,"AAAAAFFf190=")</f>
        <v>#REF!</v>
      </c>
      <c r="HO27" t="e">
        <f>AND(Bills!#REF!,"AAAAAFFf194=")</f>
        <v>#REF!</v>
      </c>
      <c r="HP27" t="e">
        <f>AND(Bills!#REF!,"AAAAAFFf198=")</f>
        <v>#REF!</v>
      </c>
      <c r="HQ27" t="e">
        <f>AND(Bills!#REF!,"AAAAAFFf1+A=")</f>
        <v>#REF!</v>
      </c>
      <c r="HR27" t="e">
        <f>AND(Bills!#REF!,"AAAAAFFf1+E=")</f>
        <v>#REF!</v>
      </c>
      <c r="HS27" t="e">
        <f>AND(Bills!#REF!,"AAAAAFFf1+I=")</f>
        <v>#REF!</v>
      </c>
      <c r="HT27" t="e">
        <f>AND(Bills!#REF!,"AAAAAFFf1+M=")</f>
        <v>#REF!</v>
      </c>
      <c r="HU27" t="e">
        <f>AND(Bills!#REF!,"AAAAAFFf1+Q=")</f>
        <v>#REF!</v>
      </c>
      <c r="HV27" t="e">
        <f>AND(Bills!#REF!,"AAAAAFFf1+U=")</f>
        <v>#REF!</v>
      </c>
      <c r="HW27" t="e">
        <f>AND(Bills!#REF!,"AAAAAFFf1+Y=")</f>
        <v>#REF!</v>
      </c>
      <c r="HX27" t="e">
        <f>AND(Bills!#REF!,"AAAAAFFf1+c=")</f>
        <v>#REF!</v>
      </c>
      <c r="HY27" t="e">
        <f>AND(Bills!#REF!,"AAAAAFFf1+g=")</f>
        <v>#REF!</v>
      </c>
      <c r="HZ27" t="e">
        <f>AND(Bills!#REF!,"AAAAAFFf1+k=")</f>
        <v>#REF!</v>
      </c>
      <c r="IA27" t="e">
        <f>AND(Bills!#REF!,"AAAAAFFf1+o=")</f>
        <v>#REF!</v>
      </c>
      <c r="IB27" t="e">
        <f>AND(Bills!#REF!,"AAAAAFFf1+s=")</f>
        <v>#REF!</v>
      </c>
      <c r="IC27" t="e">
        <f>AND(Bills!#REF!,"AAAAAFFf1+w=")</f>
        <v>#REF!</v>
      </c>
      <c r="ID27" t="e">
        <f>AND(Bills!#REF!,"AAAAAFFf1+0=")</f>
        <v>#REF!</v>
      </c>
      <c r="IE27" t="e">
        <f>AND(Bills!#REF!,"AAAAAFFf1+4=")</f>
        <v>#REF!</v>
      </c>
      <c r="IF27" t="e">
        <f>AND(Bills!#REF!,"AAAAAFFf1+8=")</f>
        <v>#REF!</v>
      </c>
      <c r="IG27" t="e">
        <f>AND(Bills!#REF!,"AAAAAFFf1/A=")</f>
        <v>#REF!</v>
      </c>
      <c r="IH27" t="e">
        <f>AND(Bills!#REF!,"AAAAAFFf1/E=")</f>
        <v>#REF!</v>
      </c>
      <c r="II27" t="e">
        <f>AND(Bills!#REF!,"AAAAAFFf1/I=")</f>
        <v>#REF!</v>
      </c>
      <c r="IJ27" t="e">
        <f>AND(Bills!#REF!,"AAAAAFFf1/M=")</f>
        <v>#REF!</v>
      </c>
      <c r="IK27" t="e">
        <f>AND(Bills!#REF!,"AAAAAFFf1/Q=")</f>
        <v>#REF!</v>
      </c>
      <c r="IL27" t="e">
        <f>AND(Bills!#REF!,"AAAAAFFf1/U=")</f>
        <v>#REF!</v>
      </c>
      <c r="IM27" t="e">
        <f>AND(Bills!#REF!,"AAAAAFFf1/Y=")</f>
        <v>#REF!</v>
      </c>
      <c r="IN27" t="e">
        <f>AND(Bills!#REF!,"AAAAAFFf1/c=")</f>
        <v>#REF!</v>
      </c>
      <c r="IO27" t="e">
        <f>AND(Bills!#REF!,"AAAAAFFf1/g=")</f>
        <v>#REF!</v>
      </c>
      <c r="IP27" t="e">
        <f>AND(Bills!#REF!,"AAAAAFFf1/k=")</f>
        <v>#REF!</v>
      </c>
      <c r="IQ27" t="e">
        <f>AND(Bills!#REF!,"AAAAAFFf1/o=")</f>
        <v>#REF!</v>
      </c>
      <c r="IR27" t="e">
        <f>AND(Bills!#REF!,"AAAAAFFf1/s=")</f>
        <v>#REF!</v>
      </c>
      <c r="IS27" t="e">
        <f>AND(Bills!#REF!,"AAAAAFFf1/w=")</f>
        <v>#REF!</v>
      </c>
      <c r="IT27" t="e">
        <f>AND(Bills!#REF!,"AAAAAFFf1/0=")</f>
        <v>#REF!</v>
      </c>
      <c r="IU27" t="e">
        <f>AND(Bills!#REF!,"AAAAAFFf1/4=")</f>
        <v>#REF!</v>
      </c>
      <c r="IV27" t="e">
        <f>AND(Bills!#REF!,"AAAAAFFf1/8=")</f>
        <v>#REF!</v>
      </c>
    </row>
    <row r="28" spans="1:256">
      <c r="A28" t="e">
        <f>AND(Bills!#REF!,"AAAAAGf/fwA=")</f>
        <v>#REF!</v>
      </c>
      <c r="B28" t="e">
        <f>AND(Bills!#REF!,"AAAAAGf/fwE=")</f>
        <v>#REF!</v>
      </c>
      <c r="C28" t="e">
        <f>AND(Bills!#REF!,"AAAAAGf/fwI=")</f>
        <v>#REF!</v>
      </c>
      <c r="D28" t="e">
        <f>AND(Bills!#REF!,"AAAAAGf/fwM=")</f>
        <v>#REF!</v>
      </c>
      <c r="E28" t="e">
        <f>AND(Bills!#REF!,"AAAAAGf/fwQ=")</f>
        <v>#REF!</v>
      </c>
      <c r="F28" t="e">
        <f>AND(Bills!#REF!,"AAAAAGf/fwU=")</f>
        <v>#REF!</v>
      </c>
      <c r="G28" t="e">
        <f>AND(Bills!#REF!,"AAAAAGf/fwY=")</f>
        <v>#REF!</v>
      </c>
      <c r="H28" t="e">
        <f>AND(Bills!#REF!,"AAAAAGf/fwc=")</f>
        <v>#REF!</v>
      </c>
      <c r="I28" t="e">
        <f>AND(Bills!#REF!,"AAAAAGf/fwg=")</f>
        <v>#REF!</v>
      </c>
      <c r="J28" t="e">
        <f>AND(Bills!#REF!,"AAAAAGf/fwk=")</f>
        <v>#REF!</v>
      </c>
      <c r="K28" t="e">
        <f>AND(Bills!#REF!,"AAAAAGf/fwo=")</f>
        <v>#REF!</v>
      </c>
      <c r="L28" t="e">
        <f>AND(Bills!#REF!,"AAAAAGf/fws=")</f>
        <v>#REF!</v>
      </c>
      <c r="M28" t="e">
        <f>IF(Bills!#REF!,"AAAAAGf/fww=",0)</f>
        <v>#REF!</v>
      </c>
      <c r="N28" t="e">
        <f>AND(Bills!#REF!,"AAAAAGf/fw0=")</f>
        <v>#REF!</v>
      </c>
      <c r="O28" t="e">
        <f>AND(Bills!#REF!,"AAAAAGf/fw4=")</f>
        <v>#REF!</v>
      </c>
      <c r="P28" t="e">
        <f>AND(Bills!#REF!,"AAAAAGf/fw8=")</f>
        <v>#REF!</v>
      </c>
      <c r="Q28" t="e">
        <f>AND(Bills!#REF!,"AAAAAGf/fxA=")</f>
        <v>#REF!</v>
      </c>
      <c r="R28" t="e">
        <f>AND(Bills!#REF!,"AAAAAGf/fxE=")</f>
        <v>#REF!</v>
      </c>
      <c r="S28" t="e">
        <f>AND(Bills!#REF!,"AAAAAGf/fxI=")</f>
        <v>#REF!</v>
      </c>
      <c r="T28" t="e">
        <f>AND(Bills!#REF!,"AAAAAGf/fxM=")</f>
        <v>#REF!</v>
      </c>
      <c r="U28" t="e">
        <f>AND(Bills!#REF!,"AAAAAGf/fxQ=")</f>
        <v>#REF!</v>
      </c>
      <c r="V28" t="e">
        <f>AND(Bills!#REF!,"AAAAAGf/fxU=")</f>
        <v>#REF!</v>
      </c>
      <c r="W28" t="e">
        <f>AND(Bills!#REF!,"AAAAAGf/fxY=")</f>
        <v>#REF!</v>
      </c>
      <c r="X28" t="e">
        <f>AND(Bills!#REF!,"AAAAAGf/fxc=")</f>
        <v>#REF!</v>
      </c>
      <c r="Y28" t="e">
        <f>AND(Bills!#REF!,"AAAAAGf/fxg=")</f>
        <v>#REF!</v>
      </c>
      <c r="Z28" t="e">
        <f>AND(Bills!#REF!,"AAAAAGf/fxk=")</f>
        <v>#REF!</v>
      </c>
      <c r="AA28" t="e">
        <f>AND(Bills!#REF!,"AAAAAGf/fxo=")</f>
        <v>#REF!</v>
      </c>
      <c r="AB28" t="e">
        <f>AND(Bills!#REF!,"AAAAAGf/fxs=")</f>
        <v>#REF!</v>
      </c>
      <c r="AC28" t="e">
        <f>AND(Bills!#REF!,"AAAAAGf/fxw=")</f>
        <v>#REF!</v>
      </c>
      <c r="AD28" t="e">
        <f>AND(Bills!#REF!,"AAAAAGf/fx0=")</f>
        <v>#REF!</v>
      </c>
      <c r="AE28" t="e">
        <f>AND(Bills!#REF!,"AAAAAGf/fx4=")</f>
        <v>#REF!</v>
      </c>
      <c r="AF28" t="e">
        <f>AND(Bills!#REF!,"AAAAAGf/fx8=")</f>
        <v>#REF!</v>
      </c>
      <c r="AG28" t="e">
        <f>AND(Bills!#REF!,"AAAAAGf/fyA=")</f>
        <v>#REF!</v>
      </c>
      <c r="AH28" t="e">
        <f>AND(Bills!#REF!,"AAAAAGf/fyE=")</f>
        <v>#REF!</v>
      </c>
      <c r="AI28" t="e">
        <f>AND(Bills!#REF!,"AAAAAGf/fyI=")</f>
        <v>#REF!</v>
      </c>
      <c r="AJ28" t="e">
        <f>AND(Bills!#REF!,"AAAAAGf/fyM=")</f>
        <v>#REF!</v>
      </c>
      <c r="AK28" t="e">
        <f>AND(Bills!#REF!,"AAAAAGf/fyQ=")</f>
        <v>#REF!</v>
      </c>
      <c r="AL28" t="e">
        <f>AND(Bills!#REF!,"AAAAAGf/fyU=")</f>
        <v>#REF!</v>
      </c>
      <c r="AM28" t="e">
        <f>AND(Bills!#REF!,"AAAAAGf/fyY=")</f>
        <v>#REF!</v>
      </c>
      <c r="AN28" t="e">
        <f>AND(Bills!#REF!,"AAAAAGf/fyc=")</f>
        <v>#REF!</v>
      </c>
      <c r="AO28" t="e">
        <f>AND(Bills!#REF!,"AAAAAGf/fyg=")</f>
        <v>#REF!</v>
      </c>
      <c r="AP28" t="e">
        <f>AND(Bills!#REF!,"AAAAAGf/fyk=")</f>
        <v>#REF!</v>
      </c>
      <c r="AQ28" t="e">
        <f>AND(Bills!#REF!,"AAAAAGf/fyo=")</f>
        <v>#REF!</v>
      </c>
      <c r="AR28" t="e">
        <f>AND(Bills!#REF!,"AAAAAGf/fys=")</f>
        <v>#REF!</v>
      </c>
      <c r="AS28" t="e">
        <f>AND(Bills!#REF!,"AAAAAGf/fyw=")</f>
        <v>#REF!</v>
      </c>
      <c r="AT28" t="e">
        <f>AND(Bills!#REF!,"AAAAAGf/fy0=")</f>
        <v>#REF!</v>
      </c>
      <c r="AU28" t="e">
        <f>AND(Bills!#REF!,"AAAAAGf/fy4=")</f>
        <v>#REF!</v>
      </c>
      <c r="AV28" t="e">
        <f>AND(Bills!#REF!,"AAAAAGf/fy8=")</f>
        <v>#REF!</v>
      </c>
      <c r="AW28" t="e">
        <f>AND(Bills!#REF!,"AAAAAGf/fzA=")</f>
        <v>#REF!</v>
      </c>
      <c r="AX28" t="e">
        <f>AND(Bills!#REF!,"AAAAAGf/fzE=")</f>
        <v>#REF!</v>
      </c>
      <c r="AY28" t="e">
        <f>AND(Bills!#REF!,"AAAAAGf/fzI=")</f>
        <v>#REF!</v>
      </c>
      <c r="AZ28" t="e">
        <f>AND(Bills!#REF!,"AAAAAGf/fzM=")</f>
        <v>#REF!</v>
      </c>
      <c r="BA28" t="e">
        <f>AND(Bills!#REF!,"AAAAAGf/fzQ=")</f>
        <v>#REF!</v>
      </c>
      <c r="BB28" t="e">
        <f>AND(Bills!#REF!,"AAAAAGf/fzU=")</f>
        <v>#REF!</v>
      </c>
      <c r="BC28" t="e">
        <f>AND(Bills!#REF!,"AAAAAGf/fzY=")</f>
        <v>#REF!</v>
      </c>
      <c r="BD28" t="e">
        <f>AND(Bills!#REF!,"AAAAAGf/fzc=")</f>
        <v>#REF!</v>
      </c>
      <c r="BE28" t="e">
        <f>AND(Bills!#REF!,"AAAAAGf/fzg=")</f>
        <v>#REF!</v>
      </c>
      <c r="BF28" t="e">
        <f>AND(Bills!#REF!,"AAAAAGf/fzk=")</f>
        <v>#REF!</v>
      </c>
      <c r="BG28" t="e">
        <f>AND(Bills!#REF!,"AAAAAGf/fzo=")</f>
        <v>#REF!</v>
      </c>
      <c r="BH28" t="e">
        <f>AND(Bills!#REF!,"AAAAAGf/fzs=")</f>
        <v>#REF!</v>
      </c>
      <c r="BI28" t="e">
        <f>AND(Bills!#REF!,"AAAAAGf/fzw=")</f>
        <v>#REF!</v>
      </c>
      <c r="BJ28" t="e">
        <f>AND(Bills!#REF!,"AAAAAGf/fz0=")</f>
        <v>#REF!</v>
      </c>
      <c r="BK28" t="e">
        <f>AND(Bills!#REF!,"AAAAAGf/fz4=")</f>
        <v>#REF!</v>
      </c>
      <c r="BL28" t="e">
        <f>IF(Bills!#REF!,"AAAAAGf/fz8=",0)</f>
        <v>#REF!</v>
      </c>
      <c r="BM28" t="e">
        <f>AND(Bills!#REF!,"AAAAAGf/f0A=")</f>
        <v>#REF!</v>
      </c>
      <c r="BN28" t="e">
        <f>AND(Bills!#REF!,"AAAAAGf/f0E=")</f>
        <v>#REF!</v>
      </c>
      <c r="BO28" t="e">
        <f>AND(Bills!#REF!,"AAAAAGf/f0I=")</f>
        <v>#REF!</v>
      </c>
      <c r="BP28" t="e">
        <f>AND(Bills!#REF!,"AAAAAGf/f0M=")</f>
        <v>#REF!</v>
      </c>
      <c r="BQ28" t="e">
        <f>AND(Bills!#REF!,"AAAAAGf/f0Q=")</f>
        <v>#REF!</v>
      </c>
      <c r="BR28" t="e">
        <f>AND(Bills!#REF!,"AAAAAGf/f0U=")</f>
        <v>#REF!</v>
      </c>
      <c r="BS28" t="e">
        <f>AND(Bills!#REF!,"AAAAAGf/f0Y=")</f>
        <v>#REF!</v>
      </c>
      <c r="BT28" t="e">
        <f>AND(Bills!#REF!,"AAAAAGf/f0c=")</f>
        <v>#REF!</v>
      </c>
      <c r="BU28" t="e">
        <f>AND(Bills!#REF!,"AAAAAGf/f0g=")</f>
        <v>#REF!</v>
      </c>
      <c r="BV28" t="e">
        <f>AND(Bills!#REF!,"AAAAAGf/f0k=")</f>
        <v>#REF!</v>
      </c>
      <c r="BW28" t="e">
        <f>AND(Bills!#REF!,"AAAAAGf/f0o=")</f>
        <v>#REF!</v>
      </c>
      <c r="BX28" t="e">
        <f>AND(Bills!#REF!,"AAAAAGf/f0s=")</f>
        <v>#REF!</v>
      </c>
      <c r="BY28" t="e">
        <f>AND(Bills!#REF!,"AAAAAGf/f0w=")</f>
        <v>#REF!</v>
      </c>
      <c r="BZ28" t="e">
        <f>AND(Bills!#REF!,"AAAAAGf/f00=")</f>
        <v>#REF!</v>
      </c>
      <c r="CA28" t="e">
        <f>AND(Bills!#REF!,"AAAAAGf/f04=")</f>
        <v>#REF!</v>
      </c>
      <c r="CB28" t="e">
        <f>AND(Bills!#REF!,"AAAAAGf/f08=")</f>
        <v>#REF!</v>
      </c>
      <c r="CC28" t="e">
        <f>AND(Bills!#REF!,"AAAAAGf/f1A=")</f>
        <v>#REF!</v>
      </c>
      <c r="CD28" t="e">
        <f>AND(Bills!#REF!,"AAAAAGf/f1E=")</f>
        <v>#REF!</v>
      </c>
      <c r="CE28" t="e">
        <f>AND(Bills!#REF!,"AAAAAGf/f1I=")</f>
        <v>#REF!</v>
      </c>
      <c r="CF28" t="e">
        <f>AND(Bills!#REF!,"AAAAAGf/f1M=")</f>
        <v>#REF!</v>
      </c>
      <c r="CG28" t="e">
        <f>AND(Bills!#REF!,"AAAAAGf/f1Q=")</f>
        <v>#REF!</v>
      </c>
      <c r="CH28" t="e">
        <f>AND(Bills!#REF!,"AAAAAGf/f1U=")</f>
        <v>#REF!</v>
      </c>
      <c r="CI28" t="e">
        <f>AND(Bills!#REF!,"AAAAAGf/f1Y=")</f>
        <v>#REF!</v>
      </c>
      <c r="CJ28" t="e">
        <f>AND(Bills!#REF!,"AAAAAGf/f1c=")</f>
        <v>#REF!</v>
      </c>
      <c r="CK28" t="e">
        <f>AND(Bills!#REF!,"AAAAAGf/f1g=")</f>
        <v>#REF!</v>
      </c>
      <c r="CL28" t="e">
        <f>AND(Bills!#REF!,"AAAAAGf/f1k=")</f>
        <v>#REF!</v>
      </c>
      <c r="CM28" t="e">
        <f>AND(Bills!#REF!,"AAAAAGf/f1o=")</f>
        <v>#REF!</v>
      </c>
      <c r="CN28" t="e">
        <f>AND(Bills!#REF!,"AAAAAGf/f1s=")</f>
        <v>#REF!</v>
      </c>
      <c r="CO28" t="e">
        <f>AND(Bills!#REF!,"AAAAAGf/f1w=")</f>
        <v>#REF!</v>
      </c>
      <c r="CP28" t="e">
        <f>AND(Bills!#REF!,"AAAAAGf/f10=")</f>
        <v>#REF!</v>
      </c>
      <c r="CQ28" t="e">
        <f>AND(Bills!#REF!,"AAAAAGf/f14=")</f>
        <v>#REF!</v>
      </c>
      <c r="CR28" t="e">
        <f>AND(Bills!#REF!,"AAAAAGf/f18=")</f>
        <v>#REF!</v>
      </c>
      <c r="CS28" t="e">
        <f>AND(Bills!#REF!,"AAAAAGf/f2A=")</f>
        <v>#REF!</v>
      </c>
      <c r="CT28" t="e">
        <f>AND(Bills!#REF!,"AAAAAGf/f2E=")</f>
        <v>#REF!</v>
      </c>
      <c r="CU28" t="e">
        <f>AND(Bills!#REF!,"AAAAAGf/f2I=")</f>
        <v>#REF!</v>
      </c>
      <c r="CV28" t="e">
        <f>AND(Bills!#REF!,"AAAAAGf/f2M=")</f>
        <v>#REF!</v>
      </c>
      <c r="CW28" t="e">
        <f>AND(Bills!#REF!,"AAAAAGf/f2Q=")</f>
        <v>#REF!</v>
      </c>
      <c r="CX28" t="e">
        <f>AND(Bills!#REF!,"AAAAAGf/f2U=")</f>
        <v>#REF!</v>
      </c>
      <c r="CY28" t="e">
        <f>AND(Bills!#REF!,"AAAAAGf/f2Y=")</f>
        <v>#REF!</v>
      </c>
      <c r="CZ28" t="e">
        <f>AND(Bills!#REF!,"AAAAAGf/f2c=")</f>
        <v>#REF!</v>
      </c>
      <c r="DA28" t="e">
        <f>AND(Bills!#REF!,"AAAAAGf/f2g=")</f>
        <v>#REF!</v>
      </c>
      <c r="DB28" t="e">
        <f>AND(Bills!#REF!,"AAAAAGf/f2k=")</f>
        <v>#REF!</v>
      </c>
      <c r="DC28" t="e">
        <f>AND(Bills!#REF!,"AAAAAGf/f2o=")</f>
        <v>#REF!</v>
      </c>
      <c r="DD28" t="e">
        <f>AND(Bills!#REF!,"AAAAAGf/f2s=")</f>
        <v>#REF!</v>
      </c>
      <c r="DE28" t="e">
        <f>AND(Bills!#REF!,"AAAAAGf/f2w=")</f>
        <v>#REF!</v>
      </c>
      <c r="DF28" t="e">
        <f>AND(Bills!#REF!,"AAAAAGf/f20=")</f>
        <v>#REF!</v>
      </c>
      <c r="DG28" t="e">
        <f>AND(Bills!#REF!,"AAAAAGf/f24=")</f>
        <v>#REF!</v>
      </c>
      <c r="DH28" t="e">
        <f>AND(Bills!#REF!,"AAAAAGf/f28=")</f>
        <v>#REF!</v>
      </c>
      <c r="DI28" t="e">
        <f>AND(Bills!#REF!,"AAAAAGf/f3A=")</f>
        <v>#REF!</v>
      </c>
      <c r="DJ28" t="e">
        <f>AND(Bills!#REF!,"AAAAAGf/f3E=")</f>
        <v>#REF!</v>
      </c>
      <c r="DK28" t="e">
        <f>IF(Bills!#REF!,"AAAAAGf/f3I=",0)</f>
        <v>#REF!</v>
      </c>
      <c r="DL28" t="e">
        <f>AND(Bills!#REF!,"AAAAAGf/f3M=")</f>
        <v>#REF!</v>
      </c>
      <c r="DM28" t="e">
        <f>AND(Bills!#REF!,"AAAAAGf/f3Q=")</f>
        <v>#REF!</v>
      </c>
      <c r="DN28" t="e">
        <f>AND(Bills!#REF!,"AAAAAGf/f3U=")</f>
        <v>#REF!</v>
      </c>
      <c r="DO28" t="e">
        <f>AND(Bills!#REF!,"AAAAAGf/f3Y=")</f>
        <v>#REF!</v>
      </c>
      <c r="DP28" t="e">
        <f>AND(Bills!#REF!,"AAAAAGf/f3c=")</f>
        <v>#REF!</v>
      </c>
      <c r="DQ28" t="e">
        <f>AND(Bills!#REF!,"AAAAAGf/f3g=")</f>
        <v>#REF!</v>
      </c>
      <c r="DR28" t="e">
        <f>AND(Bills!#REF!,"AAAAAGf/f3k=")</f>
        <v>#REF!</v>
      </c>
      <c r="DS28" t="e">
        <f>AND(Bills!#REF!,"AAAAAGf/f3o=")</f>
        <v>#REF!</v>
      </c>
      <c r="DT28" t="e">
        <f>AND(Bills!#REF!,"AAAAAGf/f3s=")</f>
        <v>#REF!</v>
      </c>
      <c r="DU28" t="e">
        <f>AND(Bills!#REF!,"AAAAAGf/f3w=")</f>
        <v>#REF!</v>
      </c>
      <c r="DV28" t="e">
        <f>AND(Bills!#REF!,"AAAAAGf/f30=")</f>
        <v>#REF!</v>
      </c>
      <c r="DW28" t="e">
        <f>AND(Bills!#REF!,"AAAAAGf/f34=")</f>
        <v>#REF!</v>
      </c>
      <c r="DX28" t="e">
        <f>AND(Bills!#REF!,"AAAAAGf/f38=")</f>
        <v>#REF!</v>
      </c>
      <c r="DY28" t="e">
        <f>AND(Bills!#REF!,"AAAAAGf/f4A=")</f>
        <v>#REF!</v>
      </c>
      <c r="DZ28" t="e">
        <f>AND(Bills!#REF!,"AAAAAGf/f4E=")</f>
        <v>#REF!</v>
      </c>
      <c r="EA28" t="e">
        <f>AND(Bills!#REF!,"AAAAAGf/f4I=")</f>
        <v>#REF!</v>
      </c>
      <c r="EB28" t="e">
        <f>AND(Bills!#REF!,"AAAAAGf/f4M=")</f>
        <v>#REF!</v>
      </c>
      <c r="EC28" t="e">
        <f>AND(Bills!#REF!,"AAAAAGf/f4Q=")</f>
        <v>#REF!</v>
      </c>
      <c r="ED28" t="e">
        <f>AND(Bills!#REF!,"AAAAAGf/f4U=")</f>
        <v>#REF!</v>
      </c>
      <c r="EE28" t="e">
        <f>AND(Bills!#REF!,"AAAAAGf/f4Y=")</f>
        <v>#REF!</v>
      </c>
      <c r="EF28" t="e">
        <f>AND(Bills!#REF!,"AAAAAGf/f4c=")</f>
        <v>#REF!</v>
      </c>
      <c r="EG28" t="e">
        <f>AND(Bills!#REF!,"AAAAAGf/f4g=")</f>
        <v>#REF!</v>
      </c>
      <c r="EH28" t="e">
        <f>AND(Bills!#REF!,"AAAAAGf/f4k=")</f>
        <v>#REF!</v>
      </c>
      <c r="EI28" t="e">
        <f>AND(Bills!#REF!,"AAAAAGf/f4o=")</f>
        <v>#REF!</v>
      </c>
      <c r="EJ28" t="e">
        <f>AND(Bills!#REF!,"AAAAAGf/f4s=")</f>
        <v>#REF!</v>
      </c>
      <c r="EK28" t="e">
        <f>AND(Bills!#REF!,"AAAAAGf/f4w=")</f>
        <v>#REF!</v>
      </c>
      <c r="EL28" t="e">
        <f>AND(Bills!#REF!,"AAAAAGf/f40=")</f>
        <v>#REF!</v>
      </c>
      <c r="EM28" t="e">
        <f>AND(Bills!#REF!,"AAAAAGf/f44=")</f>
        <v>#REF!</v>
      </c>
      <c r="EN28" t="e">
        <f>AND(Bills!#REF!,"AAAAAGf/f48=")</f>
        <v>#REF!</v>
      </c>
      <c r="EO28" t="e">
        <f>AND(Bills!#REF!,"AAAAAGf/f5A=")</f>
        <v>#REF!</v>
      </c>
      <c r="EP28" t="e">
        <f>AND(Bills!#REF!,"AAAAAGf/f5E=")</f>
        <v>#REF!</v>
      </c>
      <c r="EQ28" t="e">
        <f>AND(Bills!#REF!,"AAAAAGf/f5I=")</f>
        <v>#REF!</v>
      </c>
      <c r="ER28" t="e">
        <f>AND(Bills!#REF!,"AAAAAGf/f5M=")</f>
        <v>#REF!</v>
      </c>
      <c r="ES28" t="e">
        <f>AND(Bills!#REF!,"AAAAAGf/f5Q=")</f>
        <v>#REF!</v>
      </c>
      <c r="ET28" t="e">
        <f>AND(Bills!#REF!,"AAAAAGf/f5U=")</f>
        <v>#REF!</v>
      </c>
      <c r="EU28" t="e">
        <f>AND(Bills!#REF!,"AAAAAGf/f5Y=")</f>
        <v>#REF!</v>
      </c>
      <c r="EV28" t="e">
        <f>AND(Bills!#REF!,"AAAAAGf/f5c=")</f>
        <v>#REF!</v>
      </c>
      <c r="EW28" t="e">
        <f>AND(Bills!#REF!,"AAAAAGf/f5g=")</f>
        <v>#REF!</v>
      </c>
      <c r="EX28" t="e">
        <f>AND(Bills!#REF!,"AAAAAGf/f5k=")</f>
        <v>#REF!</v>
      </c>
      <c r="EY28" t="e">
        <f>AND(Bills!#REF!,"AAAAAGf/f5o=")</f>
        <v>#REF!</v>
      </c>
      <c r="EZ28" t="e">
        <f>AND(Bills!#REF!,"AAAAAGf/f5s=")</f>
        <v>#REF!</v>
      </c>
      <c r="FA28" t="e">
        <f>AND(Bills!#REF!,"AAAAAGf/f5w=")</f>
        <v>#REF!</v>
      </c>
      <c r="FB28" t="e">
        <f>AND(Bills!#REF!,"AAAAAGf/f50=")</f>
        <v>#REF!</v>
      </c>
      <c r="FC28" t="e">
        <f>AND(Bills!#REF!,"AAAAAGf/f54=")</f>
        <v>#REF!</v>
      </c>
      <c r="FD28" t="e">
        <f>AND(Bills!#REF!,"AAAAAGf/f58=")</f>
        <v>#REF!</v>
      </c>
      <c r="FE28" t="e">
        <f>AND(Bills!#REF!,"AAAAAGf/f6A=")</f>
        <v>#REF!</v>
      </c>
      <c r="FF28" t="e">
        <f>AND(Bills!#REF!,"AAAAAGf/f6E=")</f>
        <v>#REF!</v>
      </c>
      <c r="FG28" t="e">
        <f>AND(Bills!#REF!,"AAAAAGf/f6I=")</f>
        <v>#REF!</v>
      </c>
      <c r="FH28" t="e">
        <f>AND(Bills!#REF!,"AAAAAGf/f6M=")</f>
        <v>#REF!</v>
      </c>
      <c r="FI28" t="e">
        <f>AND(Bills!#REF!,"AAAAAGf/f6Q=")</f>
        <v>#REF!</v>
      </c>
      <c r="FJ28">
        <f>IF(Bills!17:17,"AAAAAGf/f6U=",0)</f>
        <v>0</v>
      </c>
      <c r="FK28" t="e">
        <f>AND(Bills!B17,"AAAAAGf/f6Y=")</f>
        <v>#VALUE!</v>
      </c>
      <c r="FL28" t="e">
        <f>AND(Bills!#REF!,"AAAAAGf/f6c=")</f>
        <v>#REF!</v>
      </c>
      <c r="FM28" t="e">
        <f>AND(Bills!C17,"AAAAAGf/f6g=")</f>
        <v>#VALUE!</v>
      </c>
      <c r="FN28" t="e">
        <f>AND(Bills!#REF!,"AAAAAGf/f6k=")</f>
        <v>#REF!</v>
      </c>
      <c r="FO28" t="e">
        <f>AND(Bills!#REF!,"AAAAAGf/f6o=")</f>
        <v>#REF!</v>
      </c>
      <c r="FP28" t="e">
        <f>AND(Bills!#REF!,"AAAAAGf/f6s=")</f>
        <v>#REF!</v>
      </c>
      <c r="FQ28" t="e">
        <f>AND(Bills!#REF!,"AAAAAGf/f6w=")</f>
        <v>#REF!</v>
      </c>
      <c r="FR28" t="e">
        <f>AND(Bills!#REF!,"AAAAAGf/f60=")</f>
        <v>#REF!</v>
      </c>
      <c r="FS28" t="e">
        <f>AND(Bills!D17,"AAAAAGf/f64=")</f>
        <v>#VALUE!</v>
      </c>
      <c r="FT28" t="e">
        <f>AND(Bills!#REF!,"AAAAAGf/f68=")</f>
        <v>#REF!</v>
      </c>
      <c r="FU28" t="e">
        <f>AND(Bills!E17,"AAAAAGf/f7A=")</f>
        <v>#VALUE!</v>
      </c>
      <c r="FV28" t="e">
        <f>AND(Bills!F17,"AAAAAGf/f7E=")</f>
        <v>#VALUE!</v>
      </c>
      <c r="FW28" t="e">
        <f>AND(Bills!G17,"AAAAAGf/f7I=")</f>
        <v>#VALUE!</v>
      </c>
      <c r="FX28" t="e">
        <f>AND(Bills!H17,"AAAAAGf/f7M=")</f>
        <v>#VALUE!</v>
      </c>
      <c r="FY28" t="e">
        <f>AND(Bills!I17,"AAAAAGf/f7Q=")</f>
        <v>#VALUE!</v>
      </c>
      <c r="FZ28" t="e">
        <f>AND(Bills!J17,"AAAAAGf/f7U=")</f>
        <v>#VALUE!</v>
      </c>
      <c r="GA28" t="e">
        <f>AND(Bills!#REF!,"AAAAAGf/f7Y=")</f>
        <v>#REF!</v>
      </c>
      <c r="GB28" t="e">
        <f>AND(Bills!K17,"AAAAAGf/f7c=")</f>
        <v>#VALUE!</v>
      </c>
      <c r="GC28" t="e">
        <f>AND(Bills!L17,"AAAAAGf/f7g=")</f>
        <v>#VALUE!</v>
      </c>
      <c r="GD28" t="e">
        <f>AND(Bills!M17,"AAAAAGf/f7k=")</f>
        <v>#VALUE!</v>
      </c>
      <c r="GE28" t="e">
        <f>AND(Bills!N17,"AAAAAGf/f7o=")</f>
        <v>#VALUE!</v>
      </c>
      <c r="GF28" t="e">
        <f>AND(Bills!O17,"AAAAAGf/f7s=")</f>
        <v>#VALUE!</v>
      </c>
      <c r="GG28" t="e">
        <f>AND(Bills!P17,"AAAAAGf/f7w=")</f>
        <v>#VALUE!</v>
      </c>
      <c r="GH28" t="e">
        <f>AND(Bills!Q17,"AAAAAGf/f70=")</f>
        <v>#VALUE!</v>
      </c>
      <c r="GI28" t="e">
        <f>AND(Bills!R17,"AAAAAGf/f74=")</f>
        <v>#VALUE!</v>
      </c>
      <c r="GJ28" t="e">
        <f>AND(Bills!#REF!,"AAAAAGf/f78=")</f>
        <v>#REF!</v>
      </c>
      <c r="GK28" t="e">
        <f>AND(Bills!S17,"AAAAAGf/f8A=")</f>
        <v>#VALUE!</v>
      </c>
      <c r="GL28" t="e">
        <f>AND(Bills!T17,"AAAAAGf/f8E=")</f>
        <v>#VALUE!</v>
      </c>
      <c r="GM28" t="e">
        <f>AND(Bills!U17,"AAAAAGf/f8I=")</f>
        <v>#VALUE!</v>
      </c>
      <c r="GN28" t="e">
        <f>AND(Bills!#REF!,"AAAAAGf/f8M=")</f>
        <v>#REF!</v>
      </c>
      <c r="GO28" t="e">
        <f>AND(Bills!#REF!,"AAAAAGf/f8Q=")</f>
        <v>#REF!</v>
      </c>
      <c r="GP28" t="e">
        <f>AND(Bills!W17,"AAAAAGf/f8U=")</f>
        <v>#VALUE!</v>
      </c>
      <c r="GQ28" t="e">
        <f>AND(Bills!X17,"AAAAAGf/f8Y=")</f>
        <v>#VALUE!</v>
      </c>
      <c r="GR28" t="e">
        <f>AND(Bills!#REF!,"AAAAAGf/f8c=")</f>
        <v>#REF!</v>
      </c>
      <c r="GS28" t="e">
        <f>AND(Bills!#REF!,"AAAAAGf/f8g=")</f>
        <v>#REF!</v>
      </c>
      <c r="GT28" t="e">
        <f>AND(Bills!#REF!,"AAAAAGf/f8k=")</f>
        <v>#REF!</v>
      </c>
      <c r="GU28" t="e">
        <f>AND(Bills!#REF!,"AAAAAGf/f8o=")</f>
        <v>#REF!</v>
      </c>
      <c r="GV28" t="e">
        <f>AND(Bills!#REF!,"AAAAAGf/f8s=")</f>
        <v>#REF!</v>
      </c>
      <c r="GW28" t="e">
        <f>AND(Bills!#REF!,"AAAAAGf/f8w=")</f>
        <v>#REF!</v>
      </c>
      <c r="GX28" t="e">
        <f>AND(Bills!#REF!,"AAAAAGf/f80=")</f>
        <v>#REF!</v>
      </c>
      <c r="GY28" t="e">
        <f>AND(Bills!#REF!,"AAAAAGf/f84=")</f>
        <v>#REF!</v>
      </c>
      <c r="GZ28" t="e">
        <f>AND(Bills!#REF!,"AAAAAGf/f88=")</f>
        <v>#REF!</v>
      </c>
      <c r="HA28" t="e">
        <f>AND(Bills!Y17,"AAAAAGf/f9A=")</f>
        <v>#VALUE!</v>
      </c>
      <c r="HB28" t="e">
        <f>AND(Bills!Z17,"AAAAAGf/f9E=")</f>
        <v>#VALUE!</v>
      </c>
      <c r="HC28" t="e">
        <f>AND(Bills!#REF!,"AAAAAGf/f9I=")</f>
        <v>#REF!</v>
      </c>
      <c r="HD28" t="e">
        <f>AND(Bills!#REF!,"AAAAAGf/f9M=")</f>
        <v>#REF!</v>
      </c>
      <c r="HE28" t="e">
        <f>AND(Bills!#REF!,"AAAAAGf/f9Q=")</f>
        <v>#REF!</v>
      </c>
      <c r="HF28" t="e">
        <f>AND(Bills!AA17,"AAAAAGf/f9U=")</f>
        <v>#VALUE!</v>
      </c>
      <c r="HG28" t="e">
        <f>AND(Bills!AB17,"AAAAAGf/f9Y=")</f>
        <v>#VALUE!</v>
      </c>
      <c r="HH28" t="e">
        <f>AND(Bills!#REF!,"AAAAAGf/f9c=")</f>
        <v>#REF!</v>
      </c>
      <c r="HI28" t="e">
        <f>IF(Bills!#REF!,"AAAAAGf/f9g=",0)</f>
        <v>#REF!</v>
      </c>
      <c r="HJ28" t="e">
        <f>AND(Bills!#REF!,"AAAAAGf/f9k=")</f>
        <v>#REF!</v>
      </c>
      <c r="HK28" t="e">
        <f>AND(Bills!#REF!,"AAAAAGf/f9o=")</f>
        <v>#REF!</v>
      </c>
      <c r="HL28" t="e">
        <f>AND(Bills!#REF!,"AAAAAGf/f9s=")</f>
        <v>#REF!</v>
      </c>
      <c r="HM28" t="e">
        <f>AND(Bills!#REF!,"AAAAAGf/f9w=")</f>
        <v>#REF!</v>
      </c>
      <c r="HN28" t="e">
        <f>AND(Bills!#REF!,"AAAAAGf/f90=")</f>
        <v>#REF!</v>
      </c>
      <c r="HO28" t="e">
        <f>AND(Bills!#REF!,"AAAAAGf/f94=")</f>
        <v>#REF!</v>
      </c>
      <c r="HP28" t="e">
        <f>AND(Bills!#REF!,"AAAAAGf/f98=")</f>
        <v>#REF!</v>
      </c>
      <c r="HQ28" t="e">
        <f>AND(Bills!#REF!,"AAAAAGf/f+A=")</f>
        <v>#REF!</v>
      </c>
      <c r="HR28" t="e">
        <f>AND(Bills!#REF!,"AAAAAGf/f+E=")</f>
        <v>#REF!</v>
      </c>
      <c r="HS28" t="e">
        <f>AND(Bills!#REF!,"AAAAAGf/f+I=")</f>
        <v>#REF!</v>
      </c>
      <c r="HT28" t="e">
        <f>AND(Bills!#REF!,"AAAAAGf/f+M=")</f>
        <v>#REF!</v>
      </c>
      <c r="HU28" t="e">
        <f>AND(Bills!#REF!,"AAAAAGf/f+Q=")</f>
        <v>#REF!</v>
      </c>
      <c r="HV28" t="e">
        <f>AND(Bills!#REF!,"AAAAAGf/f+U=")</f>
        <v>#REF!</v>
      </c>
      <c r="HW28" t="e">
        <f>AND(Bills!#REF!,"AAAAAGf/f+Y=")</f>
        <v>#REF!</v>
      </c>
      <c r="HX28" t="e">
        <f>AND(Bills!#REF!,"AAAAAGf/f+c=")</f>
        <v>#REF!</v>
      </c>
      <c r="HY28" t="e">
        <f>AND(Bills!#REF!,"AAAAAGf/f+g=")</f>
        <v>#REF!</v>
      </c>
      <c r="HZ28" t="e">
        <f>AND(Bills!#REF!,"AAAAAGf/f+k=")</f>
        <v>#REF!</v>
      </c>
      <c r="IA28" t="e">
        <f>AND(Bills!#REF!,"AAAAAGf/f+o=")</f>
        <v>#REF!</v>
      </c>
      <c r="IB28" t="e">
        <f>AND(Bills!#REF!,"AAAAAGf/f+s=")</f>
        <v>#REF!</v>
      </c>
      <c r="IC28" t="e">
        <f>AND(Bills!#REF!,"AAAAAGf/f+w=")</f>
        <v>#REF!</v>
      </c>
      <c r="ID28" t="e">
        <f>AND(Bills!#REF!,"AAAAAGf/f+0=")</f>
        <v>#REF!</v>
      </c>
      <c r="IE28" t="e">
        <f>AND(Bills!#REF!,"AAAAAGf/f+4=")</f>
        <v>#REF!</v>
      </c>
      <c r="IF28" t="e">
        <f>AND(Bills!#REF!,"AAAAAGf/f+8=")</f>
        <v>#REF!</v>
      </c>
      <c r="IG28" t="e">
        <f>AND(Bills!#REF!,"AAAAAGf/f/A=")</f>
        <v>#REF!</v>
      </c>
      <c r="IH28" t="e">
        <f>AND(Bills!#REF!,"AAAAAGf/f/E=")</f>
        <v>#REF!</v>
      </c>
      <c r="II28" t="e">
        <f>AND(Bills!#REF!,"AAAAAGf/f/I=")</f>
        <v>#REF!</v>
      </c>
      <c r="IJ28" t="e">
        <f>AND(Bills!#REF!,"AAAAAGf/f/M=")</f>
        <v>#REF!</v>
      </c>
      <c r="IK28" t="e">
        <f>AND(Bills!#REF!,"AAAAAGf/f/Q=")</f>
        <v>#REF!</v>
      </c>
      <c r="IL28" t="e">
        <f>AND(Bills!#REF!,"AAAAAGf/f/U=")</f>
        <v>#REF!</v>
      </c>
      <c r="IM28" t="e">
        <f>AND(Bills!#REF!,"AAAAAGf/f/Y=")</f>
        <v>#REF!</v>
      </c>
      <c r="IN28" t="e">
        <f>AND(Bills!#REF!,"AAAAAGf/f/c=")</f>
        <v>#REF!</v>
      </c>
      <c r="IO28" t="e">
        <f>AND(Bills!#REF!,"AAAAAGf/f/g=")</f>
        <v>#REF!</v>
      </c>
      <c r="IP28" t="e">
        <f>AND(Bills!#REF!,"AAAAAGf/f/k=")</f>
        <v>#REF!</v>
      </c>
      <c r="IQ28" t="e">
        <f>AND(Bills!#REF!,"AAAAAGf/f/o=")</f>
        <v>#REF!</v>
      </c>
      <c r="IR28" t="e">
        <f>AND(Bills!#REF!,"AAAAAGf/f/s=")</f>
        <v>#REF!</v>
      </c>
      <c r="IS28" t="e">
        <f>AND(Bills!#REF!,"AAAAAGf/f/w=")</f>
        <v>#REF!</v>
      </c>
      <c r="IT28" t="e">
        <f>AND(Bills!#REF!,"AAAAAGf/f/0=")</f>
        <v>#REF!</v>
      </c>
      <c r="IU28" t="e">
        <f>AND(Bills!#REF!,"AAAAAGf/f/4=")</f>
        <v>#REF!</v>
      </c>
      <c r="IV28" t="e">
        <f>AND(Bills!#REF!,"AAAAAGf/f/8=")</f>
        <v>#REF!</v>
      </c>
    </row>
    <row r="29" spans="1:256">
      <c r="A29" t="e">
        <f>AND(Bills!#REF!,"AAAAAC1nzQA=")</f>
        <v>#REF!</v>
      </c>
      <c r="B29" t="e">
        <f>AND(Bills!#REF!,"AAAAAC1nzQE=")</f>
        <v>#REF!</v>
      </c>
      <c r="C29" t="e">
        <f>AND(Bills!#REF!,"AAAAAC1nzQI=")</f>
        <v>#REF!</v>
      </c>
      <c r="D29" t="e">
        <f>AND(Bills!#REF!,"AAAAAC1nzQM=")</f>
        <v>#REF!</v>
      </c>
      <c r="E29" t="e">
        <f>AND(Bills!#REF!,"AAAAAC1nzQQ=")</f>
        <v>#REF!</v>
      </c>
      <c r="F29" t="e">
        <f>AND(Bills!#REF!,"AAAAAC1nzQU=")</f>
        <v>#REF!</v>
      </c>
      <c r="G29" t="e">
        <f>AND(Bills!#REF!,"AAAAAC1nzQY=")</f>
        <v>#REF!</v>
      </c>
      <c r="H29" t="e">
        <f>AND(Bills!#REF!,"AAAAAC1nzQc=")</f>
        <v>#REF!</v>
      </c>
      <c r="I29" t="e">
        <f>AND(Bills!#REF!,"AAAAAC1nzQg=")</f>
        <v>#REF!</v>
      </c>
      <c r="J29" t="e">
        <f>AND(Bills!#REF!,"AAAAAC1nzQk=")</f>
        <v>#REF!</v>
      </c>
      <c r="K29" t="e">
        <f>AND(Bills!#REF!,"AAAAAC1nzQo=")</f>
        <v>#REF!</v>
      </c>
      <c r="L29" t="e">
        <f>IF(Bills!#REF!,"AAAAAC1nzQs=",0)</f>
        <v>#REF!</v>
      </c>
      <c r="M29" t="e">
        <f>AND(Bills!#REF!,"AAAAAC1nzQw=")</f>
        <v>#REF!</v>
      </c>
      <c r="N29" t="e">
        <f>AND(Bills!#REF!,"AAAAAC1nzQ0=")</f>
        <v>#REF!</v>
      </c>
      <c r="O29" t="e">
        <f>AND(Bills!#REF!,"AAAAAC1nzQ4=")</f>
        <v>#REF!</v>
      </c>
      <c r="P29" t="e">
        <f>AND(Bills!#REF!,"AAAAAC1nzQ8=")</f>
        <v>#REF!</v>
      </c>
      <c r="Q29" t="e">
        <f>AND(Bills!#REF!,"AAAAAC1nzRA=")</f>
        <v>#REF!</v>
      </c>
      <c r="R29" t="e">
        <f>AND(Bills!#REF!,"AAAAAC1nzRE=")</f>
        <v>#REF!</v>
      </c>
      <c r="S29" t="e">
        <f>AND(Bills!#REF!,"AAAAAC1nzRI=")</f>
        <v>#REF!</v>
      </c>
      <c r="T29" t="e">
        <f>AND(Bills!#REF!,"AAAAAC1nzRM=")</f>
        <v>#REF!</v>
      </c>
      <c r="U29" t="e">
        <f>AND(Bills!#REF!,"AAAAAC1nzRQ=")</f>
        <v>#REF!</v>
      </c>
      <c r="V29" t="e">
        <f>AND(Bills!#REF!,"AAAAAC1nzRU=")</f>
        <v>#REF!</v>
      </c>
      <c r="W29" t="e">
        <f>AND(Bills!#REF!,"AAAAAC1nzRY=")</f>
        <v>#REF!</v>
      </c>
      <c r="X29" t="e">
        <f>AND(Bills!#REF!,"AAAAAC1nzRc=")</f>
        <v>#REF!</v>
      </c>
      <c r="Y29" t="e">
        <f>AND(Bills!#REF!,"AAAAAC1nzRg=")</f>
        <v>#REF!</v>
      </c>
      <c r="Z29" t="e">
        <f>AND(Bills!#REF!,"AAAAAC1nzRk=")</f>
        <v>#REF!</v>
      </c>
      <c r="AA29" t="e">
        <f>AND(Bills!#REF!,"AAAAAC1nzRo=")</f>
        <v>#REF!</v>
      </c>
      <c r="AB29" t="e">
        <f>AND(Bills!#REF!,"AAAAAC1nzRs=")</f>
        <v>#REF!</v>
      </c>
      <c r="AC29" t="e">
        <f>AND(Bills!#REF!,"AAAAAC1nzRw=")</f>
        <v>#REF!</v>
      </c>
      <c r="AD29" t="e">
        <f>AND(Bills!#REF!,"AAAAAC1nzR0=")</f>
        <v>#REF!</v>
      </c>
      <c r="AE29" t="e">
        <f>AND(Bills!#REF!,"AAAAAC1nzR4=")</f>
        <v>#REF!</v>
      </c>
      <c r="AF29" t="e">
        <f>AND(Bills!#REF!,"AAAAAC1nzR8=")</f>
        <v>#REF!</v>
      </c>
      <c r="AG29" t="e">
        <f>AND(Bills!#REF!,"AAAAAC1nzSA=")</f>
        <v>#REF!</v>
      </c>
      <c r="AH29" t="e">
        <f>AND(Bills!#REF!,"AAAAAC1nzSE=")</f>
        <v>#REF!</v>
      </c>
      <c r="AI29" t="e">
        <f>AND(Bills!#REF!,"AAAAAC1nzSI=")</f>
        <v>#REF!</v>
      </c>
      <c r="AJ29" t="e">
        <f>AND(Bills!#REF!,"AAAAAC1nzSM=")</f>
        <v>#REF!</v>
      </c>
      <c r="AK29" t="e">
        <f>AND(Bills!#REF!,"AAAAAC1nzSQ=")</f>
        <v>#REF!</v>
      </c>
      <c r="AL29" t="e">
        <f>AND(Bills!#REF!,"AAAAAC1nzSU=")</f>
        <v>#REF!</v>
      </c>
      <c r="AM29" t="e">
        <f>AND(Bills!#REF!,"AAAAAC1nzSY=")</f>
        <v>#REF!</v>
      </c>
      <c r="AN29" t="e">
        <f>AND(Bills!#REF!,"AAAAAC1nzSc=")</f>
        <v>#REF!</v>
      </c>
      <c r="AO29" t="e">
        <f>AND(Bills!#REF!,"AAAAAC1nzSg=")</f>
        <v>#REF!</v>
      </c>
      <c r="AP29" t="e">
        <f>AND(Bills!#REF!,"AAAAAC1nzSk=")</f>
        <v>#REF!</v>
      </c>
      <c r="AQ29" t="e">
        <f>AND(Bills!#REF!,"AAAAAC1nzSo=")</f>
        <v>#REF!</v>
      </c>
      <c r="AR29" t="e">
        <f>AND(Bills!#REF!,"AAAAAC1nzSs=")</f>
        <v>#REF!</v>
      </c>
      <c r="AS29" t="e">
        <f>AND(Bills!#REF!,"AAAAAC1nzSw=")</f>
        <v>#REF!</v>
      </c>
      <c r="AT29" t="e">
        <f>AND(Bills!#REF!,"AAAAAC1nzS0=")</f>
        <v>#REF!</v>
      </c>
      <c r="AU29" t="e">
        <f>AND(Bills!#REF!,"AAAAAC1nzS4=")</f>
        <v>#REF!</v>
      </c>
      <c r="AV29" t="e">
        <f>AND(Bills!#REF!,"AAAAAC1nzS8=")</f>
        <v>#REF!</v>
      </c>
      <c r="AW29" t="e">
        <f>AND(Bills!#REF!,"AAAAAC1nzTA=")</f>
        <v>#REF!</v>
      </c>
      <c r="AX29" t="e">
        <f>AND(Bills!#REF!,"AAAAAC1nzTE=")</f>
        <v>#REF!</v>
      </c>
      <c r="AY29" t="e">
        <f>AND(Bills!#REF!,"AAAAAC1nzTI=")</f>
        <v>#REF!</v>
      </c>
      <c r="AZ29" t="e">
        <f>AND(Bills!#REF!,"AAAAAC1nzTM=")</f>
        <v>#REF!</v>
      </c>
      <c r="BA29" t="e">
        <f>AND(Bills!#REF!,"AAAAAC1nzTQ=")</f>
        <v>#REF!</v>
      </c>
      <c r="BB29" t="e">
        <f>AND(Bills!#REF!,"AAAAAC1nzTU=")</f>
        <v>#REF!</v>
      </c>
      <c r="BC29" t="e">
        <f>AND(Bills!#REF!,"AAAAAC1nzTY=")</f>
        <v>#REF!</v>
      </c>
      <c r="BD29" t="e">
        <f>AND(Bills!#REF!,"AAAAAC1nzTc=")</f>
        <v>#REF!</v>
      </c>
      <c r="BE29" t="e">
        <f>AND(Bills!#REF!,"AAAAAC1nzTg=")</f>
        <v>#REF!</v>
      </c>
      <c r="BF29" t="e">
        <f>AND(Bills!#REF!,"AAAAAC1nzTk=")</f>
        <v>#REF!</v>
      </c>
      <c r="BG29" t="e">
        <f>AND(Bills!#REF!,"AAAAAC1nzTo=")</f>
        <v>#REF!</v>
      </c>
      <c r="BH29" t="e">
        <f>AND(Bills!#REF!,"AAAAAC1nzTs=")</f>
        <v>#REF!</v>
      </c>
      <c r="BI29" t="e">
        <f>AND(Bills!#REF!,"AAAAAC1nzTw=")</f>
        <v>#REF!</v>
      </c>
      <c r="BJ29" t="e">
        <f>AND(Bills!#REF!,"AAAAAC1nzT0=")</f>
        <v>#REF!</v>
      </c>
      <c r="BK29" t="e">
        <f>IF(Bills!#REF!,"AAAAAC1nzT4=",0)</f>
        <v>#REF!</v>
      </c>
      <c r="BL29" t="e">
        <f>AND(Bills!#REF!,"AAAAAC1nzT8=")</f>
        <v>#REF!</v>
      </c>
      <c r="BM29" t="e">
        <f>AND(Bills!#REF!,"AAAAAC1nzUA=")</f>
        <v>#REF!</v>
      </c>
      <c r="BN29" t="e">
        <f>AND(Bills!#REF!,"AAAAAC1nzUE=")</f>
        <v>#REF!</v>
      </c>
      <c r="BO29" t="e">
        <f>AND(Bills!#REF!,"AAAAAC1nzUI=")</f>
        <v>#REF!</v>
      </c>
      <c r="BP29" t="e">
        <f>AND(Bills!#REF!,"AAAAAC1nzUM=")</f>
        <v>#REF!</v>
      </c>
      <c r="BQ29" t="e">
        <f>AND(Bills!#REF!,"AAAAAC1nzUQ=")</f>
        <v>#REF!</v>
      </c>
      <c r="BR29" t="e">
        <f>AND(Bills!#REF!,"AAAAAC1nzUU=")</f>
        <v>#REF!</v>
      </c>
      <c r="BS29" t="e">
        <f>AND(Bills!#REF!,"AAAAAC1nzUY=")</f>
        <v>#REF!</v>
      </c>
      <c r="BT29" t="e">
        <f>AND(Bills!#REF!,"AAAAAC1nzUc=")</f>
        <v>#REF!</v>
      </c>
      <c r="BU29" t="e">
        <f>AND(Bills!#REF!,"AAAAAC1nzUg=")</f>
        <v>#REF!</v>
      </c>
      <c r="BV29" t="e">
        <f>AND(Bills!#REF!,"AAAAAC1nzUk=")</f>
        <v>#REF!</v>
      </c>
      <c r="BW29" t="e">
        <f>AND(Bills!#REF!,"AAAAAC1nzUo=")</f>
        <v>#REF!</v>
      </c>
      <c r="BX29" t="e">
        <f>AND(Bills!#REF!,"AAAAAC1nzUs=")</f>
        <v>#REF!</v>
      </c>
      <c r="BY29" t="e">
        <f>AND(Bills!#REF!,"AAAAAC1nzUw=")</f>
        <v>#REF!</v>
      </c>
      <c r="BZ29" t="e">
        <f>AND(Bills!#REF!,"AAAAAC1nzU0=")</f>
        <v>#REF!</v>
      </c>
      <c r="CA29" t="e">
        <f>AND(Bills!#REF!,"AAAAAC1nzU4=")</f>
        <v>#REF!</v>
      </c>
      <c r="CB29" t="e">
        <f>AND(Bills!#REF!,"AAAAAC1nzU8=")</f>
        <v>#REF!</v>
      </c>
      <c r="CC29" t="e">
        <f>AND(Bills!#REF!,"AAAAAC1nzVA=")</f>
        <v>#REF!</v>
      </c>
      <c r="CD29" t="e">
        <f>AND(Bills!#REF!,"AAAAAC1nzVE=")</f>
        <v>#REF!</v>
      </c>
      <c r="CE29" t="e">
        <f>AND(Bills!#REF!,"AAAAAC1nzVI=")</f>
        <v>#REF!</v>
      </c>
      <c r="CF29" t="e">
        <f>AND(Bills!#REF!,"AAAAAC1nzVM=")</f>
        <v>#REF!</v>
      </c>
      <c r="CG29" t="e">
        <f>AND(Bills!#REF!,"AAAAAC1nzVQ=")</f>
        <v>#REF!</v>
      </c>
      <c r="CH29" t="e">
        <f>AND(Bills!#REF!,"AAAAAC1nzVU=")</f>
        <v>#REF!</v>
      </c>
      <c r="CI29" t="e">
        <f>AND(Bills!#REF!,"AAAAAC1nzVY=")</f>
        <v>#REF!</v>
      </c>
      <c r="CJ29" t="e">
        <f>AND(Bills!#REF!,"AAAAAC1nzVc=")</f>
        <v>#REF!</v>
      </c>
      <c r="CK29" t="e">
        <f>AND(Bills!#REF!,"AAAAAC1nzVg=")</f>
        <v>#REF!</v>
      </c>
      <c r="CL29" t="e">
        <f>AND(Bills!#REF!,"AAAAAC1nzVk=")</f>
        <v>#REF!</v>
      </c>
      <c r="CM29" t="e">
        <f>AND(Bills!#REF!,"AAAAAC1nzVo=")</f>
        <v>#REF!</v>
      </c>
      <c r="CN29" t="e">
        <f>AND(Bills!#REF!,"AAAAAC1nzVs=")</f>
        <v>#REF!</v>
      </c>
      <c r="CO29" t="e">
        <f>AND(Bills!#REF!,"AAAAAC1nzVw=")</f>
        <v>#REF!</v>
      </c>
      <c r="CP29" t="e">
        <f>AND(Bills!#REF!,"AAAAAC1nzV0=")</f>
        <v>#REF!</v>
      </c>
      <c r="CQ29" t="e">
        <f>AND(Bills!#REF!,"AAAAAC1nzV4=")</f>
        <v>#REF!</v>
      </c>
      <c r="CR29" t="e">
        <f>AND(Bills!#REF!,"AAAAAC1nzV8=")</f>
        <v>#REF!</v>
      </c>
      <c r="CS29" t="e">
        <f>AND(Bills!#REF!,"AAAAAC1nzWA=")</f>
        <v>#REF!</v>
      </c>
      <c r="CT29" t="e">
        <f>AND(Bills!#REF!,"AAAAAC1nzWE=")</f>
        <v>#REF!</v>
      </c>
      <c r="CU29" t="e">
        <f>AND(Bills!#REF!,"AAAAAC1nzWI=")</f>
        <v>#REF!</v>
      </c>
      <c r="CV29" t="e">
        <f>AND(Bills!#REF!,"AAAAAC1nzWM=")</f>
        <v>#REF!</v>
      </c>
      <c r="CW29" t="e">
        <f>AND(Bills!#REF!,"AAAAAC1nzWQ=")</f>
        <v>#REF!</v>
      </c>
      <c r="CX29" t="e">
        <f>AND(Bills!#REF!,"AAAAAC1nzWU=")</f>
        <v>#REF!</v>
      </c>
      <c r="CY29" t="e">
        <f>AND(Bills!#REF!,"AAAAAC1nzWY=")</f>
        <v>#REF!</v>
      </c>
      <c r="CZ29" t="e">
        <f>AND(Bills!#REF!,"AAAAAC1nzWc=")</f>
        <v>#REF!</v>
      </c>
      <c r="DA29" t="e">
        <f>AND(Bills!#REF!,"AAAAAC1nzWg=")</f>
        <v>#REF!</v>
      </c>
      <c r="DB29" t="e">
        <f>AND(Bills!#REF!,"AAAAAC1nzWk=")</f>
        <v>#REF!</v>
      </c>
      <c r="DC29" t="e">
        <f>AND(Bills!#REF!,"AAAAAC1nzWo=")</f>
        <v>#REF!</v>
      </c>
      <c r="DD29" t="e">
        <f>AND(Bills!#REF!,"AAAAAC1nzWs=")</f>
        <v>#REF!</v>
      </c>
      <c r="DE29" t="e">
        <f>AND(Bills!#REF!,"AAAAAC1nzWw=")</f>
        <v>#REF!</v>
      </c>
      <c r="DF29" t="e">
        <f>AND(Bills!#REF!,"AAAAAC1nzW0=")</f>
        <v>#REF!</v>
      </c>
      <c r="DG29" t="e">
        <f>AND(Bills!#REF!,"AAAAAC1nzW4=")</f>
        <v>#REF!</v>
      </c>
      <c r="DH29" t="e">
        <f>AND(Bills!#REF!,"AAAAAC1nzW8=")</f>
        <v>#REF!</v>
      </c>
      <c r="DI29" t="e">
        <f>AND(Bills!#REF!,"AAAAAC1nzXA=")</f>
        <v>#REF!</v>
      </c>
      <c r="DJ29" t="e">
        <f>IF(Bills!#REF!,"AAAAAC1nzXE=",0)</f>
        <v>#REF!</v>
      </c>
      <c r="DK29" t="e">
        <f>AND(Bills!#REF!,"AAAAAC1nzXI=")</f>
        <v>#REF!</v>
      </c>
      <c r="DL29" t="e">
        <f>AND(Bills!#REF!,"AAAAAC1nzXM=")</f>
        <v>#REF!</v>
      </c>
      <c r="DM29" t="e">
        <f>AND(Bills!#REF!,"AAAAAC1nzXQ=")</f>
        <v>#REF!</v>
      </c>
      <c r="DN29" t="e">
        <f>AND(Bills!#REF!,"AAAAAC1nzXU=")</f>
        <v>#REF!</v>
      </c>
      <c r="DO29" t="e">
        <f>AND(Bills!#REF!,"AAAAAC1nzXY=")</f>
        <v>#REF!</v>
      </c>
      <c r="DP29" t="e">
        <f>AND(Bills!#REF!,"AAAAAC1nzXc=")</f>
        <v>#REF!</v>
      </c>
      <c r="DQ29" t="e">
        <f>AND(Bills!#REF!,"AAAAAC1nzXg=")</f>
        <v>#REF!</v>
      </c>
      <c r="DR29" t="e">
        <f>AND(Bills!#REF!,"AAAAAC1nzXk=")</f>
        <v>#REF!</v>
      </c>
      <c r="DS29" t="e">
        <f>AND(Bills!#REF!,"AAAAAC1nzXo=")</f>
        <v>#REF!</v>
      </c>
      <c r="DT29" t="e">
        <f>AND(Bills!#REF!,"AAAAAC1nzXs=")</f>
        <v>#REF!</v>
      </c>
      <c r="DU29" t="e">
        <f>AND(Bills!#REF!,"AAAAAC1nzXw=")</f>
        <v>#REF!</v>
      </c>
      <c r="DV29" t="e">
        <f>AND(Bills!#REF!,"AAAAAC1nzX0=")</f>
        <v>#REF!</v>
      </c>
      <c r="DW29" t="e">
        <f>AND(Bills!#REF!,"AAAAAC1nzX4=")</f>
        <v>#REF!</v>
      </c>
      <c r="DX29" t="e">
        <f>AND(Bills!#REF!,"AAAAAC1nzX8=")</f>
        <v>#REF!</v>
      </c>
      <c r="DY29" t="e">
        <f>AND(Bills!#REF!,"AAAAAC1nzYA=")</f>
        <v>#REF!</v>
      </c>
      <c r="DZ29" t="e">
        <f>AND(Bills!#REF!,"AAAAAC1nzYE=")</f>
        <v>#REF!</v>
      </c>
      <c r="EA29" t="e">
        <f>AND(Bills!#REF!,"AAAAAC1nzYI=")</f>
        <v>#REF!</v>
      </c>
      <c r="EB29" t="e">
        <f>AND(Bills!#REF!,"AAAAAC1nzYM=")</f>
        <v>#REF!</v>
      </c>
      <c r="EC29" t="e">
        <f>AND(Bills!#REF!,"AAAAAC1nzYQ=")</f>
        <v>#REF!</v>
      </c>
      <c r="ED29" t="e">
        <f>AND(Bills!#REF!,"AAAAAC1nzYU=")</f>
        <v>#REF!</v>
      </c>
      <c r="EE29" t="e">
        <f>AND(Bills!#REF!,"AAAAAC1nzYY=")</f>
        <v>#REF!</v>
      </c>
      <c r="EF29" t="e">
        <f>AND(Bills!#REF!,"AAAAAC1nzYc=")</f>
        <v>#REF!</v>
      </c>
      <c r="EG29" t="e">
        <f>AND(Bills!#REF!,"AAAAAC1nzYg=")</f>
        <v>#REF!</v>
      </c>
      <c r="EH29" t="e">
        <f>AND(Bills!#REF!,"AAAAAC1nzYk=")</f>
        <v>#REF!</v>
      </c>
      <c r="EI29" t="e">
        <f>AND(Bills!#REF!,"AAAAAC1nzYo=")</f>
        <v>#REF!</v>
      </c>
      <c r="EJ29" t="e">
        <f>AND(Bills!#REF!,"AAAAAC1nzYs=")</f>
        <v>#REF!</v>
      </c>
      <c r="EK29" t="e">
        <f>AND(Bills!#REF!,"AAAAAC1nzYw=")</f>
        <v>#REF!</v>
      </c>
      <c r="EL29" t="e">
        <f>AND(Bills!#REF!,"AAAAAC1nzY0=")</f>
        <v>#REF!</v>
      </c>
      <c r="EM29" t="e">
        <f>AND(Bills!#REF!,"AAAAAC1nzY4=")</f>
        <v>#REF!</v>
      </c>
      <c r="EN29" t="e">
        <f>AND(Bills!#REF!,"AAAAAC1nzY8=")</f>
        <v>#REF!</v>
      </c>
      <c r="EO29" t="e">
        <f>AND(Bills!#REF!,"AAAAAC1nzZA=")</f>
        <v>#REF!</v>
      </c>
      <c r="EP29" t="e">
        <f>AND(Bills!#REF!,"AAAAAC1nzZE=")</f>
        <v>#REF!</v>
      </c>
      <c r="EQ29" t="e">
        <f>AND(Bills!#REF!,"AAAAAC1nzZI=")</f>
        <v>#REF!</v>
      </c>
      <c r="ER29" t="e">
        <f>AND(Bills!#REF!,"AAAAAC1nzZM=")</f>
        <v>#REF!</v>
      </c>
      <c r="ES29" t="e">
        <f>AND(Bills!#REF!,"AAAAAC1nzZQ=")</f>
        <v>#REF!</v>
      </c>
      <c r="ET29" t="e">
        <f>AND(Bills!#REF!,"AAAAAC1nzZU=")</f>
        <v>#REF!</v>
      </c>
      <c r="EU29" t="e">
        <f>AND(Bills!#REF!,"AAAAAC1nzZY=")</f>
        <v>#REF!</v>
      </c>
      <c r="EV29" t="e">
        <f>AND(Bills!#REF!,"AAAAAC1nzZc=")</f>
        <v>#REF!</v>
      </c>
      <c r="EW29" t="e">
        <f>AND(Bills!#REF!,"AAAAAC1nzZg=")</f>
        <v>#REF!</v>
      </c>
      <c r="EX29" t="e">
        <f>AND(Bills!#REF!,"AAAAAC1nzZk=")</f>
        <v>#REF!</v>
      </c>
      <c r="EY29" t="e">
        <f>AND(Bills!#REF!,"AAAAAC1nzZo=")</f>
        <v>#REF!</v>
      </c>
      <c r="EZ29" t="e">
        <f>AND(Bills!#REF!,"AAAAAC1nzZs=")</f>
        <v>#REF!</v>
      </c>
      <c r="FA29" t="e">
        <f>AND(Bills!#REF!,"AAAAAC1nzZw=")</f>
        <v>#REF!</v>
      </c>
      <c r="FB29" t="e">
        <f>AND(Bills!#REF!,"AAAAAC1nzZ0=")</f>
        <v>#REF!</v>
      </c>
      <c r="FC29" t="e">
        <f>AND(Bills!#REF!,"AAAAAC1nzZ4=")</f>
        <v>#REF!</v>
      </c>
      <c r="FD29" t="e">
        <f>AND(Bills!#REF!,"AAAAAC1nzZ8=")</f>
        <v>#REF!</v>
      </c>
      <c r="FE29" t="e">
        <f>AND(Bills!#REF!,"AAAAAC1nzaA=")</f>
        <v>#REF!</v>
      </c>
      <c r="FF29" t="e">
        <f>AND(Bills!#REF!,"AAAAAC1nzaE=")</f>
        <v>#REF!</v>
      </c>
      <c r="FG29" t="e">
        <f>AND(Bills!#REF!,"AAAAAC1nzaI=")</f>
        <v>#REF!</v>
      </c>
      <c r="FH29" t="e">
        <f>AND(Bills!#REF!,"AAAAAC1nzaM=")</f>
        <v>#REF!</v>
      </c>
      <c r="FI29" t="e">
        <f>IF(Bills!#REF!,"AAAAAC1nzaQ=",0)</f>
        <v>#REF!</v>
      </c>
      <c r="FJ29" t="e">
        <f>AND(Bills!#REF!,"AAAAAC1nzaU=")</f>
        <v>#REF!</v>
      </c>
      <c r="FK29" t="e">
        <f>AND(Bills!#REF!,"AAAAAC1nzaY=")</f>
        <v>#REF!</v>
      </c>
      <c r="FL29" t="e">
        <f>AND(Bills!#REF!,"AAAAAC1nzac=")</f>
        <v>#REF!</v>
      </c>
      <c r="FM29" t="e">
        <f>AND(Bills!#REF!,"AAAAAC1nzag=")</f>
        <v>#REF!</v>
      </c>
      <c r="FN29" t="e">
        <f>AND(Bills!#REF!,"AAAAAC1nzak=")</f>
        <v>#REF!</v>
      </c>
      <c r="FO29" t="e">
        <f>AND(Bills!#REF!,"AAAAAC1nzao=")</f>
        <v>#REF!</v>
      </c>
      <c r="FP29" t="e">
        <f>AND(Bills!#REF!,"AAAAAC1nzas=")</f>
        <v>#REF!</v>
      </c>
      <c r="FQ29" t="e">
        <f>AND(Bills!#REF!,"AAAAAC1nzaw=")</f>
        <v>#REF!</v>
      </c>
      <c r="FR29" t="e">
        <f>AND(Bills!#REF!,"AAAAAC1nza0=")</f>
        <v>#REF!</v>
      </c>
      <c r="FS29" t="e">
        <f>AND(Bills!#REF!,"AAAAAC1nza4=")</f>
        <v>#REF!</v>
      </c>
      <c r="FT29" t="e">
        <f>AND(Bills!#REF!,"AAAAAC1nza8=")</f>
        <v>#REF!</v>
      </c>
      <c r="FU29" t="e">
        <f>AND(Bills!#REF!,"AAAAAC1nzbA=")</f>
        <v>#REF!</v>
      </c>
      <c r="FV29" t="e">
        <f>AND(Bills!#REF!,"AAAAAC1nzbE=")</f>
        <v>#REF!</v>
      </c>
      <c r="FW29" t="e">
        <f>AND(Bills!#REF!,"AAAAAC1nzbI=")</f>
        <v>#REF!</v>
      </c>
      <c r="FX29" t="e">
        <f>AND(Bills!#REF!,"AAAAAC1nzbM=")</f>
        <v>#REF!</v>
      </c>
      <c r="FY29" t="e">
        <f>AND(Bills!#REF!,"AAAAAC1nzbQ=")</f>
        <v>#REF!</v>
      </c>
      <c r="FZ29" t="e">
        <f>AND(Bills!#REF!,"AAAAAC1nzbU=")</f>
        <v>#REF!</v>
      </c>
      <c r="GA29" t="e">
        <f>AND(Bills!#REF!,"AAAAAC1nzbY=")</f>
        <v>#REF!</v>
      </c>
      <c r="GB29" t="e">
        <f>AND(Bills!#REF!,"AAAAAC1nzbc=")</f>
        <v>#REF!</v>
      </c>
      <c r="GC29" t="e">
        <f>AND(Bills!#REF!,"AAAAAC1nzbg=")</f>
        <v>#REF!</v>
      </c>
      <c r="GD29" t="e">
        <f>AND(Bills!#REF!,"AAAAAC1nzbk=")</f>
        <v>#REF!</v>
      </c>
      <c r="GE29" t="e">
        <f>AND(Bills!#REF!,"AAAAAC1nzbo=")</f>
        <v>#REF!</v>
      </c>
      <c r="GF29" t="e">
        <f>AND(Bills!#REF!,"AAAAAC1nzbs=")</f>
        <v>#REF!</v>
      </c>
      <c r="GG29" t="e">
        <f>AND(Bills!#REF!,"AAAAAC1nzbw=")</f>
        <v>#REF!</v>
      </c>
      <c r="GH29" t="e">
        <f>AND(Bills!#REF!,"AAAAAC1nzb0=")</f>
        <v>#REF!</v>
      </c>
      <c r="GI29" t="e">
        <f>AND(Bills!#REF!,"AAAAAC1nzb4=")</f>
        <v>#REF!</v>
      </c>
      <c r="GJ29" t="e">
        <f>AND(Bills!#REF!,"AAAAAC1nzb8=")</f>
        <v>#REF!</v>
      </c>
      <c r="GK29" t="e">
        <f>AND(Bills!#REF!,"AAAAAC1nzcA=")</f>
        <v>#REF!</v>
      </c>
      <c r="GL29" t="e">
        <f>AND(Bills!#REF!,"AAAAAC1nzcE=")</f>
        <v>#REF!</v>
      </c>
      <c r="GM29" t="e">
        <f>AND(Bills!#REF!,"AAAAAC1nzcI=")</f>
        <v>#REF!</v>
      </c>
      <c r="GN29" t="e">
        <f>AND(Bills!#REF!,"AAAAAC1nzcM=")</f>
        <v>#REF!</v>
      </c>
      <c r="GO29" t="e">
        <f>AND(Bills!#REF!,"AAAAAC1nzcQ=")</f>
        <v>#REF!</v>
      </c>
      <c r="GP29" t="e">
        <f>AND(Bills!#REF!,"AAAAAC1nzcU=")</f>
        <v>#REF!</v>
      </c>
      <c r="GQ29" t="e">
        <f>AND(Bills!#REF!,"AAAAAC1nzcY=")</f>
        <v>#REF!</v>
      </c>
      <c r="GR29" t="e">
        <f>AND(Bills!#REF!,"AAAAAC1nzcc=")</f>
        <v>#REF!</v>
      </c>
      <c r="GS29" t="e">
        <f>AND(Bills!#REF!,"AAAAAC1nzcg=")</f>
        <v>#REF!</v>
      </c>
      <c r="GT29" t="e">
        <f>AND(Bills!#REF!,"AAAAAC1nzck=")</f>
        <v>#REF!</v>
      </c>
      <c r="GU29" t="e">
        <f>AND(Bills!#REF!,"AAAAAC1nzco=")</f>
        <v>#REF!</v>
      </c>
      <c r="GV29" t="e">
        <f>AND(Bills!#REF!,"AAAAAC1nzcs=")</f>
        <v>#REF!</v>
      </c>
      <c r="GW29" t="e">
        <f>AND(Bills!#REF!,"AAAAAC1nzcw=")</f>
        <v>#REF!</v>
      </c>
      <c r="GX29" t="e">
        <f>AND(Bills!#REF!,"AAAAAC1nzc0=")</f>
        <v>#REF!</v>
      </c>
      <c r="GY29" t="e">
        <f>AND(Bills!#REF!,"AAAAAC1nzc4=")</f>
        <v>#REF!</v>
      </c>
      <c r="GZ29" t="e">
        <f>AND(Bills!#REF!,"AAAAAC1nzc8=")</f>
        <v>#REF!</v>
      </c>
      <c r="HA29" t="e">
        <f>AND(Bills!#REF!,"AAAAAC1nzdA=")</f>
        <v>#REF!</v>
      </c>
      <c r="HB29" t="e">
        <f>AND(Bills!#REF!,"AAAAAC1nzdE=")</f>
        <v>#REF!</v>
      </c>
      <c r="HC29" t="e">
        <f>AND(Bills!#REF!,"AAAAAC1nzdI=")</f>
        <v>#REF!</v>
      </c>
      <c r="HD29" t="e">
        <f>AND(Bills!#REF!,"AAAAAC1nzdM=")</f>
        <v>#REF!</v>
      </c>
      <c r="HE29" t="e">
        <f>AND(Bills!#REF!,"AAAAAC1nzdQ=")</f>
        <v>#REF!</v>
      </c>
      <c r="HF29" t="e">
        <f>AND(Bills!#REF!,"AAAAAC1nzdU=")</f>
        <v>#REF!</v>
      </c>
      <c r="HG29" t="e">
        <f>AND(Bills!#REF!,"AAAAAC1nzdY=")</f>
        <v>#REF!</v>
      </c>
      <c r="HH29">
        <f>IF(Bills!18:18,"AAAAAC1nzdc=",0)</f>
        <v>0</v>
      </c>
      <c r="HI29" t="e">
        <f>AND(Bills!B18,"AAAAAC1nzdg=")</f>
        <v>#VALUE!</v>
      </c>
      <c r="HJ29" t="e">
        <f>AND(Bills!#REF!,"AAAAAC1nzdk=")</f>
        <v>#REF!</v>
      </c>
      <c r="HK29" t="e">
        <f>AND(Bills!C18,"AAAAAC1nzdo=")</f>
        <v>#VALUE!</v>
      </c>
      <c r="HL29" t="e">
        <f>AND(Bills!#REF!,"AAAAAC1nzds=")</f>
        <v>#REF!</v>
      </c>
      <c r="HM29" t="e">
        <f>AND(Bills!#REF!,"AAAAAC1nzdw=")</f>
        <v>#REF!</v>
      </c>
      <c r="HN29" t="e">
        <f>AND(Bills!#REF!,"AAAAAC1nzd0=")</f>
        <v>#REF!</v>
      </c>
      <c r="HO29" t="e">
        <f>AND(Bills!#REF!,"AAAAAC1nzd4=")</f>
        <v>#REF!</v>
      </c>
      <c r="HP29" t="e">
        <f>AND(Bills!#REF!,"AAAAAC1nzd8=")</f>
        <v>#REF!</v>
      </c>
      <c r="HQ29" t="e">
        <f>AND(Bills!D18,"AAAAAC1nzeA=")</f>
        <v>#VALUE!</v>
      </c>
      <c r="HR29" t="e">
        <f>AND(Bills!#REF!,"AAAAAC1nzeE=")</f>
        <v>#REF!</v>
      </c>
      <c r="HS29" t="e">
        <f>AND(Bills!E18,"AAAAAC1nzeI=")</f>
        <v>#VALUE!</v>
      </c>
      <c r="HT29" t="e">
        <f>AND(Bills!F18,"AAAAAC1nzeM=")</f>
        <v>#VALUE!</v>
      </c>
      <c r="HU29" t="e">
        <f>AND(Bills!G18,"AAAAAC1nzeQ=")</f>
        <v>#VALUE!</v>
      </c>
      <c r="HV29" t="e">
        <f>AND(Bills!H18,"AAAAAC1nzeU=")</f>
        <v>#VALUE!</v>
      </c>
      <c r="HW29" t="e">
        <f>AND(Bills!I18,"AAAAAC1nzeY=")</f>
        <v>#VALUE!</v>
      </c>
      <c r="HX29" t="e">
        <f>AND(Bills!J18,"AAAAAC1nzec=")</f>
        <v>#VALUE!</v>
      </c>
      <c r="HY29" t="e">
        <f>AND(Bills!#REF!,"AAAAAC1nzeg=")</f>
        <v>#REF!</v>
      </c>
      <c r="HZ29" t="e">
        <f>AND(Bills!K18,"AAAAAC1nzek=")</f>
        <v>#VALUE!</v>
      </c>
      <c r="IA29" t="e">
        <f>AND(Bills!L18,"AAAAAC1nzeo=")</f>
        <v>#VALUE!</v>
      </c>
      <c r="IB29" t="e">
        <f>AND(Bills!M18,"AAAAAC1nzes=")</f>
        <v>#VALUE!</v>
      </c>
      <c r="IC29" t="e">
        <f>AND(Bills!N18,"AAAAAC1nzew=")</f>
        <v>#VALUE!</v>
      </c>
      <c r="ID29" t="e">
        <f>AND(Bills!O18,"AAAAAC1nze0=")</f>
        <v>#VALUE!</v>
      </c>
      <c r="IE29" t="e">
        <f>AND(Bills!P18,"AAAAAC1nze4=")</f>
        <v>#VALUE!</v>
      </c>
      <c r="IF29" t="e">
        <f>AND(Bills!Q18,"AAAAAC1nze8=")</f>
        <v>#VALUE!</v>
      </c>
      <c r="IG29" t="e">
        <f>AND(Bills!R18,"AAAAAC1nzfA=")</f>
        <v>#VALUE!</v>
      </c>
      <c r="IH29" t="e">
        <f>AND(Bills!#REF!,"AAAAAC1nzfE=")</f>
        <v>#REF!</v>
      </c>
      <c r="II29" t="e">
        <f>AND(Bills!S18,"AAAAAC1nzfI=")</f>
        <v>#VALUE!</v>
      </c>
      <c r="IJ29" t="e">
        <f>AND(Bills!T18,"AAAAAC1nzfM=")</f>
        <v>#VALUE!</v>
      </c>
      <c r="IK29" t="e">
        <f>AND(Bills!U18,"AAAAAC1nzfQ=")</f>
        <v>#VALUE!</v>
      </c>
      <c r="IL29" t="e">
        <f>AND(Bills!#REF!,"AAAAAC1nzfU=")</f>
        <v>#REF!</v>
      </c>
      <c r="IM29" t="e">
        <f>AND(Bills!#REF!,"AAAAAC1nzfY=")</f>
        <v>#REF!</v>
      </c>
      <c r="IN29" t="e">
        <f>AND(Bills!W18,"AAAAAC1nzfc=")</f>
        <v>#VALUE!</v>
      </c>
      <c r="IO29" t="e">
        <f>AND(Bills!X18,"AAAAAC1nzfg=")</f>
        <v>#VALUE!</v>
      </c>
      <c r="IP29" t="e">
        <f>AND(Bills!#REF!,"AAAAAC1nzfk=")</f>
        <v>#REF!</v>
      </c>
      <c r="IQ29" t="e">
        <f>AND(Bills!#REF!,"AAAAAC1nzfo=")</f>
        <v>#REF!</v>
      </c>
      <c r="IR29" t="e">
        <f>AND(Bills!#REF!,"AAAAAC1nzfs=")</f>
        <v>#REF!</v>
      </c>
      <c r="IS29" t="e">
        <f>AND(Bills!#REF!,"AAAAAC1nzfw=")</f>
        <v>#REF!</v>
      </c>
      <c r="IT29" t="e">
        <f>AND(Bills!#REF!,"AAAAAC1nzf0=")</f>
        <v>#REF!</v>
      </c>
      <c r="IU29" t="e">
        <f>AND(Bills!#REF!,"AAAAAC1nzf4=")</f>
        <v>#REF!</v>
      </c>
      <c r="IV29" t="e">
        <f>AND(Bills!#REF!,"AAAAAC1nzf8=")</f>
        <v>#REF!</v>
      </c>
    </row>
    <row r="30" spans="1:256">
      <c r="A30" t="e">
        <f>AND(Bills!#REF!,"AAAAAFeNngA=")</f>
        <v>#REF!</v>
      </c>
      <c r="B30" t="e">
        <f>AND(Bills!#REF!,"AAAAAFeNngE=")</f>
        <v>#REF!</v>
      </c>
      <c r="C30" t="e">
        <f>AND(Bills!Y18,"AAAAAFeNngI=")</f>
        <v>#VALUE!</v>
      </c>
      <c r="D30" t="e">
        <f>AND(Bills!Z18,"AAAAAFeNngM=")</f>
        <v>#VALUE!</v>
      </c>
      <c r="E30" t="e">
        <f>AND(Bills!#REF!,"AAAAAFeNngQ=")</f>
        <v>#REF!</v>
      </c>
      <c r="F30" t="e">
        <f>AND(Bills!#REF!,"AAAAAFeNngU=")</f>
        <v>#REF!</v>
      </c>
      <c r="G30" t="e">
        <f>AND(Bills!#REF!,"AAAAAFeNngY=")</f>
        <v>#REF!</v>
      </c>
      <c r="H30" t="e">
        <f>AND(Bills!AA18,"AAAAAFeNngc=")</f>
        <v>#VALUE!</v>
      </c>
      <c r="I30" t="e">
        <f>AND(Bills!AB18,"AAAAAFeNngg=")</f>
        <v>#VALUE!</v>
      </c>
      <c r="J30" t="e">
        <f>AND(Bills!#REF!,"AAAAAFeNngk=")</f>
        <v>#REF!</v>
      </c>
      <c r="K30" t="e">
        <f>IF(Bills!#REF!,"AAAAAFeNngo=",0)</f>
        <v>#REF!</v>
      </c>
      <c r="L30" t="e">
        <f>AND(Bills!#REF!,"AAAAAFeNngs=")</f>
        <v>#REF!</v>
      </c>
      <c r="M30" t="e">
        <f>AND(Bills!#REF!,"AAAAAFeNngw=")</f>
        <v>#REF!</v>
      </c>
      <c r="N30" t="e">
        <f>AND(Bills!#REF!,"AAAAAFeNng0=")</f>
        <v>#REF!</v>
      </c>
      <c r="O30" t="e">
        <f>AND(Bills!#REF!,"AAAAAFeNng4=")</f>
        <v>#REF!</v>
      </c>
      <c r="P30" t="e">
        <f>AND(Bills!#REF!,"AAAAAFeNng8=")</f>
        <v>#REF!</v>
      </c>
      <c r="Q30" t="e">
        <f>AND(Bills!#REF!,"AAAAAFeNnhA=")</f>
        <v>#REF!</v>
      </c>
      <c r="R30" t="e">
        <f>AND(Bills!#REF!,"AAAAAFeNnhE=")</f>
        <v>#REF!</v>
      </c>
      <c r="S30" t="e">
        <f>AND(Bills!#REF!,"AAAAAFeNnhI=")</f>
        <v>#REF!</v>
      </c>
      <c r="T30" t="e">
        <f>AND(Bills!#REF!,"AAAAAFeNnhM=")</f>
        <v>#REF!</v>
      </c>
      <c r="U30" t="e">
        <f>AND(Bills!#REF!,"AAAAAFeNnhQ=")</f>
        <v>#REF!</v>
      </c>
      <c r="V30" t="e">
        <f>AND(Bills!#REF!,"AAAAAFeNnhU=")</f>
        <v>#REF!</v>
      </c>
      <c r="W30" t="e">
        <f>AND(Bills!#REF!,"AAAAAFeNnhY=")</f>
        <v>#REF!</v>
      </c>
      <c r="X30" t="e">
        <f>AND(Bills!#REF!,"AAAAAFeNnhc=")</f>
        <v>#REF!</v>
      </c>
      <c r="Y30" t="e">
        <f>AND(Bills!#REF!,"AAAAAFeNnhg=")</f>
        <v>#REF!</v>
      </c>
      <c r="Z30" t="e">
        <f>AND(Bills!#REF!,"AAAAAFeNnhk=")</f>
        <v>#REF!</v>
      </c>
      <c r="AA30" t="e">
        <f>AND(Bills!#REF!,"AAAAAFeNnho=")</f>
        <v>#REF!</v>
      </c>
      <c r="AB30" t="e">
        <f>AND(Bills!#REF!,"AAAAAFeNnhs=")</f>
        <v>#REF!</v>
      </c>
      <c r="AC30" t="e">
        <f>AND(Bills!#REF!,"AAAAAFeNnhw=")</f>
        <v>#REF!</v>
      </c>
      <c r="AD30" t="e">
        <f>AND(Bills!#REF!,"AAAAAFeNnh0=")</f>
        <v>#REF!</v>
      </c>
      <c r="AE30" t="e">
        <f>AND(Bills!#REF!,"AAAAAFeNnh4=")</f>
        <v>#REF!</v>
      </c>
      <c r="AF30" t="e">
        <f>AND(Bills!#REF!,"AAAAAFeNnh8=")</f>
        <v>#REF!</v>
      </c>
      <c r="AG30" t="e">
        <f>AND(Bills!#REF!,"AAAAAFeNniA=")</f>
        <v>#REF!</v>
      </c>
      <c r="AH30" t="e">
        <f>AND(Bills!#REF!,"AAAAAFeNniE=")</f>
        <v>#REF!</v>
      </c>
      <c r="AI30" t="e">
        <f>AND(Bills!#REF!,"AAAAAFeNniI=")</f>
        <v>#REF!</v>
      </c>
      <c r="AJ30" t="e">
        <f>AND(Bills!#REF!,"AAAAAFeNniM=")</f>
        <v>#REF!</v>
      </c>
      <c r="AK30" t="e">
        <f>AND(Bills!#REF!,"AAAAAFeNniQ=")</f>
        <v>#REF!</v>
      </c>
      <c r="AL30" t="e">
        <f>AND(Bills!#REF!,"AAAAAFeNniU=")</f>
        <v>#REF!</v>
      </c>
      <c r="AM30" t="e">
        <f>AND(Bills!#REF!,"AAAAAFeNniY=")</f>
        <v>#REF!</v>
      </c>
      <c r="AN30" t="e">
        <f>AND(Bills!#REF!,"AAAAAFeNnic=")</f>
        <v>#REF!</v>
      </c>
      <c r="AO30" t="e">
        <f>AND(Bills!#REF!,"AAAAAFeNnig=")</f>
        <v>#REF!</v>
      </c>
      <c r="AP30" t="e">
        <f>AND(Bills!#REF!,"AAAAAFeNnik=")</f>
        <v>#REF!</v>
      </c>
      <c r="AQ30" t="e">
        <f>AND(Bills!#REF!,"AAAAAFeNnio=")</f>
        <v>#REF!</v>
      </c>
      <c r="AR30" t="e">
        <f>AND(Bills!#REF!,"AAAAAFeNnis=")</f>
        <v>#REF!</v>
      </c>
      <c r="AS30" t="e">
        <f>AND(Bills!#REF!,"AAAAAFeNniw=")</f>
        <v>#REF!</v>
      </c>
      <c r="AT30" t="e">
        <f>AND(Bills!#REF!,"AAAAAFeNni0=")</f>
        <v>#REF!</v>
      </c>
      <c r="AU30" t="e">
        <f>AND(Bills!#REF!,"AAAAAFeNni4=")</f>
        <v>#REF!</v>
      </c>
      <c r="AV30" t="e">
        <f>AND(Bills!#REF!,"AAAAAFeNni8=")</f>
        <v>#REF!</v>
      </c>
      <c r="AW30" t="e">
        <f>AND(Bills!#REF!,"AAAAAFeNnjA=")</f>
        <v>#REF!</v>
      </c>
      <c r="AX30" t="e">
        <f>AND(Bills!#REF!,"AAAAAFeNnjE=")</f>
        <v>#REF!</v>
      </c>
      <c r="AY30" t="e">
        <f>AND(Bills!#REF!,"AAAAAFeNnjI=")</f>
        <v>#REF!</v>
      </c>
      <c r="AZ30" t="e">
        <f>AND(Bills!#REF!,"AAAAAFeNnjM=")</f>
        <v>#REF!</v>
      </c>
      <c r="BA30" t="e">
        <f>AND(Bills!#REF!,"AAAAAFeNnjQ=")</f>
        <v>#REF!</v>
      </c>
      <c r="BB30" t="e">
        <f>AND(Bills!#REF!,"AAAAAFeNnjU=")</f>
        <v>#REF!</v>
      </c>
      <c r="BC30" t="e">
        <f>AND(Bills!#REF!,"AAAAAFeNnjY=")</f>
        <v>#REF!</v>
      </c>
      <c r="BD30" t="e">
        <f>AND(Bills!#REF!,"AAAAAFeNnjc=")</f>
        <v>#REF!</v>
      </c>
      <c r="BE30" t="e">
        <f>AND(Bills!#REF!,"AAAAAFeNnjg=")</f>
        <v>#REF!</v>
      </c>
      <c r="BF30" t="e">
        <f>AND(Bills!#REF!,"AAAAAFeNnjk=")</f>
        <v>#REF!</v>
      </c>
      <c r="BG30" t="e">
        <f>AND(Bills!#REF!,"AAAAAFeNnjo=")</f>
        <v>#REF!</v>
      </c>
      <c r="BH30" t="e">
        <f>AND(Bills!#REF!,"AAAAAFeNnjs=")</f>
        <v>#REF!</v>
      </c>
      <c r="BI30" t="e">
        <f>AND(Bills!#REF!,"AAAAAFeNnjw=")</f>
        <v>#REF!</v>
      </c>
      <c r="BJ30" t="e">
        <f>IF(Bills!#REF!,"AAAAAFeNnj0=",0)</f>
        <v>#REF!</v>
      </c>
      <c r="BK30" t="e">
        <f>AND(Bills!#REF!,"AAAAAFeNnj4=")</f>
        <v>#REF!</v>
      </c>
      <c r="BL30" t="e">
        <f>AND(Bills!#REF!,"AAAAAFeNnj8=")</f>
        <v>#REF!</v>
      </c>
      <c r="BM30" t="e">
        <f>AND(Bills!#REF!,"AAAAAFeNnkA=")</f>
        <v>#REF!</v>
      </c>
      <c r="BN30" t="e">
        <f>AND(Bills!#REF!,"AAAAAFeNnkE=")</f>
        <v>#REF!</v>
      </c>
      <c r="BO30" t="e">
        <f>AND(Bills!#REF!,"AAAAAFeNnkI=")</f>
        <v>#REF!</v>
      </c>
      <c r="BP30" t="e">
        <f>AND(Bills!#REF!,"AAAAAFeNnkM=")</f>
        <v>#REF!</v>
      </c>
      <c r="BQ30" t="e">
        <f>AND(Bills!#REF!,"AAAAAFeNnkQ=")</f>
        <v>#REF!</v>
      </c>
      <c r="BR30" t="e">
        <f>AND(Bills!#REF!,"AAAAAFeNnkU=")</f>
        <v>#REF!</v>
      </c>
      <c r="BS30" t="e">
        <f>AND(Bills!#REF!,"AAAAAFeNnkY=")</f>
        <v>#REF!</v>
      </c>
      <c r="BT30" t="e">
        <f>AND(Bills!#REF!,"AAAAAFeNnkc=")</f>
        <v>#REF!</v>
      </c>
      <c r="BU30" t="e">
        <f>AND(Bills!#REF!,"AAAAAFeNnkg=")</f>
        <v>#REF!</v>
      </c>
      <c r="BV30" t="e">
        <f>AND(Bills!#REF!,"AAAAAFeNnkk=")</f>
        <v>#REF!</v>
      </c>
      <c r="BW30" t="e">
        <f>AND(Bills!#REF!,"AAAAAFeNnko=")</f>
        <v>#REF!</v>
      </c>
      <c r="BX30" t="e">
        <f>AND(Bills!#REF!,"AAAAAFeNnks=")</f>
        <v>#REF!</v>
      </c>
      <c r="BY30" t="e">
        <f>AND(Bills!#REF!,"AAAAAFeNnkw=")</f>
        <v>#REF!</v>
      </c>
      <c r="BZ30" t="e">
        <f>AND(Bills!#REF!,"AAAAAFeNnk0=")</f>
        <v>#REF!</v>
      </c>
      <c r="CA30" t="e">
        <f>AND(Bills!#REF!,"AAAAAFeNnk4=")</f>
        <v>#REF!</v>
      </c>
      <c r="CB30" t="e">
        <f>AND(Bills!#REF!,"AAAAAFeNnk8=")</f>
        <v>#REF!</v>
      </c>
      <c r="CC30" t="e">
        <f>AND(Bills!#REF!,"AAAAAFeNnlA=")</f>
        <v>#REF!</v>
      </c>
      <c r="CD30" t="e">
        <f>AND(Bills!#REF!,"AAAAAFeNnlE=")</f>
        <v>#REF!</v>
      </c>
      <c r="CE30" t="e">
        <f>AND(Bills!#REF!,"AAAAAFeNnlI=")</f>
        <v>#REF!</v>
      </c>
      <c r="CF30" t="e">
        <f>AND(Bills!#REF!,"AAAAAFeNnlM=")</f>
        <v>#REF!</v>
      </c>
      <c r="CG30" t="e">
        <f>AND(Bills!#REF!,"AAAAAFeNnlQ=")</f>
        <v>#REF!</v>
      </c>
      <c r="CH30" t="e">
        <f>AND(Bills!#REF!,"AAAAAFeNnlU=")</f>
        <v>#REF!</v>
      </c>
      <c r="CI30" t="e">
        <f>AND(Bills!#REF!,"AAAAAFeNnlY=")</f>
        <v>#REF!</v>
      </c>
      <c r="CJ30" t="e">
        <f>AND(Bills!#REF!,"AAAAAFeNnlc=")</f>
        <v>#REF!</v>
      </c>
      <c r="CK30" t="e">
        <f>AND(Bills!#REF!,"AAAAAFeNnlg=")</f>
        <v>#REF!</v>
      </c>
      <c r="CL30" t="e">
        <f>AND(Bills!#REF!,"AAAAAFeNnlk=")</f>
        <v>#REF!</v>
      </c>
      <c r="CM30" t="e">
        <f>AND(Bills!#REF!,"AAAAAFeNnlo=")</f>
        <v>#REF!</v>
      </c>
      <c r="CN30" t="e">
        <f>AND(Bills!#REF!,"AAAAAFeNnls=")</f>
        <v>#REF!</v>
      </c>
      <c r="CO30" t="e">
        <f>AND(Bills!#REF!,"AAAAAFeNnlw=")</f>
        <v>#REF!</v>
      </c>
      <c r="CP30" t="e">
        <f>AND(Bills!#REF!,"AAAAAFeNnl0=")</f>
        <v>#REF!</v>
      </c>
      <c r="CQ30" t="e">
        <f>AND(Bills!#REF!,"AAAAAFeNnl4=")</f>
        <v>#REF!</v>
      </c>
      <c r="CR30" t="e">
        <f>AND(Bills!#REF!,"AAAAAFeNnl8=")</f>
        <v>#REF!</v>
      </c>
      <c r="CS30" t="e">
        <f>AND(Bills!#REF!,"AAAAAFeNnmA=")</f>
        <v>#REF!</v>
      </c>
      <c r="CT30" t="e">
        <f>AND(Bills!#REF!,"AAAAAFeNnmE=")</f>
        <v>#REF!</v>
      </c>
      <c r="CU30" t="e">
        <f>AND(Bills!#REF!,"AAAAAFeNnmI=")</f>
        <v>#REF!</v>
      </c>
      <c r="CV30" t="e">
        <f>AND(Bills!#REF!,"AAAAAFeNnmM=")</f>
        <v>#REF!</v>
      </c>
      <c r="CW30" t="e">
        <f>AND(Bills!#REF!,"AAAAAFeNnmQ=")</f>
        <v>#REF!</v>
      </c>
      <c r="CX30" t="e">
        <f>AND(Bills!#REF!,"AAAAAFeNnmU=")</f>
        <v>#REF!</v>
      </c>
      <c r="CY30" t="e">
        <f>AND(Bills!#REF!,"AAAAAFeNnmY=")</f>
        <v>#REF!</v>
      </c>
      <c r="CZ30" t="e">
        <f>AND(Bills!#REF!,"AAAAAFeNnmc=")</f>
        <v>#REF!</v>
      </c>
      <c r="DA30" t="e">
        <f>AND(Bills!#REF!,"AAAAAFeNnmg=")</f>
        <v>#REF!</v>
      </c>
      <c r="DB30" t="e">
        <f>AND(Bills!#REF!,"AAAAAFeNnmk=")</f>
        <v>#REF!</v>
      </c>
      <c r="DC30" t="e">
        <f>AND(Bills!#REF!,"AAAAAFeNnmo=")</f>
        <v>#REF!</v>
      </c>
      <c r="DD30" t="e">
        <f>AND(Bills!#REF!,"AAAAAFeNnms=")</f>
        <v>#REF!</v>
      </c>
      <c r="DE30" t="e">
        <f>AND(Bills!#REF!,"AAAAAFeNnmw=")</f>
        <v>#REF!</v>
      </c>
      <c r="DF30" t="e">
        <f>AND(Bills!#REF!,"AAAAAFeNnm0=")</f>
        <v>#REF!</v>
      </c>
      <c r="DG30" t="e">
        <f>AND(Bills!#REF!,"AAAAAFeNnm4=")</f>
        <v>#REF!</v>
      </c>
      <c r="DH30" t="e">
        <f>AND(Bills!#REF!,"AAAAAFeNnm8=")</f>
        <v>#REF!</v>
      </c>
      <c r="DI30" t="e">
        <f>IF(Bills!#REF!,"AAAAAFeNnnA=",0)</f>
        <v>#REF!</v>
      </c>
      <c r="DJ30" t="e">
        <f>AND(Bills!#REF!,"AAAAAFeNnnE=")</f>
        <v>#REF!</v>
      </c>
      <c r="DK30" t="e">
        <f>AND(Bills!#REF!,"AAAAAFeNnnI=")</f>
        <v>#REF!</v>
      </c>
      <c r="DL30" t="e">
        <f>AND(Bills!#REF!,"AAAAAFeNnnM=")</f>
        <v>#REF!</v>
      </c>
      <c r="DM30" t="e">
        <f>AND(Bills!#REF!,"AAAAAFeNnnQ=")</f>
        <v>#REF!</v>
      </c>
      <c r="DN30" t="e">
        <f>AND(Bills!#REF!,"AAAAAFeNnnU=")</f>
        <v>#REF!</v>
      </c>
      <c r="DO30" t="e">
        <f>AND(Bills!#REF!,"AAAAAFeNnnY=")</f>
        <v>#REF!</v>
      </c>
      <c r="DP30" t="e">
        <f>AND(Bills!#REF!,"AAAAAFeNnnc=")</f>
        <v>#REF!</v>
      </c>
      <c r="DQ30" t="e">
        <f>AND(Bills!#REF!,"AAAAAFeNnng=")</f>
        <v>#REF!</v>
      </c>
      <c r="DR30" t="e">
        <f>AND(Bills!#REF!,"AAAAAFeNnnk=")</f>
        <v>#REF!</v>
      </c>
      <c r="DS30" t="e">
        <f>AND(Bills!#REF!,"AAAAAFeNnno=")</f>
        <v>#REF!</v>
      </c>
      <c r="DT30" t="e">
        <f>AND(Bills!#REF!,"AAAAAFeNnns=")</f>
        <v>#REF!</v>
      </c>
      <c r="DU30" t="e">
        <f>AND(Bills!#REF!,"AAAAAFeNnnw=")</f>
        <v>#REF!</v>
      </c>
      <c r="DV30" t="e">
        <f>AND(Bills!#REF!,"AAAAAFeNnn0=")</f>
        <v>#REF!</v>
      </c>
      <c r="DW30" t="e">
        <f>AND(Bills!#REF!,"AAAAAFeNnn4=")</f>
        <v>#REF!</v>
      </c>
      <c r="DX30" t="e">
        <f>AND(Bills!#REF!,"AAAAAFeNnn8=")</f>
        <v>#REF!</v>
      </c>
      <c r="DY30" t="e">
        <f>AND(Bills!#REF!,"AAAAAFeNnoA=")</f>
        <v>#REF!</v>
      </c>
      <c r="DZ30" t="e">
        <f>AND(Bills!#REF!,"AAAAAFeNnoE=")</f>
        <v>#REF!</v>
      </c>
      <c r="EA30" t="e">
        <f>AND(Bills!#REF!,"AAAAAFeNnoI=")</f>
        <v>#REF!</v>
      </c>
      <c r="EB30" t="e">
        <f>AND(Bills!#REF!,"AAAAAFeNnoM=")</f>
        <v>#REF!</v>
      </c>
      <c r="EC30" t="e">
        <f>AND(Bills!#REF!,"AAAAAFeNnoQ=")</f>
        <v>#REF!</v>
      </c>
      <c r="ED30" t="e">
        <f>AND(Bills!#REF!,"AAAAAFeNnoU=")</f>
        <v>#REF!</v>
      </c>
      <c r="EE30" t="e">
        <f>AND(Bills!#REF!,"AAAAAFeNnoY=")</f>
        <v>#REF!</v>
      </c>
      <c r="EF30" t="e">
        <f>AND(Bills!#REF!,"AAAAAFeNnoc=")</f>
        <v>#REF!</v>
      </c>
      <c r="EG30" t="e">
        <f>AND(Bills!#REF!,"AAAAAFeNnog=")</f>
        <v>#REF!</v>
      </c>
      <c r="EH30" t="e">
        <f>AND(Bills!#REF!,"AAAAAFeNnok=")</f>
        <v>#REF!</v>
      </c>
      <c r="EI30" t="e">
        <f>AND(Bills!#REF!,"AAAAAFeNnoo=")</f>
        <v>#REF!</v>
      </c>
      <c r="EJ30" t="e">
        <f>AND(Bills!#REF!,"AAAAAFeNnos=")</f>
        <v>#REF!</v>
      </c>
      <c r="EK30" t="e">
        <f>AND(Bills!#REF!,"AAAAAFeNnow=")</f>
        <v>#REF!</v>
      </c>
      <c r="EL30" t="e">
        <f>AND(Bills!#REF!,"AAAAAFeNno0=")</f>
        <v>#REF!</v>
      </c>
      <c r="EM30" t="e">
        <f>AND(Bills!#REF!,"AAAAAFeNno4=")</f>
        <v>#REF!</v>
      </c>
      <c r="EN30" t="e">
        <f>AND(Bills!#REF!,"AAAAAFeNno8=")</f>
        <v>#REF!</v>
      </c>
      <c r="EO30" t="e">
        <f>AND(Bills!#REF!,"AAAAAFeNnpA=")</f>
        <v>#REF!</v>
      </c>
      <c r="EP30" t="e">
        <f>AND(Bills!#REF!,"AAAAAFeNnpE=")</f>
        <v>#REF!</v>
      </c>
      <c r="EQ30" t="e">
        <f>AND(Bills!#REF!,"AAAAAFeNnpI=")</f>
        <v>#REF!</v>
      </c>
      <c r="ER30" t="e">
        <f>AND(Bills!#REF!,"AAAAAFeNnpM=")</f>
        <v>#REF!</v>
      </c>
      <c r="ES30" t="e">
        <f>AND(Bills!#REF!,"AAAAAFeNnpQ=")</f>
        <v>#REF!</v>
      </c>
      <c r="ET30" t="e">
        <f>AND(Bills!#REF!,"AAAAAFeNnpU=")</f>
        <v>#REF!</v>
      </c>
      <c r="EU30" t="e">
        <f>AND(Bills!#REF!,"AAAAAFeNnpY=")</f>
        <v>#REF!</v>
      </c>
      <c r="EV30" t="e">
        <f>AND(Bills!#REF!,"AAAAAFeNnpc=")</f>
        <v>#REF!</v>
      </c>
      <c r="EW30" t="e">
        <f>AND(Bills!#REF!,"AAAAAFeNnpg=")</f>
        <v>#REF!</v>
      </c>
      <c r="EX30" t="e">
        <f>AND(Bills!#REF!,"AAAAAFeNnpk=")</f>
        <v>#REF!</v>
      </c>
      <c r="EY30" t="e">
        <f>AND(Bills!#REF!,"AAAAAFeNnpo=")</f>
        <v>#REF!</v>
      </c>
      <c r="EZ30" t="e">
        <f>AND(Bills!#REF!,"AAAAAFeNnps=")</f>
        <v>#REF!</v>
      </c>
      <c r="FA30" t="e">
        <f>AND(Bills!#REF!,"AAAAAFeNnpw=")</f>
        <v>#REF!</v>
      </c>
      <c r="FB30" t="e">
        <f>AND(Bills!#REF!,"AAAAAFeNnp0=")</f>
        <v>#REF!</v>
      </c>
      <c r="FC30" t="e">
        <f>AND(Bills!#REF!,"AAAAAFeNnp4=")</f>
        <v>#REF!</v>
      </c>
      <c r="FD30" t="e">
        <f>AND(Bills!#REF!,"AAAAAFeNnp8=")</f>
        <v>#REF!</v>
      </c>
      <c r="FE30" t="e">
        <f>AND(Bills!#REF!,"AAAAAFeNnqA=")</f>
        <v>#REF!</v>
      </c>
      <c r="FF30" t="e">
        <f>AND(Bills!#REF!,"AAAAAFeNnqE=")</f>
        <v>#REF!</v>
      </c>
      <c r="FG30" t="e">
        <f>AND(Bills!#REF!,"AAAAAFeNnqI=")</f>
        <v>#REF!</v>
      </c>
      <c r="FH30" t="e">
        <f>IF(Bills!#REF!,"AAAAAFeNnqM=",0)</f>
        <v>#REF!</v>
      </c>
      <c r="FI30" t="e">
        <f>AND(Bills!#REF!,"AAAAAFeNnqQ=")</f>
        <v>#REF!</v>
      </c>
      <c r="FJ30" t="e">
        <f>AND(Bills!#REF!,"AAAAAFeNnqU=")</f>
        <v>#REF!</v>
      </c>
      <c r="FK30" t="e">
        <f>AND(Bills!#REF!,"AAAAAFeNnqY=")</f>
        <v>#REF!</v>
      </c>
      <c r="FL30" t="e">
        <f>AND(Bills!#REF!,"AAAAAFeNnqc=")</f>
        <v>#REF!</v>
      </c>
      <c r="FM30" t="e">
        <f>AND(Bills!#REF!,"AAAAAFeNnqg=")</f>
        <v>#REF!</v>
      </c>
      <c r="FN30" t="e">
        <f>AND(Bills!#REF!,"AAAAAFeNnqk=")</f>
        <v>#REF!</v>
      </c>
      <c r="FO30" t="e">
        <f>AND(Bills!#REF!,"AAAAAFeNnqo=")</f>
        <v>#REF!</v>
      </c>
      <c r="FP30" t="e">
        <f>AND(Bills!#REF!,"AAAAAFeNnqs=")</f>
        <v>#REF!</v>
      </c>
      <c r="FQ30" t="e">
        <f>AND(Bills!#REF!,"AAAAAFeNnqw=")</f>
        <v>#REF!</v>
      </c>
      <c r="FR30" t="e">
        <f>AND(Bills!#REF!,"AAAAAFeNnq0=")</f>
        <v>#REF!</v>
      </c>
      <c r="FS30" t="e">
        <f>AND(Bills!#REF!,"AAAAAFeNnq4=")</f>
        <v>#REF!</v>
      </c>
      <c r="FT30" t="e">
        <f>AND(Bills!#REF!,"AAAAAFeNnq8=")</f>
        <v>#REF!</v>
      </c>
      <c r="FU30" t="e">
        <f>AND(Bills!#REF!,"AAAAAFeNnrA=")</f>
        <v>#REF!</v>
      </c>
      <c r="FV30" t="e">
        <f>AND(Bills!#REF!,"AAAAAFeNnrE=")</f>
        <v>#REF!</v>
      </c>
      <c r="FW30" t="e">
        <f>AND(Bills!#REF!,"AAAAAFeNnrI=")</f>
        <v>#REF!</v>
      </c>
      <c r="FX30" t="e">
        <f>AND(Bills!#REF!,"AAAAAFeNnrM=")</f>
        <v>#REF!</v>
      </c>
      <c r="FY30" t="e">
        <f>AND(Bills!#REF!,"AAAAAFeNnrQ=")</f>
        <v>#REF!</v>
      </c>
      <c r="FZ30" t="e">
        <f>AND(Bills!#REF!,"AAAAAFeNnrU=")</f>
        <v>#REF!</v>
      </c>
      <c r="GA30" t="e">
        <f>AND(Bills!#REF!,"AAAAAFeNnrY=")</f>
        <v>#REF!</v>
      </c>
      <c r="GB30" t="e">
        <f>AND(Bills!#REF!,"AAAAAFeNnrc=")</f>
        <v>#REF!</v>
      </c>
      <c r="GC30" t="e">
        <f>AND(Bills!#REF!,"AAAAAFeNnrg=")</f>
        <v>#REF!</v>
      </c>
      <c r="GD30" t="e">
        <f>AND(Bills!#REF!,"AAAAAFeNnrk=")</f>
        <v>#REF!</v>
      </c>
      <c r="GE30" t="e">
        <f>AND(Bills!#REF!,"AAAAAFeNnro=")</f>
        <v>#REF!</v>
      </c>
      <c r="GF30" t="e">
        <f>AND(Bills!#REF!,"AAAAAFeNnrs=")</f>
        <v>#REF!</v>
      </c>
      <c r="GG30" t="e">
        <f>AND(Bills!#REF!,"AAAAAFeNnrw=")</f>
        <v>#REF!</v>
      </c>
      <c r="GH30" t="e">
        <f>AND(Bills!#REF!,"AAAAAFeNnr0=")</f>
        <v>#REF!</v>
      </c>
      <c r="GI30" t="e">
        <f>AND(Bills!#REF!,"AAAAAFeNnr4=")</f>
        <v>#REF!</v>
      </c>
      <c r="GJ30" t="e">
        <f>AND(Bills!#REF!,"AAAAAFeNnr8=")</f>
        <v>#REF!</v>
      </c>
      <c r="GK30" t="e">
        <f>AND(Bills!#REF!,"AAAAAFeNnsA=")</f>
        <v>#REF!</v>
      </c>
      <c r="GL30" t="e">
        <f>AND(Bills!#REF!,"AAAAAFeNnsE=")</f>
        <v>#REF!</v>
      </c>
      <c r="GM30" t="e">
        <f>AND(Bills!#REF!,"AAAAAFeNnsI=")</f>
        <v>#REF!</v>
      </c>
      <c r="GN30" t="e">
        <f>AND(Bills!#REF!,"AAAAAFeNnsM=")</f>
        <v>#REF!</v>
      </c>
      <c r="GO30" t="e">
        <f>AND(Bills!#REF!,"AAAAAFeNnsQ=")</f>
        <v>#REF!</v>
      </c>
      <c r="GP30" t="e">
        <f>AND(Bills!#REF!,"AAAAAFeNnsU=")</f>
        <v>#REF!</v>
      </c>
      <c r="GQ30" t="e">
        <f>AND(Bills!#REF!,"AAAAAFeNnsY=")</f>
        <v>#REF!</v>
      </c>
      <c r="GR30" t="e">
        <f>AND(Bills!#REF!,"AAAAAFeNnsc=")</f>
        <v>#REF!</v>
      </c>
      <c r="GS30" t="e">
        <f>AND(Bills!#REF!,"AAAAAFeNnsg=")</f>
        <v>#REF!</v>
      </c>
      <c r="GT30" t="e">
        <f>AND(Bills!#REF!,"AAAAAFeNnsk=")</f>
        <v>#REF!</v>
      </c>
      <c r="GU30" t="e">
        <f>AND(Bills!#REF!,"AAAAAFeNnso=")</f>
        <v>#REF!</v>
      </c>
      <c r="GV30" t="e">
        <f>AND(Bills!#REF!,"AAAAAFeNnss=")</f>
        <v>#REF!</v>
      </c>
      <c r="GW30" t="e">
        <f>AND(Bills!#REF!,"AAAAAFeNnsw=")</f>
        <v>#REF!</v>
      </c>
      <c r="GX30" t="e">
        <f>AND(Bills!#REF!,"AAAAAFeNns0=")</f>
        <v>#REF!</v>
      </c>
      <c r="GY30" t="e">
        <f>AND(Bills!#REF!,"AAAAAFeNns4=")</f>
        <v>#REF!</v>
      </c>
      <c r="GZ30" t="e">
        <f>AND(Bills!#REF!,"AAAAAFeNns8=")</f>
        <v>#REF!</v>
      </c>
      <c r="HA30" t="e">
        <f>AND(Bills!#REF!,"AAAAAFeNntA=")</f>
        <v>#REF!</v>
      </c>
      <c r="HB30" t="e">
        <f>AND(Bills!#REF!,"AAAAAFeNntE=")</f>
        <v>#REF!</v>
      </c>
      <c r="HC30" t="e">
        <f>AND(Bills!#REF!,"AAAAAFeNntI=")</f>
        <v>#REF!</v>
      </c>
      <c r="HD30" t="e">
        <f>AND(Bills!#REF!,"AAAAAFeNntM=")</f>
        <v>#REF!</v>
      </c>
      <c r="HE30" t="e">
        <f>AND(Bills!#REF!,"AAAAAFeNntQ=")</f>
        <v>#REF!</v>
      </c>
      <c r="HF30" t="e">
        <f>AND(Bills!#REF!,"AAAAAFeNntU=")</f>
        <v>#REF!</v>
      </c>
      <c r="HG30" t="e">
        <f>IF(Bills!#REF!,"AAAAAFeNntY=",0)</f>
        <v>#REF!</v>
      </c>
      <c r="HH30" t="e">
        <f>AND(Bills!#REF!,"AAAAAFeNntc=")</f>
        <v>#REF!</v>
      </c>
      <c r="HI30" t="e">
        <f>AND(Bills!#REF!,"AAAAAFeNntg=")</f>
        <v>#REF!</v>
      </c>
      <c r="HJ30" t="e">
        <f>AND(Bills!#REF!,"AAAAAFeNntk=")</f>
        <v>#REF!</v>
      </c>
      <c r="HK30" t="e">
        <f>AND(Bills!#REF!,"AAAAAFeNnto=")</f>
        <v>#REF!</v>
      </c>
      <c r="HL30" t="e">
        <f>AND(Bills!#REF!,"AAAAAFeNnts=")</f>
        <v>#REF!</v>
      </c>
      <c r="HM30" t="e">
        <f>AND(Bills!#REF!,"AAAAAFeNntw=")</f>
        <v>#REF!</v>
      </c>
      <c r="HN30" t="e">
        <f>AND(Bills!#REF!,"AAAAAFeNnt0=")</f>
        <v>#REF!</v>
      </c>
      <c r="HO30" t="e">
        <f>AND(Bills!#REF!,"AAAAAFeNnt4=")</f>
        <v>#REF!</v>
      </c>
      <c r="HP30" t="e">
        <f>AND(Bills!#REF!,"AAAAAFeNnt8=")</f>
        <v>#REF!</v>
      </c>
      <c r="HQ30" t="e">
        <f>AND(Bills!#REF!,"AAAAAFeNnuA=")</f>
        <v>#REF!</v>
      </c>
      <c r="HR30" t="e">
        <f>AND(Bills!#REF!,"AAAAAFeNnuE=")</f>
        <v>#REF!</v>
      </c>
      <c r="HS30" t="e">
        <f>AND(Bills!#REF!,"AAAAAFeNnuI=")</f>
        <v>#REF!</v>
      </c>
      <c r="HT30" t="e">
        <f>AND(Bills!#REF!,"AAAAAFeNnuM=")</f>
        <v>#REF!</v>
      </c>
      <c r="HU30" t="e">
        <f>AND(Bills!#REF!,"AAAAAFeNnuQ=")</f>
        <v>#REF!</v>
      </c>
      <c r="HV30" t="e">
        <f>AND(Bills!#REF!,"AAAAAFeNnuU=")</f>
        <v>#REF!</v>
      </c>
      <c r="HW30" t="e">
        <f>AND(Bills!#REF!,"AAAAAFeNnuY=")</f>
        <v>#REF!</v>
      </c>
      <c r="HX30" t="e">
        <f>AND(Bills!#REF!,"AAAAAFeNnuc=")</f>
        <v>#REF!</v>
      </c>
      <c r="HY30" t="e">
        <f>AND(Bills!#REF!,"AAAAAFeNnug=")</f>
        <v>#REF!</v>
      </c>
      <c r="HZ30" t="e">
        <f>AND(Bills!#REF!,"AAAAAFeNnuk=")</f>
        <v>#REF!</v>
      </c>
      <c r="IA30" t="e">
        <f>AND(Bills!#REF!,"AAAAAFeNnuo=")</f>
        <v>#REF!</v>
      </c>
      <c r="IB30" t="e">
        <f>AND(Bills!#REF!,"AAAAAFeNnus=")</f>
        <v>#REF!</v>
      </c>
      <c r="IC30" t="e">
        <f>AND(Bills!#REF!,"AAAAAFeNnuw=")</f>
        <v>#REF!</v>
      </c>
      <c r="ID30" t="e">
        <f>AND(Bills!#REF!,"AAAAAFeNnu0=")</f>
        <v>#REF!</v>
      </c>
      <c r="IE30" t="e">
        <f>AND(Bills!#REF!,"AAAAAFeNnu4=")</f>
        <v>#REF!</v>
      </c>
      <c r="IF30" t="e">
        <f>AND(Bills!#REF!,"AAAAAFeNnu8=")</f>
        <v>#REF!</v>
      </c>
      <c r="IG30" t="e">
        <f>AND(Bills!#REF!,"AAAAAFeNnvA=")</f>
        <v>#REF!</v>
      </c>
      <c r="IH30" t="e">
        <f>AND(Bills!#REF!,"AAAAAFeNnvE=")</f>
        <v>#REF!</v>
      </c>
      <c r="II30" t="e">
        <f>AND(Bills!#REF!,"AAAAAFeNnvI=")</f>
        <v>#REF!</v>
      </c>
      <c r="IJ30" t="e">
        <f>AND(Bills!#REF!,"AAAAAFeNnvM=")</f>
        <v>#REF!</v>
      </c>
      <c r="IK30" t="e">
        <f>AND(Bills!#REF!,"AAAAAFeNnvQ=")</f>
        <v>#REF!</v>
      </c>
      <c r="IL30" t="e">
        <f>AND(Bills!#REF!,"AAAAAFeNnvU=")</f>
        <v>#REF!</v>
      </c>
      <c r="IM30" t="e">
        <f>AND(Bills!#REF!,"AAAAAFeNnvY=")</f>
        <v>#REF!</v>
      </c>
      <c r="IN30" t="e">
        <f>AND(Bills!#REF!,"AAAAAFeNnvc=")</f>
        <v>#REF!</v>
      </c>
      <c r="IO30" t="e">
        <f>AND(Bills!#REF!,"AAAAAFeNnvg=")</f>
        <v>#REF!</v>
      </c>
      <c r="IP30" t="e">
        <f>AND(Bills!#REF!,"AAAAAFeNnvk=")</f>
        <v>#REF!</v>
      </c>
      <c r="IQ30" t="e">
        <f>AND(Bills!#REF!,"AAAAAFeNnvo=")</f>
        <v>#REF!</v>
      </c>
      <c r="IR30" t="e">
        <f>AND(Bills!#REF!,"AAAAAFeNnvs=")</f>
        <v>#REF!</v>
      </c>
      <c r="IS30" t="e">
        <f>AND(Bills!#REF!,"AAAAAFeNnvw=")</f>
        <v>#REF!</v>
      </c>
      <c r="IT30" t="e">
        <f>AND(Bills!#REF!,"AAAAAFeNnv0=")</f>
        <v>#REF!</v>
      </c>
      <c r="IU30" t="e">
        <f>AND(Bills!#REF!,"AAAAAFeNnv4=")</f>
        <v>#REF!</v>
      </c>
      <c r="IV30" t="e">
        <f>AND(Bills!#REF!,"AAAAAFeNnv8=")</f>
        <v>#REF!</v>
      </c>
    </row>
    <row r="31" spans="1:256">
      <c r="A31" t="e">
        <f>AND(Bills!#REF!,"AAAAAH7d6wA=")</f>
        <v>#REF!</v>
      </c>
      <c r="B31" t="e">
        <f>AND(Bills!#REF!,"AAAAAH7d6wE=")</f>
        <v>#REF!</v>
      </c>
      <c r="C31" t="e">
        <f>AND(Bills!#REF!,"AAAAAH7d6wI=")</f>
        <v>#REF!</v>
      </c>
      <c r="D31" t="e">
        <f>AND(Bills!#REF!,"AAAAAH7d6wM=")</f>
        <v>#REF!</v>
      </c>
      <c r="E31" t="e">
        <f>AND(Bills!#REF!,"AAAAAH7d6wQ=")</f>
        <v>#REF!</v>
      </c>
      <c r="F31" t="e">
        <f>AND(Bills!#REF!,"AAAAAH7d6wU=")</f>
        <v>#REF!</v>
      </c>
      <c r="G31" t="e">
        <f>AND(Bills!#REF!,"AAAAAH7d6wY=")</f>
        <v>#REF!</v>
      </c>
      <c r="H31" t="e">
        <f>AND(Bills!#REF!,"AAAAAH7d6wc=")</f>
        <v>#REF!</v>
      </c>
      <c r="I31" t="e">
        <f>AND(Bills!#REF!,"AAAAAH7d6wg=")</f>
        <v>#REF!</v>
      </c>
      <c r="J31" t="e">
        <f>IF(Bills!#REF!,"AAAAAH7d6wk=",0)</f>
        <v>#REF!</v>
      </c>
      <c r="K31" t="e">
        <f>AND(Bills!#REF!,"AAAAAH7d6wo=")</f>
        <v>#REF!</v>
      </c>
      <c r="L31" t="e">
        <f>AND(Bills!#REF!,"AAAAAH7d6ws=")</f>
        <v>#REF!</v>
      </c>
      <c r="M31" t="e">
        <f>AND(Bills!#REF!,"AAAAAH7d6ww=")</f>
        <v>#REF!</v>
      </c>
      <c r="N31" t="e">
        <f>AND(Bills!#REF!,"AAAAAH7d6w0=")</f>
        <v>#REF!</v>
      </c>
      <c r="O31" t="e">
        <f>AND(Bills!#REF!,"AAAAAH7d6w4=")</f>
        <v>#REF!</v>
      </c>
      <c r="P31" t="e">
        <f>AND(Bills!#REF!,"AAAAAH7d6w8=")</f>
        <v>#REF!</v>
      </c>
      <c r="Q31" t="e">
        <f>AND(Bills!#REF!,"AAAAAH7d6xA=")</f>
        <v>#REF!</v>
      </c>
      <c r="R31" t="e">
        <f>AND(Bills!#REF!,"AAAAAH7d6xE=")</f>
        <v>#REF!</v>
      </c>
      <c r="S31" t="e">
        <f>AND(Bills!#REF!,"AAAAAH7d6xI=")</f>
        <v>#REF!</v>
      </c>
      <c r="T31" t="e">
        <f>AND(Bills!#REF!,"AAAAAH7d6xM=")</f>
        <v>#REF!</v>
      </c>
      <c r="U31" t="e">
        <f>AND(Bills!#REF!,"AAAAAH7d6xQ=")</f>
        <v>#REF!</v>
      </c>
      <c r="V31" t="e">
        <f>AND(Bills!#REF!,"AAAAAH7d6xU=")</f>
        <v>#REF!</v>
      </c>
      <c r="W31" t="e">
        <f>AND(Bills!#REF!,"AAAAAH7d6xY=")</f>
        <v>#REF!</v>
      </c>
      <c r="X31" t="e">
        <f>AND(Bills!#REF!,"AAAAAH7d6xc=")</f>
        <v>#REF!</v>
      </c>
      <c r="Y31" t="e">
        <f>AND(Bills!#REF!,"AAAAAH7d6xg=")</f>
        <v>#REF!</v>
      </c>
      <c r="Z31" t="e">
        <f>AND(Bills!#REF!,"AAAAAH7d6xk=")</f>
        <v>#REF!</v>
      </c>
      <c r="AA31" t="e">
        <f>AND(Bills!#REF!,"AAAAAH7d6xo=")</f>
        <v>#REF!</v>
      </c>
      <c r="AB31" t="e">
        <f>AND(Bills!#REF!,"AAAAAH7d6xs=")</f>
        <v>#REF!</v>
      </c>
      <c r="AC31" t="e">
        <f>AND(Bills!#REF!,"AAAAAH7d6xw=")</f>
        <v>#REF!</v>
      </c>
      <c r="AD31" t="e">
        <f>AND(Bills!#REF!,"AAAAAH7d6x0=")</f>
        <v>#REF!</v>
      </c>
      <c r="AE31" t="e">
        <f>AND(Bills!#REF!,"AAAAAH7d6x4=")</f>
        <v>#REF!</v>
      </c>
      <c r="AF31" t="e">
        <f>AND(Bills!#REF!,"AAAAAH7d6x8=")</f>
        <v>#REF!</v>
      </c>
      <c r="AG31" t="e">
        <f>AND(Bills!#REF!,"AAAAAH7d6yA=")</f>
        <v>#REF!</v>
      </c>
      <c r="AH31" t="e">
        <f>AND(Bills!#REF!,"AAAAAH7d6yE=")</f>
        <v>#REF!</v>
      </c>
      <c r="AI31" t="e">
        <f>AND(Bills!#REF!,"AAAAAH7d6yI=")</f>
        <v>#REF!</v>
      </c>
      <c r="AJ31" t="e">
        <f>AND(Bills!#REF!,"AAAAAH7d6yM=")</f>
        <v>#REF!</v>
      </c>
      <c r="AK31" t="e">
        <f>AND(Bills!#REF!,"AAAAAH7d6yQ=")</f>
        <v>#REF!</v>
      </c>
      <c r="AL31" t="e">
        <f>AND(Bills!#REF!,"AAAAAH7d6yU=")</f>
        <v>#REF!</v>
      </c>
      <c r="AM31" t="e">
        <f>AND(Bills!#REF!,"AAAAAH7d6yY=")</f>
        <v>#REF!</v>
      </c>
      <c r="AN31" t="e">
        <f>AND(Bills!#REF!,"AAAAAH7d6yc=")</f>
        <v>#REF!</v>
      </c>
      <c r="AO31" t="e">
        <f>AND(Bills!#REF!,"AAAAAH7d6yg=")</f>
        <v>#REF!</v>
      </c>
      <c r="AP31" t="e">
        <f>AND(Bills!#REF!,"AAAAAH7d6yk=")</f>
        <v>#REF!</v>
      </c>
      <c r="AQ31" t="e">
        <f>AND(Bills!#REF!,"AAAAAH7d6yo=")</f>
        <v>#REF!</v>
      </c>
      <c r="AR31" t="e">
        <f>AND(Bills!#REF!,"AAAAAH7d6ys=")</f>
        <v>#REF!</v>
      </c>
      <c r="AS31" t="e">
        <f>AND(Bills!#REF!,"AAAAAH7d6yw=")</f>
        <v>#REF!</v>
      </c>
      <c r="AT31" t="e">
        <f>AND(Bills!#REF!,"AAAAAH7d6y0=")</f>
        <v>#REF!</v>
      </c>
      <c r="AU31" t="e">
        <f>AND(Bills!#REF!,"AAAAAH7d6y4=")</f>
        <v>#REF!</v>
      </c>
      <c r="AV31" t="e">
        <f>AND(Bills!#REF!,"AAAAAH7d6y8=")</f>
        <v>#REF!</v>
      </c>
      <c r="AW31" t="e">
        <f>AND(Bills!#REF!,"AAAAAH7d6zA=")</f>
        <v>#REF!</v>
      </c>
      <c r="AX31" t="e">
        <f>AND(Bills!#REF!,"AAAAAH7d6zE=")</f>
        <v>#REF!</v>
      </c>
      <c r="AY31" t="e">
        <f>AND(Bills!#REF!,"AAAAAH7d6zI=")</f>
        <v>#REF!</v>
      </c>
      <c r="AZ31" t="e">
        <f>AND(Bills!#REF!,"AAAAAH7d6zM=")</f>
        <v>#REF!</v>
      </c>
      <c r="BA31" t="e">
        <f>AND(Bills!#REF!,"AAAAAH7d6zQ=")</f>
        <v>#REF!</v>
      </c>
      <c r="BB31" t="e">
        <f>AND(Bills!#REF!,"AAAAAH7d6zU=")</f>
        <v>#REF!</v>
      </c>
      <c r="BC31" t="e">
        <f>AND(Bills!#REF!,"AAAAAH7d6zY=")</f>
        <v>#REF!</v>
      </c>
      <c r="BD31" t="e">
        <f>AND(Bills!#REF!,"AAAAAH7d6zc=")</f>
        <v>#REF!</v>
      </c>
      <c r="BE31" t="e">
        <f>AND(Bills!#REF!,"AAAAAH7d6zg=")</f>
        <v>#REF!</v>
      </c>
      <c r="BF31" t="e">
        <f>AND(Bills!#REF!,"AAAAAH7d6zk=")</f>
        <v>#REF!</v>
      </c>
      <c r="BG31" t="e">
        <f>AND(Bills!#REF!,"AAAAAH7d6zo=")</f>
        <v>#REF!</v>
      </c>
      <c r="BH31" t="e">
        <f>AND(Bills!#REF!,"AAAAAH7d6zs=")</f>
        <v>#REF!</v>
      </c>
      <c r="BI31" t="e">
        <f>IF(Bills!#REF!,"AAAAAH7d6zw=",0)</f>
        <v>#REF!</v>
      </c>
      <c r="BJ31" t="e">
        <f>AND(Bills!#REF!,"AAAAAH7d6z0=")</f>
        <v>#REF!</v>
      </c>
      <c r="BK31" t="e">
        <f>AND(Bills!#REF!,"AAAAAH7d6z4=")</f>
        <v>#REF!</v>
      </c>
      <c r="BL31" t="e">
        <f>AND(Bills!#REF!,"AAAAAH7d6z8=")</f>
        <v>#REF!</v>
      </c>
      <c r="BM31" t="e">
        <f>AND(Bills!#REF!,"AAAAAH7d60A=")</f>
        <v>#REF!</v>
      </c>
      <c r="BN31" t="e">
        <f>AND(Bills!#REF!,"AAAAAH7d60E=")</f>
        <v>#REF!</v>
      </c>
      <c r="BO31" t="e">
        <f>AND(Bills!#REF!,"AAAAAH7d60I=")</f>
        <v>#REF!</v>
      </c>
      <c r="BP31" t="e">
        <f>AND(Bills!#REF!,"AAAAAH7d60M=")</f>
        <v>#REF!</v>
      </c>
      <c r="BQ31" t="e">
        <f>AND(Bills!#REF!,"AAAAAH7d60Q=")</f>
        <v>#REF!</v>
      </c>
      <c r="BR31" t="e">
        <f>AND(Bills!#REF!,"AAAAAH7d60U=")</f>
        <v>#REF!</v>
      </c>
      <c r="BS31" t="e">
        <f>AND(Bills!#REF!,"AAAAAH7d60Y=")</f>
        <v>#REF!</v>
      </c>
      <c r="BT31" t="e">
        <f>AND(Bills!#REF!,"AAAAAH7d60c=")</f>
        <v>#REF!</v>
      </c>
      <c r="BU31" t="e">
        <f>AND(Bills!#REF!,"AAAAAH7d60g=")</f>
        <v>#REF!</v>
      </c>
      <c r="BV31" t="e">
        <f>AND(Bills!#REF!,"AAAAAH7d60k=")</f>
        <v>#REF!</v>
      </c>
      <c r="BW31" t="e">
        <f>AND(Bills!#REF!,"AAAAAH7d60o=")</f>
        <v>#REF!</v>
      </c>
      <c r="BX31" t="e">
        <f>AND(Bills!#REF!,"AAAAAH7d60s=")</f>
        <v>#REF!</v>
      </c>
      <c r="BY31" t="e">
        <f>AND(Bills!#REF!,"AAAAAH7d60w=")</f>
        <v>#REF!</v>
      </c>
      <c r="BZ31" t="e">
        <f>AND(Bills!#REF!,"AAAAAH7d600=")</f>
        <v>#REF!</v>
      </c>
      <c r="CA31" t="e">
        <f>AND(Bills!#REF!,"AAAAAH7d604=")</f>
        <v>#REF!</v>
      </c>
      <c r="CB31" t="e">
        <f>AND(Bills!#REF!,"AAAAAH7d608=")</f>
        <v>#REF!</v>
      </c>
      <c r="CC31" t="e">
        <f>AND(Bills!#REF!,"AAAAAH7d61A=")</f>
        <v>#REF!</v>
      </c>
      <c r="CD31" t="e">
        <f>AND(Bills!#REF!,"AAAAAH7d61E=")</f>
        <v>#REF!</v>
      </c>
      <c r="CE31" t="e">
        <f>AND(Bills!#REF!,"AAAAAH7d61I=")</f>
        <v>#REF!</v>
      </c>
      <c r="CF31" t="e">
        <f>AND(Bills!#REF!,"AAAAAH7d61M=")</f>
        <v>#REF!</v>
      </c>
      <c r="CG31" t="e">
        <f>AND(Bills!#REF!,"AAAAAH7d61Q=")</f>
        <v>#REF!</v>
      </c>
      <c r="CH31" t="e">
        <f>AND(Bills!#REF!,"AAAAAH7d61U=")</f>
        <v>#REF!</v>
      </c>
      <c r="CI31" t="e">
        <f>AND(Bills!#REF!,"AAAAAH7d61Y=")</f>
        <v>#REF!</v>
      </c>
      <c r="CJ31" t="e">
        <f>AND(Bills!#REF!,"AAAAAH7d61c=")</f>
        <v>#REF!</v>
      </c>
      <c r="CK31" t="e">
        <f>AND(Bills!#REF!,"AAAAAH7d61g=")</f>
        <v>#REF!</v>
      </c>
      <c r="CL31" t="e">
        <f>AND(Bills!#REF!,"AAAAAH7d61k=")</f>
        <v>#REF!</v>
      </c>
      <c r="CM31" t="e">
        <f>AND(Bills!#REF!,"AAAAAH7d61o=")</f>
        <v>#REF!</v>
      </c>
      <c r="CN31" t="e">
        <f>AND(Bills!#REF!,"AAAAAH7d61s=")</f>
        <v>#REF!</v>
      </c>
      <c r="CO31" t="e">
        <f>AND(Bills!#REF!,"AAAAAH7d61w=")</f>
        <v>#REF!</v>
      </c>
      <c r="CP31" t="e">
        <f>AND(Bills!#REF!,"AAAAAH7d610=")</f>
        <v>#REF!</v>
      </c>
      <c r="CQ31" t="e">
        <f>AND(Bills!#REF!,"AAAAAH7d614=")</f>
        <v>#REF!</v>
      </c>
      <c r="CR31" t="e">
        <f>AND(Bills!#REF!,"AAAAAH7d618=")</f>
        <v>#REF!</v>
      </c>
      <c r="CS31" t="e">
        <f>AND(Bills!#REF!,"AAAAAH7d62A=")</f>
        <v>#REF!</v>
      </c>
      <c r="CT31" t="e">
        <f>AND(Bills!#REF!,"AAAAAH7d62E=")</f>
        <v>#REF!</v>
      </c>
      <c r="CU31" t="e">
        <f>AND(Bills!#REF!,"AAAAAH7d62I=")</f>
        <v>#REF!</v>
      </c>
      <c r="CV31" t="e">
        <f>AND(Bills!#REF!,"AAAAAH7d62M=")</f>
        <v>#REF!</v>
      </c>
      <c r="CW31" t="e">
        <f>AND(Bills!#REF!,"AAAAAH7d62Q=")</f>
        <v>#REF!</v>
      </c>
      <c r="CX31" t="e">
        <f>AND(Bills!#REF!,"AAAAAH7d62U=")</f>
        <v>#REF!</v>
      </c>
      <c r="CY31" t="e">
        <f>AND(Bills!#REF!,"AAAAAH7d62Y=")</f>
        <v>#REF!</v>
      </c>
      <c r="CZ31" t="e">
        <f>AND(Bills!#REF!,"AAAAAH7d62c=")</f>
        <v>#REF!</v>
      </c>
      <c r="DA31" t="e">
        <f>AND(Bills!#REF!,"AAAAAH7d62g=")</f>
        <v>#REF!</v>
      </c>
      <c r="DB31" t="e">
        <f>AND(Bills!#REF!,"AAAAAH7d62k=")</f>
        <v>#REF!</v>
      </c>
      <c r="DC31" t="e">
        <f>AND(Bills!#REF!,"AAAAAH7d62o=")</f>
        <v>#REF!</v>
      </c>
      <c r="DD31" t="e">
        <f>AND(Bills!#REF!,"AAAAAH7d62s=")</f>
        <v>#REF!</v>
      </c>
      <c r="DE31" t="e">
        <f>AND(Bills!#REF!,"AAAAAH7d62w=")</f>
        <v>#REF!</v>
      </c>
      <c r="DF31" t="e">
        <f>AND(Bills!#REF!,"AAAAAH7d620=")</f>
        <v>#REF!</v>
      </c>
      <c r="DG31" t="e">
        <f>AND(Bills!#REF!,"AAAAAH7d624=")</f>
        <v>#REF!</v>
      </c>
      <c r="DH31" t="e">
        <f>IF(Bills!#REF!,"AAAAAH7d628=",0)</f>
        <v>#REF!</v>
      </c>
      <c r="DI31" t="e">
        <f>AND(Bills!#REF!,"AAAAAH7d63A=")</f>
        <v>#REF!</v>
      </c>
      <c r="DJ31" t="e">
        <f>AND(Bills!#REF!,"AAAAAH7d63E=")</f>
        <v>#REF!</v>
      </c>
      <c r="DK31" t="e">
        <f>AND(Bills!#REF!,"AAAAAH7d63I=")</f>
        <v>#REF!</v>
      </c>
      <c r="DL31" t="e">
        <f>AND(Bills!#REF!,"AAAAAH7d63M=")</f>
        <v>#REF!</v>
      </c>
      <c r="DM31" t="e">
        <f>AND(Bills!#REF!,"AAAAAH7d63Q=")</f>
        <v>#REF!</v>
      </c>
      <c r="DN31" t="e">
        <f>AND(Bills!#REF!,"AAAAAH7d63U=")</f>
        <v>#REF!</v>
      </c>
      <c r="DO31" t="e">
        <f>AND(Bills!#REF!,"AAAAAH7d63Y=")</f>
        <v>#REF!</v>
      </c>
      <c r="DP31" t="e">
        <f>AND(Bills!#REF!,"AAAAAH7d63c=")</f>
        <v>#REF!</v>
      </c>
      <c r="DQ31" t="e">
        <f>AND(Bills!#REF!,"AAAAAH7d63g=")</f>
        <v>#REF!</v>
      </c>
      <c r="DR31" t="e">
        <f>AND(Bills!#REF!,"AAAAAH7d63k=")</f>
        <v>#REF!</v>
      </c>
      <c r="DS31" t="e">
        <f>AND(Bills!#REF!,"AAAAAH7d63o=")</f>
        <v>#REF!</v>
      </c>
      <c r="DT31" t="e">
        <f>AND(Bills!#REF!,"AAAAAH7d63s=")</f>
        <v>#REF!</v>
      </c>
      <c r="DU31" t="e">
        <f>AND(Bills!#REF!,"AAAAAH7d63w=")</f>
        <v>#REF!</v>
      </c>
      <c r="DV31" t="e">
        <f>AND(Bills!#REF!,"AAAAAH7d630=")</f>
        <v>#REF!</v>
      </c>
      <c r="DW31" t="e">
        <f>AND(Bills!#REF!,"AAAAAH7d634=")</f>
        <v>#REF!</v>
      </c>
      <c r="DX31" t="e">
        <f>AND(Bills!#REF!,"AAAAAH7d638=")</f>
        <v>#REF!</v>
      </c>
      <c r="DY31" t="e">
        <f>AND(Bills!#REF!,"AAAAAH7d64A=")</f>
        <v>#REF!</v>
      </c>
      <c r="DZ31" t="e">
        <f>AND(Bills!#REF!,"AAAAAH7d64E=")</f>
        <v>#REF!</v>
      </c>
      <c r="EA31" t="e">
        <f>AND(Bills!#REF!,"AAAAAH7d64I=")</f>
        <v>#REF!</v>
      </c>
      <c r="EB31" t="e">
        <f>AND(Bills!#REF!,"AAAAAH7d64M=")</f>
        <v>#REF!</v>
      </c>
      <c r="EC31" t="e">
        <f>AND(Bills!#REF!,"AAAAAH7d64Q=")</f>
        <v>#REF!</v>
      </c>
      <c r="ED31" t="e">
        <f>AND(Bills!#REF!,"AAAAAH7d64U=")</f>
        <v>#REF!</v>
      </c>
      <c r="EE31" t="e">
        <f>AND(Bills!#REF!,"AAAAAH7d64Y=")</f>
        <v>#REF!</v>
      </c>
      <c r="EF31" t="e">
        <f>AND(Bills!#REF!,"AAAAAH7d64c=")</f>
        <v>#REF!</v>
      </c>
      <c r="EG31" t="e">
        <f>AND(Bills!#REF!,"AAAAAH7d64g=")</f>
        <v>#REF!</v>
      </c>
      <c r="EH31" t="e">
        <f>AND(Bills!#REF!,"AAAAAH7d64k=")</f>
        <v>#REF!</v>
      </c>
      <c r="EI31" t="e">
        <f>AND(Bills!#REF!,"AAAAAH7d64o=")</f>
        <v>#REF!</v>
      </c>
      <c r="EJ31" t="e">
        <f>AND(Bills!#REF!,"AAAAAH7d64s=")</f>
        <v>#REF!</v>
      </c>
      <c r="EK31" t="e">
        <f>AND(Bills!#REF!,"AAAAAH7d64w=")</f>
        <v>#REF!</v>
      </c>
      <c r="EL31" t="e">
        <f>AND(Bills!#REF!,"AAAAAH7d640=")</f>
        <v>#REF!</v>
      </c>
      <c r="EM31" t="e">
        <f>AND(Bills!#REF!,"AAAAAH7d644=")</f>
        <v>#REF!</v>
      </c>
      <c r="EN31" t="e">
        <f>AND(Bills!#REF!,"AAAAAH7d648=")</f>
        <v>#REF!</v>
      </c>
      <c r="EO31" t="e">
        <f>AND(Bills!#REF!,"AAAAAH7d65A=")</f>
        <v>#REF!</v>
      </c>
      <c r="EP31" t="e">
        <f>AND(Bills!#REF!,"AAAAAH7d65E=")</f>
        <v>#REF!</v>
      </c>
      <c r="EQ31" t="e">
        <f>AND(Bills!#REF!,"AAAAAH7d65I=")</f>
        <v>#REF!</v>
      </c>
      <c r="ER31" t="e">
        <f>AND(Bills!#REF!,"AAAAAH7d65M=")</f>
        <v>#REF!</v>
      </c>
      <c r="ES31" t="e">
        <f>AND(Bills!#REF!,"AAAAAH7d65Q=")</f>
        <v>#REF!</v>
      </c>
      <c r="ET31" t="e">
        <f>AND(Bills!#REF!,"AAAAAH7d65U=")</f>
        <v>#REF!</v>
      </c>
      <c r="EU31" t="e">
        <f>AND(Bills!#REF!,"AAAAAH7d65Y=")</f>
        <v>#REF!</v>
      </c>
      <c r="EV31" t="e">
        <f>AND(Bills!#REF!,"AAAAAH7d65c=")</f>
        <v>#REF!</v>
      </c>
      <c r="EW31" t="e">
        <f>AND(Bills!#REF!,"AAAAAH7d65g=")</f>
        <v>#REF!</v>
      </c>
      <c r="EX31" t="e">
        <f>AND(Bills!#REF!,"AAAAAH7d65k=")</f>
        <v>#REF!</v>
      </c>
      <c r="EY31" t="e">
        <f>AND(Bills!#REF!,"AAAAAH7d65o=")</f>
        <v>#REF!</v>
      </c>
      <c r="EZ31" t="e">
        <f>AND(Bills!#REF!,"AAAAAH7d65s=")</f>
        <v>#REF!</v>
      </c>
      <c r="FA31" t="e">
        <f>AND(Bills!#REF!,"AAAAAH7d65w=")</f>
        <v>#REF!</v>
      </c>
      <c r="FB31" t="e">
        <f>AND(Bills!#REF!,"AAAAAH7d650=")</f>
        <v>#REF!</v>
      </c>
      <c r="FC31" t="e">
        <f>AND(Bills!#REF!,"AAAAAH7d654=")</f>
        <v>#REF!</v>
      </c>
      <c r="FD31" t="e">
        <f>AND(Bills!#REF!,"AAAAAH7d658=")</f>
        <v>#REF!</v>
      </c>
      <c r="FE31" t="e">
        <f>AND(Bills!#REF!,"AAAAAH7d66A=")</f>
        <v>#REF!</v>
      </c>
      <c r="FF31" t="e">
        <f>AND(Bills!#REF!,"AAAAAH7d66E=")</f>
        <v>#REF!</v>
      </c>
      <c r="FG31" t="e">
        <f>IF(Bills!#REF!,"AAAAAH7d66I=",0)</f>
        <v>#REF!</v>
      </c>
      <c r="FH31" t="e">
        <f>AND(Bills!#REF!,"AAAAAH7d66M=")</f>
        <v>#REF!</v>
      </c>
      <c r="FI31" t="e">
        <f>AND(Bills!#REF!,"AAAAAH7d66Q=")</f>
        <v>#REF!</v>
      </c>
      <c r="FJ31" t="e">
        <f>AND(Bills!#REF!,"AAAAAH7d66U=")</f>
        <v>#REF!</v>
      </c>
      <c r="FK31" t="e">
        <f>AND(Bills!#REF!,"AAAAAH7d66Y=")</f>
        <v>#REF!</v>
      </c>
      <c r="FL31" t="e">
        <f>AND(Bills!#REF!,"AAAAAH7d66c=")</f>
        <v>#REF!</v>
      </c>
      <c r="FM31" t="e">
        <f>AND(Bills!#REF!,"AAAAAH7d66g=")</f>
        <v>#REF!</v>
      </c>
      <c r="FN31" t="e">
        <f>AND(Bills!#REF!,"AAAAAH7d66k=")</f>
        <v>#REF!</v>
      </c>
      <c r="FO31" t="e">
        <f>AND(Bills!#REF!,"AAAAAH7d66o=")</f>
        <v>#REF!</v>
      </c>
      <c r="FP31" t="e">
        <f>AND(Bills!#REF!,"AAAAAH7d66s=")</f>
        <v>#REF!</v>
      </c>
      <c r="FQ31" t="e">
        <f>AND(Bills!#REF!,"AAAAAH7d66w=")</f>
        <v>#REF!</v>
      </c>
      <c r="FR31" t="e">
        <f>AND(Bills!#REF!,"AAAAAH7d660=")</f>
        <v>#REF!</v>
      </c>
      <c r="FS31" t="e">
        <f>AND(Bills!#REF!,"AAAAAH7d664=")</f>
        <v>#REF!</v>
      </c>
      <c r="FT31" t="e">
        <f>AND(Bills!#REF!,"AAAAAH7d668=")</f>
        <v>#REF!</v>
      </c>
      <c r="FU31" t="e">
        <f>AND(Bills!#REF!,"AAAAAH7d67A=")</f>
        <v>#REF!</v>
      </c>
      <c r="FV31" t="e">
        <f>AND(Bills!#REF!,"AAAAAH7d67E=")</f>
        <v>#REF!</v>
      </c>
      <c r="FW31" t="e">
        <f>AND(Bills!#REF!,"AAAAAH7d67I=")</f>
        <v>#REF!</v>
      </c>
      <c r="FX31" t="e">
        <f>AND(Bills!#REF!,"AAAAAH7d67M=")</f>
        <v>#REF!</v>
      </c>
      <c r="FY31" t="e">
        <f>AND(Bills!#REF!,"AAAAAH7d67Q=")</f>
        <v>#REF!</v>
      </c>
      <c r="FZ31" t="e">
        <f>AND(Bills!#REF!,"AAAAAH7d67U=")</f>
        <v>#REF!</v>
      </c>
      <c r="GA31" t="e">
        <f>AND(Bills!#REF!,"AAAAAH7d67Y=")</f>
        <v>#REF!</v>
      </c>
      <c r="GB31" t="e">
        <f>AND(Bills!#REF!,"AAAAAH7d67c=")</f>
        <v>#REF!</v>
      </c>
      <c r="GC31" t="e">
        <f>AND(Bills!#REF!,"AAAAAH7d67g=")</f>
        <v>#REF!</v>
      </c>
      <c r="GD31" t="e">
        <f>AND(Bills!#REF!,"AAAAAH7d67k=")</f>
        <v>#REF!</v>
      </c>
      <c r="GE31" t="e">
        <f>AND(Bills!#REF!,"AAAAAH7d67o=")</f>
        <v>#REF!</v>
      </c>
      <c r="GF31" t="e">
        <f>AND(Bills!#REF!,"AAAAAH7d67s=")</f>
        <v>#REF!</v>
      </c>
      <c r="GG31" t="e">
        <f>AND(Bills!#REF!,"AAAAAH7d67w=")</f>
        <v>#REF!</v>
      </c>
      <c r="GH31" t="e">
        <f>AND(Bills!#REF!,"AAAAAH7d670=")</f>
        <v>#REF!</v>
      </c>
      <c r="GI31" t="e">
        <f>AND(Bills!#REF!,"AAAAAH7d674=")</f>
        <v>#REF!</v>
      </c>
      <c r="GJ31" t="e">
        <f>AND(Bills!#REF!,"AAAAAH7d678=")</f>
        <v>#REF!</v>
      </c>
      <c r="GK31" t="e">
        <f>AND(Bills!#REF!,"AAAAAH7d68A=")</f>
        <v>#REF!</v>
      </c>
      <c r="GL31" t="e">
        <f>AND(Bills!#REF!,"AAAAAH7d68E=")</f>
        <v>#REF!</v>
      </c>
      <c r="GM31" t="e">
        <f>AND(Bills!#REF!,"AAAAAH7d68I=")</f>
        <v>#REF!</v>
      </c>
      <c r="GN31" t="e">
        <f>AND(Bills!#REF!,"AAAAAH7d68M=")</f>
        <v>#REF!</v>
      </c>
      <c r="GO31" t="e">
        <f>AND(Bills!#REF!,"AAAAAH7d68Q=")</f>
        <v>#REF!</v>
      </c>
      <c r="GP31" t="e">
        <f>AND(Bills!#REF!,"AAAAAH7d68U=")</f>
        <v>#REF!</v>
      </c>
      <c r="GQ31" t="e">
        <f>AND(Bills!#REF!,"AAAAAH7d68Y=")</f>
        <v>#REF!</v>
      </c>
      <c r="GR31" t="e">
        <f>AND(Bills!#REF!,"AAAAAH7d68c=")</f>
        <v>#REF!</v>
      </c>
      <c r="GS31" t="e">
        <f>AND(Bills!#REF!,"AAAAAH7d68g=")</f>
        <v>#REF!</v>
      </c>
      <c r="GT31" t="e">
        <f>AND(Bills!#REF!,"AAAAAH7d68k=")</f>
        <v>#REF!</v>
      </c>
      <c r="GU31" t="e">
        <f>AND(Bills!#REF!,"AAAAAH7d68o=")</f>
        <v>#REF!</v>
      </c>
      <c r="GV31" t="e">
        <f>AND(Bills!#REF!,"AAAAAH7d68s=")</f>
        <v>#REF!</v>
      </c>
      <c r="GW31" t="e">
        <f>AND(Bills!#REF!,"AAAAAH7d68w=")</f>
        <v>#REF!</v>
      </c>
      <c r="GX31" t="e">
        <f>AND(Bills!#REF!,"AAAAAH7d680=")</f>
        <v>#REF!</v>
      </c>
      <c r="GY31" t="e">
        <f>AND(Bills!#REF!,"AAAAAH7d684=")</f>
        <v>#REF!</v>
      </c>
      <c r="GZ31" t="e">
        <f>AND(Bills!#REF!,"AAAAAH7d688=")</f>
        <v>#REF!</v>
      </c>
      <c r="HA31" t="e">
        <f>AND(Bills!#REF!,"AAAAAH7d69A=")</f>
        <v>#REF!</v>
      </c>
      <c r="HB31" t="e">
        <f>AND(Bills!#REF!,"AAAAAH7d69E=")</f>
        <v>#REF!</v>
      </c>
      <c r="HC31" t="e">
        <f>AND(Bills!#REF!,"AAAAAH7d69I=")</f>
        <v>#REF!</v>
      </c>
      <c r="HD31" t="e">
        <f>AND(Bills!#REF!,"AAAAAH7d69M=")</f>
        <v>#REF!</v>
      </c>
      <c r="HE31" t="e">
        <f>AND(Bills!#REF!,"AAAAAH7d69Q=")</f>
        <v>#REF!</v>
      </c>
      <c r="HF31">
        <f>IF(Bills!19:19,"AAAAAH7d69U=",0)</f>
        <v>0</v>
      </c>
      <c r="HG31" t="e">
        <f>AND(Bills!B19,"AAAAAH7d69Y=")</f>
        <v>#VALUE!</v>
      </c>
      <c r="HH31" t="e">
        <f>AND(Bills!#REF!,"AAAAAH7d69c=")</f>
        <v>#REF!</v>
      </c>
      <c r="HI31" t="e">
        <f>AND(Bills!C19,"AAAAAH7d69g=")</f>
        <v>#VALUE!</v>
      </c>
      <c r="HJ31" t="e">
        <f>AND(Bills!#REF!,"AAAAAH7d69k=")</f>
        <v>#REF!</v>
      </c>
      <c r="HK31" t="e">
        <f>AND(Bills!#REF!,"AAAAAH7d69o=")</f>
        <v>#REF!</v>
      </c>
      <c r="HL31" t="e">
        <f>AND(Bills!#REF!,"AAAAAH7d69s=")</f>
        <v>#REF!</v>
      </c>
      <c r="HM31" t="e">
        <f>AND(Bills!#REF!,"AAAAAH7d69w=")</f>
        <v>#REF!</v>
      </c>
      <c r="HN31" t="e">
        <f>AND(Bills!#REF!,"AAAAAH7d690=")</f>
        <v>#REF!</v>
      </c>
      <c r="HO31" t="e">
        <f>AND(Bills!D19,"AAAAAH7d694=")</f>
        <v>#VALUE!</v>
      </c>
      <c r="HP31" t="e">
        <f>AND(Bills!#REF!,"AAAAAH7d698=")</f>
        <v>#REF!</v>
      </c>
      <c r="HQ31" t="e">
        <f>AND(Bills!E19,"AAAAAH7d6+A=")</f>
        <v>#VALUE!</v>
      </c>
      <c r="HR31" t="e">
        <f>AND(Bills!F19,"AAAAAH7d6+E=")</f>
        <v>#VALUE!</v>
      </c>
      <c r="HS31" t="e">
        <f>AND(Bills!G19,"AAAAAH7d6+I=")</f>
        <v>#VALUE!</v>
      </c>
      <c r="HT31" t="e">
        <f>AND(Bills!H19,"AAAAAH7d6+M=")</f>
        <v>#VALUE!</v>
      </c>
      <c r="HU31" t="e">
        <f>AND(Bills!I19,"AAAAAH7d6+Q=")</f>
        <v>#VALUE!</v>
      </c>
      <c r="HV31" t="e">
        <f>AND(Bills!J19,"AAAAAH7d6+U=")</f>
        <v>#VALUE!</v>
      </c>
      <c r="HW31" t="e">
        <f>AND(Bills!#REF!,"AAAAAH7d6+Y=")</f>
        <v>#REF!</v>
      </c>
      <c r="HX31" t="e">
        <f>AND(Bills!K19,"AAAAAH7d6+c=")</f>
        <v>#VALUE!</v>
      </c>
      <c r="HY31" t="e">
        <f>AND(Bills!L19,"AAAAAH7d6+g=")</f>
        <v>#VALUE!</v>
      </c>
      <c r="HZ31" t="e">
        <f>AND(Bills!M19,"AAAAAH7d6+k=")</f>
        <v>#VALUE!</v>
      </c>
      <c r="IA31" t="e">
        <f>AND(Bills!N19,"AAAAAH7d6+o=")</f>
        <v>#VALUE!</v>
      </c>
      <c r="IB31" t="e">
        <f>AND(Bills!O19,"AAAAAH7d6+s=")</f>
        <v>#VALUE!</v>
      </c>
      <c r="IC31" t="e">
        <f>AND(Bills!P19,"AAAAAH7d6+w=")</f>
        <v>#VALUE!</v>
      </c>
      <c r="ID31" t="e">
        <f>AND(Bills!Q19,"AAAAAH7d6+0=")</f>
        <v>#VALUE!</v>
      </c>
      <c r="IE31" t="e">
        <f>AND(Bills!R19,"AAAAAH7d6+4=")</f>
        <v>#VALUE!</v>
      </c>
      <c r="IF31" t="e">
        <f>AND(Bills!#REF!,"AAAAAH7d6+8=")</f>
        <v>#REF!</v>
      </c>
      <c r="IG31" t="e">
        <f>AND(Bills!S19,"AAAAAH7d6/A=")</f>
        <v>#VALUE!</v>
      </c>
      <c r="IH31" t="e">
        <f>AND(Bills!T19,"AAAAAH7d6/E=")</f>
        <v>#VALUE!</v>
      </c>
      <c r="II31" t="e">
        <f>AND(Bills!U19,"AAAAAH7d6/I=")</f>
        <v>#VALUE!</v>
      </c>
      <c r="IJ31" t="e">
        <f>AND(Bills!#REF!,"AAAAAH7d6/M=")</f>
        <v>#REF!</v>
      </c>
      <c r="IK31" t="e">
        <f>AND(Bills!#REF!,"AAAAAH7d6/Q=")</f>
        <v>#REF!</v>
      </c>
      <c r="IL31" t="e">
        <f>AND(Bills!W19,"AAAAAH7d6/U=")</f>
        <v>#VALUE!</v>
      </c>
      <c r="IM31" t="e">
        <f>AND(Bills!X19,"AAAAAH7d6/Y=")</f>
        <v>#VALUE!</v>
      </c>
      <c r="IN31" t="e">
        <f>AND(Bills!#REF!,"AAAAAH7d6/c=")</f>
        <v>#REF!</v>
      </c>
      <c r="IO31" t="e">
        <f>AND(Bills!#REF!,"AAAAAH7d6/g=")</f>
        <v>#REF!</v>
      </c>
      <c r="IP31" t="e">
        <f>AND(Bills!#REF!,"AAAAAH7d6/k=")</f>
        <v>#REF!</v>
      </c>
      <c r="IQ31" t="e">
        <f>AND(Bills!#REF!,"AAAAAH7d6/o=")</f>
        <v>#REF!</v>
      </c>
      <c r="IR31" t="e">
        <f>AND(Bills!#REF!,"AAAAAH7d6/s=")</f>
        <v>#REF!</v>
      </c>
      <c r="IS31" t="e">
        <f>AND(Bills!#REF!,"AAAAAH7d6/w=")</f>
        <v>#REF!</v>
      </c>
      <c r="IT31" t="e">
        <f>AND(Bills!#REF!,"AAAAAH7d6/0=")</f>
        <v>#REF!</v>
      </c>
      <c r="IU31" t="e">
        <f>AND(Bills!#REF!,"AAAAAH7d6/4=")</f>
        <v>#REF!</v>
      </c>
      <c r="IV31" t="e">
        <f>AND(Bills!#REF!,"AAAAAH7d6/8=")</f>
        <v>#REF!</v>
      </c>
    </row>
    <row r="32" spans="1:256">
      <c r="A32" t="e">
        <f>AND(Bills!Y19,"AAAAABNb7AA=")</f>
        <v>#VALUE!</v>
      </c>
      <c r="B32" t="e">
        <f>AND(Bills!Z19,"AAAAABNb7AE=")</f>
        <v>#VALUE!</v>
      </c>
      <c r="C32" t="e">
        <f>AND(Bills!#REF!,"AAAAABNb7AI=")</f>
        <v>#REF!</v>
      </c>
      <c r="D32" t="e">
        <f>AND(Bills!#REF!,"AAAAABNb7AM=")</f>
        <v>#REF!</v>
      </c>
      <c r="E32" t="e">
        <f>AND(Bills!#REF!,"AAAAABNb7AQ=")</f>
        <v>#REF!</v>
      </c>
      <c r="F32" t="e">
        <f>AND(Bills!AA19,"AAAAABNb7AU=")</f>
        <v>#VALUE!</v>
      </c>
      <c r="G32" t="e">
        <f>AND(Bills!AB19,"AAAAABNb7AY=")</f>
        <v>#VALUE!</v>
      </c>
      <c r="H32" t="e">
        <f>AND(Bills!#REF!,"AAAAABNb7Ac=")</f>
        <v>#REF!</v>
      </c>
      <c r="I32" t="e">
        <f>IF(Bills!#REF!,"AAAAABNb7Ag=",0)</f>
        <v>#REF!</v>
      </c>
      <c r="J32" t="e">
        <f>AND(Bills!#REF!,"AAAAABNb7Ak=")</f>
        <v>#REF!</v>
      </c>
      <c r="K32" t="e">
        <f>AND(Bills!#REF!,"AAAAABNb7Ao=")</f>
        <v>#REF!</v>
      </c>
      <c r="L32" t="e">
        <f>AND(Bills!#REF!,"AAAAABNb7As=")</f>
        <v>#REF!</v>
      </c>
      <c r="M32" t="e">
        <f>AND(Bills!#REF!,"AAAAABNb7Aw=")</f>
        <v>#REF!</v>
      </c>
      <c r="N32" t="e">
        <f>AND(Bills!#REF!,"AAAAABNb7A0=")</f>
        <v>#REF!</v>
      </c>
      <c r="O32" t="e">
        <f>AND(Bills!#REF!,"AAAAABNb7A4=")</f>
        <v>#REF!</v>
      </c>
      <c r="P32" t="e">
        <f>AND(Bills!#REF!,"AAAAABNb7A8=")</f>
        <v>#REF!</v>
      </c>
      <c r="Q32" t="e">
        <f>AND(Bills!#REF!,"AAAAABNb7BA=")</f>
        <v>#REF!</v>
      </c>
      <c r="R32" t="e">
        <f>AND(Bills!#REF!,"AAAAABNb7BE=")</f>
        <v>#REF!</v>
      </c>
      <c r="S32" t="e">
        <f>AND(Bills!#REF!,"AAAAABNb7BI=")</f>
        <v>#REF!</v>
      </c>
      <c r="T32" t="e">
        <f>AND(Bills!#REF!,"AAAAABNb7BM=")</f>
        <v>#REF!</v>
      </c>
      <c r="U32" t="e">
        <f>AND(Bills!#REF!,"AAAAABNb7BQ=")</f>
        <v>#REF!</v>
      </c>
      <c r="V32" t="e">
        <f>AND(Bills!#REF!,"AAAAABNb7BU=")</f>
        <v>#REF!</v>
      </c>
      <c r="W32" t="e">
        <f>AND(Bills!#REF!,"AAAAABNb7BY=")</f>
        <v>#REF!</v>
      </c>
      <c r="X32" t="e">
        <f>AND(Bills!#REF!,"AAAAABNb7Bc=")</f>
        <v>#REF!</v>
      </c>
      <c r="Y32" t="e">
        <f>AND(Bills!#REF!,"AAAAABNb7Bg=")</f>
        <v>#REF!</v>
      </c>
      <c r="Z32" t="e">
        <f>AND(Bills!#REF!,"AAAAABNb7Bk=")</f>
        <v>#REF!</v>
      </c>
      <c r="AA32" t="e">
        <f>AND(Bills!#REF!,"AAAAABNb7Bo=")</f>
        <v>#REF!</v>
      </c>
      <c r="AB32" t="e">
        <f>AND(Bills!#REF!,"AAAAABNb7Bs=")</f>
        <v>#REF!</v>
      </c>
      <c r="AC32" t="e">
        <f>AND(Bills!#REF!,"AAAAABNb7Bw=")</f>
        <v>#REF!</v>
      </c>
      <c r="AD32" t="e">
        <f>AND(Bills!#REF!,"AAAAABNb7B0=")</f>
        <v>#REF!</v>
      </c>
      <c r="AE32" t="e">
        <f>AND(Bills!#REF!,"AAAAABNb7B4=")</f>
        <v>#REF!</v>
      </c>
      <c r="AF32" t="e">
        <f>AND(Bills!#REF!,"AAAAABNb7B8=")</f>
        <v>#REF!</v>
      </c>
      <c r="AG32" t="e">
        <f>AND(Bills!#REF!,"AAAAABNb7CA=")</f>
        <v>#REF!</v>
      </c>
      <c r="AH32" t="e">
        <f>AND(Bills!#REF!,"AAAAABNb7CE=")</f>
        <v>#REF!</v>
      </c>
      <c r="AI32" t="e">
        <f>AND(Bills!#REF!,"AAAAABNb7CI=")</f>
        <v>#REF!</v>
      </c>
      <c r="AJ32" t="e">
        <f>AND(Bills!#REF!,"AAAAABNb7CM=")</f>
        <v>#REF!</v>
      </c>
      <c r="AK32" t="e">
        <f>AND(Bills!#REF!,"AAAAABNb7CQ=")</f>
        <v>#REF!</v>
      </c>
      <c r="AL32" t="e">
        <f>AND(Bills!#REF!,"AAAAABNb7CU=")</f>
        <v>#REF!</v>
      </c>
      <c r="AM32" t="e">
        <f>AND(Bills!#REF!,"AAAAABNb7CY=")</f>
        <v>#REF!</v>
      </c>
      <c r="AN32" t="e">
        <f>AND(Bills!#REF!,"AAAAABNb7Cc=")</f>
        <v>#REF!</v>
      </c>
      <c r="AO32" t="e">
        <f>AND(Bills!#REF!,"AAAAABNb7Cg=")</f>
        <v>#REF!</v>
      </c>
      <c r="AP32" t="e">
        <f>AND(Bills!#REF!,"AAAAABNb7Ck=")</f>
        <v>#REF!</v>
      </c>
      <c r="AQ32" t="e">
        <f>AND(Bills!#REF!,"AAAAABNb7Co=")</f>
        <v>#REF!</v>
      </c>
      <c r="AR32" t="e">
        <f>AND(Bills!#REF!,"AAAAABNb7Cs=")</f>
        <v>#REF!</v>
      </c>
      <c r="AS32" t="e">
        <f>AND(Bills!#REF!,"AAAAABNb7Cw=")</f>
        <v>#REF!</v>
      </c>
      <c r="AT32" t="e">
        <f>AND(Bills!#REF!,"AAAAABNb7C0=")</f>
        <v>#REF!</v>
      </c>
      <c r="AU32" t="e">
        <f>AND(Bills!#REF!,"AAAAABNb7C4=")</f>
        <v>#REF!</v>
      </c>
      <c r="AV32" t="e">
        <f>AND(Bills!#REF!,"AAAAABNb7C8=")</f>
        <v>#REF!</v>
      </c>
      <c r="AW32" t="e">
        <f>AND(Bills!#REF!,"AAAAABNb7DA=")</f>
        <v>#REF!</v>
      </c>
      <c r="AX32" t="e">
        <f>AND(Bills!#REF!,"AAAAABNb7DE=")</f>
        <v>#REF!</v>
      </c>
      <c r="AY32" t="e">
        <f>AND(Bills!#REF!,"AAAAABNb7DI=")</f>
        <v>#REF!</v>
      </c>
      <c r="AZ32" t="e">
        <f>AND(Bills!#REF!,"AAAAABNb7DM=")</f>
        <v>#REF!</v>
      </c>
      <c r="BA32" t="e">
        <f>AND(Bills!#REF!,"AAAAABNb7DQ=")</f>
        <v>#REF!</v>
      </c>
      <c r="BB32" t="e">
        <f>AND(Bills!#REF!,"AAAAABNb7DU=")</f>
        <v>#REF!</v>
      </c>
      <c r="BC32" t="e">
        <f>AND(Bills!#REF!,"AAAAABNb7DY=")</f>
        <v>#REF!</v>
      </c>
      <c r="BD32" t="e">
        <f>AND(Bills!#REF!,"AAAAABNb7Dc=")</f>
        <v>#REF!</v>
      </c>
      <c r="BE32" t="e">
        <f>AND(Bills!#REF!,"AAAAABNb7Dg=")</f>
        <v>#REF!</v>
      </c>
      <c r="BF32" t="e">
        <f>AND(Bills!#REF!,"AAAAABNb7Dk=")</f>
        <v>#REF!</v>
      </c>
      <c r="BG32" t="e">
        <f>AND(Bills!#REF!,"AAAAABNb7Do=")</f>
        <v>#REF!</v>
      </c>
      <c r="BH32" t="e">
        <f>IF(Bills!#REF!,"AAAAABNb7Ds=",0)</f>
        <v>#REF!</v>
      </c>
      <c r="BI32" t="e">
        <f>AND(Bills!#REF!,"AAAAABNb7Dw=")</f>
        <v>#REF!</v>
      </c>
      <c r="BJ32" t="e">
        <f>AND(Bills!#REF!,"AAAAABNb7D0=")</f>
        <v>#REF!</v>
      </c>
      <c r="BK32" t="e">
        <f>AND(Bills!#REF!,"AAAAABNb7D4=")</f>
        <v>#REF!</v>
      </c>
      <c r="BL32" t="e">
        <f>AND(Bills!#REF!,"AAAAABNb7D8=")</f>
        <v>#REF!</v>
      </c>
      <c r="BM32" t="e">
        <f>AND(Bills!#REF!,"AAAAABNb7EA=")</f>
        <v>#REF!</v>
      </c>
      <c r="BN32" t="e">
        <f>AND(Bills!#REF!,"AAAAABNb7EE=")</f>
        <v>#REF!</v>
      </c>
      <c r="BO32" t="e">
        <f>AND(Bills!#REF!,"AAAAABNb7EI=")</f>
        <v>#REF!</v>
      </c>
      <c r="BP32" t="e">
        <f>AND(Bills!#REF!,"AAAAABNb7EM=")</f>
        <v>#REF!</v>
      </c>
      <c r="BQ32" t="e">
        <f>AND(Bills!#REF!,"AAAAABNb7EQ=")</f>
        <v>#REF!</v>
      </c>
      <c r="BR32" t="e">
        <f>AND(Bills!#REF!,"AAAAABNb7EU=")</f>
        <v>#REF!</v>
      </c>
      <c r="BS32" t="e">
        <f>AND(Bills!#REF!,"AAAAABNb7EY=")</f>
        <v>#REF!</v>
      </c>
      <c r="BT32" t="e">
        <f>AND(Bills!#REF!,"AAAAABNb7Ec=")</f>
        <v>#REF!</v>
      </c>
      <c r="BU32" t="e">
        <f>AND(Bills!#REF!,"AAAAABNb7Eg=")</f>
        <v>#REF!</v>
      </c>
      <c r="BV32" t="e">
        <f>AND(Bills!#REF!,"AAAAABNb7Ek=")</f>
        <v>#REF!</v>
      </c>
      <c r="BW32" t="e">
        <f>AND(Bills!#REF!,"AAAAABNb7Eo=")</f>
        <v>#REF!</v>
      </c>
      <c r="BX32" t="e">
        <f>AND(Bills!#REF!,"AAAAABNb7Es=")</f>
        <v>#REF!</v>
      </c>
      <c r="BY32" t="e">
        <f>AND(Bills!#REF!,"AAAAABNb7Ew=")</f>
        <v>#REF!</v>
      </c>
      <c r="BZ32" t="e">
        <f>AND(Bills!#REF!,"AAAAABNb7E0=")</f>
        <v>#REF!</v>
      </c>
      <c r="CA32" t="e">
        <f>AND(Bills!#REF!,"AAAAABNb7E4=")</f>
        <v>#REF!</v>
      </c>
      <c r="CB32" t="e">
        <f>AND(Bills!#REF!,"AAAAABNb7E8=")</f>
        <v>#REF!</v>
      </c>
      <c r="CC32" t="e">
        <f>AND(Bills!#REF!,"AAAAABNb7FA=")</f>
        <v>#REF!</v>
      </c>
      <c r="CD32" t="e">
        <f>AND(Bills!#REF!,"AAAAABNb7FE=")</f>
        <v>#REF!</v>
      </c>
      <c r="CE32" t="e">
        <f>AND(Bills!#REF!,"AAAAABNb7FI=")</f>
        <v>#REF!</v>
      </c>
      <c r="CF32" t="e">
        <f>AND(Bills!#REF!,"AAAAABNb7FM=")</f>
        <v>#REF!</v>
      </c>
      <c r="CG32" t="e">
        <f>AND(Bills!#REF!,"AAAAABNb7FQ=")</f>
        <v>#REF!</v>
      </c>
      <c r="CH32" t="e">
        <f>AND(Bills!#REF!,"AAAAABNb7FU=")</f>
        <v>#REF!</v>
      </c>
      <c r="CI32" t="e">
        <f>AND(Bills!#REF!,"AAAAABNb7FY=")</f>
        <v>#REF!</v>
      </c>
      <c r="CJ32" t="e">
        <f>AND(Bills!#REF!,"AAAAABNb7Fc=")</f>
        <v>#REF!</v>
      </c>
      <c r="CK32" t="e">
        <f>AND(Bills!#REF!,"AAAAABNb7Fg=")</f>
        <v>#REF!</v>
      </c>
      <c r="CL32" t="e">
        <f>AND(Bills!#REF!,"AAAAABNb7Fk=")</f>
        <v>#REF!</v>
      </c>
      <c r="CM32" t="e">
        <f>AND(Bills!#REF!,"AAAAABNb7Fo=")</f>
        <v>#REF!</v>
      </c>
      <c r="CN32" t="e">
        <f>AND(Bills!#REF!,"AAAAABNb7Fs=")</f>
        <v>#REF!</v>
      </c>
      <c r="CO32" t="e">
        <f>AND(Bills!#REF!,"AAAAABNb7Fw=")</f>
        <v>#REF!</v>
      </c>
      <c r="CP32" t="e">
        <f>AND(Bills!#REF!,"AAAAABNb7F0=")</f>
        <v>#REF!</v>
      </c>
      <c r="CQ32" t="e">
        <f>AND(Bills!#REF!,"AAAAABNb7F4=")</f>
        <v>#REF!</v>
      </c>
      <c r="CR32" t="e">
        <f>AND(Bills!#REF!,"AAAAABNb7F8=")</f>
        <v>#REF!</v>
      </c>
      <c r="CS32" t="e">
        <f>AND(Bills!#REF!,"AAAAABNb7GA=")</f>
        <v>#REF!</v>
      </c>
      <c r="CT32" t="e">
        <f>AND(Bills!#REF!,"AAAAABNb7GE=")</f>
        <v>#REF!</v>
      </c>
      <c r="CU32" t="e">
        <f>AND(Bills!#REF!,"AAAAABNb7GI=")</f>
        <v>#REF!</v>
      </c>
      <c r="CV32" t="e">
        <f>AND(Bills!#REF!,"AAAAABNb7GM=")</f>
        <v>#REF!</v>
      </c>
      <c r="CW32" t="e">
        <f>AND(Bills!#REF!,"AAAAABNb7GQ=")</f>
        <v>#REF!</v>
      </c>
      <c r="CX32" t="e">
        <f>AND(Bills!#REF!,"AAAAABNb7GU=")</f>
        <v>#REF!</v>
      </c>
      <c r="CY32" t="e">
        <f>AND(Bills!#REF!,"AAAAABNb7GY=")</f>
        <v>#REF!</v>
      </c>
      <c r="CZ32" t="e">
        <f>AND(Bills!#REF!,"AAAAABNb7Gc=")</f>
        <v>#REF!</v>
      </c>
      <c r="DA32" t="e">
        <f>AND(Bills!#REF!,"AAAAABNb7Gg=")</f>
        <v>#REF!</v>
      </c>
      <c r="DB32" t="e">
        <f>AND(Bills!#REF!,"AAAAABNb7Gk=")</f>
        <v>#REF!</v>
      </c>
      <c r="DC32" t="e">
        <f>AND(Bills!#REF!,"AAAAABNb7Go=")</f>
        <v>#REF!</v>
      </c>
      <c r="DD32" t="e">
        <f>AND(Bills!#REF!,"AAAAABNb7Gs=")</f>
        <v>#REF!</v>
      </c>
      <c r="DE32" t="e">
        <f>AND(Bills!#REF!,"AAAAABNb7Gw=")</f>
        <v>#REF!</v>
      </c>
      <c r="DF32" t="e">
        <f>AND(Bills!#REF!,"AAAAABNb7G0=")</f>
        <v>#REF!</v>
      </c>
      <c r="DG32" t="e">
        <f>IF(Bills!#REF!,"AAAAABNb7G4=",0)</f>
        <v>#REF!</v>
      </c>
      <c r="DH32" t="e">
        <f>AND(Bills!#REF!,"AAAAABNb7G8=")</f>
        <v>#REF!</v>
      </c>
      <c r="DI32" t="e">
        <f>AND(Bills!#REF!,"AAAAABNb7HA=")</f>
        <v>#REF!</v>
      </c>
      <c r="DJ32" t="e">
        <f>AND(Bills!#REF!,"AAAAABNb7HE=")</f>
        <v>#REF!</v>
      </c>
      <c r="DK32" t="e">
        <f>AND(Bills!#REF!,"AAAAABNb7HI=")</f>
        <v>#REF!</v>
      </c>
      <c r="DL32" t="e">
        <f>AND(Bills!#REF!,"AAAAABNb7HM=")</f>
        <v>#REF!</v>
      </c>
      <c r="DM32" t="e">
        <f>AND(Bills!#REF!,"AAAAABNb7HQ=")</f>
        <v>#REF!</v>
      </c>
      <c r="DN32" t="e">
        <f>AND(Bills!#REF!,"AAAAABNb7HU=")</f>
        <v>#REF!</v>
      </c>
      <c r="DO32" t="e">
        <f>AND(Bills!#REF!,"AAAAABNb7HY=")</f>
        <v>#REF!</v>
      </c>
      <c r="DP32" t="e">
        <f>AND(Bills!#REF!,"AAAAABNb7Hc=")</f>
        <v>#REF!</v>
      </c>
      <c r="DQ32" t="e">
        <f>AND(Bills!#REF!,"AAAAABNb7Hg=")</f>
        <v>#REF!</v>
      </c>
      <c r="DR32" t="e">
        <f>AND(Bills!#REF!,"AAAAABNb7Hk=")</f>
        <v>#REF!</v>
      </c>
      <c r="DS32" t="e">
        <f>AND(Bills!#REF!,"AAAAABNb7Ho=")</f>
        <v>#REF!</v>
      </c>
      <c r="DT32" t="e">
        <f>AND(Bills!#REF!,"AAAAABNb7Hs=")</f>
        <v>#REF!</v>
      </c>
      <c r="DU32" t="e">
        <f>AND(Bills!#REF!,"AAAAABNb7Hw=")</f>
        <v>#REF!</v>
      </c>
      <c r="DV32" t="e">
        <f>AND(Bills!#REF!,"AAAAABNb7H0=")</f>
        <v>#REF!</v>
      </c>
      <c r="DW32" t="e">
        <f>AND(Bills!#REF!,"AAAAABNb7H4=")</f>
        <v>#REF!</v>
      </c>
      <c r="DX32" t="e">
        <f>AND(Bills!#REF!,"AAAAABNb7H8=")</f>
        <v>#REF!</v>
      </c>
      <c r="DY32" t="e">
        <f>AND(Bills!#REF!,"AAAAABNb7IA=")</f>
        <v>#REF!</v>
      </c>
      <c r="DZ32" t="e">
        <f>AND(Bills!#REF!,"AAAAABNb7IE=")</f>
        <v>#REF!</v>
      </c>
      <c r="EA32" t="e">
        <f>AND(Bills!#REF!,"AAAAABNb7II=")</f>
        <v>#REF!</v>
      </c>
      <c r="EB32" t="e">
        <f>AND(Bills!#REF!,"AAAAABNb7IM=")</f>
        <v>#REF!</v>
      </c>
      <c r="EC32" t="e">
        <f>AND(Bills!#REF!,"AAAAABNb7IQ=")</f>
        <v>#REF!</v>
      </c>
      <c r="ED32" t="e">
        <f>AND(Bills!#REF!,"AAAAABNb7IU=")</f>
        <v>#REF!</v>
      </c>
      <c r="EE32" t="e">
        <f>AND(Bills!#REF!,"AAAAABNb7IY=")</f>
        <v>#REF!</v>
      </c>
      <c r="EF32" t="e">
        <f>AND(Bills!#REF!,"AAAAABNb7Ic=")</f>
        <v>#REF!</v>
      </c>
      <c r="EG32" t="e">
        <f>AND(Bills!#REF!,"AAAAABNb7Ig=")</f>
        <v>#REF!</v>
      </c>
      <c r="EH32" t="e">
        <f>AND(Bills!#REF!,"AAAAABNb7Ik=")</f>
        <v>#REF!</v>
      </c>
      <c r="EI32" t="e">
        <f>AND(Bills!#REF!,"AAAAABNb7Io=")</f>
        <v>#REF!</v>
      </c>
      <c r="EJ32" t="e">
        <f>AND(Bills!#REF!,"AAAAABNb7Is=")</f>
        <v>#REF!</v>
      </c>
      <c r="EK32" t="e">
        <f>AND(Bills!#REF!,"AAAAABNb7Iw=")</f>
        <v>#REF!</v>
      </c>
      <c r="EL32" t="e">
        <f>AND(Bills!#REF!,"AAAAABNb7I0=")</f>
        <v>#REF!</v>
      </c>
      <c r="EM32" t="e">
        <f>AND(Bills!#REF!,"AAAAABNb7I4=")</f>
        <v>#REF!</v>
      </c>
      <c r="EN32" t="e">
        <f>AND(Bills!#REF!,"AAAAABNb7I8=")</f>
        <v>#REF!</v>
      </c>
      <c r="EO32" t="e">
        <f>AND(Bills!#REF!,"AAAAABNb7JA=")</f>
        <v>#REF!</v>
      </c>
      <c r="EP32" t="e">
        <f>AND(Bills!#REF!,"AAAAABNb7JE=")</f>
        <v>#REF!</v>
      </c>
      <c r="EQ32" t="e">
        <f>AND(Bills!#REF!,"AAAAABNb7JI=")</f>
        <v>#REF!</v>
      </c>
      <c r="ER32" t="e">
        <f>AND(Bills!#REF!,"AAAAABNb7JM=")</f>
        <v>#REF!</v>
      </c>
      <c r="ES32" t="e">
        <f>AND(Bills!#REF!,"AAAAABNb7JQ=")</f>
        <v>#REF!</v>
      </c>
      <c r="ET32" t="e">
        <f>AND(Bills!#REF!,"AAAAABNb7JU=")</f>
        <v>#REF!</v>
      </c>
      <c r="EU32" t="e">
        <f>AND(Bills!#REF!,"AAAAABNb7JY=")</f>
        <v>#REF!</v>
      </c>
      <c r="EV32" t="e">
        <f>AND(Bills!#REF!,"AAAAABNb7Jc=")</f>
        <v>#REF!</v>
      </c>
      <c r="EW32" t="e">
        <f>AND(Bills!#REF!,"AAAAABNb7Jg=")</f>
        <v>#REF!</v>
      </c>
      <c r="EX32" t="e">
        <f>AND(Bills!#REF!,"AAAAABNb7Jk=")</f>
        <v>#REF!</v>
      </c>
      <c r="EY32" t="e">
        <f>AND(Bills!#REF!,"AAAAABNb7Jo=")</f>
        <v>#REF!</v>
      </c>
      <c r="EZ32" t="e">
        <f>AND(Bills!#REF!,"AAAAABNb7Js=")</f>
        <v>#REF!</v>
      </c>
      <c r="FA32" t="e">
        <f>AND(Bills!#REF!,"AAAAABNb7Jw=")</f>
        <v>#REF!</v>
      </c>
      <c r="FB32" t="e">
        <f>AND(Bills!#REF!,"AAAAABNb7J0=")</f>
        <v>#REF!</v>
      </c>
      <c r="FC32" t="e">
        <f>AND(Bills!#REF!,"AAAAABNb7J4=")</f>
        <v>#REF!</v>
      </c>
      <c r="FD32" t="e">
        <f>AND(Bills!#REF!,"AAAAABNb7J8=")</f>
        <v>#REF!</v>
      </c>
      <c r="FE32" t="e">
        <f>AND(Bills!#REF!,"AAAAABNb7KA=")</f>
        <v>#REF!</v>
      </c>
      <c r="FF32" t="e">
        <f>IF(Bills!#REF!,"AAAAABNb7KE=",0)</f>
        <v>#REF!</v>
      </c>
      <c r="FG32" t="e">
        <f>AND(Bills!#REF!,"AAAAABNb7KI=")</f>
        <v>#REF!</v>
      </c>
      <c r="FH32" t="e">
        <f>AND(Bills!#REF!,"AAAAABNb7KM=")</f>
        <v>#REF!</v>
      </c>
      <c r="FI32" t="e">
        <f>AND(Bills!#REF!,"AAAAABNb7KQ=")</f>
        <v>#REF!</v>
      </c>
      <c r="FJ32" t="e">
        <f>AND(Bills!#REF!,"AAAAABNb7KU=")</f>
        <v>#REF!</v>
      </c>
      <c r="FK32" t="e">
        <f>AND(Bills!#REF!,"AAAAABNb7KY=")</f>
        <v>#REF!</v>
      </c>
      <c r="FL32" t="e">
        <f>AND(Bills!#REF!,"AAAAABNb7Kc=")</f>
        <v>#REF!</v>
      </c>
      <c r="FM32" t="e">
        <f>AND(Bills!#REF!,"AAAAABNb7Kg=")</f>
        <v>#REF!</v>
      </c>
      <c r="FN32" t="e">
        <f>AND(Bills!#REF!,"AAAAABNb7Kk=")</f>
        <v>#REF!</v>
      </c>
      <c r="FO32" t="e">
        <f>AND(Bills!#REF!,"AAAAABNb7Ko=")</f>
        <v>#REF!</v>
      </c>
      <c r="FP32" t="e">
        <f>AND(Bills!#REF!,"AAAAABNb7Ks=")</f>
        <v>#REF!</v>
      </c>
      <c r="FQ32" t="e">
        <f>AND(Bills!#REF!,"AAAAABNb7Kw=")</f>
        <v>#REF!</v>
      </c>
      <c r="FR32" t="e">
        <f>AND(Bills!#REF!,"AAAAABNb7K0=")</f>
        <v>#REF!</v>
      </c>
      <c r="FS32" t="e">
        <f>AND(Bills!#REF!,"AAAAABNb7K4=")</f>
        <v>#REF!</v>
      </c>
      <c r="FT32" t="e">
        <f>AND(Bills!#REF!,"AAAAABNb7K8=")</f>
        <v>#REF!</v>
      </c>
      <c r="FU32" t="e">
        <f>AND(Bills!#REF!,"AAAAABNb7LA=")</f>
        <v>#REF!</v>
      </c>
      <c r="FV32" t="e">
        <f>AND(Bills!#REF!,"AAAAABNb7LE=")</f>
        <v>#REF!</v>
      </c>
      <c r="FW32" t="e">
        <f>AND(Bills!#REF!,"AAAAABNb7LI=")</f>
        <v>#REF!</v>
      </c>
      <c r="FX32" t="e">
        <f>AND(Bills!#REF!,"AAAAABNb7LM=")</f>
        <v>#REF!</v>
      </c>
      <c r="FY32" t="e">
        <f>AND(Bills!#REF!,"AAAAABNb7LQ=")</f>
        <v>#REF!</v>
      </c>
      <c r="FZ32" t="e">
        <f>AND(Bills!#REF!,"AAAAABNb7LU=")</f>
        <v>#REF!</v>
      </c>
      <c r="GA32" t="e">
        <f>AND(Bills!#REF!,"AAAAABNb7LY=")</f>
        <v>#REF!</v>
      </c>
      <c r="GB32" t="e">
        <f>AND(Bills!#REF!,"AAAAABNb7Lc=")</f>
        <v>#REF!</v>
      </c>
      <c r="GC32" t="e">
        <f>AND(Bills!#REF!,"AAAAABNb7Lg=")</f>
        <v>#REF!</v>
      </c>
      <c r="GD32" t="e">
        <f>AND(Bills!#REF!,"AAAAABNb7Lk=")</f>
        <v>#REF!</v>
      </c>
      <c r="GE32" t="e">
        <f>AND(Bills!#REF!,"AAAAABNb7Lo=")</f>
        <v>#REF!</v>
      </c>
      <c r="GF32" t="e">
        <f>AND(Bills!#REF!,"AAAAABNb7Ls=")</f>
        <v>#REF!</v>
      </c>
      <c r="GG32" t="e">
        <f>AND(Bills!#REF!,"AAAAABNb7Lw=")</f>
        <v>#REF!</v>
      </c>
      <c r="GH32" t="e">
        <f>AND(Bills!#REF!,"AAAAABNb7L0=")</f>
        <v>#REF!</v>
      </c>
      <c r="GI32" t="e">
        <f>AND(Bills!#REF!,"AAAAABNb7L4=")</f>
        <v>#REF!</v>
      </c>
      <c r="GJ32" t="e">
        <f>AND(Bills!#REF!,"AAAAABNb7L8=")</f>
        <v>#REF!</v>
      </c>
      <c r="GK32" t="e">
        <f>AND(Bills!#REF!,"AAAAABNb7MA=")</f>
        <v>#REF!</v>
      </c>
      <c r="GL32" t="e">
        <f>AND(Bills!#REF!,"AAAAABNb7ME=")</f>
        <v>#REF!</v>
      </c>
      <c r="GM32" t="e">
        <f>AND(Bills!#REF!,"AAAAABNb7MI=")</f>
        <v>#REF!</v>
      </c>
      <c r="GN32" t="e">
        <f>AND(Bills!#REF!,"AAAAABNb7MM=")</f>
        <v>#REF!</v>
      </c>
      <c r="GO32" t="e">
        <f>AND(Bills!#REF!,"AAAAABNb7MQ=")</f>
        <v>#REF!</v>
      </c>
      <c r="GP32" t="e">
        <f>AND(Bills!#REF!,"AAAAABNb7MU=")</f>
        <v>#REF!</v>
      </c>
      <c r="GQ32" t="e">
        <f>AND(Bills!#REF!,"AAAAABNb7MY=")</f>
        <v>#REF!</v>
      </c>
      <c r="GR32" t="e">
        <f>AND(Bills!#REF!,"AAAAABNb7Mc=")</f>
        <v>#REF!</v>
      </c>
      <c r="GS32" t="e">
        <f>AND(Bills!#REF!,"AAAAABNb7Mg=")</f>
        <v>#REF!</v>
      </c>
      <c r="GT32" t="e">
        <f>AND(Bills!#REF!,"AAAAABNb7Mk=")</f>
        <v>#REF!</v>
      </c>
      <c r="GU32" t="e">
        <f>AND(Bills!#REF!,"AAAAABNb7Mo=")</f>
        <v>#REF!</v>
      </c>
      <c r="GV32" t="e">
        <f>AND(Bills!#REF!,"AAAAABNb7Ms=")</f>
        <v>#REF!</v>
      </c>
      <c r="GW32" t="e">
        <f>AND(Bills!#REF!,"AAAAABNb7Mw=")</f>
        <v>#REF!</v>
      </c>
      <c r="GX32" t="e">
        <f>AND(Bills!#REF!,"AAAAABNb7M0=")</f>
        <v>#REF!</v>
      </c>
      <c r="GY32" t="e">
        <f>AND(Bills!#REF!,"AAAAABNb7M4=")</f>
        <v>#REF!</v>
      </c>
      <c r="GZ32" t="e">
        <f>AND(Bills!#REF!,"AAAAABNb7M8=")</f>
        <v>#REF!</v>
      </c>
      <c r="HA32" t="e">
        <f>AND(Bills!#REF!,"AAAAABNb7NA=")</f>
        <v>#REF!</v>
      </c>
      <c r="HB32" t="e">
        <f>AND(Bills!#REF!,"AAAAABNb7NE=")</f>
        <v>#REF!</v>
      </c>
      <c r="HC32" t="e">
        <f>AND(Bills!#REF!,"AAAAABNb7NI=")</f>
        <v>#REF!</v>
      </c>
      <c r="HD32" t="e">
        <f>AND(Bills!#REF!,"AAAAABNb7NM=")</f>
        <v>#REF!</v>
      </c>
      <c r="HE32" t="e">
        <f>IF(Bills!#REF!,"AAAAABNb7NQ=",0)</f>
        <v>#REF!</v>
      </c>
      <c r="HF32" t="e">
        <f>AND(Bills!#REF!,"AAAAABNb7NU=")</f>
        <v>#REF!</v>
      </c>
      <c r="HG32" t="e">
        <f>AND(Bills!#REF!,"AAAAABNb7NY=")</f>
        <v>#REF!</v>
      </c>
      <c r="HH32" t="e">
        <f>AND(Bills!#REF!,"AAAAABNb7Nc=")</f>
        <v>#REF!</v>
      </c>
      <c r="HI32" t="e">
        <f>AND(Bills!#REF!,"AAAAABNb7Ng=")</f>
        <v>#REF!</v>
      </c>
      <c r="HJ32" t="e">
        <f>AND(Bills!#REF!,"AAAAABNb7Nk=")</f>
        <v>#REF!</v>
      </c>
      <c r="HK32" t="e">
        <f>AND(Bills!#REF!,"AAAAABNb7No=")</f>
        <v>#REF!</v>
      </c>
      <c r="HL32" t="e">
        <f>AND(Bills!#REF!,"AAAAABNb7Ns=")</f>
        <v>#REF!</v>
      </c>
      <c r="HM32" t="e">
        <f>AND(Bills!#REF!,"AAAAABNb7Nw=")</f>
        <v>#REF!</v>
      </c>
      <c r="HN32" t="e">
        <f>AND(Bills!#REF!,"AAAAABNb7N0=")</f>
        <v>#REF!</v>
      </c>
      <c r="HO32" t="e">
        <f>AND(Bills!#REF!,"AAAAABNb7N4=")</f>
        <v>#REF!</v>
      </c>
      <c r="HP32" t="e">
        <f>AND(Bills!#REF!,"AAAAABNb7N8=")</f>
        <v>#REF!</v>
      </c>
      <c r="HQ32" t="e">
        <f>AND(Bills!#REF!,"AAAAABNb7OA=")</f>
        <v>#REF!</v>
      </c>
      <c r="HR32" t="e">
        <f>AND(Bills!#REF!,"AAAAABNb7OE=")</f>
        <v>#REF!</v>
      </c>
      <c r="HS32" t="e">
        <f>AND(Bills!#REF!,"AAAAABNb7OI=")</f>
        <v>#REF!</v>
      </c>
      <c r="HT32" t="e">
        <f>AND(Bills!#REF!,"AAAAABNb7OM=")</f>
        <v>#REF!</v>
      </c>
      <c r="HU32" t="e">
        <f>AND(Bills!#REF!,"AAAAABNb7OQ=")</f>
        <v>#REF!</v>
      </c>
      <c r="HV32" t="e">
        <f>AND(Bills!#REF!,"AAAAABNb7OU=")</f>
        <v>#REF!</v>
      </c>
      <c r="HW32" t="e">
        <f>AND(Bills!#REF!,"AAAAABNb7OY=")</f>
        <v>#REF!</v>
      </c>
      <c r="HX32" t="e">
        <f>AND(Bills!#REF!,"AAAAABNb7Oc=")</f>
        <v>#REF!</v>
      </c>
      <c r="HY32" t="e">
        <f>AND(Bills!#REF!,"AAAAABNb7Og=")</f>
        <v>#REF!</v>
      </c>
      <c r="HZ32" t="e">
        <f>AND(Bills!#REF!,"AAAAABNb7Ok=")</f>
        <v>#REF!</v>
      </c>
      <c r="IA32" t="e">
        <f>AND(Bills!#REF!,"AAAAABNb7Oo=")</f>
        <v>#REF!</v>
      </c>
      <c r="IB32" t="e">
        <f>AND(Bills!#REF!,"AAAAABNb7Os=")</f>
        <v>#REF!</v>
      </c>
      <c r="IC32" t="e">
        <f>AND(Bills!#REF!,"AAAAABNb7Ow=")</f>
        <v>#REF!</v>
      </c>
      <c r="ID32" t="e">
        <f>AND(Bills!#REF!,"AAAAABNb7O0=")</f>
        <v>#REF!</v>
      </c>
      <c r="IE32" t="e">
        <f>AND(Bills!#REF!,"AAAAABNb7O4=")</f>
        <v>#REF!</v>
      </c>
      <c r="IF32" t="e">
        <f>AND(Bills!#REF!,"AAAAABNb7O8=")</f>
        <v>#REF!</v>
      </c>
      <c r="IG32" t="e">
        <f>AND(Bills!#REF!,"AAAAABNb7PA=")</f>
        <v>#REF!</v>
      </c>
      <c r="IH32" t="e">
        <f>AND(Bills!#REF!,"AAAAABNb7PE=")</f>
        <v>#REF!</v>
      </c>
      <c r="II32" t="e">
        <f>AND(Bills!#REF!,"AAAAABNb7PI=")</f>
        <v>#REF!</v>
      </c>
      <c r="IJ32" t="e">
        <f>AND(Bills!#REF!,"AAAAABNb7PM=")</f>
        <v>#REF!</v>
      </c>
      <c r="IK32" t="e">
        <f>AND(Bills!#REF!,"AAAAABNb7PQ=")</f>
        <v>#REF!</v>
      </c>
      <c r="IL32" t="e">
        <f>AND(Bills!#REF!,"AAAAABNb7PU=")</f>
        <v>#REF!</v>
      </c>
      <c r="IM32" t="e">
        <f>AND(Bills!#REF!,"AAAAABNb7PY=")</f>
        <v>#REF!</v>
      </c>
      <c r="IN32" t="e">
        <f>AND(Bills!#REF!,"AAAAABNb7Pc=")</f>
        <v>#REF!</v>
      </c>
      <c r="IO32" t="e">
        <f>AND(Bills!#REF!,"AAAAABNb7Pg=")</f>
        <v>#REF!</v>
      </c>
      <c r="IP32" t="e">
        <f>AND(Bills!#REF!,"AAAAABNb7Pk=")</f>
        <v>#REF!</v>
      </c>
      <c r="IQ32" t="e">
        <f>AND(Bills!#REF!,"AAAAABNb7Po=")</f>
        <v>#REF!</v>
      </c>
      <c r="IR32" t="e">
        <f>AND(Bills!#REF!,"AAAAABNb7Ps=")</f>
        <v>#REF!</v>
      </c>
      <c r="IS32" t="e">
        <f>AND(Bills!#REF!,"AAAAABNb7Pw=")</f>
        <v>#REF!</v>
      </c>
      <c r="IT32" t="e">
        <f>AND(Bills!#REF!,"AAAAABNb7P0=")</f>
        <v>#REF!</v>
      </c>
      <c r="IU32" t="e">
        <f>AND(Bills!#REF!,"AAAAABNb7P4=")</f>
        <v>#REF!</v>
      </c>
      <c r="IV32" t="e">
        <f>AND(Bills!#REF!,"AAAAABNb7P8=")</f>
        <v>#REF!</v>
      </c>
    </row>
    <row r="33" spans="1:256">
      <c r="A33" t="e">
        <f>AND(Bills!#REF!,"AAAAAD/vdQA=")</f>
        <v>#REF!</v>
      </c>
      <c r="B33" t="e">
        <f>AND(Bills!#REF!,"AAAAAD/vdQE=")</f>
        <v>#REF!</v>
      </c>
      <c r="C33" t="e">
        <f>AND(Bills!#REF!,"AAAAAD/vdQI=")</f>
        <v>#REF!</v>
      </c>
      <c r="D33" t="e">
        <f>AND(Bills!#REF!,"AAAAAD/vdQM=")</f>
        <v>#REF!</v>
      </c>
      <c r="E33" t="e">
        <f>AND(Bills!#REF!,"AAAAAD/vdQQ=")</f>
        <v>#REF!</v>
      </c>
      <c r="F33" t="e">
        <f>AND(Bills!#REF!,"AAAAAD/vdQU=")</f>
        <v>#REF!</v>
      </c>
      <c r="G33" t="e">
        <f>AND(Bills!#REF!,"AAAAAD/vdQY=")</f>
        <v>#REF!</v>
      </c>
      <c r="H33" t="e">
        <f>IF(Bills!#REF!,"AAAAAD/vdQc=",0)</f>
        <v>#REF!</v>
      </c>
      <c r="I33" t="e">
        <f>AND(Bills!#REF!,"AAAAAD/vdQg=")</f>
        <v>#REF!</v>
      </c>
      <c r="J33" t="e">
        <f>AND(Bills!#REF!,"AAAAAD/vdQk=")</f>
        <v>#REF!</v>
      </c>
      <c r="K33" t="e">
        <f>AND(Bills!#REF!,"AAAAAD/vdQo=")</f>
        <v>#REF!</v>
      </c>
      <c r="L33" t="e">
        <f>AND(Bills!#REF!,"AAAAAD/vdQs=")</f>
        <v>#REF!</v>
      </c>
      <c r="M33" t="e">
        <f>AND(Bills!#REF!,"AAAAAD/vdQw=")</f>
        <v>#REF!</v>
      </c>
      <c r="N33" t="e">
        <f>AND(Bills!#REF!,"AAAAAD/vdQ0=")</f>
        <v>#REF!</v>
      </c>
      <c r="O33" t="e">
        <f>AND(Bills!#REF!,"AAAAAD/vdQ4=")</f>
        <v>#REF!</v>
      </c>
      <c r="P33" t="e">
        <f>AND(Bills!#REF!,"AAAAAD/vdQ8=")</f>
        <v>#REF!</v>
      </c>
      <c r="Q33" t="e">
        <f>AND(Bills!#REF!,"AAAAAD/vdRA=")</f>
        <v>#REF!</v>
      </c>
      <c r="R33" t="e">
        <f>AND(Bills!#REF!,"AAAAAD/vdRE=")</f>
        <v>#REF!</v>
      </c>
      <c r="S33" t="e">
        <f>AND(Bills!#REF!,"AAAAAD/vdRI=")</f>
        <v>#REF!</v>
      </c>
      <c r="T33" t="e">
        <f>AND(Bills!#REF!,"AAAAAD/vdRM=")</f>
        <v>#REF!</v>
      </c>
      <c r="U33" t="e">
        <f>AND(Bills!#REF!,"AAAAAD/vdRQ=")</f>
        <v>#REF!</v>
      </c>
      <c r="V33" t="e">
        <f>AND(Bills!#REF!,"AAAAAD/vdRU=")</f>
        <v>#REF!</v>
      </c>
      <c r="W33" t="e">
        <f>AND(Bills!#REF!,"AAAAAD/vdRY=")</f>
        <v>#REF!</v>
      </c>
      <c r="X33" t="e">
        <f>AND(Bills!#REF!,"AAAAAD/vdRc=")</f>
        <v>#REF!</v>
      </c>
      <c r="Y33" t="e">
        <f>AND(Bills!#REF!,"AAAAAD/vdRg=")</f>
        <v>#REF!</v>
      </c>
      <c r="Z33" t="e">
        <f>AND(Bills!#REF!,"AAAAAD/vdRk=")</f>
        <v>#REF!</v>
      </c>
      <c r="AA33" t="e">
        <f>AND(Bills!#REF!,"AAAAAD/vdRo=")</f>
        <v>#REF!</v>
      </c>
      <c r="AB33" t="e">
        <f>AND(Bills!#REF!,"AAAAAD/vdRs=")</f>
        <v>#REF!</v>
      </c>
      <c r="AC33" t="e">
        <f>AND(Bills!#REF!,"AAAAAD/vdRw=")</f>
        <v>#REF!</v>
      </c>
      <c r="AD33" t="e">
        <f>AND(Bills!#REF!,"AAAAAD/vdR0=")</f>
        <v>#REF!</v>
      </c>
      <c r="AE33" t="e">
        <f>AND(Bills!#REF!,"AAAAAD/vdR4=")</f>
        <v>#REF!</v>
      </c>
      <c r="AF33" t="e">
        <f>AND(Bills!#REF!,"AAAAAD/vdR8=")</f>
        <v>#REF!</v>
      </c>
      <c r="AG33" t="e">
        <f>AND(Bills!#REF!,"AAAAAD/vdSA=")</f>
        <v>#REF!</v>
      </c>
      <c r="AH33" t="e">
        <f>AND(Bills!#REF!,"AAAAAD/vdSE=")</f>
        <v>#REF!</v>
      </c>
      <c r="AI33" t="e">
        <f>AND(Bills!#REF!,"AAAAAD/vdSI=")</f>
        <v>#REF!</v>
      </c>
      <c r="AJ33" t="e">
        <f>AND(Bills!#REF!,"AAAAAD/vdSM=")</f>
        <v>#REF!</v>
      </c>
      <c r="AK33" t="e">
        <f>AND(Bills!#REF!,"AAAAAD/vdSQ=")</f>
        <v>#REF!</v>
      </c>
      <c r="AL33" t="e">
        <f>AND(Bills!#REF!,"AAAAAD/vdSU=")</f>
        <v>#REF!</v>
      </c>
      <c r="AM33" t="e">
        <f>AND(Bills!#REF!,"AAAAAD/vdSY=")</f>
        <v>#REF!</v>
      </c>
      <c r="AN33" t="e">
        <f>AND(Bills!#REF!,"AAAAAD/vdSc=")</f>
        <v>#REF!</v>
      </c>
      <c r="AO33" t="e">
        <f>AND(Bills!#REF!,"AAAAAD/vdSg=")</f>
        <v>#REF!</v>
      </c>
      <c r="AP33" t="e">
        <f>AND(Bills!#REF!,"AAAAAD/vdSk=")</f>
        <v>#REF!</v>
      </c>
      <c r="AQ33" t="e">
        <f>AND(Bills!#REF!,"AAAAAD/vdSo=")</f>
        <v>#REF!</v>
      </c>
      <c r="AR33" t="e">
        <f>AND(Bills!#REF!,"AAAAAD/vdSs=")</f>
        <v>#REF!</v>
      </c>
      <c r="AS33" t="e">
        <f>AND(Bills!#REF!,"AAAAAD/vdSw=")</f>
        <v>#REF!</v>
      </c>
      <c r="AT33" t="e">
        <f>AND(Bills!#REF!,"AAAAAD/vdS0=")</f>
        <v>#REF!</v>
      </c>
      <c r="AU33" t="e">
        <f>AND(Bills!#REF!,"AAAAAD/vdS4=")</f>
        <v>#REF!</v>
      </c>
      <c r="AV33" t="e">
        <f>AND(Bills!#REF!,"AAAAAD/vdS8=")</f>
        <v>#REF!</v>
      </c>
      <c r="AW33" t="e">
        <f>AND(Bills!#REF!,"AAAAAD/vdTA=")</f>
        <v>#REF!</v>
      </c>
      <c r="AX33" t="e">
        <f>AND(Bills!#REF!,"AAAAAD/vdTE=")</f>
        <v>#REF!</v>
      </c>
      <c r="AY33" t="e">
        <f>AND(Bills!#REF!,"AAAAAD/vdTI=")</f>
        <v>#REF!</v>
      </c>
      <c r="AZ33" t="e">
        <f>AND(Bills!#REF!,"AAAAAD/vdTM=")</f>
        <v>#REF!</v>
      </c>
      <c r="BA33" t="e">
        <f>AND(Bills!#REF!,"AAAAAD/vdTQ=")</f>
        <v>#REF!</v>
      </c>
      <c r="BB33" t="e">
        <f>AND(Bills!#REF!,"AAAAAD/vdTU=")</f>
        <v>#REF!</v>
      </c>
      <c r="BC33" t="e">
        <f>AND(Bills!#REF!,"AAAAAD/vdTY=")</f>
        <v>#REF!</v>
      </c>
      <c r="BD33" t="e">
        <f>AND(Bills!#REF!,"AAAAAD/vdTc=")</f>
        <v>#REF!</v>
      </c>
      <c r="BE33" t="e">
        <f>AND(Bills!#REF!,"AAAAAD/vdTg=")</f>
        <v>#REF!</v>
      </c>
      <c r="BF33" t="e">
        <f>AND(Bills!#REF!,"AAAAAD/vdTk=")</f>
        <v>#REF!</v>
      </c>
      <c r="BG33">
        <f>IF(Bills!20:20,"AAAAAD/vdTo=",0)</f>
        <v>0</v>
      </c>
      <c r="BH33" t="e">
        <f>AND(Bills!B20,"AAAAAD/vdTs=")</f>
        <v>#VALUE!</v>
      </c>
      <c r="BI33" t="e">
        <f>AND(Bills!#REF!,"AAAAAD/vdTw=")</f>
        <v>#REF!</v>
      </c>
      <c r="BJ33" t="e">
        <f>AND(Bills!C20,"AAAAAD/vdT0=")</f>
        <v>#VALUE!</v>
      </c>
      <c r="BK33" t="e">
        <f>AND(Bills!#REF!,"AAAAAD/vdT4=")</f>
        <v>#REF!</v>
      </c>
      <c r="BL33" t="e">
        <f>AND(Bills!#REF!,"AAAAAD/vdT8=")</f>
        <v>#REF!</v>
      </c>
      <c r="BM33" t="e">
        <f>AND(Bills!#REF!,"AAAAAD/vdUA=")</f>
        <v>#REF!</v>
      </c>
      <c r="BN33" t="e">
        <f>AND(Bills!#REF!,"AAAAAD/vdUE=")</f>
        <v>#REF!</v>
      </c>
      <c r="BO33" t="e">
        <f>AND(Bills!#REF!,"AAAAAD/vdUI=")</f>
        <v>#REF!</v>
      </c>
      <c r="BP33" t="e">
        <f>AND(Bills!D20,"AAAAAD/vdUM=")</f>
        <v>#VALUE!</v>
      </c>
      <c r="BQ33" t="e">
        <f>AND(Bills!#REF!,"AAAAAD/vdUQ=")</f>
        <v>#REF!</v>
      </c>
      <c r="BR33" t="e">
        <f>AND(Bills!E20,"AAAAAD/vdUU=")</f>
        <v>#VALUE!</v>
      </c>
      <c r="BS33" t="e">
        <f>AND(Bills!F20,"AAAAAD/vdUY=")</f>
        <v>#VALUE!</v>
      </c>
      <c r="BT33" t="e">
        <f>AND(Bills!G20,"AAAAAD/vdUc=")</f>
        <v>#VALUE!</v>
      </c>
      <c r="BU33" t="e">
        <f>AND(Bills!H20,"AAAAAD/vdUg=")</f>
        <v>#VALUE!</v>
      </c>
      <c r="BV33" t="e">
        <f>AND(Bills!I20,"AAAAAD/vdUk=")</f>
        <v>#VALUE!</v>
      </c>
      <c r="BW33" t="e">
        <f>AND(Bills!J20,"AAAAAD/vdUo=")</f>
        <v>#VALUE!</v>
      </c>
      <c r="BX33" t="e">
        <f>AND(Bills!#REF!,"AAAAAD/vdUs=")</f>
        <v>#REF!</v>
      </c>
      <c r="BY33" t="e">
        <f>AND(Bills!K20,"AAAAAD/vdUw=")</f>
        <v>#VALUE!</v>
      </c>
      <c r="BZ33" t="e">
        <f>AND(Bills!L20,"AAAAAD/vdU0=")</f>
        <v>#VALUE!</v>
      </c>
      <c r="CA33" t="e">
        <f>AND(Bills!M20,"AAAAAD/vdU4=")</f>
        <v>#VALUE!</v>
      </c>
      <c r="CB33" t="e">
        <f>AND(Bills!N20,"AAAAAD/vdU8=")</f>
        <v>#VALUE!</v>
      </c>
      <c r="CC33" t="e">
        <f>AND(Bills!O20,"AAAAAD/vdVA=")</f>
        <v>#VALUE!</v>
      </c>
      <c r="CD33" t="e">
        <f>AND(Bills!P20,"AAAAAD/vdVE=")</f>
        <v>#VALUE!</v>
      </c>
      <c r="CE33" t="e">
        <f>AND(Bills!Q20,"AAAAAD/vdVI=")</f>
        <v>#VALUE!</v>
      </c>
      <c r="CF33" t="e">
        <f>AND(Bills!R20,"AAAAAD/vdVM=")</f>
        <v>#VALUE!</v>
      </c>
      <c r="CG33" t="e">
        <f>AND(Bills!#REF!,"AAAAAD/vdVQ=")</f>
        <v>#REF!</v>
      </c>
      <c r="CH33" t="e">
        <f>AND(Bills!S20,"AAAAAD/vdVU=")</f>
        <v>#VALUE!</v>
      </c>
      <c r="CI33" t="e">
        <f>AND(Bills!T20,"AAAAAD/vdVY=")</f>
        <v>#VALUE!</v>
      </c>
      <c r="CJ33" t="e">
        <f>AND(Bills!U20,"AAAAAD/vdVc=")</f>
        <v>#VALUE!</v>
      </c>
      <c r="CK33" t="e">
        <f>AND(Bills!#REF!,"AAAAAD/vdVg=")</f>
        <v>#REF!</v>
      </c>
      <c r="CL33" t="e">
        <f>AND(Bills!#REF!,"AAAAAD/vdVk=")</f>
        <v>#REF!</v>
      </c>
      <c r="CM33" t="e">
        <f>AND(Bills!W20,"AAAAAD/vdVo=")</f>
        <v>#VALUE!</v>
      </c>
      <c r="CN33" t="e">
        <f>AND(Bills!X20,"AAAAAD/vdVs=")</f>
        <v>#VALUE!</v>
      </c>
      <c r="CO33" t="e">
        <f>AND(Bills!#REF!,"AAAAAD/vdVw=")</f>
        <v>#REF!</v>
      </c>
      <c r="CP33" t="e">
        <f>AND(Bills!#REF!,"AAAAAD/vdV0=")</f>
        <v>#REF!</v>
      </c>
      <c r="CQ33" t="e">
        <f>AND(Bills!#REF!,"AAAAAD/vdV4=")</f>
        <v>#REF!</v>
      </c>
      <c r="CR33" t="e">
        <f>AND(Bills!#REF!,"AAAAAD/vdV8=")</f>
        <v>#REF!</v>
      </c>
      <c r="CS33" t="e">
        <f>AND(Bills!#REF!,"AAAAAD/vdWA=")</f>
        <v>#REF!</v>
      </c>
      <c r="CT33" t="e">
        <f>AND(Bills!#REF!,"AAAAAD/vdWE=")</f>
        <v>#REF!</v>
      </c>
      <c r="CU33" t="e">
        <f>AND(Bills!#REF!,"AAAAAD/vdWI=")</f>
        <v>#REF!</v>
      </c>
      <c r="CV33" t="e">
        <f>AND(Bills!#REF!,"AAAAAD/vdWM=")</f>
        <v>#REF!</v>
      </c>
      <c r="CW33" t="e">
        <f>AND(Bills!#REF!,"AAAAAD/vdWQ=")</f>
        <v>#REF!</v>
      </c>
      <c r="CX33" t="e">
        <f>AND(Bills!Y20,"AAAAAD/vdWU=")</f>
        <v>#VALUE!</v>
      </c>
      <c r="CY33" t="e">
        <f>AND(Bills!Z20,"AAAAAD/vdWY=")</f>
        <v>#VALUE!</v>
      </c>
      <c r="CZ33" t="e">
        <f>AND(Bills!#REF!,"AAAAAD/vdWc=")</f>
        <v>#REF!</v>
      </c>
      <c r="DA33" t="e">
        <f>AND(Bills!#REF!,"AAAAAD/vdWg=")</f>
        <v>#REF!</v>
      </c>
      <c r="DB33" t="e">
        <f>AND(Bills!#REF!,"AAAAAD/vdWk=")</f>
        <v>#REF!</v>
      </c>
      <c r="DC33" t="e">
        <f>AND(Bills!AA20,"AAAAAD/vdWo=")</f>
        <v>#VALUE!</v>
      </c>
      <c r="DD33" t="e">
        <f>AND(Bills!AB20,"AAAAAD/vdWs=")</f>
        <v>#VALUE!</v>
      </c>
      <c r="DE33" t="e">
        <f>AND(Bills!#REF!,"AAAAAD/vdWw=")</f>
        <v>#REF!</v>
      </c>
      <c r="DF33" t="e">
        <f>IF(Bills!#REF!,"AAAAAD/vdW0=",0)</f>
        <v>#REF!</v>
      </c>
      <c r="DG33" t="e">
        <f>AND(Bills!#REF!,"AAAAAD/vdW4=")</f>
        <v>#REF!</v>
      </c>
      <c r="DH33" t="e">
        <f>AND(Bills!#REF!,"AAAAAD/vdW8=")</f>
        <v>#REF!</v>
      </c>
      <c r="DI33" t="e">
        <f>AND(Bills!#REF!,"AAAAAD/vdXA=")</f>
        <v>#REF!</v>
      </c>
      <c r="DJ33" t="e">
        <f>AND(Bills!#REF!,"AAAAAD/vdXE=")</f>
        <v>#REF!</v>
      </c>
      <c r="DK33" t="e">
        <f>AND(Bills!#REF!,"AAAAAD/vdXI=")</f>
        <v>#REF!</v>
      </c>
      <c r="DL33" t="e">
        <f>AND(Bills!#REF!,"AAAAAD/vdXM=")</f>
        <v>#REF!</v>
      </c>
      <c r="DM33" t="e">
        <f>AND(Bills!#REF!,"AAAAAD/vdXQ=")</f>
        <v>#REF!</v>
      </c>
      <c r="DN33" t="e">
        <f>AND(Bills!#REF!,"AAAAAD/vdXU=")</f>
        <v>#REF!</v>
      </c>
      <c r="DO33" t="e">
        <f>AND(Bills!#REF!,"AAAAAD/vdXY=")</f>
        <v>#REF!</v>
      </c>
      <c r="DP33" t="e">
        <f>AND(Bills!#REF!,"AAAAAD/vdXc=")</f>
        <v>#REF!</v>
      </c>
      <c r="DQ33" t="e">
        <f>AND(Bills!#REF!,"AAAAAD/vdXg=")</f>
        <v>#REF!</v>
      </c>
      <c r="DR33" t="e">
        <f>AND(Bills!#REF!,"AAAAAD/vdXk=")</f>
        <v>#REF!</v>
      </c>
      <c r="DS33" t="e">
        <f>AND(Bills!#REF!,"AAAAAD/vdXo=")</f>
        <v>#REF!</v>
      </c>
      <c r="DT33" t="e">
        <f>AND(Bills!#REF!,"AAAAAD/vdXs=")</f>
        <v>#REF!</v>
      </c>
      <c r="DU33" t="e">
        <f>AND(Bills!#REF!,"AAAAAD/vdXw=")</f>
        <v>#REF!</v>
      </c>
      <c r="DV33" t="e">
        <f>AND(Bills!#REF!,"AAAAAD/vdX0=")</f>
        <v>#REF!</v>
      </c>
      <c r="DW33" t="e">
        <f>AND(Bills!#REF!,"AAAAAD/vdX4=")</f>
        <v>#REF!</v>
      </c>
      <c r="DX33" t="e">
        <f>AND(Bills!#REF!,"AAAAAD/vdX8=")</f>
        <v>#REF!</v>
      </c>
      <c r="DY33" t="e">
        <f>AND(Bills!#REF!,"AAAAAD/vdYA=")</f>
        <v>#REF!</v>
      </c>
      <c r="DZ33" t="e">
        <f>AND(Bills!#REF!,"AAAAAD/vdYE=")</f>
        <v>#REF!</v>
      </c>
      <c r="EA33" t="e">
        <f>AND(Bills!#REF!,"AAAAAD/vdYI=")</f>
        <v>#REF!</v>
      </c>
      <c r="EB33" t="e">
        <f>AND(Bills!#REF!,"AAAAAD/vdYM=")</f>
        <v>#REF!</v>
      </c>
      <c r="EC33" t="e">
        <f>AND(Bills!#REF!,"AAAAAD/vdYQ=")</f>
        <v>#REF!</v>
      </c>
      <c r="ED33" t="e">
        <f>AND(Bills!#REF!,"AAAAAD/vdYU=")</f>
        <v>#REF!</v>
      </c>
      <c r="EE33" t="e">
        <f>AND(Bills!#REF!,"AAAAAD/vdYY=")</f>
        <v>#REF!</v>
      </c>
      <c r="EF33" t="e">
        <f>AND(Bills!#REF!,"AAAAAD/vdYc=")</f>
        <v>#REF!</v>
      </c>
      <c r="EG33" t="e">
        <f>AND(Bills!#REF!,"AAAAAD/vdYg=")</f>
        <v>#REF!</v>
      </c>
      <c r="EH33" t="e">
        <f>AND(Bills!#REF!,"AAAAAD/vdYk=")</f>
        <v>#REF!</v>
      </c>
      <c r="EI33" t="e">
        <f>AND(Bills!#REF!,"AAAAAD/vdYo=")</f>
        <v>#REF!</v>
      </c>
      <c r="EJ33" t="e">
        <f>AND(Bills!#REF!,"AAAAAD/vdYs=")</f>
        <v>#REF!</v>
      </c>
      <c r="EK33" t="e">
        <f>AND(Bills!#REF!,"AAAAAD/vdYw=")</f>
        <v>#REF!</v>
      </c>
      <c r="EL33" t="e">
        <f>AND(Bills!#REF!,"AAAAAD/vdY0=")</f>
        <v>#REF!</v>
      </c>
      <c r="EM33" t="e">
        <f>AND(Bills!#REF!,"AAAAAD/vdY4=")</f>
        <v>#REF!</v>
      </c>
      <c r="EN33" t="e">
        <f>AND(Bills!#REF!,"AAAAAD/vdY8=")</f>
        <v>#REF!</v>
      </c>
      <c r="EO33" t="e">
        <f>AND(Bills!#REF!,"AAAAAD/vdZA=")</f>
        <v>#REF!</v>
      </c>
      <c r="EP33" t="e">
        <f>AND(Bills!#REF!,"AAAAAD/vdZE=")</f>
        <v>#REF!</v>
      </c>
      <c r="EQ33" t="e">
        <f>AND(Bills!#REF!,"AAAAAD/vdZI=")</f>
        <v>#REF!</v>
      </c>
      <c r="ER33" t="e">
        <f>AND(Bills!#REF!,"AAAAAD/vdZM=")</f>
        <v>#REF!</v>
      </c>
      <c r="ES33" t="e">
        <f>AND(Bills!#REF!,"AAAAAD/vdZQ=")</f>
        <v>#REF!</v>
      </c>
      <c r="ET33" t="e">
        <f>AND(Bills!#REF!,"AAAAAD/vdZU=")</f>
        <v>#REF!</v>
      </c>
      <c r="EU33" t="e">
        <f>AND(Bills!#REF!,"AAAAAD/vdZY=")</f>
        <v>#REF!</v>
      </c>
      <c r="EV33" t="e">
        <f>AND(Bills!#REF!,"AAAAAD/vdZc=")</f>
        <v>#REF!</v>
      </c>
      <c r="EW33" t="e">
        <f>AND(Bills!#REF!,"AAAAAD/vdZg=")</f>
        <v>#REF!</v>
      </c>
      <c r="EX33" t="e">
        <f>AND(Bills!#REF!,"AAAAAD/vdZk=")</f>
        <v>#REF!</v>
      </c>
      <c r="EY33" t="e">
        <f>AND(Bills!#REF!,"AAAAAD/vdZo=")</f>
        <v>#REF!</v>
      </c>
      <c r="EZ33" t="e">
        <f>AND(Bills!#REF!,"AAAAAD/vdZs=")</f>
        <v>#REF!</v>
      </c>
      <c r="FA33" t="e">
        <f>AND(Bills!#REF!,"AAAAAD/vdZw=")</f>
        <v>#REF!</v>
      </c>
      <c r="FB33" t="e">
        <f>AND(Bills!#REF!,"AAAAAD/vdZ0=")</f>
        <v>#REF!</v>
      </c>
      <c r="FC33" t="e">
        <f>AND(Bills!#REF!,"AAAAAD/vdZ4=")</f>
        <v>#REF!</v>
      </c>
      <c r="FD33" t="e">
        <f>AND(Bills!#REF!,"AAAAAD/vdZ8=")</f>
        <v>#REF!</v>
      </c>
      <c r="FE33" t="e">
        <f>IF(Bills!#REF!,"AAAAAD/vdaA=",0)</f>
        <v>#REF!</v>
      </c>
      <c r="FF33" t="e">
        <f>AND(Bills!#REF!,"AAAAAD/vdaE=")</f>
        <v>#REF!</v>
      </c>
      <c r="FG33" t="e">
        <f>AND(Bills!#REF!,"AAAAAD/vdaI=")</f>
        <v>#REF!</v>
      </c>
      <c r="FH33" t="e">
        <f>AND(Bills!#REF!,"AAAAAD/vdaM=")</f>
        <v>#REF!</v>
      </c>
      <c r="FI33" t="e">
        <f>AND(Bills!#REF!,"AAAAAD/vdaQ=")</f>
        <v>#REF!</v>
      </c>
      <c r="FJ33" t="e">
        <f>AND(Bills!#REF!,"AAAAAD/vdaU=")</f>
        <v>#REF!</v>
      </c>
      <c r="FK33" t="e">
        <f>AND(Bills!#REF!,"AAAAAD/vdaY=")</f>
        <v>#REF!</v>
      </c>
      <c r="FL33" t="e">
        <f>AND(Bills!#REF!,"AAAAAD/vdac=")</f>
        <v>#REF!</v>
      </c>
      <c r="FM33" t="e">
        <f>AND(Bills!#REF!,"AAAAAD/vdag=")</f>
        <v>#REF!</v>
      </c>
      <c r="FN33" t="e">
        <f>AND(Bills!#REF!,"AAAAAD/vdak=")</f>
        <v>#REF!</v>
      </c>
      <c r="FO33" t="e">
        <f>AND(Bills!#REF!,"AAAAAD/vdao=")</f>
        <v>#REF!</v>
      </c>
      <c r="FP33" t="e">
        <f>AND(Bills!#REF!,"AAAAAD/vdas=")</f>
        <v>#REF!</v>
      </c>
      <c r="FQ33" t="e">
        <f>AND(Bills!#REF!,"AAAAAD/vdaw=")</f>
        <v>#REF!</v>
      </c>
      <c r="FR33" t="e">
        <f>AND(Bills!#REF!,"AAAAAD/vda0=")</f>
        <v>#REF!</v>
      </c>
      <c r="FS33" t="e">
        <f>AND(Bills!#REF!,"AAAAAD/vda4=")</f>
        <v>#REF!</v>
      </c>
      <c r="FT33" t="e">
        <f>AND(Bills!#REF!,"AAAAAD/vda8=")</f>
        <v>#REF!</v>
      </c>
      <c r="FU33" t="e">
        <f>AND(Bills!#REF!,"AAAAAD/vdbA=")</f>
        <v>#REF!</v>
      </c>
      <c r="FV33" t="e">
        <f>AND(Bills!#REF!,"AAAAAD/vdbE=")</f>
        <v>#REF!</v>
      </c>
      <c r="FW33" t="e">
        <f>AND(Bills!#REF!,"AAAAAD/vdbI=")</f>
        <v>#REF!</v>
      </c>
      <c r="FX33" t="e">
        <f>AND(Bills!#REF!,"AAAAAD/vdbM=")</f>
        <v>#REF!</v>
      </c>
      <c r="FY33" t="e">
        <f>AND(Bills!#REF!,"AAAAAD/vdbQ=")</f>
        <v>#REF!</v>
      </c>
      <c r="FZ33" t="e">
        <f>AND(Bills!#REF!,"AAAAAD/vdbU=")</f>
        <v>#REF!</v>
      </c>
      <c r="GA33" t="e">
        <f>AND(Bills!#REF!,"AAAAAD/vdbY=")</f>
        <v>#REF!</v>
      </c>
      <c r="GB33" t="e">
        <f>AND(Bills!#REF!,"AAAAAD/vdbc=")</f>
        <v>#REF!</v>
      </c>
      <c r="GC33" t="e">
        <f>AND(Bills!#REF!,"AAAAAD/vdbg=")</f>
        <v>#REF!</v>
      </c>
      <c r="GD33" t="e">
        <f>AND(Bills!#REF!,"AAAAAD/vdbk=")</f>
        <v>#REF!</v>
      </c>
      <c r="GE33" t="e">
        <f>AND(Bills!#REF!,"AAAAAD/vdbo=")</f>
        <v>#REF!</v>
      </c>
      <c r="GF33" t="e">
        <f>AND(Bills!#REF!,"AAAAAD/vdbs=")</f>
        <v>#REF!</v>
      </c>
      <c r="GG33" t="e">
        <f>AND(Bills!#REF!,"AAAAAD/vdbw=")</f>
        <v>#REF!</v>
      </c>
      <c r="GH33" t="e">
        <f>AND(Bills!#REF!,"AAAAAD/vdb0=")</f>
        <v>#REF!</v>
      </c>
      <c r="GI33" t="e">
        <f>AND(Bills!#REF!,"AAAAAD/vdb4=")</f>
        <v>#REF!</v>
      </c>
      <c r="GJ33" t="e">
        <f>AND(Bills!#REF!,"AAAAAD/vdb8=")</f>
        <v>#REF!</v>
      </c>
      <c r="GK33" t="e">
        <f>AND(Bills!#REF!,"AAAAAD/vdcA=")</f>
        <v>#REF!</v>
      </c>
      <c r="GL33" t="e">
        <f>AND(Bills!#REF!,"AAAAAD/vdcE=")</f>
        <v>#REF!</v>
      </c>
      <c r="GM33" t="e">
        <f>AND(Bills!#REF!,"AAAAAD/vdcI=")</f>
        <v>#REF!</v>
      </c>
      <c r="GN33" t="e">
        <f>AND(Bills!#REF!,"AAAAAD/vdcM=")</f>
        <v>#REF!</v>
      </c>
      <c r="GO33" t="e">
        <f>AND(Bills!#REF!,"AAAAAD/vdcQ=")</f>
        <v>#REF!</v>
      </c>
      <c r="GP33" t="e">
        <f>AND(Bills!#REF!,"AAAAAD/vdcU=")</f>
        <v>#REF!</v>
      </c>
      <c r="GQ33" t="e">
        <f>AND(Bills!#REF!,"AAAAAD/vdcY=")</f>
        <v>#REF!</v>
      </c>
      <c r="GR33" t="e">
        <f>AND(Bills!#REF!,"AAAAAD/vdcc=")</f>
        <v>#REF!</v>
      </c>
      <c r="GS33" t="e">
        <f>AND(Bills!#REF!,"AAAAAD/vdcg=")</f>
        <v>#REF!</v>
      </c>
      <c r="GT33" t="e">
        <f>AND(Bills!#REF!,"AAAAAD/vdck=")</f>
        <v>#REF!</v>
      </c>
      <c r="GU33" t="e">
        <f>AND(Bills!#REF!,"AAAAAD/vdco=")</f>
        <v>#REF!</v>
      </c>
      <c r="GV33" t="e">
        <f>AND(Bills!#REF!,"AAAAAD/vdcs=")</f>
        <v>#REF!</v>
      </c>
      <c r="GW33" t="e">
        <f>AND(Bills!#REF!,"AAAAAD/vdcw=")</f>
        <v>#REF!</v>
      </c>
      <c r="GX33" t="e">
        <f>AND(Bills!#REF!,"AAAAAD/vdc0=")</f>
        <v>#REF!</v>
      </c>
      <c r="GY33" t="e">
        <f>AND(Bills!#REF!,"AAAAAD/vdc4=")</f>
        <v>#REF!</v>
      </c>
      <c r="GZ33" t="e">
        <f>AND(Bills!#REF!,"AAAAAD/vdc8=")</f>
        <v>#REF!</v>
      </c>
      <c r="HA33" t="e">
        <f>AND(Bills!#REF!,"AAAAAD/vddA=")</f>
        <v>#REF!</v>
      </c>
      <c r="HB33" t="e">
        <f>AND(Bills!#REF!,"AAAAAD/vddE=")</f>
        <v>#REF!</v>
      </c>
      <c r="HC33" t="e">
        <f>AND(Bills!#REF!,"AAAAAD/vddI=")</f>
        <v>#REF!</v>
      </c>
      <c r="HD33" t="e">
        <f>IF(Bills!#REF!,"AAAAAD/vddM=",0)</f>
        <v>#REF!</v>
      </c>
      <c r="HE33" t="e">
        <f>AND(Bills!#REF!,"AAAAAD/vddQ=")</f>
        <v>#REF!</v>
      </c>
      <c r="HF33" t="e">
        <f>AND(Bills!#REF!,"AAAAAD/vddU=")</f>
        <v>#REF!</v>
      </c>
      <c r="HG33" t="e">
        <f>AND(Bills!#REF!,"AAAAAD/vddY=")</f>
        <v>#REF!</v>
      </c>
      <c r="HH33" t="e">
        <f>AND(Bills!#REF!,"AAAAAD/vddc=")</f>
        <v>#REF!</v>
      </c>
      <c r="HI33" t="e">
        <f>AND(Bills!#REF!,"AAAAAD/vddg=")</f>
        <v>#REF!</v>
      </c>
      <c r="HJ33" t="e">
        <f>AND(Bills!#REF!,"AAAAAD/vddk=")</f>
        <v>#REF!</v>
      </c>
      <c r="HK33" t="e">
        <f>AND(Bills!#REF!,"AAAAAD/vddo=")</f>
        <v>#REF!</v>
      </c>
      <c r="HL33" t="e">
        <f>AND(Bills!#REF!,"AAAAAD/vdds=")</f>
        <v>#REF!</v>
      </c>
      <c r="HM33" t="e">
        <f>AND(Bills!#REF!,"AAAAAD/vddw=")</f>
        <v>#REF!</v>
      </c>
      <c r="HN33" t="e">
        <f>AND(Bills!#REF!,"AAAAAD/vdd0=")</f>
        <v>#REF!</v>
      </c>
      <c r="HO33" t="e">
        <f>AND(Bills!#REF!,"AAAAAD/vdd4=")</f>
        <v>#REF!</v>
      </c>
      <c r="HP33" t="e">
        <f>AND(Bills!#REF!,"AAAAAD/vdd8=")</f>
        <v>#REF!</v>
      </c>
      <c r="HQ33" t="e">
        <f>AND(Bills!#REF!,"AAAAAD/vdeA=")</f>
        <v>#REF!</v>
      </c>
      <c r="HR33" t="e">
        <f>AND(Bills!#REF!,"AAAAAD/vdeE=")</f>
        <v>#REF!</v>
      </c>
      <c r="HS33" t="e">
        <f>AND(Bills!#REF!,"AAAAAD/vdeI=")</f>
        <v>#REF!</v>
      </c>
      <c r="HT33" t="e">
        <f>AND(Bills!#REF!,"AAAAAD/vdeM=")</f>
        <v>#REF!</v>
      </c>
      <c r="HU33" t="e">
        <f>AND(Bills!#REF!,"AAAAAD/vdeQ=")</f>
        <v>#REF!</v>
      </c>
      <c r="HV33" t="e">
        <f>AND(Bills!#REF!,"AAAAAD/vdeU=")</f>
        <v>#REF!</v>
      </c>
      <c r="HW33" t="e">
        <f>AND(Bills!#REF!,"AAAAAD/vdeY=")</f>
        <v>#REF!</v>
      </c>
      <c r="HX33" t="e">
        <f>AND(Bills!#REF!,"AAAAAD/vdec=")</f>
        <v>#REF!</v>
      </c>
      <c r="HY33" t="e">
        <f>AND(Bills!#REF!,"AAAAAD/vdeg=")</f>
        <v>#REF!</v>
      </c>
      <c r="HZ33" t="e">
        <f>AND(Bills!#REF!,"AAAAAD/vdek=")</f>
        <v>#REF!</v>
      </c>
      <c r="IA33" t="e">
        <f>AND(Bills!#REF!,"AAAAAD/vdeo=")</f>
        <v>#REF!</v>
      </c>
      <c r="IB33" t="e">
        <f>AND(Bills!#REF!,"AAAAAD/vdes=")</f>
        <v>#REF!</v>
      </c>
      <c r="IC33" t="e">
        <f>AND(Bills!#REF!,"AAAAAD/vdew=")</f>
        <v>#REF!</v>
      </c>
      <c r="ID33" t="e">
        <f>AND(Bills!#REF!,"AAAAAD/vde0=")</f>
        <v>#REF!</v>
      </c>
      <c r="IE33" t="e">
        <f>AND(Bills!#REF!,"AAAAAD/vde4=")</f>
        <v>#REF!</v>
      </c>
      <c r="IF33" t="e">
        <f>AND(Bills!#REF!,"AAAAAD/vde8=")</f>
        <v>#REF!</v>
      </c>
      <c r="IG33" t="e">
        <f>AND(Bills!#REF!,"AAAAAD/vdfA=")</f>
        <v>#REF!</v>
      </c>
      <c r="IH33" t="e">
        <f>AND(Bills!#REF!,"AAAAAD/vdfE=")</f>
        <v>#REF!</v>
      </c>
      <c r="II33" t="e">
        <f>AND(Bills!#REF!,"AAAAAD/vdfI=")</f>
        <v>#REF!</v>
      </c>
      <c r="IJ33" t="e">
        <f>AND(Bills!#REF!,"AAAAAD/vdfM=")</f>
        <v>#REF!</v>
      </c>
      <c r="IK33" t="e">
        <f>AND(Bills!#REF!,"AAAAAD/vdfQ=")</f>
        <v>#REF!</v>
      </c>
      <c r="IL33" t="e">
        <f>AND(Bills!#REF!,"AAAAAD/vdfU=")</f>
        <v>#REF!</v>
      </c>
      <c r="IM33" t="e">
        <f>AND(Bills!#REF!,"AAAAAD/vdfY=")</f>
        <v>#REF!</v>
      </c>
      <c r="IN33" t="e">
        <f>AND(Bills!#REF!,"AAAAAD/vdfc=")</f>
        <v>#REF!</v>
      </c>
      <c r="IO33" t="e">
        <f>AND(Bills!#REF!,"AAAAAD/vdfg=")</f>
        <v>#REF!</v>
      </c>
      <c r="IP33" t="e">
        <f>AND(Bills!#REF!,"AAAAAD/vdfk=")</f>
        <v>#REF!</v>
      </c>
      <c r="IQ33" t="e">
        <f>AND(Bills!#REF!,"AAAAAD/vdfo=")</f>
        <v>#REF!</v>
      </c>
      <c r="IR33" t="e">
        <f>AND(Bills!#REF!,"AAAAAD/vdfs=")</f>
        <v>#REF!</v>
      </c>
      <c r="IS33" t="e">
        <f>AND(Bills!#REF!,"AAAAAD/vdfw=")</f>
        <v>#REF!</v>
      </c>
      <c r="IT33" t="e">
        <f>AND(Bills!#REF!,"AAAAAD/vdf0=")</f>
        <v>#REF!</v>
      </c>
      <c r="IU33" t="e">
        <f>AND(Bills!#REF!,"AAAAAD/vdf4=")</f>
        <v>#REF!</v>
      </c>
      <c r="IV33" t="e">
        <f>AND(Bills!#REF!,"AAAAAD/vdf8=")</f>
        <v>#REF!</v>
      </c>
    </row>
    <row r="34" spans="1:256">
      <c r="A34" t="e">
        <f>AND(Bills!#REF!,"AAAAAHvX9wA=")</f>
        <v>#REF!</v>
      </c>
      <c r="B34" t="e">
        <f>AND(Bills!#REF!,"AAAAAHvX9wE=")</f>
        <v>#REF!</v>
      </c>
      <c r="C34" t="e">
        <f>AND(Bills!#REF!,"AAAAAHvX9wI=")</f>
        <v>#REF!</v>
      </c>
      <c r="D34" t="e">
        <f>AND(Bills!#REF!,"AAAAAHvX9wM=")</f>
        <v>#REF!</v>
      </c>
      <c r="E34" t="e">
        <f>AND(Bills!#REF!,"AAAAAHvX9wQ=")</f>
        <v>#REF!</v>
      </c>
      <c r="F34" t="e">
        <f>AND(Bills!#REF!,"AAAAAHvX9wU=")</f>
        <v>#REF!</v>
      </c>
      <c r="G34" t="e">
        <f>IF(Bills!#REF!,"AAAAAHvX9wY=",0)</f>
        <v>#REF!</v>
      </c>
      <c r="H34" t="e">
        <f>AND(Bills!#REF!,"AAAAAHvX9wc=")</f>
        <v>#REF!</v>
      </c>
      <c r="I34" t="e">
        <f>AND(Bills!#REF!,"AAAAAHvX9wg=")</f>
        <v>#REF!</v>
      </c>
      <c r="J34" t="e">
        <f>AND(Bills!#REF!,"AAAAAHvX9wk=")</f>
        <v>#REF!</v>
      </c>
      <c r="K34" t="e">
        <f>AND(Bills!#REF!,"AAAAAHvX9wo=")</f>
        <v>#REF!</v>
      </c>
      <c r="L34" t="e">
        <f>AND(Bills!#REF!,"AAAAAHvX9ws=")</f>
        <v>#REF!</v>
      </c>
      <c r="M34" t="e">
        <f>AND(Bills!#REF!,"AAAAAHvX9ww=")</f>
        <v>#REF!</v>
      </c>
      <c r="N34" t="e">
        <f>AND(Bills!#REF!,"AAAAAHvX9w0=")</f>
        <v>#REF!</v>
      </c>
      <c r="O34" t="e">
        <f>AND(Bills!#REF!,"AAAAAHvX9w4=")</f>
        <v>#REF!</v>
      </c>
      <c r="P34" t="e">
        <f>AND(Bills!#REF!,"AAAAAHvX9w8=")</f>
        <v>#REF!</v>
      </c>
      <c r="Q34" t="e">
        <f>AND(Bills!#REF!,"AAAAAHvX9xA=")</f>
        <v>#REF!</v>
      </c>
      <c r="R34" t="e">
        <f>AND(Bills!#REF!,"AAAAAHvX9xE=")</f>
        <v>#REF!</v>
      </c>
      <c r="S34" t="e">
        <f>AND(Bills!#REF!,"AAAAAHvX9xI=")</f>
        <v>#REF!</v>
      </c>
      <c r="T34" t="e">
        <f>AND(Bills!#REF!,"AAAAAHvX9xM=")</f>
        <v>#REF!</v>
      </c>
      <c r="U34" t="e">
        <f>AND(Bills!#REF!,"AAAAAHvX9xQ=")</f>
        <v>#REF!</v>
      </c>
      <c r="V34" t="e">
        <f>AND(Bills!#REF!,"AAAAAHvX9xU=")</f>
        <v>#REF!</v>
      </c>
      <c r="W34" t="e">
        <f>AND(Bills!#REF!,"AAAAAHvX9xY=")</f>
        <v>#REF!</v>
      </c>
      <c r="X34" t="e">
        <f>AND(Bills!#REF!,"AAAAAHvX9xc=")</f>
        <v>#REF!</v>
      </c>
      <c r="Y34" t="e">
        <f>AND(Bills!#REF!,"AAAAAHvX9xg=")</f>
        <v>#REF!</v>
      </c>
      <c r="Z34" t="e">
        <f>AND(Bills!#REF!,"AAAAAHvX9xk=")</f>
        <v>#REF!</v>
      </c>
      <c r="AA34" t="e">
        <f>AND(Bills!#REF!,"AAAAAHvX9xo=")</f>
        <v>#REF!</v>
      </c>
      <c r="AB34" t="e">
        <f>AND(Bills!#REF!,"AAAAAHvX9xs=")</f>
        <v>#REF!</v>
      </c>
      <c r="AC34" t="e">
        <f>AND(Bills!#REF!,"AAAAAHvX9xw=")</f>
        <v>#REF!</v>
      </c>
      <c r="AD34" t="e">
        <f>AND(Bills!#REF!,"AAAAAHvX9x0=")</f>
        <v>#REF!</v>
      </c>
      <c r="AE34" t="e">
        <f>AND(Bills!#REF!,"AAAAAHvX9x4=")</f>
        <v>#REF!</v>
      </c>
      <c r="AF34" t="e">
        <f>AND(Bills!#REF!,"AAAAAHvX9x8=")</f>
        <v>#REF!</v>
      </c>
      <c r="AG34" t="e">
        <f>AND(Bills!#REF!,"AAAAAHvX9yA=")</f>
        <v>#REF!</v>
      </c>
      <c r="AH34" t="e">
        <f>AND(Bills!#REF!,"AAAAAHvX9yE=")</f>
        <v>#REF!</v>
      </c>
      <c r="AI34" t="e">
        <f>AND(Bills!#REF!,"AAAAAHvX9yI=")</f>
        <v>#REF!</v>
      </c>
      <c r="AJ34" t="e">
        <f>AND(Bills!#REF!,"AAAAAHvX9yM=")</f>
        <v>#REF!</v>
      </c>
      <c r="AK34" t="e">
        <f>AND(Bills!#REF!,"AAAAAHvX9yQ=")</f>
        <v>#REF!</v>
      </c>
      <c r="AL34" t="e">
        <f>AND(Bills!#REF!,"AAAAAHvX9yU=")</f>
        <v>#REF!</v>
      </c>
      <c r="AM34" t="e">
        <f>AND(Bills!#REF!,"AAAAAHvX9yY=")</f>
        <v>#REF!</v>
      </c>
      <c r="AN34" t="e">
        <f>AND(Bills!#REF!,"AAAAAHvX9yc=")</f>
        <v>#REF!</v>
      </c>
      <c r="AO34" t="e">
        <f>AND(Bills!#REF!,"AAAAAHvX9yg=")</f>
        <v>#REF!</v>
      </c>
      <c r="AP34" t="e">
        <f>AND(Bills!#REF!,"AAAAAHvX9yk=")</f>
        <v>#REF!</v>
      </c>
      <c r="AQ34" t="e">
        <f>AND(Bills!#REF!,"AAAAAHvX9yo=")</f>
        <v>#REF!</v>
      </c>
      <c r="AR34" t="e">
        <f>AND(Bills!#REF!,"AAAAAHvX9ys=")</f>
        <v>#REF!</v>
      </c>
      <c r="AS34" t="e">
        <f>AND(Bills!#REF!,"AAAAAHvX9yw=")</f>
        <v>#REF!</v>
      </c>
      <c r="AT34" t="e">
        <f>AND(Bills!#REF!,"AAAAAHvX9y0=")</f>
        <v>#REF!</v>
      </c>
      <c r="AU34" t="e">
        <f>AND(Bills!#REF!,"AAAAAHvX9y4=")</f>
        <v>#REF!</v>
      </c>
      <c r="AV34" t="e">
        <f>AND(Bills!#REF!,"AAAAAHvX9y8=")</f>
        <v>#REF!</v>
      </c>
      <c r="AW34" t="e">
        <f>AND(Bills!#REF!,"AAAAAHvX9zA=")</f>
        <v>#REF!</v>
      </c>
      <c r="AX34" t="e">
        <f>AND(Bills!#REF!,"AAAAAHvX9zE=")</f>
        <v>#REF!</v>
      </c>
      <c r="AY34" t="e">
        <f>AND(Bills!#REF!,"AAAAAHvX9zI=")</f>
        <v>#REF!</v>
      </c>
      <c r="AZ34" t="e">
        <f>AND(Bills!#REF!,"AAAAAHvX9zM=")</f>
        <v>#REF!</v>
      </c>
      <c r="BA34" t="e">
        <f>AND(Bills!#REF!,"AAAAAHvX9zQ=")</f>
        <v>#REF!</v>
      </c>
      <c r="BB34" t="e">
        <f>AND(Bills!#REF!,"AAAAAHvX9zU=")</f>
        <v>#REF!</v>
      </c>
      <c r="BC34" t="e">
        <f>AND(Bills!#REF!,"AAAAAHvX9zY=")</f>
        <v>#REF!</v>
      </c>
      <c r="BD34" t="e">
        <f>AND(Bills!#REF!,"AAAAAHvX9zc=")</f>
        <v>#REF!</v>
      </c>
      <c r="BE34" t="e">
        <f>AND(Bills!#REF!,"AAAAAHvX9zg=")</f>
        <v>#REF!</v>
      </c>
      <c r="BF34" t="e">
        <f>IF(Bills!#REF!,"AAAAAHvX9zk=",0)</f>
        <v>#REF!</v>
      </c>
      <c r="BG34" t="e">
        <f>AND(Bills!#REF!,"AAAAAHvX9zo=")</f>
        <v>#REF!</v>
      </c>
      <c r="BH34" t="e">
        <f>AND(Bills!#REF!,"AAAAAHvX9zs=")</f>
        <v>#REF!</v>
      </c>
      <c r="BI34" t="e">
        <f>AND(Bills!#REF!,"AAAAAHvX9zw=")</f>
        <v>#REF!</v>
      </c>
      <c r="BJ34" t="e">
        <f>AND(Bills!#REF!,"AAAAAHvX9z0=")</f>
        <v>#REF!</v>
      </c>
      <c r="BK34" t="e">
        <f>AND(Bills!#REF!,"AAAAAHvX9z4=")</f>
        <v>#REF!</v>
      </c>
      <c r="BL34" t="e">
        <f>AND(Bills!#REF!,"AAAAAHvX9z8=")</f>
        <v>#REF!</v>
      </c>
      <c r="BM34" t="e">
        <f>AND(Bills!#REF!,"AAAAAHvX90A=")</f>
        <v>#REF!</v>
      </c>
      <c r="BN34" t="e">
        <f>AND(Bills!#REF!,"AAAAAHvX90E=")</f>
        <v>#REF!</v>
      </c>
      <c r="BO34" t="e">
        <f>AND(Bills!#REF!,"AAAAAHvX90I=")</f>
        <v>#REF!</v>
      </c>
      <c r="BP34" t="e">
        <f>AND(Bills!#REF!,"AAAAAHvX90M=")</f>
        <v>#REF!</v>
      </c>
      <c r="BQ34" t="e">
        <f>AND(Bills!#REF!,"AAAAAHvX90Q=")</f>
        <v>#REF!</v>
      </c>
      <c r="BR34" t="e">
        <f>AND(Bills!#REF!,"AAAAAHvX90U=")</f>
        <v>#REF!</v>
      </c>
      <c r="BS34" t="e">
        <f>AND(Bills!#REF!,"AAAAAHvX90Y=")</f>
        <v>#REF!</v>
      </c>
      <c r="BT34" t="e">
        <f>AND(Bills!#REF!,"AAAAAHvX90c=")</f>
        <v>#REF!</v>
      </c>
      <c r="BU34" t="e">
        <f>AND(Bills!#REF!,"AAAAAHvX90g=")</f>
        <v>#REF!</v>
      </c>
      <c r="BV34" t="e">
        <f>AND(Bills!#REF!,"AAAAAHvX90k=")</f>
        <v>#REF!</v>
      </c>
      <c r="BW34" t="e">
        <f>AND(Bills!#REF!,"AAAAAHvX90o=")</f>
        <v>#REF!</v>
      </c>
      <c r="BX34" t="e">
        <f>AND(Bills!#REF!,"AAAAAHvX90s=")</f>
        <v>#REF!</v>
      </c>
      <c r="BY34" t="e">
        <f>AND(Bills!#REF!,"AAAAAHvX90w=")</f>
        <v>#REF!</v>
      </c>
      <c r="BZ34" t="e">
        <f>AND(Bills!#REF!,"AAAAAHvX900=")</f>
        <v>#REF!</v>
      </c>
      <c r="CA34" t="e">
        <f>AND(Bills!#REF!,"AAAAAHvX904=")</f>
        <v>#REF!</v>
      </c>
      <c r="CB34" t="e">
        <f>AND(Bills!#REF!,"AAAAAHvX908=")</f>
        <v>#REF!</v>
      </c>
      <c r="CC34" t="e">
        <f>AND(Bills!#REF!,"AAAAAHvX91A=")</f>
        <v>#REF!</v>
      </c>
      <c r="CD34" t="e">
        <f>AND(Bills!#REF!,"AAAAAHvX91E=")</f>
        <v>#REF!</v>
      </c>
      <c r="CE34" t="e">
        <f>AND(Bills!#REF!,"AAAAAHvX91I=")</f>
        <v>#REF!</v>
      </c>
      <c r="CF34" t="e">
        <f>AND(Bills!#REF!,"AAAAAHvX91M=")</f>
        <v>#REF!</v>
      </c>
      <c r="CG34" t="e">
        <f>AND(Bills!#REF!,"AAAAAHvX91Q=")</f>
        <v>#REF!</v>
      </c>
      <c r="CH34" t="e">
        <f>AND(Bills!#REF!,"AAAAAHvX91U=")</f>
        <v>#REF!</v>
      </c>
      <c r="CI34" t="e">
        <f>AND(Bills!#REF!,"AAAAAHvX91Y=")</f>
        <v>#REF!</v>
      </c>
      <c r="CJ34" t="e">
        <f>AND(Bills!#REF!,"AAAAAHvX91c=")</f>
        <v>#REF!</v>
      </c>
      <c r="CK34" t="e">
        <f>AND(Bills!#REF!,"AAAAAHvX91g=")</f>
        <v>#REF!</v>
      </c>
      <c r="CL34" t="e">
        <f>AND(Bills!#REF!,"AAAAAHvX91k=")</f>
        <v>#REF!</v>
      </c>
      <c r="CM34" t="e">
        <f>AND(Bills!#REF!,"AAAAAHvX91o=")</f>
        <v>#REF!</v>
      </c>
      <c r="CN34" t="e">
        <f>AND(Bills!#REF!,"AAAAAHvX91s=")</f>
        <v>#REF!</v>
      </c>
      <c r="CO34" t="e">
        <f>AND(Bills!#REF!,"AAAAAHvX91w=")</f>
        <v>#REF!</v>
      </c>
      <c r="CP34" t="e">
        <f>AND(Bills!#REF!,"AAAAAHvX910=")</f>
        <v>#REF!</v>
      </c>
      <c r="CQ34" t="e">
        <f>AND(Bills!#REF!,"AAAAAHvX914=")</f>
        <v>#REF!</v>
      </c>
      <c r="CR34" t="e">
        <f>AND(Bills!#REF!,"AAAAAHvX918=")</f>
        <v>#REF!</v>
      </c>
      <c r="CS34" t="e">
        <f>AND(Bills!#REF!,"AAAAAHvX92A=")</f>
        <v>#REF!</v>
      </c>
      <c r="CT34" t="e">
        <f>AND(Bills!#REF!,"AAAAAHvX92E=")</f>
        <v>#REF!</v>
      </c>
      <c r="CU34" t="e">
        <f>AND(Bills!#REF!,"AAAAAHvX92I=")</f>
        <v>#REF!</v>
      </c>
      <c r="CV34" t="e">
        <f>AND(Bills!#REF!,"AAAAAHvX92M=")</f>
        <v>#REF!</v>
      </c>
      <c r="CW34" t="e">
        <f>AND(Bills!#REF!,"AAAAAHvX92Q=")</f>
        <v>#REF!</v>
      </c>
      <c r="CX34" t="e">
        <f>AND(Bills!#REF!,"AAAAAHvX92U=")</f>
        <v>#REF!</v>
      </c>
      <c r="CY34" t="e">
        <f>AND(Bills!#REF!,"AAAAAHvX92Y=")</f>
        <v>#REF!</v>
      </c>
      <c r="CZ34" t="e">
        <f>AND(Bills!#REF!,"AAAAAHvX92c=")</f>
        <v>#REF!</v>
      </c>
      <c r="DA34" t="e">
        <f>AND(Bills!#REF!,"AAAAAHvX92g=")</f>
        <v>#REF!</v>
      </c>
      <c r="DB34" t="e">
        <f>AND(Bills!#REF!,"AAAAAHvX92k=")</f>
        <v>#REF!</v>
      </c>
      <c r="DC34" t="e">
        <f>AND(Bills!#REF!,"AAAAAHvX92o=")</f>
        <v>#REF!</v>
      </c>
      <c r="DD34" t="e">
        <f>AND(Bills!#REF!,"AAAAAHvX92s=")</f>
        <v>#REF!</v>
      </c>
      <c r="DE34" t="e">
        <f>IF(Bills!#REF!,"AAAAAHvX92w=",0)</f>
        <v>#REF!</v>
      </c>
      <c r="DF34" t="e">
        <f>AND(Bills!#REF!,"AAAAAHvX920=")</f>
        <v>#REF!</v>
      </c>
      <c r="DG34" t="e">
        <f>AND(Bills!#REF!,"AAAAAHvX924=")</f>
        <v>#REF!</v>
      </c>
      <c r="DH34" t="e">
        <f>AND(Bills!#REF!,"AAAAAHvX928=")</f>
        <v>#REF!</v>
      </c>
      <c r="DI34" t="e">
        <f>AND(Bills!#REF!,"AAAAAHvX93A=")</f>
        <v>#REF!</v>
      </c>
      <c r="DJ34" t="e">
        <f>AND(Bills!#REF!,"AAAAAHvX93E=")</f>
        <v>#REF!</v>
      </c>
      <c r="DK34" t="e">
        <f>AND(Bills!#REF!,"AAAAAHvX93I=")</f>
        <v>#REF!</v>
      </c>
      <c r="DL34" t="e">
        <f>AND(Bills!#REF!,"AAAAAHvX93M=")</f>
        <v>#REF!</v>
      </c>
      <c r="DM34" t="e">
        <f>AND(Bills!#REF!,"AAAAAHvX93Q=")</f>
        <v>#REF!</v>
      </c>
      <c r="DN34" t="e">
        <f>AND(Bills!#REF!,"AAAAAHvX93U=")</f>
        <v>#REF!</v>
      </c>
      <c r="DO34" t="e">
        <f>AND(Bills!#REF!,"AAAAAHvX93Y=")</f>
        <v>#REF!</v>
      </c>
      <c r="DP34" t="e">
        <f>AND(Bills!#REF!,"AAAAAHvX93c=")</f>
        <v>#REF!</v>
      </c>
      <c r="DQ34" t="e">
        <f>AND(Bills!#REF!,"AAAAAHvX93g=")</f>
        <v>#REF!</v>
      </c>
      <c r="DR34" t="e">
        <f>AND(Bills!#REF!,"AAAAAHvX93k=")</f>
        <v>#REF!</v>
      </c>
      <c r="DS34" t="e">
        <f>AND(Bills!#REF!,"AAAAAHvX93o=")</f>
        <v>#REF!</v>
      </c>
      <c r="DT34" t="e">
        <f>AND(Bills!#REF!,"AAAAAHvX93s=")</f>
        <v>#REF!</v>
      </c>
      <c r="DU34" t="e">
        <f>AND(Bills!#REF!,"AAAAAHvX93w=")</f>
        <v>#REF!</v>
      </c>
      <c r="DV34" t="e">
        <f>AND(Bills!#REF!,"AAAAAHvX930=")</f>
        <v>#REF!</v>
      </c>
      <c r="DW34" t="e">
        <f>AND(Bills!#REF!,"AAAAAHvX934=")</f>
        <v>#REF!</v>
      </c>
      <c r="DX34" t="e">
        <f>AND(Bills!#REF!,"AAAAAHvX938=")</f>
        <v>#REF!</v>
      </c>
      <c r="DY34" t="e">
        <f>AND(Bills!#REF!,"AAAAAHvX94A=")</f>
        <v>#REF!</v>
      </c>
      <c r="DZ34" t="e">
        <f>AND(Bills!#REF!,"AAAAAHvX94E=")</f>
        <v>#REF!</v>
      </c>
      <c r="EA34" t="e">
        <f>AND(Bills!#REF!,"AAAAAHvX94I=")</f>
        <v>#REF!</v>
      </c>
      <c r="EB34" t="e">
        <f>AND(Bills!#REF!,"AAAAAHvX94M=")</f>
        <v>#REF!</v>
      </c>
      <c r="EC34" t="e">
        <f>AND(Bills!#REF!,"AAAAAHvX94Q=")</f>
        <v>#REF!</v>
      </c>
      <c r="ED34" t="e">
        <f>AND(Bills!#REF!,"AAAAAHvX94U=")</f>
        <v>#REF!</v>
      </c>
      <c r="EE34" t="e">
        <f>AND(Bills!#REF!,"AAAAAHvX94Y=")</f>
        <v>#REF!</v>
      </c>
      <c r="EF34" t="e">
        <f>AND(Bills!#REF!,"AAAAAHvX94c=")</f>
        <v>#REF!</v>
      </c>
      <c r="EG34" t="e">
        <f>AND(Bills!#REF!,"AAAAAHvX94g=")</f>
        <v>#REF!</v>
      </c>
      <c r="EH34" t="e">
        <f>AND(Bills!#REF!,"AAAAAHvX94k=")</f>
        <v>#REF!</v>
      </c>
      <c r="EI34" t="e">
        <f>AND(Bills!#REF!,"AAAAAHvX94o=")</f>
        <v>#REF!</v>
      </c>
      <c r="EJ34" t="e">
        <f>AND(Bills!#REF!,"AAAAAHvX94s=")</f>
        <v>#REF!</v>
      </c>
      <c r="EK34" t="e">
        <f>AND(Bills!#REF!,"AAAAAHvX94w=")</f>
        <v>#REF!</v>
      </c>
      <c r="EL34" t="e">
        <f>AND(Bills!#REF!,"AAAAAHvX940=")</f>
        <v>#REF!</v>
      </c>
      <c r="EM34" t="e">
        <f>AND(Bills!#REF!,"AAAAAHvX944=")</f>
        <v>#REF!</v>
      </c>
      <c r="EN34" t="e">
        <f>AND(Bills!#REF!,"AAAAAHvX948=")</f>
        <v>#REF!</v>
      </c>
      <c r="EO34" t="e">
        <f>AND(Bills!#REF!,"AAAAAHvX95A=")</f>
        <v>#REF!</v>
      </c>
      <c r="EP34" t="e">
        <f>AND(Bills!#REF!,"AAAAAHvX95E=")</f>
        <v>#REF!</v>
      </c>
      <c r="EQ34" t="e">
        <f>AND(Bills!#REF!,"AAAAAHvX95I=")</f>
        <v>#REF!</v>
      </c>
      <c r="ER34" t="e">
        <f>AND(Bills!#REF!,"AAAAAHvX95M=")</f>
        <v>#REF!</v>
      </c>
      <c r="ES34" t="e">
        <f>AND(Bills!#REF!,"AAAAAHvX95Q=")</f>
        <v>#REF!</v>
      </c>
      <c r="ET34" t="e">
        <f>AND(Bills!#REF!,"AAAAAHvX95U=")</f>
        <v>#REF!</v>
      </c>
      <c r="EU34" t="e">
        <f>AND(Bills!#REF!,"AAAAAHvX95Y=")</f>
        <v>#REF!</v>
      </c>
      <c r="EV34" t="e">
        <f>AND(Bills!#REF!,"AAAAAHvX95c=")</f>
        <v>#REF!</v>
      </c>
      <c r="EW34" t="e">
        <f>AND(Bills!#REF!,"AAAAAHvX95g=")</f>
        <v>#REF!</v>
      </c>
      <c r="EX34" t="e">
        <f>AND(Bills!#REF!,"AAAAAHvX95k=")</f>
        <v>#REF!</v>
      </c>
      <c r="EY34" t="e">
        <f>AND(Bills!#REF!,"AAAAAHvX95o=")</f>
        <v>#REF!</v>
      </c>
      <c r="EZ34" t="e">
        <f>AND(Bills!#REF!,"AAAAAHvX95s=")</f>
        <v>#REF!</v>
      </c>
      <c r="FA34" t="e">
        <f>AND(Bills!#REF!,"AAAAAHvX95w=")</f>
        <v>#REF!</v>
      </c>
      <c r="FB34" t="e">
        <f>AND(Bills!#REF!,"AAAAAHvX950=")</f>
        <v>#REF!</v>
      </c>
      <c r="FC34" t="e">
        <f>AND(Bills!#REF!,"AAAAAHvX954=")</f>
        <v>#REF!</v>
      </c>
      <c r="FD34">
        <f>IF(Bills!22:22,"AAAAAHvX958=",0)</f>
        <v>0</v>
      </c>
      <c r="FE34" t="e">
        <f>AND(Bills!B22,"AAAAAHvX96A=")</f>
        <v>#VALUE!</v>
      </c>
      <c r="FF34" t="e">
        <f>AND(Bills!#REF!,"AAAAAHvX96E=")</f>
        <v>#REF!</v>
      </c>
      <c r="FG34" t="e">
        <f>AND(Bills!C22,"AAAAAHvX96I=")</f>
        <v>#VALUE!</v>
      </c>
      <c r="FH34" t="e">
        <f>AND(Bills!#REF!,"AAAAAHvX96M=")</f>
        <v>#REF!</v>
      </c>
      <c r="FI34" t="e">
        <f>AND(Bills!#REF!,"AAAAAHvX96Q=")</f>
        <v>#REF!</v>
      </c>
      <c r="FJ34" t="e">
        <f>AND(Bills!#REF!,"AAAAAHvX96U=")</f>
        <v>#REF!</v>
      </c>
      <c r="FK34" t="e">
        <f>AND(Bills!#REF!,"AAAAAHvX96Y=")</f>
        <v>#REF!</v>
      </c>
      <c r="FL34" t="e">
        <f>AND(Bills!#REF!,"AAAAAHvX96c=")</f>
        <v>#REF!</v>
      </c>
      <c r="FM34" t="e">
        <f>AND(Bills!D22,"AAAAAHvX96g=")</f>
        <v>#VALUE!</v>
      </c>
      <c r="FN34" t="e">
        <f>AND(Bills!#REF!,"AAAAAHvX96k=")</f>
        <v>#REF!</v>
      </c>
      <c r="FO34" t="e">
        <f>AND(Bills!E22,"AAAAAHvX96o=")</f>
        <v>#VALUE!</v>
      </c>
      <c r="FP34" t="e">
        <f>AND(Bills!F22,"AAAAAHvX96s=")</f>
        <v>#VALUE!</v>
      </c>
      <c r="FQ34" t="e">
        <f>AND(Bills!G22,"AAAAAHvX96w=")</f>
        <v>#VALUE!</v>
      </c>
      <c r="FR34" t="e">
        <f>AND(Bills!H22,"AAAAAHvX960=")</f>
        <v>#VALUE!</v>
      </c>
      <c r="FS34" t="e">
        <f>AND(Bills!I22,"AAAAAHvX964=")</f>
        <v>#VALUE!</v>
      </c>
      <c r="FT34" t="e">
        <f>AND(Bills!J22,"AAAAAHvX968=")</f>
        <v>#VALUE!</v>
      </c>
      <c r="FU34" t="e">
        <f>AND(Bills!#REF!,"AAAAAHvX97A=")</f>
        <v>#REF!</v>
      </c>
      <c r="FV34" t="e">
        <f>AND(Bills!K22,"AAAAAHvX97E=")</f>
        <v>#VALUE!</v>
      </c>
      <c r="FW34" t="e">
        <f>AND(Bills!L22,"AAAAAHvX97I=")</f>
        <v>#VALUE!</v>
      </c>
      <c r="FX34" t="e">
        <f>AND(Bills!M22,"AAAAAHvX97M=")</f>
        <v>#VALUE!</v>
      </c>
      <c r="FY34" t="e">
        <f>AND(Bills!N22,"AAAAAHvX97Q=")</f>
        <v>#VALUE!</v>
      </c>
      <c r="FZ34" t="e">
        <f>AND(Bills!O22,"AAAAAHvX97U=")</f>
        <v>#VALUE!</v>
      </c>
      <c r="GA34" t="e">
        <f>AND(Bills!P22,"AAAAAHvX97Y=")</f>
        <v>#VALUE!</v>
      </c>
      <c r="GB34" t="e">
        <f>AND(Bills!Q22,"AAAAAHvX97c=")</f>
        <v>#VALUE!</v>
      </c>
      <c r="GC34" t="e">
        <f>AND(Bills!R22,"AAAAAHvX97g=")</f>
        <v>#VALUE!</v>
      </c>
      <c r="GD34" t="e">
        <f>AND(Bills!#REF!,"AAAAAHvX97k=")</f>
        <v>#REF!</v>
      </c>
      <c r="GE34" t="e">
        <f>AND(Bills!S22,"AAAAAHvX97o=")</f>
        <v>#VALUE!</v>
      </c>
      <c r="GF34" t="e">
        <f>AND(Bills!T22,"AAAAAHvX97s=")</f>
        <v>#VALUE!</v>
      </c>
      <c r="GG34" t="e">
        <f>AND(Bills!U22,"AAAAAHvX97w=")</f>
        <v>#VALUE!</v>
      </c>
      <c r="GH34" t="e">
        <f>AND(Bills!#REF!,"AAAAAHvX970=")</f>
        <v>#REF!</v>
      </c>
      <c r="GI34" t="e">
        <f>AND(Bills!#REF!,"AAAAAHvX974=")</f>
        <v>#REF!</v>
      </c>
      <c r="GJ34" t="e">
        <f>AND(Bills!W22,"AAAAAHvX978=")</f>
        <v>#VALUE!</v>
      </c>
      <c r="GK34" t="e">
        <f>AND(Bills!X22,"AAAAAHvX98A=")</f>
        <v>#VALUE!</v>
      </c>
      <c r="GL34" t="e">
        <f>AND(Bills!#REF!,"AAAAAHvX98E=")</f>
        <v>#REF!</v>
      </c>
      <c r="GM34" t="e">
        <f>AND(Bills!#REF!,"AAAAAHvX98I=")</f>
        <v>#REF!</v>
      </c>
      <c r="GN34" t="e">
        <f>AND(Bills!#REF!,"AAAAAHvX98M=")</f>
        <v>#REF!</v>
      </c>
      <c r="GO34" t="e">
        <f>AND(Bills!#REF!,"AAAAAHvX98Q=")</f>
        <v>#REF!</v>
      </c>
      <c r="GP34" t="e">
        <f>AND(Bills!#REF!,"AAAAAHvX98U=")</f>
        <v>#REF!</v>
      </c>
      <c r="GQ34" t="e">
        <f>AND(Bills!#REF!,"AAAAAHvX98Y=")</f>
        <v>#REF!</v>
      </c>
      <c r="GR34" t="e">
        <f>AND(Bills!#REF!,"AAAAAHvX98c=")</f>
        <v>#REF!</v>
      </c>
      <c r="GS34" t="e">
        <f>AND(Bills!#REF!,"AAAAAHvX98g=")</f>
        <v>#REF!</v>
      </c>
      <c r="GT34" t="e">
        <f>AND(Bills!#REF!,"AAAAAHvX98k=")</f>
        <v>#REF!</v>
      </c>
      <c r="GU34" t="e">
        <f>AND(Bills!Y22,"AAAAAHvX98o=")</f>
        <v>#VALUE!</v>
      </c>
      <c r="GV34" t="e">
        <f>AND(Bills!Z22,"AAAAAHvX98s=")</f>
        <v>#VALUE!</v>
      </c>
      <c r="GW34" t="e">
        <f>AND(Bills!#REF!,"AAAAAHvX98w=")</f>
        <v>#REF!</v>
      </c>
      <c r="GX34" t="e">
        <f>AND(Bills!#REF!,"AAAAAHvX980=")</f>
        <v>#REF!</v>
      </c>
      <c r="GY34" t="e">
        <f>AND(Bills!#REF!,"AAAAAHvX984=")</f>
        <v>#REF!</v>
      </c>
      <c r="GZ34" t="e">
        <f>AND(Bills!AA22,"AAAAAHvX988=")</f>
        <v>#VALUE!</v>
      </c>
      <c r="HA34" t="e">
        <f>AND(Bills!AB22,"AAAAAHvX99A=")</f>
        <v>#VALUE!</v>
      </c>
      <c r="HB34" t="e">
        <f>AND(Bills!#REF!,"AAAAAHvX99E=")</f>
        <v>#REF!</v>
      </c>
      <c r="HC34" t="e">
        <f>IF(Bills!#REF!,"AAAAAHvX99I=",0)</f>
        <v>#REF!</v>
      </c>
      <c r="HD34" t="e">
        <f>AND(Bills!#REF!,"AAAAAHvX99M=")</f>
        <v>#REF!</v>
      </c>
      <c r="HE34" t="e">
        <f>AND(Bills!#REF!,"AAAAAHvX99Q=")</f>
        <v>#REF!</v>
      </c>
      <c r="HF34" t="e">
        <f>AND(Bills!#REF!,"AAAAAHvX99U=")</f>
        <v>#REF!</v>
      </c>
      <c r="HG34" t="e">
        <f>AND(Bills!#REF!,"AAAAAHvX99Y=")</f>
        <v>#REF!</v>
      </c>
      <c r="HH34" t="e">
        <f>AND(Bills!#REF!,"AAAAAHvX99c=")</f>
        <v>#REF!</v>
      </c>
      <c r="HI34" t="e">
        <f>AND(Bills!#REF!,"AAAAAHvX99g=")</f>
        <v>#REF!</v>
      </c>
      <c r="HJ34" t="e">
        <f>AND(Bills!#REF!,"AAAAAHvX99k=")</f>
        <v>#REF!</v>
      </c>
      <c r="HK34" t="e">
        <f>AND(Bills!#REF!,"AAAAAHvX99o=")</f>
        <v>#REF!</v>
      </c>
      <c r="HL34" t="e">
        <f>AND(Bills!#REF!,"AAAAAHvX99s=")</f>
        <v>#REF!</v>
      </c>
      <c r="HM34" t="e">
        <f>AND(Bills!#REF!,"AAAAAHvX99w=")</f>
        <v>#REF!</v>
      </c>
      <c r="HN34" t="e">
        <f>AND(Bills!#REF!,"AAAAAHvX990=")</f>
        <v>#REF!</v>
      </c>
      <c r="HO34" t="e">
        <f>AND(Bills!#REF!,"AAAAAHvX994=")</f>
        <v>#REF!</v>
      </c>
      <c r="HP34" t="e">
        <f>AND(Bills!#REF!,"AAAAAHvX998=")</f>
        <v>#REF!</v>
      </c>
      <c r="HQ34" t="e">
        <f>AND(Bills!#REF!,"AAAAAHvX9+A=")</f>
        <v>#REF!</v>
      </c>
      <c r="HR34" t="e">
        <f>AND(Bills!#REF!,"AAAAAHvX9+E=")</f>
        <v>#REF!</v>
      </c>
      <c r="HS34" t="e">
        <f>AND(Bills!#REF!,"AAAAAHvX9+I=")</f>
        <v>#REF!</v>
      </c>
      <c r="HT34" t="e">
        <f>AND(Bills!#REF!,"AAAAAHvX9+M=")</f>
        <v>#REF!</v>
      </c>
      <c r="HU34" t="e">
        <f>AND(Bills!#REF!,"AAAAAHvX9+Q=")</f>
        <v>#REF!</v>
      </c>
      <c r="HV34" t="e">
        <f>AND(Bills!#REF!,"AAAAAHvX9+U=")</f>
        <v>#REF!</v>
      </c>
      <c r="HW34" t="e">
        <f>AND(Bills!#REF!,"AAAAAHvX9+Y=")</f>
        <v>#REF!</v>
      </c>
      <c r="HX34" t="e">
        <f>AND(Bills!#REF!,"AAAAAHvX9+c=")</f>
        <v>#REF!</v>
      </c>
      <c r="HY34" t="e">
        <f>AND(Bills!#REF!,"AAAAAHvX9+g=")</f>
        <v>#REF!</v>
      </c>
      <c r="HZ34" t="e">
        <f>AND(Bills!#REF!,"AAAAAHvX9+k=")</f>
        <v>#REF!</v>
      </c>
      <c r="IA34" t="e">
        <f>AND(Bills!#REF!,"AAAAAHvX9+o=")</f>
        <v>#REF!</v>
      </c>
      <c r="IB34" t="e">
        <f>AND(Bills!#REF!,"AAAAAHvX9+s=")</f>
        <v>#REF!</v>
      </c>
      <c r="IC34" t="e">
        <f>AND(Bills!#REF!,"AAAAAHvX9+w=")</f>
        <v>#REF!</v>
      </c>
      <c r="ID34" t="e">
        <f>AND(Bills!#REF!,"AAAAAHvX9+0=")</f>
        <v>#REF!</v>
      </c>
      <c r="IE34" t="e">
        <f>AND(Bills!#REF!,"AAAAAHvX9+4=")</f>
        <v>#REF!</v>
      </c>
      <c r="IF34" t="e">
        <f>AND(Bills!#REF!,"AAAAAHvX9+8=")</f>
        <v>#REF!</v>
      </c>
      <c r="IG34" t="e">
        <f>AND(Bills!#REF!,"AAAAAHvX9/A=")</f>
        <v>#REF!</v>
      </c>
      <c r="IH34" t="e">
        <f>AND(Bills!#REF!,"AAAAAHvX9/E=")</f>
        <v>#REF!</v>
      </c>
      <c r="II34" t="e">
        <f>AND(Bills!#REF!,"AAAAAHvX9/I=")</f>
        <v>#REF!</v>
      </c>
      <c r="IJ34" t="e">
        <f>AND(Bills!#REF!,"AAAAAHvX9/M=")</f>
        <v>#REF!</v>
      </c>
      <c r="IK34" t="e">
        <f>AND(Bills!#REF!,"AAAAAHvX9/Q=")</f>
        <v>#REF!</v>
      </c>
      <c r="IL34" t="e">
        <f>AND(Bills!#REF!,"AAAAAHvX9/U=")</f>
        <v>#REF!</v>
      </c>
      <c r="IM34" t="e">
        <f>AND(Bills!#REF!,"AAAAAHvX9/Y=")</f>
        <v>#REF!</v>
      </c>
      <c r="IN34" t="e">
        <f>AND(Bills!#REF!,"AAAAAHvX9/c=")</f>
        <v>#REF!</v>
      </c>
      <c r="IO34" t="e">
        <f>AND(Bills!#REF!,"AAAAAHvX9/g=")</f>
        <v>#REF!</v>
      </c>
      <c r="IP34" t="e">
        <f>AND(Bills!#REF!,"AAAAAHvX9/k=")</f>
        <v>#REF!</v>
      </c>
      <c r="IQ34" t="e">
        <f>AND(Bills!#REF!,"AAAAAHvX9/o=")</f>
        <v>#REF!</v>
      </c>
      <c r="IR34" t="e">
        <f>AND(Bills!#REF!,"AAAAAHvX9/s=")</f>
        <v>#REF!</v>
      </c>
      <c r="IS34" t="e">
        <f>AND(Bills!#REF!,"AAAAAHvX9/w=")</f>
        <v>#REF!</v>
      </c>
      <c r="IT34" t="e">
        <f>AND(Bills!#REF!,"AAAAAHvX9/0=")</f>
        <v>#REF!</v>
      </c>
      <c r="IU34" t="e">
        <f>AND(Bills!#REF!,"AAAAAHvX9/4=")</f>
        <v>#REF!</v>
      </c>
      <c r="IV34" t="e">
        <f>AND(Bills!#REF!,"AAAAAHvX9/8=")</f>
        <v>#REF!</v>
      </c>
    </row>
    <row r="35" spans="1:256">
      <c r="A35" t="e">
        <f>AND(Bills!#REF!,"AAAAACf+dwA=")</f>
        <v>#REF!</v>
      </c>
      <c r="B35" t="e">
        <f>AND(Bills!#REF!,"AAAAACf+dwE=")</f>
        <v>#REF!</v>
      </c>
      <c r="C35" t="e">
        <f>AND(Bills!#REF!,"AAAAACf+dwI=")</f>
        <v>#REF!</v>
      </c>
      <c r="D35" t="e">
        <f>AND(Bills!#REF!,"AAAAACf+dwM=")</f>
        <v>#REF!</v>
      </c>
      <c r="E35" t="e">
        <f>AND(Bills!#REF!,"AAAAACf+dwQ=")</f>
        <v>#REF!</v>
      </c>
      <c r="F35" t="e">
        <f>IF(Bills!#REF!,"AAAAACf+dwU=",0)</f>
        <v>#REF!</v>
      </c>
      <c r="G35" t="e">
        <f>AND(Bills!#REF!,"AAAAACf+dwY=")</f>
        <v>#REF!</v>
      </c>
      <c r="H35" t="e">
        <f>AND(Bills!#REF!,"AAAAACf+dwc=")</f>
        <v>#REF!</v>
      </c>
      <c r="I35" t="e">
        <f>AND(Bills!#REF!,"AAAAACf+dwg=")</f>
        <v>#REF!</v>
      </c>
      <c r="J35" t="e">
        <f>AND(Bills!#REF!,"AAAAACf+dwk=")</f>
        <v>#REF!</v>
      </c>
      <c r="K35" t="e">
        <f>AND(Bills!#REF!,"AAAAACf+dwo=")</f>
        <v>#REF!</v>
      </c>
      <c r="L35" t="e">
        <f>AND(Bills!#REF!,"AAAAACf+dws=")</f>
        <v>#REF!</v>
      </c>
      <c r="M35" t="e">
        <f>AND(Bills!#REF!,"AAAAACf+dww=")</f>
        <v>#REF!</v>
      </c>
      <c r="N35" t="e">
        <f>AND(Bills!#REF!,"AAAAACf+dw0=")</f>
        <v>#REF!</v>
      </c>
      <c r="O35" t="e">
        <f>AND(Bills!#REF!,"AAAAACf+dw4=")</f>
        <v>#REF!</v>
      </c>
      <c r="P35" t="e">
        <f>AND(Bills!#REF!,"AAAAACf+dw8=")</f>
        <v>#REF!</v>
      </c>
      <c r="Q35" t="e">
        <f>AND(Bills!#REF!,"AAAAACf+dxA=")</f>
        <v>#REF!</v>
      </c>
      <c r="R35" t="e">
        <f>AND(Bills!#REF!,"AAAAACf+dxE=")</f>
        <v>#REF!</v>
      </c>
      <c r="S35" t="e">
        <f>AND(Bills!#REF!,"AAAAACf+dxI=")</f>
        <v>#REF!</v>
      </c>
      <c r="T35" t="e">
        <f>AND(Bills!#REF!,"AAAAACf+dxM=")</f>
        <v>#REF!</v>
      </c>
      <c r="U35" t="e">
        <f>AND(Bills!#REF!,"AAAAACf+dxQ=")</f>
        <v>#REF!</v>
      </c>
      <c r="V35" t="e">
        <f>AND(Bills!#REF!,"AAAAACf+dxU=")</f>
        <v>#REF!</v>
      </c>
      <c r="W35" t="e">
        <f>AND(Bills!#REF!,"AAAAACf+dxY=")</f>
        <v>#REF!</v>
      </c>
      <c r="X35" t="e">
        <f>AND(Bills!#REF!,"AAAAACf+dxc=")</f>
        <v>#REF!</v>
      </c>
      <c r="Y35" t="e">
        <f>AND(Bills!#REF!,"AAAAACf+dxg=")</f>
        <v>#REF!</v>
      </c>
      <c r="Z35" t="e">
        <f>AND(Bills!#REF!,"AAAAACf+dxk=")</f>
        <v>#REF!</v>
      </c>
      <c r="AA35" t="e">
        <f>AND(Bills!#REF!,"AAAAACf+dxo=")</f>
        <v>#REF!</v>
      </c>
      <c r="AB35" t="e">
        <f>AND(Bills!#REF!,"AAAAACf+dxs=")</f>
        <v>#REF!</v>
      </c>
      <c r="AC35" t="e">
        <f>AND(Bills!#REF!,"AAAAACf+dxw=")</f>
        <v>#REF!</v>
      </c>
      <c r="AD35" t="e">
        <f>AND(Bills!#REF!,"AAAAACf+dx0=")</f>
        <v>#REF!</v>
      </c>
      <c r="AE35" t="e">
        <f>AND(Bills!#REF!,"AAAAACf+dx4=")</f>
        <v>#REF!</v>
      </c>
      <c r="AF35" t="e">
        <f>AND(Bills!#REF!,"AAAAACf+dx8=")</f>
        <v>#REF!</v>
      </c>
      <c r="AG35" t="e">
        <f>AND(Bills!#REF!,"AAAAACf+dyA=")</f>
        <v>#REF!</v>
      </c>
      <c r="AH35" t="e">
        <f>AND(Bills!#REF!,"AAAAACf+dyE=")</f>
        <v>#REF!</v>
      </c>
      <c r="AI35" t="e">
        <f>AND(Bills!#REF!,"AAAAACf+dyI=")</f>
        <v>#REF!</v>
      </c>
      <c r="AJ35" t="e">
        <f>AND(Bills!#REF!,"AAAAACf+dyM=")</f>
        <v>#REF!</v>
      </c>
      <c r="AK35" t="e">
        <f>AND(Bills!#REF!,"AAAAACf+dyQ=")</f>
        <v>#REF!</v>
      </c>
      <c r="AL35" t="e">
        <f>AND(Bills!#REF!,"AAAAACf+dyU=")</f>
        <v>#REF!</v>
      </c>
      <c r="AM35" t="e">
        <f>AND(Bills!#REF!,"AAAAACf+dyY=")</f>
        <v>#REF!</v>
      </c>
      <c r="AN35" t="e">
        <f>AND(Bills!#REF!,"AAAAACf+dyc=")</f>
        <v>#REF!</v>
      </c>
      <c r="AO35" t="e">
        <f>AND(Bills!#REF!,"AAAAACf+dyg=")</f>
        <v>#REF!</v>
      </c>
      <c r="AP35" t="e">
        <f>AND(Bills!#REF!,"AAAAACf+dyk=")</f>
        <v>#REF!</v>
      </c>
      <c r="AQ35" t="e">
        <f>AND(Bills!#REF!,"AAAAACf+dyo=")</f>
        <v>#REF!</v>
      </c>
      <c r="AR35" t="e">
        <f>AND(Bills!#REF!,"AAAAACf+dys=")</f>
        <v>#REF!</v>
      </c>
      <c r="AS35" t="e">
        <f>AND(Bills!#REF!,"AAAAACf+dyw=")</f>
        <v>#REF!</v>
      </c>
      <c r="AT35" t="e">
        <f>AND(Bills!#REF!,"AAAAACf+dy0=")</f>
        <v>#REF!</v>
      </c>
      <c r="AU35" t="e">
        <f>AND(Bills!#REF!,"AAAAACf+dy4=")</f>
        <v>#REF!</v>
      </c>
      <c r="AV35" t="e">
        <f>AND(Bills!#REF!,"AAAAACf+dy8=")</f>
        <v>#REF!</v>
      </c>
      <c r="AW35" t="e">
        <f>AND(Bills!#REF!,"AAAAACf+dzA=")</f>
        <v>#REF!</v>
      </c>
      <c r="AX35" t="e">
        <f>AND(Bills!#REF!,"AAAAACf+dzE=")</f>
        <v>#REF!</v>
      </c>
      <c r="AY35" t="e">
        <f>AND(Bills!#REF!,"AAAAACf+dzI=")</f>
        <v>#REF!</v>
      </c>
      <c r="AZ35" t="e">
        <f>AND(Bills!#REF!,"AAAAACf+dzM=")</f>
        <v>#REF!</v>
      </c>
      <c r="BA35" t="e">
        <f>AND(Bills!#REF!,"AAAAACf+dzQ=")</f>
        <v>#REF!</v>
      </c>
      <c r="BB35" t="e">
        <f>AND(Bills!#REF!,"AAAAACf+dzU=")</f>
        <v>#REF!</v>
      </c>
      <c r="BC35" t="e">
        <f>AND(Bills!#REF!,"AAAAACf+dzY=")</f>
        <v>#REF!</v>
      </c>
      <c r="BD35" t="e">
        <f>AND(Bills!#REF!,"AAAAACf+dzc=")</f>
        <v>#REF!</v>
      </c>
      <c r="BE35" t="e">
        <f>IF(Bills!#REF!,"AAAAACf+dzg=",0)</f>
        <v>#REF!</v>
      </c>
      <c r="BF35" t="e">
        <f>AND(Bills!#REF!,"AAAAACf+dzk=")</f>
        <v>#REF!</v>
      </c>
      <c r="BG35" t="e">
        <f>AND(Bills!#REF!,"AAAAACf+dzo=")</f>
        <v>#REF!</v>
      </c>
      <c r="BH35" t="e">
        <f>AND(Bills!#REF!,"AAAAACf+dzs=")</f>
        <v>#REF!</v>
      </c>
      <c r="BI35" t="e">
        <f>AND(Bills!#REF!,"AAAAACf+dzw=")</f>
        <v>#REF!</v>
      </c>
      <c r="BJ35" t="e">
        <f>AND(Bills!#REF!,"AAAAACf+dz0=")</f>
        <v>#REF!</v>
      </c>
      <c r="BK35" t="e">
        <f>AND(Bills!#REF!,"AAAAACf+dz4=")</f>
        <v>#REF!</v>
      </c>
      <c r="BL35" t="e">
        <f>AND(Bills!#REF!,"AAAAACf+dz8=")</f>
        <v>#REF!</v>
      </c>
      <c r="BM35" t="e">
        <f>AND(Bills!#REF!,"AAAAACf+d0A=")</f>
        <v>#REF!</v>
      </c>
      <c r="BN35" t="e">
        <f>AND(Bills!#REF!,"AAAAACf+d0E=")</f>
        <v>#REF!</v>
      </c>
      <c r="BO35" t="e">
        <f>AND(Bills!#REF!,"AAAAACf+d0I=")</f>
        <v>#REF!</v>
      </c>
      <c r="BP35" t="e">
        <f>AND(Bills!#REF!,"AAAAACf+d0M=")</f>
        <v>#REF!</v>
      </c>
      <c r="BQ35" t="e">
        <f>AND(Bills!#REF!,"AAAAACf+d0Q=")</f>
        <v>#REF!</v>
      </c>
      <c r="BR35" t="e">
        <f>AND(Bills!#REF!,"AAAAACf+d0U=")</f>
        <v>#REF!</v>
      </c>
      <c r="BS35" t="e">
        <f>AND(Bills!#REF!,"AAAAACf+d0Y=")</f>
        <v>#REF!</v>
      </c>
      <c r="BT35" t="e">
        <f>AND(Bills!#REF!,"AAAAACf+d0c=")</f>
        <v>#REF!</v>
      </c>
      <c r="BU35" t="e">
        <f>AND(Bills!#REF!,"AAAAACf+d0g=")</f>
        <v>#REF!</v>
      </c>
      <c r="BV35" t="e">
        <f>AND(Bills!#REF!,"AAAAACf+d0k=")</f>
        <v>#REF!</v>
      </c>
      <c r="BW35" t="e">
        <f>AND(Bills!#REF!,"AAAAACf+d0o=")</f>
        <v>#REF!</v>
      </c>
      <c r="BX35" t="e">
        <f>AND(Bills!#REF!,"AAAAACf+d0s=")</f>
        <v>#REF!</v>
      </c>
      <c r="BY35" t="e">
        <f>AND(Bills!#REF!,"AAAAACf+d0w=")</f>
        <v>#REF!</v>
      </c>
      <c r="BZ35" t="e">
        <f>AND(Bills!#REF!,"AAAAACf+d00=")</f>
        <v>#REF!</v>
      </c>
      <c r="CA35" t="e">
        <f>AND(Bills!#REF!,"AAAAACf+d04=")</f>
        <v>#REF!</v>
      </c>
      <c r="CB35" t="e">
        <f>AND(Bills!#REF!,"AAAAACf+d08=")</f>
        <v>#REF!</v>
      </c>
      <c r="CC35" t="e">
        <f>AND(Bills!#REF!,"AAAAACf+d1A=")</f>
        <v>#REF!</v>
      </c>
      <c r="CD35" t="e">
        <f>AND(Bills!#REF!,"AAAAACf+d1E=")</f>
        <v>#REF!</v>
      </c>
      <c r="CE35" t="e">
        <f>AND(Bills!#REF!,"AAAAACf+d1I=")</f>
        <v>#REF!</v>
      </c>
      <c r="CF35" t="e">
        <f>AND(Bills!#REF!,"AAAAACf+d1M=")</f>
        <v>#REF!</v>
      </c>
      <c r="CG35" t="e">
        <f>AND(Bills!#REF!,"AAAAACf+d1Q=")</f>
        <v>#REF!</v>
      </c>
      <c r="CH35" t="e">
        <f>AND(Bills!#REF!,"AAAAACf+d1U=")</f>
        <v>#REF!</v>
      </c>
      <c r="CI35" t="e">
        <f>AND(Bills!#REF!,"AAAAACf+d1Y=")</f>
        <v>#REF!</v>
      </c>
      <c r="CJ35" t="e">
        <f>AND(Bills!#REF!,"AAAAACf+d1c=")</f>
        <v>#REF!</v>
      </c>
      <c r="CK35" t="e">
        <f>AND(Bills!#REF!,"AAAAACf+d1g=")</f>
        <v>#REF!</v>
      </c>
      <c r="CL35" t="e">
        <f>AND(Bills!#REF!,"AAAAACf+d1k=")</f>
        <v>#REF!</v>
      </c>
      <c r="CM35" t="e">
        <f>AND(Bills!#REF!,"AAAAACf+d1o=")</f>
        <v>#REF!</v>
      </c>
      <c r="CN35" t="e">
        <f>AND(Bills!#REF!,"AAAAACf+d1s=")</f>
        <v>#REF!</v>
      </c>
      <c r="CO35" t="e">
        <f>AND(Bills!#REF!,"AAAAACf+d1w=")</f>
        <v>#REF!</v>
      </c>
      <c r="CP35" t="e">
        <f>AND(Bills!#REF!,"AAAAACf+d10=")</f>
        <v>#REF!</v>
      </c>
      <c r="CQ35" t="e">
        <f>AND(Bills!#REF!,"AAAAACf+d14=")</f>
        <v>#REF!</v>
      </c>
      <c r="CR35" t="e">
        <f>AND(Bills!#REF!,"AAAAACf+d18=")</f>
        <v>#REF!</v>
      </c>
      <c r="CS35" t="e">
        <f>AND(Bills!#REF!,"AAAAACf+d2A=")</f>
        <v>#REF!</v>
      </c>
      <c r="CT35" t="e">
        <f>AND(Bills!#REF!,"AAAAACf+d2E=")</f>
        <v>#REF!</v>
      </c>
      <c r="CU35" t="e">
        <f>AND(Bills!#REF!,"AAAAACf+d2I=")</f>
        <v>#REF!</v>
      </c>
      <c r="CV35" t="e">
        <f>AND(Bills!#REF!,"AAAAACf+d2M=")</f>
        <v>#REF!</v>
      </c>
      <c r="CW35" t="e">
        <f>AND(Bills!#REF!,"AAAAACf+d2Q=")</f>
        <v>#REF!</v>
      </c>
      <c r="CX35" t="e">
        <f>AND(Bills!#REF!,"AAAAACf+d2U=")</f>
        <v>#REF!</v>
      </c>
      <c r="CY35" t="e">
        <f>AND(Bills!#REF!,"AAAAACf+d2Y=")</f>
        <v>#REF!</v>
      </c>
      <c r="CZ35" t="e">
        <f>AND(Bills!#REF!,"AAAAACf+d2c=")</f>
        <v>#REF!</v>
      </c>
      <c r="DA35" t="e">
        <f>AND(Bills!#REF!,"AAAAACf+d2g=")</f>
        <v>#REF!</v>
      </c>
      <c r="DB35" t="e">
        <f>AND(Bills!#REF!,"AAAAACf+d2k=")</f>
        <v>#REF!</v>
      </c>
      <c r="DC35" t="e">
        <f>AND(Bills!#REF!,"AAAAACf+d2o=")</f>
        <v>#REF!</v>
      </c>
      <c r="DD35" t="e">
        <f>IF(Bills!#REF!,"AAAAACf+d2s=",0)</f>
        <v>#REF!</v>
      </c>
      <c r="DE35" t="e">
        <f>AND(Bills!#REF!,"AAAAACf+d2w=")</f>
        <v>#REF!</v>
      </c>
      <c r="DF35" t="e">
        <f>AND(Bills!#REF!,"AAAAACf+d20=")</f>
        <v>#REF!</v>
      </c>
      <c r="DG35" t="e">
        <f>AND(Bills!#REF!,"AAAAACf+d24=")</f>
        <v>#REF!</v>
      </c>
      <c r="DH35" t="e">
        <f>AND(Bills!#REF!,"AAAAACf+d28=")</f>
        <v>#REF!</v>
      </c>
      <c r="DI35" t="e">
        <f>AND(Bills!#REF!,"AAAAACf+d3A=")</f>
        <v>#REF!</v>
      </c>
      <c r="DJ35" t="e">
        <f>AND(Bills!#REF!,"AAAAACf+d3E=")</f>
        <v>#REF!</v>
      </c>
      <c r="DK35" t="e">
        <f>AND(Bills!#REF!,"AAAAACf+d3I=")</f>
        <v>#REF!</v>
      </c>
      <c r="DL35" t="e">
        <f>AND(Bills!#REF!,"AAAAACf+d3M=")</f>
        <v>#REF!</v>
      </c>
      <c r="DM35" t="e">
        <f>AND(Bills!#REF!,"AAAAACf+d3Q=")</f>
        <v>#REF!</v>
      </c>
      <c r="DN35" t="e">
        <f>AND(Bills!#REF!,"AAAAACf+d3U=")</f>
        <v>#REF!</v>
      </c>
      <c r="DO35" t="e">
        <f>AND(Bills!#REF!,"AAAAACf+d3Y=")</f>
        <v>#REF!</v>
      </c>
      <c r="DP35" t="e">
        <f>AND(Bills!#REF!,"AAAAACf+d3c=")</f>
        <v>#REF!</v>
      </c>
      <c r="DQ35" t="e">
        <f>AND(Bills!#REF!,"AAAAACf+d3g=")</f>
        <v>#REF!</v>
      </c>
      <c r="DR35" t="e">
        <f>AND(Bills!#REF!,"AAAAACf+d3k=")</f>
        <v>#REF!</v>
      </c>
      <c r="DS35" t="e">
        <f>AND(Bills!#REF!,"AAAAACf+d3o=")</f>
        <v>#REF!</v>
      </c>
      <c r="DT35" t="e">
        <f>AND(Bills!#REF!,"AAAAACf+d3s=")</f>
        <v>#REF!</v>
      </c>
      <c r="DU35" t="e">
        <f>AND(Bills!#REF!,"AAAAACf+d3w=")</f>
        <v>#REF!</v>
      </c>
      <c r="DV35" t="e">
        <f>AND(Bills!#REF!,"AAAAACf+d30=")</f>
        <v>#REF!</v>
      </c>
      <c r="DW35" t="e">
        <f>AND(Bills!#REF!,"AAAAACf+d34=")</f>
        <v>#REF!</v>
      </c>
      <c r="DX35" t="e">
        <f>AND(Bills!#REF!,"AAAAACf+d38=")</f>
        <v>#REF!</v>
      </c>
      <c r="DY35" t="e">
        <f>AND(Bills!#REF!,"AAAAACf+d4A=")</f>
        <v>#REF!</v>
      </c>
      <c r="DZ35" t="e">
        <f>AND(Bills!#REF!,"AAAAACf+d4E=")</f>
        <v>#REF!</v>
      </c>
      <c r="EA35" t="e">
        <f>AND(Bills!#REF!,"AAAAACf+d4I=")</f>
        <v>#REF!</v>
      </c>
      <c r="EB35" t="e">
        <f>AND(Bills!#REF!,"AAAAACf+d4M=")</f>
        <v>#REF!</v>
      </c>
      <c r="EC35" t="e">
        <f>AND(Bills!#REF!,"AAAAACf+d4Q=")</f>
        <v>#REF!</v>
      </c>
      <c r="ED35" t="e">
        <f>AND(Bills!#REF!,"AAAAACf+d4U=")</f>
        <v>#REF!</v>
      </c>
      <c r="EE35" t="e">
        <f>AND(Bills!#REF!,"AAAAACf+d4Y=")</f>
        <v>#REF!</v>
      </c>
      <c r="EF35" t="e">
        <f>AND(Bills!#REF!,"AAAAACf+d4c=")</f>
        <v>#REF!</v>
      </c>
      <c r="EG35" t="e">
        <f>AND(Bills!#REF!,"AAAAACf+d4g=")</f>
        <v>#REF!</v>
      </c>
      <c r="EH35" t="e">
        <f>AND(Bills!#REF!,"AAAAACf+d4k=")</f>
        <v>#REF!</v>
      </c>
      <c r="EI35" t="e">
        <f>AND(Bills!#REF!,"AAAAACf+d4o=")</f>
        <v>#REF!</v>
      </c>
      <c r="EJ35" t="e">
        <f>AND(Bills!#REF!,"AAAAACf+d4s=")</f>
        <v>#REF!</v>
      </c>
      <c r="EK35" t="e">
        <f>AND(Bills!#REF!,"AAAAACf+d4w=")</f>
        <v>#REF!</v>
      </c>
      <c r="EL35" t="e">
        <f>AND(Bills!#REF!,"AAAAACf+d40=")</f>
        <v>#REF!</v>
      </c>
      <c r="EM35" t="e">
        <f>AND(Bills!#REF!,"AAAAACf+d44=")</f>
        <v>#REF!</v>
      </c>
      <c r="EN35" t="e">
        <f>AND(Bills!#REF!,"AAAAACf+d48=")</f>
        <v>#REF!</v>
      </c>
      <c r="EO35" t="e">
        <f>AND(Bills!#REF!,"AAAAACf+d5A=")</f>
        <v>#REF!</v>
      </c>
      <c r="EP35" t="e">
        <f>AND(Bills!#REF!,"AAAAACf+d5E=")</f>
        <v>#REF!</v>
      </c>
      <c r="EQ35" t="e">
        <f>AND(Bills!#REF!,"AAAAACf+d5I=")</f>
        <v>#REF!</v>
      </c>
      <c r="ER35" t="e">
        <f>AND(Bills!#REF!,"AAAAACf+d5M=")</f>
        <v>#REF!</v>
      </c>
      <c r="ES35" t="e">
        <f>AND(Bills!#REF!,"AAAAACf+d5Q=")</f>
        <v>#REF!</v>
      </c>
      <c r="ET35" t="e">
        <f>AND(Bills!#REF!,"AAAAACf+d5U=")</f>
        <v>#REF!</v>
      </c>
      <c r="EU35" t="e">
        <f>AND(Bills!#REF!,"AAAAACf+d5Y=")</f>
        <v>#REF!</v>
      </c>
      <c r="EV35" t="e">
        <f>AND(Bills!#REF!,"AAAAACf+d5c=")</f>
        <v>#REF!</v>
      </c>
      <c r="EW35" t="e">
        <f>AND(Bills!#REF!,"AAAAACf+d5g=")</f>
        <v>#REF!</v>
      </c>
      <c r="EX35" t="e">
        <f>AND(Bills!#REF!,"AAAAACf+d5k=")</f>
        <v>#REF!</v>
      </c>
      <c r="EY35" t="e">
        <f>AND(Bills!#REF!,"AAAAACf+d5o=")</f>
        <v>#REF!</v>
      </c>
      <c r="EZ35" t="e">
        <f>AND(Bills!#REF!,"AAAAACf+d5s=")</f>
        <v>#REF!</v>
      </c>
      <c r="FA35" t="e">
        <f>AND(Bills!#REF!,"AAAAACf+d5w=")</f>
        <v>#REF!</v>
      </c>
      <c r="FB35" t="e">
        <f>AND(Bills!#REF!,"AAAAACf+d50=")</f>
        <v>#REF!</v>
      </c>
      <c r="FC35" t="e">
        <f>IF(Bills!#REF!,"AAAAACf+d54=",0)</f>
        <v>#REF!</v>
      </c>
      <c r="FD35" t="e">
        <f>AND(Bills!#REF!,"AAAAACf+d58=")</f>
        <v>#REF!</v>
      </c>
      <c r="FE35" t="e">
        <f>AND(Bills!#REF!,"AAAAACf+d6A=")</f>
        <v>#REF!</v>
      </c>
      <c r="FF35" t="e">
        <f>AND(Bills!#REF!,"AAAAACf+d6E=")</f>
        <v>#REF!</v>
      </c>
      <c r="FG35" t="e">
        <f>AND(Bills!#REF!,"AAAAACf+d6I=")</f>
        <v>#REF!</v>
      </c>
      <c r="FH35" t="e">
        <f>AND(Bills!#REF!,"AAAAACf+d6M=")</f>
        <v>#REF!</v>
      </c>
      <c r="FI35" t="e">
        <f>AND(Bills!#REF!,"AAAAACf+d6Q=")</f>
        <v>#REF!</v>
      </c>
      <c r="FJ35" t="e">
        <f>AND(Bills!#REF!,"AAAAACf+d6U=")</f>
        <v>#REF!</v>
      </c>
      <c r="FK35" t="e">
        <f>AND(Bills!#REF!,"AAAAACf+d6Y=")</f>
        <v>#REF!</v>
      </c>
      <c r="FL35" t="e">
        <f>AND(Bills!#REF!,"AAAAACf+d6c=")</f>
        <v>#REF!</v>
      </c>
      <c r="FM35" t="e">
        <f>AND(Bills!#REF!,"AAAAACf+d6g=")</f>
        <v>#REF!</v>
      </c>
      <c r="FN35" t="e">
        <f>AND(Bills!#REF!,"AAAAACf+d6k=")</f>
        <v>#REF!</v>
      </c>
      <c r="FO35" t="e">
        <f>AND(Bills!#REF!,"AAAAACf+d6o=")</f>
        <v>#REF!</v>
      </c>
      <c r="FP35" t="e">
        <f>AND(Bills!#REF!,"AAAAACf+d6s=")</f>
        <v>#REF!</v>
      </c>
      <c r="FQ35" t="e">
        <f>AND(Bills!#REF!,"AAAAACf+d6w=")</f>
        <v>#REF!</v>
      </c>
      <c r="FR35" t="e">
        <f>AND(Bills!#REF!,"AAAAACf+d60=")</f>
        <v>#REF!</v>
      </c>
      <c r="FS35" t="e">
        <f>AND(Bills!#REF!,"AAAAACf+d64=")</f>
        <v>#REF!</v>
      </c>
      <c r="FT35" t="e">
        <f>AND(Bills!#REF!,"AAAAACf+d68=")</f>
        <v>#REF!</v>
      </c>
      <c r="FU35" t="e">
        <f>AND(Bills!#REF!,"AAAAACf+d7A=")</f>
        <v>#REF!</v>
      </c>
      <c r="FV35" t="e">
        <f>AND(Bills!#REF!,"AAAAACf+d7E=")</f>
        <v>#REF!</v>
      </c>
      <c r="FW35" t="e">
        <f>AND(Bills!#REF!,"AAAAACf+d7I=")</f>
        <v>#REF!</v>
      </c>
      <c r="FX35" t="e">
        <f>AND(Bills!#REF!,"AAAAACf+d7M=")</f>
        <v>#REF!</v>
      </c>
      <c r="FY35" t="e">
        <f>AND(Bills!#REF!,"AAAAACf+d7Q=")</f>
        <v>#REF!</v>
      </c>
      <c r="FZ35" t="e">
        <f>AND(Bills!#REF!,"AAAAACf+d7U=")</f>
        <v>#REF!</v>
      </c>
      <c r="GA35" t="e">
        <f>AND(Bills!#REF!,"AAAAACf+d7Y=")</f>
        <v>#REF!</v>
      </c>
      <c r="GB35" t="e">
        <f>AND(Bills!#REF!,"AAAAACf+d7c=")</f>
        <v>#REF!</v>
      </c>
      <c r="GC35" t="e">
        <f>AND(Bills!#REF!,"AAAAACf+d7g=")</f>
        <v>#REF!</v>
      </c>
      <c r="GD35" t="e">
        <f>AND(Bills!#REF!,"AAAAACf+d7k=")</f>
        <v>#REF!</v>
      </c>
      <c r="GE35" t="e">
        <f>AND(Bills!#REF!,"AAAAACf+d7o=")</f>
        <v>#REF!</v>
      </c>
      <c r="GF35" t="e">
        <f>AND(Bills!#REF!,"AAAAACf+d7s=")</f>
        <v>#REF!</v>
      </c>
      <c r="GG35" t="e">
        <f>AND(Bills!#REF!,"AAAAACf+d7w=")</f>
        <v>#REF!</v>
      </c>
      <c r="GH35" t="e">
        <f>AND(Bills!#REF!,"AAAAACf+d70=")</f>
        <v>#REF!</v>
      </c>
      <c r="GI35" t="e">
        <f>AND(Bills!#REF!,"AAAAACf+d74=")</f>
        <v>#REF!</v>
      </c>
      <c r="GJ35" t="e">
        <f>AND(Bills!#REF!,"AAAAACf+d78=")</f>
        <v>#REF!</v>
      </c>
      <c r="GK35" t="e">
        <f>AND(Bills!#REF!,"AAAAACf+d8A=")</f>
        <v>#REF!</v>
      </c>
      <c r="GL35" t="e">
        <f>AND(Bills!#REF!,"AAAAACf+d8E=")</f>
        <v>#REF!</v>
      </c>
      <c r="GM35" t="e">
        <f>AND(Bills!#REF!,"AAAAACf+d8I=")</f>
        <v>#REF!</v>
      </c>
      <c r="GN35" t="e">
        <f>AND(Bills!#REF!,"AAAAACf+d8M=")</f>
        <v>#REF!</v>
      </c>
      <c r="GO35" t="e">
        <f>AND(Bills!#REF!,"AAAAACf+d8Q=")</f>
        <v>#REF!</v>
      </c>
      <c r="GP35" t="e">
        <f>AND(Bills!#REF!,"AAAAACf+d8U=")</f>
        <v>#REF!</v>
      </c>
      <c r="GQ35" t="e">
        <f>AND(Bills!#REF!,"AAAAACf+d8Y=")</f>
        <v>#REF!</v>
      </c>
      <c r="GR35" t="e">
        <f>AND(Bills!#REF!,"AAAAACf+d8c=")</f>
        <v>#REF!</v>
      </c>
      <c r="GS35" t="e">
        <f>AND(Bills!#REF!,"AAAAACf+d8g=")</f>
        <v>#REF!</v>
      </c>
      <c r="GT35" t="e">
        <f>AND(Bills!#REF!,"AAAAACf+d8k=")</f>
        <v>#REF!</v>
      </c>
      <c r="GU35" t="e">
        <f>AND(Bills!#REF!,"AAAAACf+d8o=")</f>
        <v>#REF!</v>
      </c>
      <c r="GV35" t="e">
        <f>AND(Bills!#REF!,"AAAAACf+d8s=")</f>
        <v>#REF!</v>
      </c>
      <c r="GW35" t="e">
        <f>AND(Bills!#REF!,"AAAAACf+d8w=")</f>
        <v>#REF!</v>
      </c>
      <c r="GX35" t="e">
        <f>AND(Bills!#REF!,"AAAAACf+d80=")</f>
        <v>#REF!</v>
      </c>
      <c r="GY35" t="e">
        <f>AND(Bills!#REF!,"AAAAACf+d84=")</f>
        <v>#REF!</v>
      </c>
      <c r="GZ35" t="e">
        <f>AND(Bills!#REF!,"AAAAACf+d88=")</f>
        <v>#REF!</v>
      </c>
      <c r="HA35" t="e">
        <f>AND(Bills!#REF!,"AAAAACf+d9A=")</f>
        <v>#REF!</v>
      </c>
      <c r="HB35" t="e">
        <f>IF(Bills!#REF!,"AAAAACf+d9E=",0)</f>
        <v>#REF!</v>
      </c>
      <c r="HC35" t="e">
        <f>AND(Bills!#REF!,"AAAAACf+d9I=")</f>
        <v>#REF!</v>
      </c>
      <c r="HD35" t="e">
        <f>AND(Bills!#REF!,"AAAAACf+d9M=")</f>
        <v>#REF!</v>
      </c>
      <c r="HE35" t="e">
        <f>AND(Bills!#REF!,"AAAAACf+d9Q=")</f>
        <v>#REF!</v>
      </c>
      <c r="HF35" t="e">
        <f>AND(Bills!#REF!,"AAAAACf+d9U=")</f>
        <v>#REF!</v>
      </c>
      <c r="HG35" t="e">
        <f>AND(Bills!#REF!,"AAAAACf+d9Y=")</f>
        <v>#REF!</v>
      </c>
      <c r="HH35" t="e">
        <f>AND(Bills!#REF!,"AAAAACf+d9c=")</f>
        <v>#REF!</v>
      </c>
      <c r="HI35" t="e">
        <f>AND(Bills!#REF!,"AAAAACf+d9g=")</f>
        <v>#REF!</v>
      </c>
      <c r="HJ35" t="e">
        <f>AND(Bills!#REF!,"AAAAACf+d9k=")</f>
        <v>#REF!</v>
      </c>
      <c r="HK35" t="e">
        <f>AND(Bills!#REF!,"AAAAACf+d9o=")</f>
        <v>#REF!</v>
      </c>
      <c r="HL35" t="e">
        <f>AND(Bills!#REF!,"AAAAACf+d9s=")</f>
        <v>#REF!</v>
      </c>
      <c r="HM35" t="e">
        <f>AND(Bills!#REF!,"AAAAACf+d9w=")</f>
        <v>#REF!</v>
      </c>
      <c r="HN35" t="e">
        <f>AND(Bills!#REF!,"AAAAACf+d90=")</f>
        <v>#REF!</v>
      </c>
      <c r="HO35" t="e">
        <f>AND(Bills!#REF!,"AAAAACf+d94=")</f>
        <v>#REF!</v>
      </c>
      <c r="HP35" t="e">
        <f>AND(Bills!#REF!,"AAAAACf+d98=")</f>
        <v>#REF!</v>
      </c>
      <c r="HQ35" t="e">
        <f>AND(Bills!#REF!,"AAAAACf+d+A=")</f>
        <v>#REF!</v>
      </c>
      <c r="HR35" t="e">
        <f>AND(Bills!#REF!,"AAAAACf+d+E=")</f>
        <v>#REF!</v>
      </c>
      <c r="HS35" t="e">
        <f>AND(Bills!#REF!,"AAAAACf+d+I=")</f>
        <v>#REF!</v>
      </c>
      <c r="HT35" t="e">
        <f>AND(Bills!#REF!,"AAAAACf+d+M=")</f>
        <v>#REF!</v>
      </c>
      <c r="HU35" t="e">
        <f>AND(Bills!#REF!,"AAAAACf+d+Q=")</f>
        <v>#REF!</v>
      </c>
      <c r="HV35" t="e">
        <f>AND(Bills!#REF!,"AAAAACf+d+U=")</f>
        <v>#REF!</v>
      </c>
      <c r="HW35" t="e">
        <f>AND(Bills!#REF!,"AAAAACf+d+Y=")</f>
        <v>#REF!</v>
      </c>
      <c r="HX35" t="e">
        <f>AND(Bills!#REF!,"AAAAACf+d+c=")</f>
        <v>#REF!</v>
      </c>
      <c r="HY35" t="e">
        <f>AND(Bills!#REF!,"AAAAACf+d+g=")</f>
        <v>#REF!</v>
      </c>
      <c r="HZ35" t="e">
        <f>AND(Bills!#REF!,"AAAAACf+d+k=")</f>
        <v>#REF!</v>
      </c>
      <c r="IA35" t="e">
        <f>AND(Bills!#REF!,"AAAAACf+d+o=")</f>
        <v>#REF!</v>
      </c>
      <c r="IB35" t="e">
        <f>AND(Bills!#REF!,"AAAAACf+d+s=")</f>
        <v>#REF!</v>
      </c>
      <c r="IC35" t="e">
        <f>AND(Bills!#REF!,"AAAAACf+d+w=")</f>
        <v>#REF!</v>
      </c>
      <c r="ID35" t="e">
        <f>AND(Bills!#REF!,"AAAAACf+d+0=")</f>
        <v>#REF!</v>
      </c>
      <c r="IE35" t="e">
        <f>AND(Bills!#REF!,"AAAAACf+d+4=")</f>
        <v>#REF!</v>
      </c>
      <c r="IF35" t="e">
        <f>AND(Bills!#REF!,"AAAAACf+d+8=")</f>
        <v>#REF!</v>
      </c>
      <c r="IG35" t="e">
        <f>AND(Bills!#REF!,"AAAAACf+d/A=")</f>
        <v>#REF!</v>
      </c>
      <c r="IH35" t="e">
        <f>AND(Bills!#REF!,"AAAAACf+d/E=")</f>
        <v>#REF!</v>
      </c>
      <c r="II35" t="e">
        <f>AND(Bills!#REF!,"AAAAACf+d/I=")</f>
        <v>#REF!</v>
      </c>
      <c r="IJ35" t="e">
        <f>AND(Bills!#REF!,"AAAAACf+d/M=")</f>
        <v>#REF!</v>
      </c>
      <c r="IK35" t="e">
        <f>AND(Bills!#REF!,"AAAAACf+d/Q=")</f>
        <v>#REF!</v>
      </c>
      <c r="IL35" t="e">
        <f>AND(Bills!#REF!,"AAAAACf+d/U=")</f>
        <v>#REF!</v>
      </c>
      <c r="IM35" t="e">
        <f>AND(Bills!#REF!,"AAAAACf+d/Y=")</f>
        <v>#REF!</v>
      </c>
      <c r="IN35" t="e">
        <f>AND(Bills!#REF!,"AAAAACf+d/c=")</f>
        <v>#REF!</v>
      </c>
      <c r="IO35" t="e">
        <f>AND(Bills!#REF!,"AAAAACf+d/g=")</f>
        <v>#REF!</v>
      </c>
      <c r="IP35" t="e">
        <f>AND(Bills!#REF!,"AAAAACf+d/k=")</f>
        <v>#REF!</v>
      </c>
      <c r="IQ35" t="e">
        <f>AND(Bills!#REF!,"AAAAACf+d/o=")</f>
        <v>#REF!</v>
      </c>
      <c r="IR35" t="e">
        <f>AND(Bills!#REF!,"AAAAACf+d/s=")</f>
        <v>#REF!</v>
      </c>
      <c r="IS35" t="e">
        <f>AND(Bills!#REF!,"AAAAACf+d/w=")</f>
        <v>#REF!</v>
      </c>
      <c r="IT35" t="e">
        <f>AND(Bills!#REF!,"AAAAACf+d/0=")</f>
        <v>#REF!</v>
      </c>
      <c r="IU35" t="e">
        <f>AND(Bills!#REF!,"AAAAACf+d/4=")</f>
        <v>#REF!</v>
      </c>
      <c r="IV35" t="e">
        <f>AND(Bills!#REF!,"AAAAACf+d/8=")</f>
        <v>#REF!</v>
      </c>
    </row>
    <row r="36" spans="1:256">
      <c r="A36" t="e">
        <f>AND(Bills!#REF!,"AAAAAAuZqQA=")</f>
        <v>#REF!</v>
      </c>
      <c r="B36" t="e">
        <f>AND(Bills!#REF!,"AAAAAAuZqQE=")</f>
        <v>#REF!</v>
      </c>
      <c r="C36" t="e">
        <f>AND(Bills!#REF!,"AAAAAAuZqQI=")</f>
        <v>#REF!</v>
      </c>
      <c r="D36" t="e">
        <f>AND(Bills!#REF!,"AAAAAAuZqQM=")</f>
        <v>#REF!</v>
      </c>
      <c r="E36" t="e">
        <f>IF(Bills!#REF!,"AAAAAAuZqQQ=",0)</f>
        <v>#REF!</v>
      </c>
      <c r="F36" t="e">
        <f>AND(Bills!#REF!,"AAAAAAuZqQU=")</f>
        <v>#REF!</v>
      </c>
      <c r="G36" t="e">
        <f>AND(Bills!#REF!,"AAAAAAuZqQY=")</f>
        <v>#REF!</v>
      </c>
      <c r="H36" t="e">
        <f>AND(Bills!#REF!,"AAAAAAuZqQc=")</f>
        <v>#REF!</v>
      </c>
      <c r="I36" t="e">
        <f>AND(Bills!#REF!,"AAAAAAuZqQg=")</f>
        <v>#REF!</v>
      </c>
      <c r="J36" t="e">
        <f>AND(Bills!#REF!,"AAAAAAuZqQk=")</f>
        <v>#REF!</v>
      </c>
      <c r="K36" t="e">
        <f>AND(Bills!#REF!,"AAAAAAuZqQo=")</f>
        <v>#REF!</v>
      </c>
      <c r="L36" t="e">
        <f>AND(Bills!#REF!,"AAAAAAuZqQs=")</f>
        <v>#REF!</v>
      </c>
      <c r="M36" t="e">
        <f>AND(Bills!#REF!,"AAAAAAuZqQw=")</f>
        <v>#REF!</v>
      </c>
      <c r="N36" t="e">
        <f>AND(Bills!#REF!,"AAAAAAuZqQ0=")</f>
        <v>#REF!</v>
      </c>
      <c r="O36" t="e">
        <f>AND(Bills!#REF!,"AAAAAAuZqQ4=")</f>
        <v>#REF!</v>
      </c>
      <c r="P36" t="e">
        <f>AND(Bills!#REF!,"AAAAAAuZqQ8=")</f>
        <v>#REF!</v>
      </c>
      <c r="Q36" t="e">
        <f>AND(Bills!#REF!,"AAAAAAuZqRA=")</f>
        <v>#REF!</v>
      </c>
      <c r="R36" t="e">
        <f>AND(Bills!#REF!,"AAAAAAuZqRE=")</f>
        <v>#REF!</v>
      </c>
      <c r="S36" t="e">
        <f>AND(Bills!#REF!,"AAAAAAuZqRI=")</f>
        <v>#REF!</v>
      </c>
      <c r="T36" t="e">
        <f>AND(Bills!#REF!,"AAAAAAuZqRM=")</f>
        <v>#REF!</v>
      </c>
      <c r="U36" t="e">
        <f>AND(Bills!#REF!,"AAAAAAuZqRQ=")</f>
        <v>#REF!</v>
      </c>
      <c r="V36" t="e">
        <f>AND(Bills!#REF!,"AAAAAAuZqRU=")</f>
        <v>#REF!</v>
      </c>
      <c r="W36" t="e">
        <f>AND(Bills!#REF!,"AAAAAAuZqRY=")</f>
        <v>#REF!</v>
      </c>
      <c r="X36" t="e">
        <f>AND(Bills!#REF!,"AAAAAAuZqRc=")</f>
        <v>#REF!</v>
      </c>
      <c r="Y36" t="e">
        <f>AND(Bills!#REF!,"AAAAAAuZqRg=")</f>
        <v>#REF!</v>
      </c>
      <c r="Z36" t="e">
        <f>AND(Bills!#REF!,"AAAAAAuZqRk=")</f>
        <v>#REF!</v>
      </c>
      <c r="AA36" t="e">
        <f>AND(Bills!#REF!,"AAAAAAuZqRo=")</f>
        <v>#REF!</v>
      </c>
      <c r="AB36" t="e">
        <f>AND(Bills!#REF!,"AAAAAAuZqRs=")</f>
        <v>#REF!</v>
      </c>
      <c r="AC36" t="e">
        <f>AND(Bills!#REF!,"AAAAAAuZqRw=")</f>
        <v>#REF!</v>
      </c>
      <c r="AD36" t="e">
        <f>AND(Bills!#REF!,"AAAAAAuZqR0=")</f>
        <v>#REF!</v>
      </c>
      <c r="AE36" t="e">
        <f>AND(Bills!#REF!,"AAAAAAuZqR4=")</f>
        <v>#REF!</v>
      </c>
      <c r="AF36" t="e">
        <f>AND(Bills!#REF!,"AAAAAAuZqR8=")</f>
        <v>#REF!</v>
      </c>
      <c r="AG36" t="e">
        <f>AND(Bills!#REF!,"AAAAAAuZqSA=")</f>
        <v>#REF!</v>
      </c>
      <c r="AH36" t="e">
        <f>AND(Bills!#REF!,"AAAAAAuZqSE=")</f>
        <v>#REF!</v>
      </c>
      <c r="AI36" t="e">
        <f>AND(Bills!#REF!,"AAAAAAuZqSI=")</f>
        <v>#REF!</v>
      </c>
      <c r="AJ36" t="e">
        <f>AND(Bills!#REF!,"AAAAAAuZqSM=")</f>
        <v>#REF!</v>
      </c>
      <c r="AK36" t="e">
        <f>AND(Bills!#REF!,"AAAAAAuZqSQ=")</f>
        <v>#REF!</v>
      </c>
      <c r="AL36" t="e">
        <f>AND(Bills!#REF!,"AAAAAAuZqSU=")</f>
        <v>#REF!</v>
      </c>
      <c r="AM36" t="e">
        <f>AND(Bills!#REF!,"AAAAAAuZqSY=")</f>
        <v>#REF!</v>
      </c>
      <c r="AN36" t="e">
        <f>AND(Bills!#REF!,"AAAAAAuZqSc=")</f>
        <v>#REF!</v>
      </c>
      <c r="AO36" t="e">
        <f>AND(Bills!#REF!,"AAAAAAuZqSg=")</f>
        <v>#REF!</v>
      </c>
      <c r="AP36" t="e">
        <f>AND(Bills!#REF!,"AAAAAAuZqSk=")</f>
        <v>#REF!</v>
      </c>
      <c r="AQ36" t="e">
        <f>AND(Bills!#REF!,"AAAAAAuZqSo=")</f>
        <v>#REF!</v>
      </c>
      <c r="AR36" t="e">
        <f>AND(Bills!#REF!,"AAAAAAuZqSs=")</f>
        <v>#REF!</v>
      </c>
      <c r="AS36" t="e">
        <f>AND(Bills!#REF!,"AAAAAAuZqSw=")</f>
        <v>#REF!</v>
      </c>
      <c r="AT36" t="e">
        <f>AND(Bills!#REF!,"AAAAAAuZqS0=")</f>
        <v>#REF!</v>
      </c>
      <c r="AU36" t="e">
        <f>AND(Bills!#REF!,"AAAAAAuZqS4=")</f>
        <v>#REF!</v>
      </c>
      <c r="AV36" t="e">
        <f>AND(Bills!#REF!,"AAAAAAuZqS8=")</f>
        <v>#REF!</v>
      </c>
      <c r="AW36" t="e">
        <f>AND(Bills!#REF!,"AAAAAAuZqTA=")</f>
        <v>#REF!</v>
      </c>
      <c r="AX36" t="e">
        <f>AND(Bills!#REF!,"AAAAAAuZqTE=")</f>
        <v>#REF!</v>
      </c>
      <c r="AY36" t="e">
        <f>AND(Bills!#REF!,"AAAAAAuZqTI=")</f>
        <v>#REF!</v>
      </c>
      <c r="AZ36" t="e">
        <f>AND(Bills!#REF!,"AAAAAAuZqTM=")</f>
        <v>#REF!</v>
      </c>
      <c r="BA36" t="e">
        <f>AND(Bills!#REF!,"AAAAAAuZqTQ=")</f>
        <v>#REF!</v>
      </c>
      <c r="BB36" t="e">
        <f>AND(Bills!#REF!,"AAAAAAuZqTU=")</f>
        <v>#REF!</v>
      </c>
      <c r="BC36" t="e">
        <f>AND(Bills!#REF!,"AAAAAAuZqTY=")</f>
        <v>#REF!</v>
      </c>
      <c r="BD36">
        <f>IF(Bills!23:23,"AAAAAAuZqTc=",0)</f>
        <v>0</v>
      </c>
      <c r="BE36" t="e">
        <f>AND(Bills!B23,"AAAAAAuZqTg=")</f>
        <v>#VALUE!</v>
      </c>
      <c r="BF36" t="e">
        <f>AND(Bills!#REF!,"AAAAAAuZqTk=")</f>
        <v>#REF!</v>
      </c>
      <c r="BG36" t="e">
        <f>AND(Bills!C23,"AAAAAAuZqTo=")</f>
        <v>#VALUE!</v>
      </c>
      <c r="BH36" t="e">
        <f>AND(Bills!#REF!,"AAAAAAuZqTs=")</f>
        <v>#REF!</v>
      </c>
      <c r="BI36" t="e">
        <f>AND(Bills!#REF!,"AAAAAAuZqTw=")</f>
        <v>#REF!</v>
      </c>
      <c r="BJ36" t="e">
        <f>AND(Bills!#REF!,"AAAAAAuZqT0=")</f>
        <v>#REF!</v>
      </c>
      <c r="BK36" t="e">
        <f>AND(Bills!#REF!,"AAAAAAuZqT4=")</f>
        <v>#REF!</v>
      </c>
      <c r="BL36" t="e">
        <f>AND(Bills!#REF!,"AAAAAAuZqT8=")</f>
        <v>#REF!</v>
      </c>
      <c r="BM36" t="e">
        <f>AND(Bills!D23,"AAAAAAuZqUA=")</f>
        <v>#VALUE!</v>
      </c>
      <c r="BN36" t="e">
        <f>AND(Bills!#REF!,"AAAAAAuZqUE=")</f>
        <v>#REF!</v>
      </c>
      <c r="BO36" t="e">
        <f>AND(Bills!E23,"AAAAAAuZqUI=")</f>
        <v>#VALUE!</v>
      </c>
      <c r="BP36" t="e">
        <f>AND(Bills!F23,"AAAAAAuZqUM=")</f>
        <v>#VALUE!</v>
      </c>
      <c r="BQ36" t="e">
        <f>AND(Bills!G23,"AAAAAAuZqUQ=")</f>
        <v>#VALUE!</v>
      </c>
      <c r="BR36" t="e">
        <f>AND(Bills!H23,"AAAAAAuZqUU=")</f>
        <v>#VALUE!</v>
      </c>
      <c r="BS36" t="e">
        <f>AND(Bills!I23,"AAAAAAuZqUY=")</f>
        <v>#VALUE!</v>
      </c>
      <c r="BT36" t="e">
        <f>AND(Bills!J23,"AAAAAAuZqUc=")</f>
        <v>#VALUE!</v>
      </c>
      <c r="BU36" t="e">
        <f>AND(Bills!#REF!,"AAAAAAuZqUg=")</f>
        <v>#REF!</v>
      </c>
      <c r="BV36" t="e">
        <f>AND(Bills!K23,"AAAAAAuZqUk=")</f>
        <v>#VALUE!</v>
      </c>
      <c r="BW36" t="e">
        <f>AND(Bills!L23,"AAAAAAuZqUo=")</f>
        <v>#VALUE!</v>
      </c>
      <c r="BX36" t="e">
        <f>AND(Bills!M23,"AAAAAAuZqUs=")</f>
        <v>#VALUE!</v>
      </c>
      <c r="BY36" t="e">
        <f>AND(Bills!N23,"AAAAAAuZqUw=")</f>
        <v>#VALUE!</v>
      </c>
      <c r="BZ36" t="e">
        <f>AND(Bills!O23,"AAAAAAuZqU0=")</f>
        <v>#VALUE!</v>
      </c>
      <c r="CA36" t="e">
        <f>AND(Bills!P23,"AAAAAAuZqU4=")</f>
        <v>#VALUE!</v>
      </c>
      <c r="CB36" t="e">
        <f>AND(Bills!Q23,"AAAAAAuZqU8=")</f>
        <v>#VALUE!</v>
      </c>
      <c r="CC36" t="e">
        <f>AND(Bills!R23,"AAAAAAuZqVA=")</f>
        <v>#VALUE!</v>
      </c>
      <c r="CD36" t="e">
        <f>AND(Bills!#REF!,"AAAAAAuZqVE=")</f>
        <v>#REF!</v>
      </c>
      <c r="CE36" t="e">
        <f>AND(Bills!S23,"AAAAAAuZqVI=")</f>
        <v>#VALUE!</v>
      </c>
      <c r="CF36" t="e">
        <f>AND(Bills!T23,"AAAAAAuZqVM=")</f>
        <v>#VALUE!</v>
      </c>
      <c r="CG36" t="e">
        <f>AND(Bills!U23,"AAAAAAuZqVQ=")</f>
        <v>#VALUE!</v>
      </c>
      <c r="CH36" t="e">
        <f>AND(Bills!#REF!,"AAAAAAuZqVU=")</f>
        <v>#REF!</v>
      </c>
      <c r="CI36" t="e">
        <f>AND(Bills!#REF!,"AAAAAAuZqVY=")</f>
        <v>#REF!</v>
      </c>
      <c r="CJ36" t="e">
        <f>AND(Bills!W23,"AAAAAAuZqVc=")</f>
        <v>#VALUE!</v>
      </c>
      <c r="CK36" t="e">
        <f>AND(Bills!X23,"AAAAAAuZqVg=")</f>
        <v>#VALUE!</v>
      </c>
      <c r="CL36" t="e">
        <f>AND(Bills!#REF!,"AAAAAAuZqVk=")</f>
        <v>#REF!</v>
      </c>
      <c r="CM36" t="e">
        <f>AND(Bills!#REF!,"AAAAAAuZqVo=")</f>
        <v>#REF!</v>
      </c>
      <c r="CN36" t="e">
        <f>AND(Bills!#REF!,"AAAAAAuZqVs=")</f>
        <v>#REF!</v>
      </c>
      <c r="CO36" t="e">
        <f>AND(Bills!#REF!,"AAAAAAuZqVw=")</f>
        <v>#REF!</v>
      </c>
      <c r="CP36" t="e">
        <f>AND(Bills!#REF!,"AAAAAAuZqV0=")</f>
        <v>#REF!</v>
      </c>
      <c r="CQ36" t="e">
        <f>AND(Bills!#REF!,"AAAAAAuZqV4=")</f>
        <v>#REF!</v>
      </c>
      <c r="CR36" t="e">
        <f>AND(Bills!#REF!,"AAAAAAuZqV8=")</f>
        <v>#REF!</v>
      </c>
      <c r="CS36" t="e">
        <f>AND(Bills!#REF!,"AAAAAAuZqWA=")</f>
        <v>#REF!</v>
      </c>
      <c r="CT36" t="e">
        <f>AND(Bills!#REF!,"AAAAAAuZqWE=")</f>
        <v>#REF!</v>
      </c>
      <c r="CU36" t="e">
        <f>AND(Bills!Y23,"AAAAAAuZqWI=")</f>
        <v>#VALUE!</v>
      </c>
      <c r="CV36" t="e">
        <f>AND(Bills!Z23,"AAAAAAuZqWM=")</f>
        <v>#VALUE!</v>
      </c>
      <c r="CW36" t="e">
        <f>AND(Bills!#REF!,"AAAAAAuZqWQ=")</f>
        <v>#REF!</v>
      </c>
      <c r="CX36" t="e">
        <f>AND(Bills!#REF!,"AAAAAAuZqWU=")</f>
        <v>#REF!</v>
      </c>
      <c r="CY36" t="e">
        <f>AND(Bills!#REF!,"AAAAAAuZqWY=")</f>
        <v>#REF!</v>
      </c>
      <c r="CZ36" t="e">
        <f>AND(Bills!AA23,"AAAAAAuZqWc=")</f>
        <v>#VALUE!</v>
      </c>
      <c r="DA36" t="e">
        <f>AND(Bills!AB23,"AAAAAAuZqWg=")</f>
        <v>#VALUE!</v>
      </c>
      <c r="DB36" t="e">
        <f>AND(Bills!#REF!,"AAAAAAuZqWk=")</f>
        <v>#REF!</v>
      </c>
      <c r="DC36" t="e">
        <f>IF(Bills!#REF!,"AAAAAAuZqWo=",0)</f>
        <v>#REF!</v>
      </c>
      <c r="DD36" t="e">
        <f>AND(Bills!#REF!,"AAAAAAuZqWs=")</f>
        <v>#REF!</v>
      </c>
      <c r="DE36" t="e">
        <f>AND(Bills!#REF!,"AAAAAAuZqWw=")</f>
        <v>#REF!</v>
      </c>
      <c r="DF36" t="e">
        <f>AND(Bills!#REF!,"AAAAAAuZqW0=")</f>
        <v>#REF!</v>
      </c>
      <c r="DG36" t="e">
        <f>AND(Bills!#REF!,"AAAAAAuZqW4=")</f>
        <v>#REF!</v>
      </c>
      <c r="DH36" t="e">
        <f>AND(Bills!#REF!,"AAAAAAuZqW8=")</f>
        <v>#REF!</v>
      </c>
      <c r="DI36" t="e">
        <f>AND(Bills!#REF!,"AAAAAAuZqXA=")</f>
        <v>#REF!</v>
      </c>
      <c r="DJ36" t="e">
        <f>AND(Bills!#REF!,"AAAAAAuZqXE=")</f>
        <v>#REF!</v>
      </c>
      <c r="DK36" t="e">
        <f>AND(Bills!#REF!,"AAAAAAuZqXI=")</f>
        <v>#REF!</v>
      </c>
      <c r="DL36" t="e">
        <f>AND(Bills!#REF!,"AAAAAAuZqXM=")</f>
        <v>#REF!</v>
      </c>
      <c r="DM36" t="e">
        <f>AND(Bills!#REF!,"AAAAAAuZqXQ=")</f>
        <v>#REF!</v>
      </c>
      <c r="DN36" t="e">
        <f>AND(Bills!#REF!,"AAAAAAuZqXU=")</f>
        <v>#REF!</v>
      </c>
      <c r="DO36" t="e">
        <f>AND(Bills!#REF!,"AAAAAAuZqXY=")</f>
        <v>#REF!</v>
      </c>
      <c r="DP36" t="e">
        <f>AND(Bills!#REF!,"AAAAAAuZqXc=")</f>
        <v>#REF!</v>
      </c>
      <c r="DQ36" t="e">
        <f>AND(Bills!#REF!,"AAAAAAuZqXg=")</f>
        <v>#REF!</v>
      </c>
      <c r="DR36" t="e">
        <f>AND(Bills!#REF!,"AAAAAAuZqXk=")</f>
        <v>#REF!</v>
      </c>
      <c r="DS36" t="e">
        <f>AND(Bills!#REF!,"AAAAAAuZqXo=")</f>
        <v>#REF!</v>
      </c>
      <c r="DT36" t="e">
        <f>AND(Bills!#REF!,"AAAAAAuZqXs=")</f>
        <v>#REF!</v>
      </c>
      <c r="DU36" t="e">
        <f>AND(Bills!#REF!,"AAAAAAuZqXw=")</f>
        <v>#REF!</v>
      </c>
      <c r="DV36" t="e">
        <f>AND(Bills!#REF!,"AAAAAAuZqX0=")</f>
        <v>#REF!</v>
      </c>
      <c r="DW36" t="e">
        <f>AND(Bills!#REF!,"AAAAAAuZqX4=")</f>
        <v>#REF!</v>
      </c>
      <c r="DX36" t="e">
        <f>AND(Bills!#REF!,"AAAAAAuZqX8=")</f>
        <v>#REF!</v>
      </c>
      <c r="DY36" t="e">
        <f>AND(Bills!#REF!,"AAAAAAuZqYA=")</f>
        <v>#REF!</v>
      </c>
      <c r="DZ36" t="e">
        <f>AND(Bills!#REF!,"AAAAAAuZqYE=")</f>
        <v>#REF!</v>
      </c>
      <c r="EA36" t="e">
        <f>AND(Bills!#REF!,"AAAAAAuZqYI=")</f>
        <v>#REF!</v>
      </c>
      <c r="EB36" t="e">
        <f>AND(Bills!#REF!,"AAAAAAuZqYM=")</f>
        <v>#REF!</v>
      </c>
      <c r="EC36" t="e">
        <f>AND(Bills!#REF!,"AAAAAAuZqYQ=")</f>
        <v>#REF!</v>
      </c>
      <c r="ED36" t="e">
        <f>AND(Bills!#REF!,"AAAAAAuZqYU=")</f>
        <v>#REF!</v>
      </c>
      <c r="EE36" t="e">
        <f>AND(Bills!#REF!,"AAAAAAuZqYY=")</f>
        <v>#REF!</v>
      </c>
      <c r="EF36" t="e">
        <f>AND(Bills!#REF!,"AAAAAAuZqYc=")</f>
        <v>#REF!</v>
      </c>
      <c r="EG36" t="e">
        <f>AND(Bills!#REF!,"AAAAAAuZqYg=")</f>
        <v>#REF!</v>
      </c>
      <c r="EH36" t="e">
        <f>AND(Bills!#REF!,"AAAAAAuZqYk=")</f>
        <v>#REF!</v>
      </c>
      <c r="EI36" t="e">
        <f>AND(Bills!#REF!,"AAAAAAuZqYo=")</f>
        <v>#REF!</v>
      </c>
      <c r="EJ36" t="e">
        <f>AND(Bills!#REF!,"AAAAAAuZqYs=")</f>
        <v>#REF!</v>
      </c>
      <c r="EK36" t="e">
        <f>AND(Bills!#REF!,"AAAAAAuZqYw=")</f>
        <v>#REF!</v>
      </c>
      <c r="EL36" t="e">
        <f>AND(Bills!#REF!,"AAAAAAuZqY0=")</f>
        <v>#REF!</v>
      </c>
      <c r="EM36" t="e">
        <f>AND(Bills!#REF!,"AAAAAAuZqY4=")</f>
        <v>#REF!</v>
      </c>
      <c r="EN36" t="e">
        <f>AND(Bills!#REF!,"AAAAAAuZqY8=")</f>
        <v>#REF!</v>
      </c>
      <c r="EO36" t="e">
        <f>AND(Bills!#REF!,"AAAAAAuZqZA=")</f>
        <v>#REF!</v>
      </c>
      <c r="EP36" t="e">
        <f>AND(Bills!#REF!,"AAAAAAuZqZE=")</f>
        <v>#REF!</v>
      </c>
      <c r="EQ36" t="e">
        <f>AND(Bills!#REF!,"AAAAAAuZqZI=")</f>
        <v>#REF!</v>
      </c>
      <c r="ER36" t="e">
        <f>AND(Bills!#REF!,"AAAAAAuZqZM=")</f>
        <v>#REF!</v>
      </c>
      <c r="ES36" t="e">
        <f>AND(Bills!#REF!,"AAAAAAuZqZQ=")</f>
        <v>#REF!</v>
      </c>
      <c r="ET36" t="e">
        <f>AND(Bills!#REF!,"AAAAAAuZqZU=")</f>
        <v>#REF!</v>
      </c>
      <c r="EU36" t="e">
        <f>AND(Bills!#REF!,"AAAAAAuZqZY=")</f>
        <v>#REF!</v>
      </c>
      <c r="EV36" t="e">
        <f>AND(Bills!#REF!,"AAAAAAuZqZc=")</f>
        <v>#REF!</v>
      </c>
      <c r="EW36" t="e">
        <f>AND(Bills!#REF!,"AAAAAAuZqZg=")</f>
        <v>#REF!</v>
      </c>
      <c r="EX36" t="e">
        <f>AND(Bills!#REF!,"AAAAAAuZqZk=")</f>
        <v>#REF!</v>
      </c>
      <c r="EY36" t="e">
        <f>AND(Bills!#REF!,"AAAAAAuZqZo=")</f>
        <v>#REF!</v>
      </c>
      <c r="EZ36" t="e">
        <f>AND(Bills!#REF!,"AAAAAAuZqZs=")</f>
        <v>#REF!</v>
      </c>
      <c r="FA36" t="e">
        <f>AND(Bills!#REF!,"AAAAAAuZqZw=")</f>
        <v>#REF!</v>
      </c>
      <c r="FB36" t="e">
        <f>IF(Bills!#REF!,"AAAAAAuZqZ0=",0)</f>
        <v>#REF!</v>
      </c>
      <c r="FC36" t="e">
        <f>AND(Bills!#REF!,"AAAAAAuZqZ4=")</f>
        <v>#REF!</v>
      </c>
      <c r="FD36" t="e">
        <f>AND(Bills!#REF!,"AAAAAAuZqZ8=")</f>
        <v>#REF!</v>
      </c>
      <c r="FE36" t="e">
        <f>AND(Bills!#REF!,"AAAAAAuZqaA=")</f>
        <v>#REF!</v>
      </c>
      <c r="FF36" t="e">
        <f>AND(Bills!#REF!,"AAAAAAuZqaE=")</f>
        <v>#REF!</v>
      </c>
      <c r="FG36" t="e">
        <f>AND(Bills!#REF!,"AAAAAAuZqaI=")</f>
        <v>#REF!</v>
      </c>
      <c r="FH36" t="e">
        <f>AND(Bills!#REF!,"AAAAAAuZqaM=")</f>
        <v>#REF!</v>
      </c>
      <c r="FI36" t="e">
        <f>AND(Bills!#REF!,"AAAAAAuZqaQ=")</f>
        <v>#REF!</v>
      </c>
      <c r="FJ36" t="e">
        <f>AND(Bills!#REF!,"AAAAAAuZqaU=")</f>
        <v>#REF!</v>
      </c>
      <c r="FK36" t="e">
        <f>AND(Bills!#REF!,"AAAAAAuZqaY=")</f>
        <v>#REF!</v>
      </c>
      <c r="FL36" t="e">
        <f>AND(Bills!#REF!,"AAAAAAuZqac=")</f>
        <v>#REF!</v>
      </c>
      <c r="FM36" t="e">
        <f>AND(Bills!#REF!,"AAAAAAuZqag=")</f>
        <v>#REF!</v>
      </c>
      <c r="FN36" t="e">
        <f>AND(Bills!#REF!,"AAAAAAuZqak=")</f>
        <v>#REF!</v>
      </c>
      <c r="FO36" t="e">
        <f>AND(Bills!#REF!,"AAAAAAuZqao=")</f>
        <v>#REF!</v>
      </c>
      <c r="FP36" t="e">
        <f>AND(Bills!#REF!,"AAAAAAuZqas=")</f>
        <v>#REF!</v>
      </c>
      <c r="FQ36" t="e">
        <f>AND(Bills!#REF!,"AAAAAAuZqaw=")</f>
        <v>#REF!</v>
      </c>
      <c r="FR36" t="e">
        <f>AND(Bills!#REF!,"AAAAAAuZqa0=")</f>
        <v>#REF!</v>
      </c>
      <c r="FS36" t="e">
        <f>AND(Bills!#REF!,"AAAAAAuZqa4=")</f>
        <v>#REF!</v>
      </c>
      <c r="FT36" t="e">
        <f>AND(Bills!#REF!,"AAAAAAuZqa8=")</f>
        <v>#REF!</v>
      </c>
      <c r="FU36" t="e">
        <f>AND(Bills!#REF!,"AAAAAAuZqbA=")</f>
        <v>#REF!</v>
      </c>
      <c r="FV36" t="e">
        <f>AND(Bills!#REF!,"AAAAAAuZqbE=")</f>
        <v>#REF!</v>
      </c>
      <c r="FW36" t="e">
        <f>AND(Bills!#REF!,"AAAAAAuZqbI=")</f>
        <v>#REF!</v>
      </c>
      <c r="FX36" t="e">
        <f>AND(Bills!#REF!,"AAAAAAuZqbM=")</f>
        <v>#REF!</v>
      </c>
      <c r="FY36" t="e">
        <f>AND(Bills!#REF!,"AAAAAAuZqbQ=")</f>
        <v>#REF!</v>
      </c>
      <c r="FZ36" t="e">
        <f>AND(Bills!#REF!,"AAAAAAuZqbU=")</f>
        <v>#REF!</v>
      </c>
      <c r="GA36" t="e">
        <f>AND(Bills!#REF!,"AAAAAAuZqbY=")</f>
        <v>#REF!</v>
      </c>
      <c r="GB36" t="e">
        <f>AND(Bills!#REF!,"AAAAAAuZqbc=")</f>
        <v>#REF!</v>
      </c>
      <c r="GC36" t="e">
        <f>AND(Bills!#REF!,"AAAAAAuZqbg=")</f>
        <v>#REF!</v>
      </c>
      <c r="GD36" t="e">
        <f>AND(Bills!#REF!,"AAAAAAuZqbk=")</f>
        <v>#REF!</v>
      </c>
      <c r="GE36" t="e">
        <f>AND(Bills!#REF!,"AAAAAAuZqbo=")</f>
        <v>#REF!</v>
      </c>
      <c r="GF36" t="e">
        <f>AND(Bills!#REF!,"AAAAAAuZqbs=")</f>
        <v>#REF!</v>
      </c>
      <c r="GG36" t="e">
        <f>AND(Bills!#REF!,"AAAAAAuZqbw=")</f>
        <v>#REF!</v>
      </c>
      <c r="GH36" t="e">
        <f>AND(Bills!#REF!,"AAAAAAuZqb0=")</f>
        <v>#REF!</v>
      </c>
      <c r="GI36" t="e">
        <f>AND(Bills!#REF!,"AAAAAAuZqb4=")</f>
        <v>#REF!</v>
      </c>
      <c r="GJ36" t="e">
        <f>AND(Bills!#REF!,"AAAAAAuZqb8=")</f>
        <v>#REF!</v>
      </c>
      <c r="GK36" t="e">
        <f>AND(Bills!#REF!,"AAAAAAuZqcA=")</f>
        <v>#REF!</v>
      </c>
      <c r="GL36" t="e">
        <f>AND(Bills!#REF!,"AAAAAAuZqcE=")</f>
        <v>#REF!</v>
      </c>
      <c r="GM36" t="e">
        <f>AND(Bills!#REF!,"AAAAAAuZqcI=")</f>
        <v>#REF!</v>
      </c>
      <c r="GN36" t="e">
        <f>AND(Bills!#REF!,"AAAAAAuZqcM=")</f>
        <v>#REF!</v>
      </c>
      <c r="GO36" t="e">
        <f>AND(Bills!#REF!,"AAAAAAuZqcQ=")</f>
        <v>#REF!</v>
      </c>
      <c r="GP36" t="e">
        <f>AND(Bills!#REF!,"AAAAAAuZqcU=")</f>
        <v>#REF!</v>
      </c>
      <c r="GQ36" t="e">
        <f>AND(Bills!#REF!,"AAAAAAuZqcY=")</f>
        <v>#REF!</v>
      </c>
      <c r="GR36" t="e">
        <f>AND(Bills!#REF!,"AAAAAAuZqcc=")</f>
        <v>#REF!</v>
      </c>
      <c r="GS36" t="e">
        <f>AND(Bills!#REF!,"AAAAAAuZqcg=")</f>
        <v>#REF!</v>
      </c>
      <c r="GT36" t="e">
        <f>AND(Bills!#REF!,"AAAAAAuZqck=")</f>
        <v>#REF!</v>
      </c>
      <c r="GU36" t="e">
        <f>AND(Bills!#REF!,"AAAAAAuZqco=")</f>
        <v>#REF!</v>
      </c>
      <c r="GV36" t="e">
        <f>AND(Bills!#REF!,"AAAAAAuZqcs=")</f>
        <v>#REF!</v>
      </c>
      <c r="GW36" t="e">
        <f>AND(Bills!#REF!,"AAAAAAuZqcw=")</f>
        <v>#REF!</v>
      </c>
      <c r="GX36" t="e">
        <f>AND(Bills!#REF!,"AAAAAAuZqc0=")</f>
        <v>#REF!</v>
      </c>
      <c r="GY36" t="e">
        <f>AND(Bills!#REF!,"AAAAAAuZqc4=")</f>
        <v>#REF!</v>
      </c>
      <c r="GZ36" t="e">
        <f>AND(Bills!#REF!,"AAAAAAuZqc8=")</f>
        <v>#REF!</v>
      </c>
      <c r="HA36" t="e">
        <f>IF(Bills!#REF!,"AAAAAAuZqdA=",0)</f>
        <v>#REF!</v>
      </c>
      <c r="HB36" t="e">
        <f>AND(Bills!#REF!,"AAAAAAuZqdE=")</f>
        <v>#REF!</v>
      </c>
      <c r="HC36" t="e">
        <f>AND(Bills!#REF!,"AAAAAAuZqdI=")</f>
        <v>#REF!</v>
      </c>
      <c r="HD36" t="e">
        <f>AND(Bills!#REF!,"AAAAAAuZqdM=")</f>
        <v>#REF!</v>
      </c>
      <c r="HE36" t="e">
        <f>AND(Bills!#REF!,"AAAAAAuZqdQ=")</f>
        <v>#REF!</v>
      </c>
      <c r="HF36" t="e">
        <f>AND(Bills!#REF!,"AAAAAAuZqdU=")</f>
        <v>#REF!</v>
      </c>
      <c r="HG36" t="e">
        <f>AND(Bills!#REF!,"AAAAAAuZqdY=")</f>
        <v>#REF!</v>
      </c>
      <c r="HH36" t="e">
        <f>AND(Bills!#REF!,"AAAAAAuZqdc=")</f>
        <v>#REF!</v>
      </c>
      <c r="HI36" t="e">
        <f>AND(Bills!#REF!,"AAAAAAuZqdg=")</f>
        <v>#REF!</v>
      </c>
      <c r="HJ36" t="e">
        <f>AND(Bills!#REF!,"AAAAAAuZqdk=")</f>
        <v>#REF!</v>
      </c>
      <c r="HK36" t="e">
        <f>AND(Bills!#REF!,"AAAAAAuZqdo=")</f>
        <v>#REF!</v>
      </c>
      <c r="HL36" t="e">
        <f>AND(Bills!#REF!,"AAAAAAuZqds=")</f>
        <v>#REF!</v>
      </c>
      <c r="HM36" t="e">
        <f>AND(Bills!#REF!,"AAAAAAuZqdw=")</f>
        <v>#REF!</v>
      </c>
      <c r="HN36" t="e">
        <f>AND(Bills!#REF!,"AAAAAAuZqd0=")</f>
        <v>#REF!</v>
      </c>
      <c r="HO36" t="e">
        <f>AND(Bills!#REF!,"AAAAAAuZqd4=")</f>
        <v>#REF!</v>
      </c>
      <c r="HP36" t="e">
        <f>AND(Bills!#REF!,"AAAAAAuZqd8=")</f>
        <v>#REF!</v>
      </c>
      <c r="HQ36" t="e">
        <f>AND(Bills!#REF!,"AAAAAAuZqeA=")</f>
        <v>#REF!</v>
      </c>
      <c r="HR36" t="e">
        <f>AND(Bills!#REF!,"AAAAAAuZqeE=")</f>
        <v>#REF!</v>
      </c>
      <c r="HS36" t="e">
        <f>AND(Bills!#REF!,"AAAAAAuZqeI=")</f>
        <v>#REF!</v>
      </c>
      <c r="HT36" t="e">
        <f>AND(Bills!#REF!,"AAAAAAuZqeM=")</f>
        <v>#REF!</v>
      </c>
      <c r="HU36" t="e">
        <f>AND(Bills!#REF!,"AAAAAAuZqeQ=")</f>
        <v>#REF!</v>
      </c>
      <c r="HV36" t="e">
        <f>AND(Bills!#REF!,"AAAAAAuZqeU=")</f>
        <v>#REF!</v>
      </c>
      <c r="HW36" t="e">
        <f>AND(Bills!#REF!,"AAAAAAuZqeY=")</f>
        <v>#REF!</v>
      </c>
      <c r="HX36" t="e">
        <f>AND(Bills!#REF!,"AAAAAAuZqec=")</f>
        <v>#REF!</v>
      </c>
      <c r="HY36" t="e">
        <f>AND(Bills!#REF!,"AAAAAAuZqeg=")</f>
        <v>#REF!</v>
      </c>
      <c r="HZ36" t="e">
        <f>AND(Bills!#REF!,"AAAAAAuZqek=")</f>
        <v>#REF!</v>
      </c>
      <c r="IA36" t="e">
        <f>AND(Bills!#REF!,"AAAAAAuZqeo=")</f>
        <v>#REF!</v>
      </c>
      <c r="IB36" t="e">
        <f>AND(Bills!#REF!,"AAAAAAuZqes=")</f>
        <v>#REF!</v>
      </c>
      <c r="IC36" t="e">
        <f>AND(Bills!#REF!,"AAAAAAuZqew=")</f>
        <v>#REF!</v>
      </c>
      <c r="ID36" t="e">
        <f>AND(Bills!#REF!,"AAAAAAuZqe0=")</f>
        <v>#REF!</v>
      </c>
      <c r="IE36" t="e">
        <f>AND(Bills!#REF!,"AAAAAAuZqe4=")</f>
        <v>#REF!</v>
      </c>
      <c r="IF36" t="e">
        <f>AND(Bills!#REF!,"AAAAAAuZqe8=")</f>
        <v>#REF!</v>
      </c>
      <c r="IG36" t="e">
        <f>AND(Bills!#REF!,"AAAAAAuZqfA=")</f>
        <v>#REF!</v>
      </c>
      <c r="IH36" t="e">
        <f>AND(Bills!#REF!,"AAAAAAuZqfE=")</f>
        <v>#REF!</v>
      </c>
      <c r="II36" t="e">
        <f>AND(Bills!#REF!,"AAAAAAuZqfI=")</f>
        <v>#REF!</v>
      </c>
      <c r="IJ36" t="e">
        <f>AND(Bills!#REF!,"AAAAAAuZqfM=")</f>
        <v>#REF!</v>
      </c>
      <c r="IK36" t="e">
        <f>AND(Bills!#REF!,"AAAAAAuZqfQ=")</f>
        <v>#REF!</v>
      </c>
      <c r="IL36" t="e">
        <f>AND(Bills!#REF!,"AAAAAAuZqfU=")</f>
        <v>#REF!</v>
      </c>
      <c r="IM36" t="e">
        <f>AND(Bills!#REF!,"AAAAAAuZqfY=")</f>
        <v>#REF!</v>
      </c>
      <c r="IN36" t="e">
        <f>AND(Bills!#REF!,"AAAAAAuZqfc=")</f>
        <v>#REF!</v>
      </c>
      <c r="IO36" t="e">
        <f>AND(Bills!#REF!,"AAAAAAuZqfg=")</f>
        <v>#REF!</v>
      </c>
      <c r="IP36" t="e">
        <f>AND(Bills!#REF!,"AAAAAAuZqfk=")</f>
        <v>#REF!</v>
      </c>
      <c r="IQ36" t="e">
        <f>AND(Bills!#REF!,"AAAAAAuZqfo=")</f>
        <v>#REF!</v>
      </c>
      <c r="IR36" t="e">
        <f>AND(Bills!#REF!,"AAAAAAuZqfs=")</f>
        <v>#REF!</v>
      </c>
      <c r="IS36" t="e">
        <f>AND(Bills!#REF!,"AAAAAAuZqfw=")</f>
        <v>#REF!</v>
      </c>
      <c r="IT36" t="e">
        <f>AND(Bills!#REF!,"AAAAAAuZqf0=")</f>
        <v>#REF!</v>
      </c>
      <c r="IU36" t="e">
        <f>AND(Bills!#REF!,"AAAAAAuZqf4=")</f>
        <v>#REF!</v>
      </c>
      <c r="IV36" t="e">
        <f>AND(Bills!#REF!,"AAAAAAuZqf8=")</f>
        <v>#REF!</v>
      </c>
    </row>
    <row r="37" spans="1:256">
      <c r="A37" t="e">
        <f>AND(Bills!#REF!,"AAAAAFxa/wA=")</f>
        <v>#REF!</v>
      </c>
      <c r="B37" t="e">
        <f>AND(Bills!#REF!,"AAAAAFxa/wE=")</f>
        <v>#REF!</v>
      </c>
      <c r="C37" t="e">
        <f>AND(Bills!#REF!,"AAAAAFxa/wI=")</f>
        <v>#REF!</v>
      </c>
      <c r="D37" t="e">
        <f>IF(Bills!#REF!,"AAAAAFxa/wM=",0)</f>
        <v>#REF!</v>
      </c>
      <c r="E37" t="e">
        <f>AND(Bills!#REF!,"AAAAAFxa/wQ=")</f>
        <v>#REF!</v>
      </c>
      <c r="F37" t="e">
        <f>AND(Bills!#REF!,"AAAAAFxa/wU=")</f>
        <v>#REF!</v>
      </c>
      <c r="G37" t="e">
        <f>AND(Bills!#REF!,"AAAAAFxa/wY=")</f>
        <v>#REF!</v>
      </c>
      <c r="H37" t="e">
        <f>AND(Bills!#REF!,"AAAAAFxa/wc=")</f>
        <v>#REF!</v>
      </c>
      <c r="I37" t="e">
        <f>AND(Bills!#REF!,"AAAAAFxa/wg=")</f>
        <v>#REF!</v>
      </c>
      <c r="J37" t="e">
        <f>AND(Bills!#REF!,"AAAAAFxa/wk=")</f>
        <v>#REF!</v>
      </c>
      <c r="K37" t="e">
        <f>AND(Bills!#REF!,"AAAAAFxa/wo=")</f>
        <v>#REF!</v>
      </c>
      <c r="L37" t="e">
        <f>AND(Bills!#REF!,"AAAAAFxa/ws=")</f>
        <v>#REF!</v>
      </c>
      <c r="M37" t="e">
        <f>AND(Bills!#REF!,"AAAAAFxa/ww=")</f>
        <v>#REF!</v>
      </c>
      <c r="N37" t="e">
        <f>AND(Bills!#REF!,"AAAAAFxa/w0=")</f>
        <v>#REF!</v>
      </c>
      <c r="O37" t="e">
        <f>AND(Bills!#REF!,"AAAAAFxa/w4=")</f>
        <v>#REF!</v>
      </c>
      <c r="P37" t="e">
        <f>AND(Bills!#REF!,"AAAAAFxa/w8=")</f>
        <v>#REF!</v>
      </c>
      <c r="Q37" t="e">
        <f>AND(Bills!#REF!,"AAAAAFxa/xA=")</f>
        <v>#REF!</v>
      </c>
      <c r="R37" t="e">
        <f>AND(Bills!#REF!,"AAAAAFxa/xE=")</f>
        <v>#REF!</v>
      </c>
      <c r="S37" t="e">
        <f>AND(Bills!#REF!,"AAAAAFxa/xI=")</f>
        <v>#REF!</v>
      </c>
      <c r="T37" t="e">
        <f>AND(Bills!#REF!,"AAAAAFxa/xM=")</f>
        <v>#REF!</v>
      </c>
      <c r="U37" t="e">
        <f>AND(Bills!#REF!,"AAAAAFxa/xQ=")</f>
        <v>#REF!</v>
      </c>
      <c r="V37" t="e">
        <f>AND(Bills!#REF!,"AAAAAFxa/xU=")</f>
        <v>#REF!</v>
      </c>
      <c r="W37" t="e">
        <f>AND(Bills!#REF!,"AAAAAFxa/xY=")</f>
        <v>#REF!</v>
      </c>
      <c r="X37" t="e">
        <f>AND(Bills!#REF!,"AAAAAFxa/xc=")</f>
        <v>#REF!</v>
      </c>
      <c r="Y37" t="e">
        <f>AND(Bills!#REF!,"AAAAAFxa/xg=")</f>
        <v>#REF!</v>
      </c>
      <c r="Z37" t="e">
        <f>AND(Bills!#REF!,"AAAAAFxa/xk=")</f>
        <v>#REF!</v>
      </c>
      <c r="AA37" t="e">
        <f>AND(Bills!#REF!,"AAAAAFxa/xo=")</f>
        <v>#REF!</v>
      </c>
      <c r="AB37" t="e">
        <f>AND(Bills!#REF!,"AAAAAFxa/xs=")</f>
        <v>#REF!</v>
      </c>
      <c r="AC37" t="e">
        <f>AND(Bills!#REF!,"AAAAAFxa/xw=")</f>
        <v>#REF!</v>
      </c>
      <c r="AD37" t="e">
        <f>AND(Bills!#REF!,"AAAAAFxa/x0=")</f>
        <v>#REF!</v>
      </c>
      <c r="AE37" t="e">
        <f>AND(Bills!#REF!,"AAAAAFxa/x4=")</f>
        <v>#REF!</v>
      </c>
      <c r="AF37" t="e">
        <f>AND(Bills!#REF!,"AAAAAFxa/x8=")</f>
        <v>#REF!</v>
      </c>
      <c r="AG37" t="e">
        <f>AND(Bills!#REF!,"AAAAAFxa/yA=")</f>
        <v>#REF!</v>
      </c>
      <c r="AH37" t="e">
        <f>AND(Bills!#REF!,"AAAAAFxa/yE=")</f>
        <v>#REF!</v>
      </c>
      <c r="AI37" t="e">
        <f>AND(Bills!#REF!,"AAAAAFxa/yI=")</f>
        <v>#REF!</v>
      </c>
      <c r="AJ37" t="e">
        <f>AND(Bills!#REF!,"AAAAAFxa/yM=")</f>
        <v>#REF!</v>
      </c>
      <c r="AK37" t="e">
        <f>AND(Bills!#REF!,"AAAAAFxa/yQ=")</f>
        <v>#REF!</v>
      </c>
      <c r="AL37" t="e">
        <f>AND(Bills!#REF!,"AAAAAFxa/yU=")</f>
        <v>#REF!</v>
      </c>
      <c r="AM37" t="e">
        <f>AND(Bills!#REF!,"AAAAAFxa/yY=")</f>
        <v>#REF!</v>
      </c>
      <c r="AN37" t="e">
        <f>AND(Bills!#REF!,"AAAAAFxa/yc=")</f>
        <v>#REF!</v>
      </c>
      <c r="AO37" t="e">
        <f>AND(Bills!#REF!,"AAAAAFxa/yg=")</f>
        <v>#REF!</v>
      </c>
      <c r="AP37" t="e">
        <f>AND(Bills!#REF!,"AAAAAFxa/yk=")</f>
        <v>#REF!</v>
      </c>
      <c r="AQ37" t="e">
        <f>AND(Bills!#REF!,"AAAAAFxa/yo=")</f>
        <v>#REF!</v>
      </c>
      <c r="AR37" t="e">
        <f>AND(Bills!#REF!,"AAAAAFxa/ys=")</f>
        <v>#REF!</v>
      </c>
      <c r="AS37" t="e">
        <f>AND(Bills!#REF!,"AAAAAFxa/yw=")</f>
        <v>#REF!</v>
      </c>
      <c r="AT37" t="e">
        <f>AND(Bills!#REF!,"AAAAAFxa/y0=")</f>
        <v>#REF!</v>
      </c>
      <c r="AU37" t="e">
        <f>AND(Bills!#REF!,"AAAAAFxa/y4=")</f>
        <v>#REF!</v>
      </c>
      <c r="AV37" t="e">
        <f>AND(Bills!#REF!,"AAAAAFxa/y8=")</f>
        <v>#REF!</v>
      </c>
      <c r="AW37" t="e">
        <f>AND(Bills!#REF!,"AAAAAFxa/zA=")</f>
        <v>#REF!</v>
      </c>
      <c r="AX37" t="e">
        <f>AND(Bills!#REF!,"AAAAAFxa/zE=")</f>
        <v>#REF!</v>
      </c>
      <c r="AY37" t="e">
        <f>AND(Bills!#REF!,"AAAAAFxa/zI=")</f>
        <v>#REF!</v>
      </c>
      <c r="AZ37" t="e">
        <f>AND(Bills!#REF!,"AAAAAFxa/zM=")</f>
        <v>#REF!</v>
      </c>
      <c r="BA37" t="e">
        <f>AND(Bills!#REF!,"AAAAAFxa/zQ=")</f>
        <v>#REF!</v>
      </c>
      <c r="BB37" t="e">
        <f>AND(Bills!#REF!,"AAAAAFxa/zU=")</f>
        <v>#REF!</v>
      </c>
      <c r="BC37" t="e">
        <f>IF(Bills!#REF!,"AAAAAFxa/zY=",0)</f>
        <v>#REF!</v>
      </c>
      <c r="BD37" t="e">
        <f>AND(Bills!#REF!,"AAAAAFxa/zc=")</f>
        <v>#REF!</v>
      </c>
      <c r="BE37" t="e">
        <f>AND(Bills!#REF!,"AAAAAFxa/zg=")</f>
        <v>#REF!</v>
      </c>
      <c r="BF37" t="e">
        <f>AND(Bills!#REF!,"AAAAAFxa/zk=")</f>
        <v>#REF!</v>
      </c>
      <c r="BG37" t="e">
        <f>AND(Bills!#REF!,"AAAAAFxa/zo=")</f>
        <v>#REF!</v>
      </c>
      <c r="BH37" t="e">
        <f>AND(Bills!#REF!,"AAAAAFxa/zs=")</f>
        <v>#REF!</v>
      </c>
      <c r="BI37" t="e">
        <f>AND(Bills!#REF!,"AAAAAFxa/zw=")</f>
        <v>#REF!</v>
      </c>
      <c r="BJ37" t="e">
        <f>AND(Bills!#REF!,"AAAAAFxa/z0=")</f>
        <v>#REF!</v>
      </c>
      <c r="BK37" t="e">
        <f>AND(Bills!#REF!,"AAAAAFxa/z4=")</f>
        <v>#REF!</v>
      </c>
      <c r="BL37" t="e">
        <f>AND(Bills!#REF!,"AAAAAFxa/z8=")</f>
        <v>#REF!</v>
      </c>
      <c r="BM37" t="e">
        <f>AND(Bills!#REF!,"AAAAAFxa/0A=")</f>
        <v>#REF!</v>
      </c>
      <c r="BN37" t="e">
        <f>AND(Bills!#REF!,"AAAAAFxa/0E=")</f>
        <v>#REF!</v>
      </c>
      <c r="BO37" t="e">
        <f>AND(Bills!#REF!,"AAAAAFxa/0I=")</f>
        <v>#REF!</v>
      </c>
      <c r="BP37" t="e">
        <f>AND(Bills!#REF!,"AAAAAFxa/0M=")</f>
        <v>#REF!</v>
      </c>
      <c r="BQ37" t="e">
        <f>AND(Bills!#REF!,"AAAAAFxa/0Q=")</f>
        <v>#REF!</v>
      </c>
      <c r="BR37" t="e">
        <f>AND(Bills!#REF!,"AAAAAFxa/0U=")</f>
        <v>#REF!</v>
      </c>
      <c r="BS37" t="e">
        <f>AND(Bills!#REF!,"AAAAAFxa/0Y=")</f>
        <v>#REF!</v>
      </c>
      <c r="BT37" t="e">
        <f>AND(Bills!#REF!,"AAAAAFxa/0c=")</f>
        <v>#REF!</v>
      </c>
      <c r="BU37" t="e">
        <f>AND(Bills!#REF!,"AAAAAFxa/0g=")</f>
        <v>#REF!</v>
      </c>
      <c r="BV37" t="e">
        <f>AND(Bills!#REF!,"AAAAAFxa/0k=")</f>
        <v>#REF!</v>
      </c>
      <c r="BW37" t="e">
        <f>AND(Bills!#REF!,"AAAAAFxa/0o=")</f>
        <v>#REF!</v>
      </c>
      <c r="BX37" t="e">
        <f>AND(Bills!#REF!,"AAAAAFxa/0s=")</f>
        <v>#REF!</v>
      </c>
      <c r="BY37" t="e">
        <f>AND(Bills!#REF!,"AAAAAFxa/0w=")</f>
        <v>#REF!</v>
      </c>
      <c r="BZ37" t="e">
        <f>AND(Bills!#REF!,"AAAAAFxa/00=")</f>
        <v>#REF!</v>
      </c>
      <c r="CA37" t="e">
        <f>AND(Bills!#REF!,"AAAAAFxa/04=")</f>
        <v>#REF!</v>
      </c>
      <c r="CB37" t="e">
        <f>AND(Bills!#REF!,"AAAAAFxa/08=")</f>
        <v>#REF!</v>
      </c>
      <c r="CC37" t="e">
        <f>AND(Bills!#REF!,"AAAAAFxa/1A=")</f>
        <v>#REF!</v>
      </c>
      <c r="CD37" t="e">
        <f>AND(Bills!#REF!,"AAAAAFxa/1E=")</f>
        <v>#REF!</v>
      </c>
      <c r="CE37" t="e">
        <f>AND(Bills!#REF!,"AAAAAFxa/1I=")</f>
        <v>#REF!</v>
      </c>
      <c r="CF37" t="e">
        <f>AND(Bills!#REF!,"AAAAAFxa/1M=")</f>
        <v>#REF!</v>
      </c>
      <c r="CG37" t="e">
        <f>AND(Bills!#REF!,"AAAAAFxa/1Q=")</f>
        <v>#REF!</v>
      </c>
      <c r="CH37" t="e">
        <f>AND(Bills!#REF!,"AAAAAFxa/1U=")</f>
        <v>#REF!</v>
      </c>
      <c r="CI37" t="e">
        <f>AND(Bills!#REF!,"AAAAAFxa/1Y=")</f>
        <v>#REF!</v>
      </c>
      <c r="CJ37" t="e">
        <f>AND(Bills!#REF!,"AAAAAFxa/1c=")</f>
        <v>#REF!</v>
      </c>
      <c r="CK37" t="e">
        <f>AND(Bills!#REF!,"AAAAAFxa/1g=")</f>
        <v>#REF!</v>
      </c>
      <c r="CL37" t="e">
        <f>AND(Bills!#REF!,"AAAAAFxa/1k=")</f>
        <v>#REF!</v>
      </c>
      <c r="CM37" t="e">
        <f>AND(Bills!#REF!,"AAAAAFxa/1o=")</f>
        <v>#REF!</v>
      </c>
      <c r="CN37" t="e">
        <f>AND(Bills!#REF!,"AAAAAFxa/1s=")</f>
        <v>#REF!</v>
      </c>
      <c r="CO37" t="e">
        <f>AND(Bills!#REF!,"AAAAAFxa/1w=")</f>
        <v>#REF!</v>
      </c>
      <c r="CP37" t="e">
        <f>AND(Bills!#REF!,"AAAAAFxa/10=")</f>
        <v>#REF!</v>
      </c>
      <c r="CQ37" t="e">
        <f>AND(Bills!#REF!,"AAAAAFxa/14=")</f>
        <v>#REF!</v>
      </c>
      <c r="CR37" t="e">
        <f>AND(Bills!#REF!,"AAAAAFxa/18=")</f>
        <v>#REF!</v>
      </c>
      <c r="CS37" t="e">
        <f>AND(Bills!#REF!,"AAAAAFxa/2A=")</f>
        <v>#REF!</v>
      </c>
      <c r="CT37" t="e">
        <f>AND(Bills!#REF!,"AAAAAFxa/2E=")</f>
        <v>#REF!</v>
      </c>
      <c r="CU37" t="e">
        <f>AND(Bills!#REF!,"AAAAAFxa/2I=")</f>
        <v>#REF!</v>
      </c>
      <c r="CV37" t="e">
        <f>AND(Bills!#REF!,"AAAAAFxa/2M=")</f>
        <v>#REF!</v>
      </c>
      <c r="CW37" t="e">
        <f>AND(Bills!#REF!,"AAAAAFxa/2Q=")</f>
        <v>#REF!</v>
      </c>
      <c r="CX37" t="e">
        <f>AND(Bills!#REF!,"AAAAAFxa/2U=")</f>
        <v>#REF!</v>
      </c>
      <c r="CY37" t="e">
        <f>AND(Bills!#REF!,"AAAAAFxa/2Y=")</f>
        <v>#REF!</v>
      </c>
      <c r="CZ37" t="e">
        <f>AND(Bills!#REF!,"AAAAAFxa/2c=")</f>
        <v>#REF!</v>
      </c>
      <c r="DA37" t="e">
        <f>AND(Bills!#REF!,"AAAAAFxa/2g=")</f>
        <v>#REF!</v>
      </c>
      <c r="DB37" t="e">
        <f>IF(Bills!#REF!,"AAAAAFxa/2k=",0)</f>
        <v>#REF!</v>
      </c>
      <c r="DC37" t="e">
        <f>AND(Bills!#REF!,"AAAAAFxa/2o=")</f>
        <v>#REF!</v>
      </c>
      <c r="DD37" t="e">
        <f>AND(Bills!#REF!,"AAAAAFxa/2s=")</f>
        <v>#REF!</v>
      </c>
      <c r="DE37" t="e">
        <f>AND(Bills!#REF!,"AAAAAFxa/2w=")</f>
        <v>#REF!</v>
      </c>
      <c r="DF37" t="e">
        <f>AND(Bills!#REF!,"AAAAAFxa/20=")</f>
        <v>#REF!</v>
      </c>
      <c r="DG37" t="e">
        <f>AND(Bills!#REF!,"AAAAAFxa/24=")</f>
        <v>#REF!</v>
      </c>
      <c r="DH37" t="e">
        <f>AND(Bills!#REF!,"AAAAAFxa/28=")</f>
        <v>#REF!</v>
      </c>
      <c r="DI37" t="e">
        <f>AND(Bills!#REF!,"AAAAAFxa/3A=")</f>
        <v>#REF!</v>
      </c>
      <c r="DJ37" t="e">
        <f>AND(Bills!#REF!,"AAAAAFxa/3E=")</f>
        <v>#REF!</v>
      </c>
      <c r="DK37" t="e">
        <f>AND(Bills!#REF!,"AAAAAFxa/3I=")</f>
        <v>#REF!</v>
      </c>
      <c r="DL37" t="e">
        <f>AND(Bills!#REF!,"AAAAAFxa/3M=")</f>
        <v>#REF!</v>
      </c>
      <c r="DM37" t="e">
        <f>AND(Bills!#REF!,"AAAAAFxa/3Q=")</f>
        <v>#REF!</v>
      </c>
      <c r="DN37" t="e">
        <f>AND(Bills!#REF!,"AAAAAFxa/3U=")</f>
        <v>#REF!</v>
      </c>
      <c r="DO37" t="e">
        <f>AND(Bills!#REF!,"AAAAAFxa/3Y=")</f>
        <v>#REF!</v>
      </c>
      <c r="DP37" t="e">
        <f>AND(Bills!#REF!,"AAAAAFxa/3c=")</f>
        <v>#REF!</v>
      </c>
      <c r="DQ37" t="e">
        <f>AND(Bills!#REF!,"AAAAAFxa/3g=")</f>
        <v>#REF!</v>
      </c>
      <c r="DR37" t="e">
        <f>AND(Bills!#REF!,"AAAAAFxa/3k=")</f>
        <v>#REF!</v>
      </c>
      <c r="DS37" t="e">
        <f>AND(Bills!#REF!,"AAAAAFxa/3o=")</f>
        <v>#REF!</v>
      </c>
      <c r="DT37" t="e">
        <f>AND(Bills!#REF!,"AAAAAFxa/3s=")</f>
        <v>#REF!</v>
      </c>
      <c r="DU37" t="e">
        <f>AND(Bills!#REF!,"AAAAAFxa/3w=")</f>
        <v>#REF!</v>
      </c>
      <c r="DV37" t="e">
        <f>AND(Bills!#REF!,"AAAAAFxa/30=")</f>
        <v>#REF!</v>
      </c>
      <c r="DW37" t="e">
        <f>AND(Bills!#REF!,"AAAAAFxa/34=")</f>
        <v>#REF!</v>
      </c>
      <c r="DX37" t="e">
        <f>AND(Bills!#REF!,"AAAAAFxa/38=")</f>
        <v>#REF!</v>
      </c>
      <c r="DY37" t="e">
        <f>AND(Bills!#REF!,"AAAAAFxa/4A=")</f>
        <v>#REF!</v>
      </c>
      <c r="DZ37" t="e">
        <f>AND(Bills!#REF!,"AAAAAFxa/4E=")</f>
        <v>#REF!</v>
      </c>
      <c r="EA37" t="e">
        <f>AND(Bills!#REF!,"AAAAAFxa/4I=")</f>
        <v>#REF!</v>
      </c>
      <c r="EB37" t="e">
        <f>AND(Bills!#REF!,"AAAAAFxa/4M=")</f>
        <v>#REF!</v>
      </c>
      <c r="EC37" t="e">
        <f>AND(Bills!#REF!,"AAAAAFxa/4Q=")</f>
        <v>#REF!</v>
      </c>
      <c r="ED37" t="e">
        <f>AND(Bills!#REF!,"AAAAAFxa/4U=")</f>
        <v>#REF!</v>
      </c>
      <c r="EE37" t="e">
        <f>AND(Bills!#REF!,"AAAAAFxa/4Y=")</f>
        <v>#REF!</v>
      </c>
      <c r="EF37" t="e">
        <f>AND(Bills!#REF!,"AAAAAFxa/4c=")</f>
        <v>#REF!</v>
      </c>
      <c r="EG37" t="e">
        <f>AND(Bills!#REF!,"AAAAAFxa/4g=")</f>
        <v>#REF!</v>
      </c>
      <c r="EH37" t="e">
        <f>AND(Bills!#REF!,"AAAAAFxa/4k=")</f>
        <v>#REF!</v>
      </c>
      <c r="EI37" t="e">
        <f>AND(Bills!#REF!,"AAAAAFxa/4o=")</f>
        <v>#REF!</v>
      </c>
      <c r="EJ37" t="e">
        <f>AND(Bills!#REF!,"AAAAAFxa/4s=")</f>
        <v>#REF!</v>
      </c>
      <c r="EK37" t="e">
        <f>AND(Bills!#REF!,"AAAAAFxa/4w=")</f>
        <v>#REF!</v>
      </c>
      <c r="EL37" t="e">
        <f>AND(Bills!#REF!,"AAAAAFxa/40=")</f>
        <v>#REF!</v>
      </c>
      <c r="EM37" t="e">
        <f>AND(Bills!#REF!,"AAAAAFxa/44=")</f>
        <v>#REF!</v>
      </c>
      <c r="EN37" t="e">
        <f>AND(Bills!#REF!,"AAAAAFxa/48=")</f>
        <v>#REF!</v>
      </c>
      <c r="EO37" t="e">
        <f>AND(Bills!#REF!,"AAAAAFxa/5A=")</f>
        <v>#REF!</v>
      </c>
      <c r="EP37" t="e">
        <f>AND(Bills!#REF!,"AAAAAFxa/5E=")</f>
        <v>#REF!</v>
      </c>
      <c r="EQ37" t="e">
        <f>AND(Bills!#REF!,"AAAAAFxa/5I=")</f>
        <v>#REF!</v>
      </c>
      <c r="ER37" t="e">
        <f>AND(Bills!#REF!,"AAAAAFxa/5M=")</f>
        <v>#REF!</v>
      </c>
      <c r="ES37" t="e">
        <f>AND(Bills!#REF!,"AAAAAFxa/5Q=")</f>
        <v>#REF!</v>
      </c>
      <c r="ET37" t="e">
        <f>AND(Bills!#REF!,"AAAAAFxa/5U=")</f>
        <v>#REF!</v>
      </c>
      <c r="EU37" t="e">
        <f>AND(Bills!#REF!,"AAAAAFxa/5Y=")</f>
        <v>#REF!</v>
      </c>
      <c r="EV37" t="e">
        <f>AND(Bills!#REF!,"AAAAAFxa/5c=")</f>
        <v>#REF!</v>
      </c>
      <c r="EW37" t="e">
        <f>AND(Bills!#REF!,"AAAAAFxa/5g=")</f>
        <v>#REF!</v>
      </c>
      <c r="EX37" t="e">
        <f>AND(Bills!#REF!,"AAAAAFxa/5k=")</f>
        <v>#REF!</v>
      </c>
      <c r="EY37" t="e">
        <f>AND(Bills!#REF!,"AAAAAFxa/5o=")</f>
        <v>#REF!</v>
      </c>
      <c r="EZ37" t="e">
        <f>AND(Bills!#REF!,"AAAAAFxa/5s=")</f>
        <v>#REF!</v>
      </c>
      <c r="FA37" t="e">
        <f>IF(Bills!#REF!,"AAAAAFxa/5w=",0)</f>
        <v>#REF!</v>
      </c>
      <c r="FB37" t="e">
        <f>AND(Bills!#REF!,"AAAAAFxa/50=")</f>
        <v>#REF!</v>
      </c>
      <c r="FC37" t="e">
        <f>AND(Bills!#REF!,"AAAAAFxa/54=")</f>
        <v>#REF!</v>
      </c>
      <c r="FD37" t="e">
        <f>AND(Bills!#REF!,"AAAAAFxa/58=")</f>
        <v>#REF!</v>
      </c>
      <c r="FE37" t="e">
        <f>AND(Bills!#REF!,"AAAAAFxa/6A=")</f>
        <v>#REF!</v>
      </c>
      <c r="FF37" t="e">
        <f>AND(Bills!#REF!,"AAAAAFxa/6E=")</f>
        <v>#REF!</v>
      </c>
      <c r="FG37" t="e">
        <f>AND(Bills!#REF!,"AAAAAFxa/6I=")</f>
        <v>#REF!</v>
      </c>
      <c r="FH37" t="e">
        <f>AND(Bills!#REF!,"AAAAAFxa/6M=")</f>
        <v>#REF!</v>
      </c>
      <c r="FI37" t="e">
        <f>AND(Bills!#REF!,"AAAAAFxa/6Q=")</f>
        <v>#REF!</v>
      </c>
      <c r="FJ37" t="e">
        <f>AND(Bills!#REF!,"AAAAAFxa/6U=")</f>
        <v>#REF!</v>
      </c>
      <c r="FK37" t="e">
        <f>AND(Bills!#REF!,"AAAAAFxa/6Y=")</f>
        <v>#REF!</v>
      </c>
      <c r="FL37" t="e">
        <f>AND(Bills!#REF!,"AAAAAFxa/6c=")</f>
        <v>#REF!</v>
      </c>
      <c r="FM37" t="e">
        <f>AND(Bills!#REF!,"AAAAAFxa/6g=")</f>
        <v>#REF!</v>
      </c>
      <c r="FN37" t="e">
        <f>AND(Bills!#REF!,"AAAAAFxa/6k=")</f>
        <v>#REF!</v>
      </c>
      <c r="FO37" t="e">
        <f>AND(Bills!#REF!,"AAAAAFxa/6o=")</f>
        <v>#REF!</v>
      </c>
      <c r="FP37" t="e">
        <f>AND(Bills!#REF!,"AAAAAFxa/6s=")</f>
        <v>#REF!</v>
      </c>
      <c r="FQ37" t="e">
        <f>AND(Bills!#REF!,"AAAAAFxa/6w=")</f>
        <v>#REF!</v>
      </c>
      <c r="FR37" t="e">
        <f>AND(Bills!#REF!,"AAAAAFxa/60=")</f>
        <v>#REF!</v>
      </c>
      <c r="FS37" t="e">
        <f>AND(Bills!#REF!,"AAAAAFxa/64=")</f>
        <v>#REF!</v>
      </c>
      <c r="FT37" t="e">
        <f>AND(Bills!#REF!,"AAAAAFxa/68=")</f>
        <v>#REF!</v>
      </c>
      <c r="FU37" t="e">
        <f>AND(Bills!#REF!,"AAAAAFxa/7A=")</f>
        <v>#REF!</v>
      </c>
      <c r="FV37" t="e">
        <f>AND(Bills!#REF!,"AAAAAFxa/7E=")</f>
        <v>#REF!</v>
      </c>
      <c r="FW37" t="e">
        <f>AND(Bills!#REF!,"AAAAAFxa/7I=")</f>
        <v>#REF!</v>
      </c>
      <c r="FX37" t="e">
        <f>AND(Bills!#REF!,"AAAAAFxa/7M=")</f>
        <v>#REF!</v>
      </c>
      <c r="FY37" t="e">
        <f>AND(Bills!#REF!,"AAAAAFxa/7Q=")</f>
        <v>#REF!</v>
      </c>
      <c r="FZ37" t="e">
        <f>AND(Bills!#REF!,"AAAAAFxa/7U=")</f>
        <v>#REF!</v>
      </c>
      <c r="GA37" t="e">
        <f>AND(Bills!#REF!,"AAAAAFxa/7Y=")</f>
        <v>#REF!</v>
      </c>
      <c r="GB37" t="e">
        <f>AND(Bills!#REF!,"AAAAAFxa/7c=")</f>
        <v>#REF!</v>
      </c>
      <c r="GC37" t="e">
        <f>AND(Bills!#REF!,"AAAAAFxa/7g=")</f>
        <v>#REF!</v>
      </c>
      <c r="GD37" t="e">
        <f>AND(Bills!#REF!,"AAAAAFxa/7k=")</f>
        <v>#REF!</v>
      </c>
      <c r="GE37" t="e">
        <f>AND(Bills!#REF!,"AAAAAFxa/7o=")</f>
        <v>#REF!</v>
      </c>
      <c r="GF37" t="e">
        <f>AND(Bills!#REF!,"AAAAAFxa/7s=")</f>
        <v>#REF!</v>
      </c>
      <c r="GG37" t="e">
        <f>AND(Bills!#REF!,"AAAAAFxa/7w=")</f>
        <v>#REF!</v>
      </c>
      <c r="GH37" t="e">
        <f>AND(Bills!#REF!,"AAAAAFxa/70=")</f>
        <v>#REF!</v>
      </c>
      <c r="GI37" t="e">
        <f>AND(Bills!#REF!,"AAAAAFxa/74=")</f>
        <v>#REF!</v>
      </c>
      <c r="GJ37" t="e">
        <f>AND(Bills!#REF!,"AAAAAFxa/78=")</f>
        <v>#REF!</v>
      </c>
      <c r="GK37" t="e">
        <f>AND(Bills!#REF!,"AAAAAFxa/8A=")</f>
        <v>#REF!</v>
      </c>
      <c r="GL37" t="e">
        <f>AND(Bills!#REF!,"AAAAAFxa/8E=")</f>
        <v>#REF!</v>
      </c>
      <c r="GM37" t="e">
        <f>AND(Bills!#REF!,"AAAAAFxa/8I=")</f>
        <v>#REF!</v>
      </c>
      <c r="GN37" t="e">
        <f>AND(Bills!#REF!,"AAAAAFxa/8M=")</f>
        <v>#REF!</v>
      </c>
      <c r="GO37" t="e">
        <f>AND(Bills!#REF!,"AAAAAFxa/8Q=")</f>
        <v>#REF!</v>
      </c>
      <c r="GP37" t="e">
        <f>AND(Bills!#REF!,"AAAAAFxa/8U=")</f>
        <v>#REF!</v>
      </c>
      <c r="GQ37" t="e">
        <f>AND(Bills!#REF!,"AAAAAFxa/8Y=")</f>
        <v>#REF!</v>
      </c>
      <c r="GR37" t="e">
        <f>AND(Bills!#REF!,"AAAAAFxa/8c=")</f>
        <v>#REF!</v>
      </c>
      <c r="GS37" t="e">
        <f>AND(Bills!#REF!,"AAAAAFxa/8g=")</f>
        <v>#REF!</v>
      </c>
      <c r="GT37" t="e">
        <f>AND(Bills!#REF!,"AAAAAFxa/8k=")</f>
        <v>#REF!</v>
      </c>
      <c r="GU37" t="e">
        <f>AND(Bills!#REF!,"AAAAAFxa/8o=")</f>
        <v>#REF!</v>
      </c>
      <c r="GV37" t="e">
        <f>AND(Bills!#REF!,"AAAAAFxa/8s=")</f>
        <v>#REF!</v>
      </c>
      <c r="GW37" t="e">
        <f>AND(Bills!#REF!,"AAAAAFxa/8w=")</f>
        <v>#REF!</v>
      </c>
      <c r="GX37" t="e">
        <f>AND(Bills!#REF!,"AAAAAFxa/80=")</f>
        <v>#REF!</v>
      </c>
      <c r="GY37" t="e">
        <f>AND(Bills!#REF!,"AAAAAFxa/84=")</f>
        <v>#REF!</v>
      </c>
      <c r="GZ37">
        <f>IF(Bills!28:28,"AAAAAFxa/88=",0)</f>
        <v>0</v>
      </c>
      <c r="HA37" t="e">
        <f>AND(Bills!B28,"AAAAAFxa/9A=")</f>
        <v>#VALUE!</v>
      </c>
      <c r="HB37" t="e">
        <f>AND(Bills!#REF!,"AAAAAFxa/9E=")</f>
        <v>#REF!</v>
      </c>
      <c r="HC37" t="e">
        <f>AND(Bills!C28,"AAAAAFxa/9I=")</f>
        <v>#VALUE!</v>
      </c>
      <c r="HD37" t="e">
        <f>AND(Bills!#REF!,"AAAAAFxa/9M=")</f>
        <v>#REF!</v>
      </c>
      <c r="HE37" t="e">
        <f>AND(Bills!#REF!,"AAAAAFxa/9Q=")</f>
        <v>#REF!</v>
      </c>
      <c r="HF37" t="e">
        <f>AND(Bills!#REF!,"AAAAAFxa/9U=")</f>
        <v>#REF!</v>
      </c>
      <c r="HG37" t="e">
        <f>AND(Bills!#REF!,"AAAAAFxa/9Y=")</f>
        <v>#REF!</v>
      </c>
      <c r="HH37" t="e">
        <f>AND(Bills!#REF!,"AAAAAFxa/9c=")</f>
        <v>#REF!</v>
      </c>
      <c r="HI37" t="e">
        <f>AND(Bills!D28,"AAAAAFxa/9g=")</f>
        <v>#VALUE!</v>
      </c>
      <c r="HJ37" t="e">
        <f>AND(Bills!#REF!,"AAAAAFxa/9k=")</f>
        <v>#REF!</v>
      </c>
      <c r="HK37" t="e">
        <f>AND(Bills!E28,"AAAAAFxa/9o=")</f>
        <v>#VALUE!</v>
      </c>
      <c r="HL37" t="e">
        <f>AND(Bills!F28,"AAAAAFxa/9s=")</f>
        <v>#VALUE!</v>
      </c>
      <c r="HM37" t="e">
        <f>AND(Bills!G28,"AAAAAFxa/9w=")</f>
        <v>#VALUE!</v>
      </c>
      <c r="HN37" t="e">
        <f>AND(Bills!H28,"AAAAAFxa/90=")</f>
        <v>#VALUE!</v>
      </c>
      <c r="HO37" t="e">
        <f>AND(Bills!I28,"AAAAAFxa/94=")</f>
        <v>#VALUE!</v>
      </c>
      <c r="HP37" t="e">
        <f>AND(Bills!J28,"AAAAAFxa/98=")</f>
        <v>#VALUE!</v>
      </c>
      <c r="HQ37" t="e">
        <f>AND(Bills!#REF!,"AAAAAFxa/+A=")</f>
        <v>#REF!</v>
      </c>
      <c r="HR37" t="e">
        <f>AND(Bills!K28,"AAAAAFxa/+E=")</f>
        <v>#VALUE!</v>
      </c>
      <c r="HS37" t="e">
        <f>AND(Bills!L28,"AAAAAFxa/+I=")</f>
        <v>#VALUE!</v>
      </c>
      <c r="HT37" t="e">
        <f>AND(Bills!M28,"AAAAAFxa/+M=")</f>
        <v>#VALUE!</v>
      </c>
      <c r="HU37" t="e">
        <f>AND(Bills!N28,"AAAAAFxa/+Q=")</f>
        <v>#VALUE!</v>
      </c>
      <c r="HV37" t="e">
        <f>AND(Bills!O28,"AAAAAFxa/+U=")</f>
        <v>#VALUE!</v>
      </c>
      <c r="HW37" t="e">
        <f>AND(Bills!P28,"AAAAAFxa/+Y=")</f>
        <v>#VALUE!</v>
      </c>
      <c r="HX37" t="e">
        <f>AND(Bills!Q28,"AAAAAFxa/+c=")</f>
        <v>#VALUE!</v>
      </c>
      <c r="HY37" t="e">
        <f>AND(Bills!R28,"AAAAAFxa/+g=")</f>
        <v>#VALUE!</v>
      </c>
      <c r="HZ37" t="e">
        <f>AND(Bills!#REF!,"AAAAAFxa/+k=")</f>
        <v>#REF!</v>
      </c>
      <c r="IA37" t="e">
        <f>AND(Bills!S28,"AAAAAFxa/+o=")</f>
        <v>#VALUE!</v>
      </c>
      <c r="IB37" t="e">
        <f>AND(Bills!T28,"AAAAAFxa/+s=")</f>
        <v>#VALUE!</v>
      </c>
      <c r="IC37" t="e">
        <f>AND(Bills!U28,"AAAAAFxa/+w=")</f>
        <v>#VALUE!</v>
      </c>
      <c r="ID37" t="e">
        <f>AND(Bills!#REF!,"AAAAAFxa/+0=")</f>
        <v>#REF!</v>
      </c>
      <c r="IE37" t="e">
        <f>AND(Bills!#REF!,"AAAAAFxa/+4=")</f>
        <v>#REF!</v>
      </c>
      <c r="IF37" t="e">
        <f>AND(Bills!W28,"AAAAAFxa/+8=")</f>
        <v>#VALUE!</v>
      </c>
      <c r="IG37" t="e">
        <f>AND(Bills!X28,"AAAAAFxa//A=")</f>
        <v>#VALUE!</v>
      </c>
      <c r="IH37" t="e">
        <f>AND(Bills!#REF!,"AAAAAFxa//E=")</f>
        <v>#REF!</v>
      </c>
      <c r="II37" t="e">
        <f>AND(Bills!#REF!,"AAAAAFxa//I=")</f>
        <v>#REF!</v>
      </c>
      <c r="IJ37" t="e">
        <f>AND(Bills!#REF!,"AAAAAFxa//M=")</f>
        <v>#REF!</v>
      </c>
      <c r="IK37" t="e">
        <f>AND(Bills!#REF!,"AAAAAFxa//Q=")</f>
        <v>#REF!</v>
      </c>
      <c r="IL37" t="e">
        <f>AND(Bills!#REF!,"AAAAAFxa//U=")</f>
        <v>#REF!</v>
      </c>
      <c r="IM37" t="e">
        <f>AND(Bills!#REF!,"AAAAAFxa//Y=")</f>
        <v>#REF!</v>
      </c>
      <c r="IN37" t="e">
        <f>AND(Bills!#REF!,"AAAAAFxa//c=")</f>
        <v>#REF!</v>
      </c>
      <c r="IO37" t="e">
        <f>AND(Bills!#REF!,"AAAAAFxa//g=")</f>
        <v>#REF!</v>
      </c>
      <c r="IP37" t="e">
        <f>AND(Bills!#REF!,"AAAAAFxa//k=")</f>
        <v>#REF!</v>
      </c>
      <c r="IQ37" t="e">
        <f>AND(Bills!Y28,"AAAAAFxa//o=")</f>
        <v>#VALUE!</v>
      </c>
      <c r="IR37" t="e">
        <f>AND(Bills!Z28,"AAAAAFxa//s=")</f>
        <v>#VALUE!</v>
      </c>
      <c r="IS37" t="e">
        <f>AND(Bills!#REF!,"AAAAAFxa//w=")</f>
        <v>#REF!</v>
      </c>
      <c r="IT37" t="e">
        <f>AND(Bills!#REF!,"AAAAAFxa//0=")</f>
        <v>#REF!</v>
      </c>
      <c r="IU37" t="e">
        <f>AND(Bills!#REF!,"AAAAAFxa//4=")</f>
        <v>#REF!</v>
      </c>
      <c r="IV37" t="e">
        <f>AND(Bills!AA28,"AAAAAFxa//8=")</f>
        <v>#VALUE!</v>
      </c>
    </row>
    <row r="38" spans="1:256">
      <c r="A38" t="e">
        <f>AND(Bills!AB28,"AAAAAGvk7gA=")</f>
        <v>#VALUE!</v>
      </c>
      <c r="B38" t="e">
        <f>AND(Bills!#REF!,"AAAAAGvk7gE=")</f>
        <v>#REF!</v>
      </c>
      <c r="C38">
        <f>IF(Bills!29:29,"AAAAAGvk7gI=",0)</f>
        <v>0</v>
      </c>
      <c r="D38" t="e">
        <f>AND(Bills!B29,"AAAAAGvk7gM=")</f>
        <v>#VALUE!</v>
      </c>
      <c r="E38" t="e">
        <f>AND(Bills!#REF!,"AAAAAGvk7gQ=")</f>
        <v>#REF!</v>
      </c>
      <c r="F38" t="e">
        <f>AND(Bills!C29,"AAAAAGvk7gU=")</f>
        <v>#VALUE!</v>
      </c>
      <c r="G38" t="e">
        <f>AND(Bills!#REF!,"AAAAAGvk7gY=")</f>
        <v>#REF!</v>
      </c>
      <c r="H38" t="e">
        <f>AND(Bills!#REF!,"AAAAAGvk7gc=")</f>
        <v>#REF!</v>
      </c>
      <c r="I38" t="e">
        <f>AND(Bills!#REF!,"AAAAAGvk7gg=")</f>
        <v>#REF!</v>
      </c>
      <c r="J38" t="e">
        <f>AND(Bills!#REF!,"AAAAAGvk7gk=")</f>
        <v>#REF!</v>
      </c>
      <c r="K38" t="e">
        <f>AND(Bills!#REF!,"AAAAAGvk7go=")</f>
        <v>#REF!</v>
      </c>
      <c r="L38" t="e">
        <f>AND(Bills!D29,"AAAAAGvk7gs=")</f>
        <v>#VALUE!</v>
      </c>
      <c r="M38" t="e">
        <f>AND(Bills!#REF!,"AAAAAGvk7gw=")</f>
        <v>#REF!</v>
      </c>
      <c r="N38" t="e">
        <f>AND(Bills!E29,"AAAAAGvk7g0=")</f>
        <v>#VALUE!</v>
      </c>
      <c r="O38" t="e">
        <f>AND(Bills!F29,"AAAAAGvk7g4=")</f>
        <v>#VALUE!</v>
      </c>
      <c r="P38" t="e">
        <f>AND(Bills!G29,"AAAAAGvk7g8=")</f>
        <v>#VALUE!</v>
      </c>
      <c r="Q38" t="e">
        <f>AND(Bills!H29,"AAAAAGvk7hA=")</f>
        <v>#VALUE!</v>
      </c>
      <c r="R38" t="e">
        <f>AND(Bills!I29,"AAAAAGvk7hE=")</f>
        <v>#VALUE!</v>
      </c>
      <c r="S38" t="e">
        <f>AND(Bills!J29,"AAAAAGvk7hI=")</f>
        <v>#VALUE!</v>
      </c>
      <c r="T38" t="e">
        <f>AND(Bills!#REF!,"AAAAAGvk7hM=")</f>
        <v>#REF!</v>
      </c>
      <c r="U38" t="e">
        <f>AND(Bills!K29,"AAAAAGvk7hQ=")</f>
        <v>#VALUE!</v>
      </c>
      <c r="V38" t="e">
        <f>AND(Bills!L29,"AAAAAGvk7hU=")</f>
        <v>#VALUE!</v>
      </c>
      <c r="W38" t="e">
        <f>AND(Bills!M29,"AAAAAGvk7hY=")</f>
        <v>#VALUE!</v>
      </c>
      <c r="X38" t="e">
        <f>AND(Bills!N29,"AAAAAGvk7hc=")</f>
        <v>#VALUE!</v>
      </c>
      <c r="Y38" t="e">
        <f>AND(Bills!O29,"AAAAAGvk7hg=")</f>
        <v>#VALUE!</v>
      </c>
      <c r="Z38" t="e">
        <f>AND(Bills!P29,"AAAAAGvk7hk=")</f>
        <v>#VALUE!</v>
      </c>
      <c r="AA38" t="e">
        <f>AND(Bills!Q29,"AAAAAGvk7ho=")</f>
        <v>#VALUE!</v>
      </c>
      <c r="AB38" t="e">
        <f>AND(Bills!R29,"AAAAAGvk7hs=")</f>
        <v>#VALUE!</v>
      </c>
      <c r="AC38" t="e">
        <f>AND(Bills!#REF!,"AAAAAGvk7hw=")</f>
        <v>#REF!</v>
      </c>
      <c r="AD38" t="e">
        <f>AND(Bills!S29,"AAAAAGvk7h0=")</f>
        <v>#VALUE!</v>
      </c>
      <c r="AE38" t="e">
        <f>AND(Bills!T29,"AAAAAGvk7h4=")</f>
        <v>#VALUE!</v>
      </c>
      <c r="AF38" t="e">
        <f>AND(Bills!U29,"AAAAAGvk7h8=")</f>
        <v>#VALUE!</v>
      </c>
      <c r="AG38" t="e">
        <f>AND(Bills!#REF!,"AAAAAGvk7iA=")</f>
        <v>#REF!</v>
      </c>
      <c r="AH38" t="e">
        <f>AND(Bills!#REF!,"AAAAAGvk7iE=")</f>
        <v>#REF!</v>
      </c>
      <c r="AI38" t="e">
        <f>AND(Bills!W29,"AAAAAGvk7iI=")</f>
        <v>#VALUE!</v>
      </c>
      <c r="AJ38" t="e">
        <f>AND(Bills!X29,"AAAAAGvk7iM=")</f>
        <v>#VALUE!</v>
      </c>
      <c r="AK38" t="e">
        <f>AND(Bills!#REF!,"AAAAAGvk7iQ=")</f>
        <v>#REF!</v>
      </c>
      <c r="AL38" t="e">
        <f>AND(Bills!#REF!,"AAAAAGvk7iU=")</f>
        <v>#REF!</v>
      </c>
      <c r="AM38" t="e">
        <f>AND(Bills!#REF!,"AAAAAGvk7iY=")</f>
        <v>#REF!</v>
      </c>
      <c r="AN38" t="e">
        <f>AND(Bills!#REF!,"AAAAAGvk7ic=")</f>
        <v>#REF!</v>
      </c>
      <c r="AO38" t="e">
        <f>AND(Bills!#REF!,"AAAAAGvk7ig=")</f>
        <v>#REF!</v>
      </c>
      <c r="AP38" t="e">
        <f>AND(Bills!#REF!,"AAAAAGvk7ik=")</f>
        <v>#REF!</v>
      </c>
      <c r="AQ38" t="e">
        <f>AND(Bills!#REF!,"AAAAAGvk7io=")</f>
        <v>#REF!</v>
      </c>
      <c r="AR38" t="e">
        <f>AND(Bills!#REF!,"AAAAAGvk7is=")</f>
        <v>#REF!</v>
      </c>
      <c r="AS38" t="e">
        <f>AND(Bills!#REF!,"AAAAAGvk7iw=")</f>
        <v>#REF!</v>
      </c>
      <c r="AT38" t="e">
        <f>AND(Bills!Y29,"AAAAAGvk7i0=")</f>
        <v>#VALUE!</v>
      </c>
      <c r="AU38" t="e">
        <f>AND(Bills!Z29,"AAAAAGvk7i4=")</f>
        <v>#VALUE!</v>
      </c>
      <c r="AV38" t="e">
        <f>AND(Bills!#REF!,"AAAAAGvk7i8=")</f>
        <v>#REF!</v>
      </c>
      <c r="AW38" t="e">
        <f>AND(Bills!#REF!,"AAAAAGvk7jA=")</f>
        <v>#REF!</v>
      </c>
      <c r="AX38" t="e">
        <f>AND(Bills!#REF!,"AAAAAGvk7jE=")</f>
        <v>#REF!</v>
      </c>
      <c r="AY38" t="e">
        <f>AND(Bills!AA29,"AAAAAGvk7jI=")</f>
        <v>#VALUE!</v>
      </c>
      <c r="AZ38" t="e">
        <f>AND(Bills!AB29,"AAAAAGvk7jM=")</f>
        <v>#VALUE!</v>
      </c>
      <c r="BA38" t="e">
        <f>AND(Bills!#REF!,"AAAAAGvk7jQ=")</f>
        <v>#REF!</v>
      </c>
      <c r="BB38">
        <f>IF(Bills!30:30,"AAAAAGvk7jU=",0)</f>
        <v>0</v>
      </c>
      <c r="BC38" t="e">
        <f>AND(Bills!B30,"AAAAAGvk7jY=")</f>
        <v>#VALUE!</v>
      </c>
      <c r="BD38" t="e">
        <f>AND(Bills!#REF!,"AAAAAGvk7jc=")</f>
        <v>#REF!</v>
      </c>
      <c r="BE38" t="e">
        <f>AND(Bills!C30,"AAAAAGvk7jg=")</f>
        <v>#VALUE!</v>
      </c>
      <c r="BF38" t="e">
        <f>AND(Bills!#REF!,"AAAAAGvk7jk=")</f>
        <v>#REF!</v>
      </c>
      <c r="BG38" t="e">
        <f>AND(Bills!#REF!,"AAAAAGvk7jo=")</f>
        <v>#REF!</v>
      </c>
      <c r="BH38" t="e">
        <f>AND(Bills!#REF!,"AAAAAGvk7js=")</f>
        <v>#REF!</v>
      </c>
      <c r="BI38" t="e">
        <f>AND(Bills!#REF!,"AAAAAGvk7jw=")</f>
        <v>#REF!</v>
      </c>
      <c r="BJ38" t="e">
        <f>AND(Bills!#REF!,"AAAAAGvk7j0=")</f>
        <v>#REF!</v>
      </c>
      <c r="BK38" t="e">
        <f>AND(Bills!D30,"AAAAAGvk7j4=")</f>
        <v>#VALUE!</v>
      </c>
      <c r="BL38" t="e">
        <f>AND(Bills!#REF!,"AAAAAGvk7j8=")</f>
        <v>#REF!</v>
      </c>
      <c r="BM38" t="e">
        <f>AND(Bills!E30,"AAAAAGvk7kA=")</f>
        <v>#VALUE!</v>
      </c>
      <c r="BN38" t="e">
        <f>AND(Bills!F30,"AAAAAGvk7kE=")</f>
        <v>#VALUE!</v>
      </c>
      <c r="BO38" t="e">
        <f>AND(Bills!G30,"AAAAAGvk7kI=")</f>
        <v>#VALUE!</v>
      </c>
      <c r="BP38" t="e">
        <f>AND(Bills!H30,"AAAAAGvk7kM=")</f>
        <v>#VALUE!</v>
      </c>
      <c r="BQ38" t="e">
        <f>AND(Bills!I30,"AAAAAGvk7kQ=")</f>
        <v>#VALUE!</v>
      </c>
      <c r="BR38" t="e">
        <f>AND(Bills!J30,"AAAAAGvk7kU=")</f>
        <v>#VALUE!</v>
      </c>
      <c r="BS38" t="e">
        <f>AND(Bills!#REF!,"AAAAAGvk7kY=")</f>
        <v>#REF!</v>
      </c>
      <c r="BT38" t="e">
        <f>AND(Bills!K30,"AAAAAGvk7kc=")</f>
        <v>#VALUE!</v>
      </c>
      <c r="BU38" t="e">
        <f>AND(Bills!L30,"AAAAAGvk7kg=")</f>
        <v>#VALUE!</v>
      </c>
      <c r="BV38" t="e">
        <f>AND(Bills!M30,"AAAAAGvk7kk=")</f>
        <v>#VALUE!</v>
      </c>
      <c r="BW38" t="e">
        <f>AND(Bills!N30,"AAAAAGvk7ko=")</f>
        <v>#VALUE!</v>
      </c>
      <c r="BX38" t="e">
        <f>AND(Bills!O30,"AAAAAGvk7ks=")</f>
        <v>#VALUE!</v>
      </c>
      <c r="BY38" t="e">
        <f>AND(Bills!P30,"AAAAAGvk7kw=")</f>
        <v>#VALUE!</v>
      </c>
      <c r="BZ38" t="e">
        <f>AND(Bills!Q30,"AAAAAGvk7k0=")</f>
        <v>#VALUE!</v>
      </c>
      <c r="CA38" t="e">
        <f>AND(Bills!R30,"AAAAAGvk7k4=")</f>
        <v>#VALUE!</v>
      </c>
      <c r="CB38" t="e">
        <f>AND(Bills!#REF!,"AAAAAGvk7k8=")</f>
        <v>#REF!</v>
      </c>
      <c r="CC38" t="e">
        <f>AND(Bills!S30,"AAAAAGvk7lA=")</f>
        <v>#VALUE!</v>
      </c>
      <c r="CD38" t="e">
        <f>AND(Bills!T30,"AAAAAGvk7lE=")</f>
        <v>#VALUE!</v>
      </c>
      <c r="CE38" t="e">
        <f>AND(Bills!U30,"AAAAAGvk7lI=")</f>
        <v>#VALUE!</v>
      </c>
      <c r="CF38" t="e">
        <f>AND(Bills!#REF!,"AAAAAGvk7lM=")</f>
        <v>#REF!</v>
      </c>
      <c r="CG38" t="e">
        <f>AND(Bills!#REF!,"AAAAAGvk7lQ=")</f>
        <v>#REF!</v>
      </c>
      <c r="CH38" t="e">
        <f>AND(Bills!W30,"AAAAAGvk7lU=")</f>
        <v>#VALUE!</v>
      </c>
      <c r="CI38" t="e">
        <f>AND(Bills!X30,"AAAAAGvk7lY=")</f>
        <v>#VALUE!</v>
      </c>
      <c r="CJ38" t="e">
        <f>AND(Bills!#REF!,"AAAAAGvk7lc=")</f>
        <v>#REF!</v>
      </c>
      <c r="CK38" t="e">
        <f>AND(Bills!#REF!,"AAAAAGvk7lg=")</f>
        <v>#REF!</v>
      </c>
      <c r="CL38" t="e">
        <f>AND(Bills!#REF!,"AAAAAGvk7lk=")</f>
        <v>#REF!</v>
      </c>
      <c r="CM38" t="e">
        <f>AND(Bills!#REF!,"AAAAAGvk7lo=")</f>
        <v>#REF!</v>
      </c>
      <c r="CN38" t="e">
        <f>AND(Bills!#REF!,"AAAAAGvk7ls=")</f>
        <v>#REF!</v>
      </c>
      <c r="CO38" t="e">
        <f>AND(Bills!#REF!,"AAAAAGvk7lw=")</f>
        <v>#REF!</v>
      </c>
      <c r="CP38" t="e">
        <f>AND(Bills!#REF!,"AAAAAGvk7l0=")</f>
        <v>#REF!</v>
      </c>
      <c r="CQ38" t="e">
        <f>AND(Bills!#REF!,"AAAAAGvk7l4=")</f>
        <v>#REF!</v>
      </c>
      <c r="CR38" t="e">
        <f>AND(Bills!#REF!,"AAAAAGvk7l8=")</f>
        <v>#REF!</v>
      </c>
      <c r="CS38" t="e">
        <f>AND(Bills!Y30,"AAAAAGvk7mA=")</f>
        <v>#VALUE!</v>
      </c>
      <c r="CT38" t="e">
        <f>AND(Bills!Z30,"AAAAAGvk7mE=")</f>
        <v>#VALUE!</v>
      </c>
      <c r="CU38" t="e">
        <f>AND(Bills!#REF!,"AAAAAGvk7mI=")</f>
        <v>#REF!</v>
      </c>
      <c r="CV38" t="e">
        <f>AND(Bills!#REF!,"AAAAAGvk7mM=")</f>
        <v>#REF!</v>
      </c>
      <c r="CW38" t="e">
        <f>AND(Bills!#REF!,"AAAAAGvk7mQ=")</f>
        <v>#REF!</v>
      </c>
      <c r="CX38" t="e">
        <f>AND(Bills!AA30,"AAAAAGvk7mU=")</f>
        <v>#VALUE!</v>
      </c>
      <c r="CY38" t="e">
        <f>AND(Bills!AB30,"AAAAAGvk7mY=")</f>
        <v>#VALUE!</v>
      </c>
      <c r="CZ38" t="e">
        <f>AND(Bills!#REF!,"AAAAAGvk7mc=")</f>
        <v>#REF!</v>
      </c>
      <c r="DA38">
        <f>IF(Bills!31:31,"AAAAAGvk7mg=",0)</f>
        <v>0</v>
      </c>
      <c r="DB38" t="e">
        <f>AND(Bills!B31,"AAAAAGvk7mk=")</f>
        <v>#VALUE!</v>
      </c>
      <c r="DC38" t="e">
        <f>AND(Bills!#REF!,"AAAAAGvk7mo=")</f>
        <v>#REF!</v>
      </c>
      <c r="DD38" t="e">
        <f>AND(Bills!C31,"AAAAAGvk7ms=")</f>
        <v>#VALUE!</v>
      </c>
      <c r="DE38" t="e">
        <f>AND(Bills!#REF!,"AAAAAGvk7mw=")</f>
        <v>#REF!</v>
      </c>
      <c r="DF38" t="e">
        <f>AND(Bills!#REF!,"AAAAAGvk7m0=")</f>
        <v>#REF!</v>
      </c>
      <c r="DG38" t="e">
        <f>AND(Bills!#REF!,"AAAAAGvk7m4=")</f>
        <v>#REF!</v>
      </c>
      <c r="DH38" t="e">
        <f>AND(Bills!#REF!,"AAAAAGvk7m8=")</f>
        <v>#REF!</v>
      </c>
      <c r="DI38" t="e">
        <f>AND(Bills!#REF!,"AAAAAGvk7nA=")</f>
        <v>#REF!</v>
      </c>
      <c r="DJ38" t="e">
        <f>AND(Bills!D31,"AAAAAGvk7nE=")</f>
        <v>#VALUE!</v>
      </c>
      <c r="DK38" t="e">
        <f>AND(Bills!#REF!,"AAAAAGvk7nI=")</f>
        <v>#REF!</v>
      </c>
      <c r="DL38" t="e">
        <f>AND(Bills!E31,"AAAAAGvk7nM=")</f>
        <v>#VALUE!</v>
      </c>
      <c r="DM38" t="e">
        <f>AND(Bills!F31,"AAAAAGvk7nQ=")</f>
        <v>#VALUE!</v>
      </c>
      <c r="DN38" t="e">
        <f>AND(Bills!G31,"AAAAAGvk7nU=")</f>
        <v>#VALUE!</v>
      </c>
      <c r="DO38" t="e">
        <f>AND(Bills!H31,"AAAAAGvk7nY=")</f>
        <v>#VALUE!</v>
      </c>
      <c r="DP38" t="e">
        <f>AND(Bills!I31,"AAAAAGvk7nc=")</f>
        <v>#VALUE!</v>
      </c>
      <c r="DQ38" t="e">
        <f>AND(Bills!J31,"AAAAAGvk7ng=")</f>
        <v>#VALUE!</v>
      </c>
      <c r="DR38" t="e">
        <f>AND(Bills!#REF!,"AAAAAGvk7nk=")</f>
        <v>#REF!</v>
      </c>
      <c r="DS38" t="e">
        <f>AND(Bills!K31,"AAAAAGvk7no=")</f>
        <v>#VALUE!</v>
      </c>
      <c r="DT38" t="e">
        <f>AND(Bills!L31,"AAAAAGvk7ns=")</f>
        <v>#VALUE!</v>
      </c>
      <c r="DU38" t="e">
        <f>AND(Bills!M31,"AAAAAGvk7nw=")</f>
        <v>#VALUE!</v>
      </c>
      <c r="DV38" t="e">
        <f>AND(Bills!N31,"AAAAAGvk7n0=")</f>
        <v>#VALUE!</v>
      </c>
      <c r="DW38" t="e">
        <f>AND(Bills!O31,"AAAAAGvk7n4=")</f>
        <v>#VALUE!</v>
      </c>
      <c r="DX38" t="e">
        <f>AND(Bills!P31,"AAAAAGvk7n8=")</f>
        <v>#VALUE!</v>
      </c>
      <c r="DY38" t="e">
        <f>AND(Bills!Q31,"AAAAAGvk7oA=")</f>
        <v>#VALUE!</v>
      </c>
      <c r="DZ38" t="e">
        <f>AND(Bills!R31,"AAAAAGvk7oE=")</f>
        <v>#VALUE!</v>
      </c>
      <c r="EA38" t="e">
        <f>AND(Bills!#REF!,"AAAAAGvk7oI=")</f>
        <v>#REF!</v>
      </c>
      <c r="EB38" t="e">
        <f>AND(Bills!S31,"AAAAAGvk7oM=")</f>
        <v>#VALUE!</v>
      </c>
      <c r="EC38" t="e">
        <f>AND(Bills!T31,"AAAAAGvk7oQ=")</f>
        <v>#VALUE!</v>
      </c>
      <c r="ED38" t="e">
        <f>AND(Bills!U31,"AAAAAGvk7oU=")</f>
        <v>#VALUE!</v>
      </c>
      <c r="EE38" t="e">
        <f>AND(Bills!#REF!,"AAAAAGvk7oY=")</f>
        <v>#REF!</v>
      </c>
      <c r="EF38" t="e">
        <f>AND(Bills!#REF!,"AAAAAGvk7oc=")</f>
        <v>#REF!</v>
      </c>
      <c r="EG38" t="e">
        <f>AND(Bills!W31,"AAAAAGvk7og=")</f>
        <v>#VALUE!</v>
      </c>
      <c r="EH38" t="e">
        <f>AND(Bills!X31,"AAAAAGvk7ok=")</f>
        <v>#VALUE!</v>
      </c>
      <c r="EI38" t="e">
        <f>AND(Bills!#REF!,"AAAAAGvk7oo=")</f>
        <v>#REF!</v>
      </c>
      <c r="EJ38" t="e">
        <f>AND(Bills!#REF!,"AAAAAGvk7os=")</f>
        <v>#REF!</v>
      </c>
      <c r="EK38" t="e">
        <f>AND(Bills!#REF!,"AAAAAGvk7ow=")</f>
        <v>#REF!</v>
      </c>
      <c r="EL38" t="e">
        <f>AND(Bills!#REF!,"AAAAAGvk7o0=")</f>
        <v>#REF!</v>
      </c>
      <c r="EM38" t="e">
        <f>AND(Bills!#REF!,"AAAAAGvk7o4=")</f>
        <v>#REF!</v>
      </c>
      <c r="EN38" t="e">
        <f>AND(Bills!#REF!,"AAAAAGvk7o8=")</f>
        <v>#REF!</v>
      </c>
      <c r="EO38" t="e">
        <f>AND(Bills!#REF!,"AAAAAGvk7pA=")</f>
        <v>#REF!</v>
      </c>
      <c r="EP38" t="e">
        <f>AND(Bills!#REF!,"AAAAAGvk7pE=")</f>
        <v>#REF!</v>
      </c>
      <c r="EQ38" t="e">
        <f>AND(Bills!#REF!,"AAAAAGvk7pI=")</f>
        <v>#REF!</v>
      </c>
      <c r="ER38" t="e">
        <f>AND(Bills!Y31,"AAAAAGvk7pM=")</f>
        <v>#VALUE!</v>
      </c>
      <c r="ES38" t="e">
        <f>AND(Bills!Z31,"AAAAAGvk7pQ=")</f>
        <v>#VALUE!</v>
      </c>
      <c r="ET38" t="e">
        <f>AND(Bills!#REF!,"AAAAAGvk7pU=")</f>
        <v>#REF!</v>
      </c>
      <c r="EU38" t="e">
        <f>AND(Bills!#REF!,"AAAAAGvk7pY=")</f>
        <v>#REF!</v>
      </c>
      <c r="EV38" t="e">
        <f>AND(Bills!#REF!,"AAAAAGvk7pc=")</f>
        <v>#REF!</v>
      </c>
      <c r="EW38" t="e">
        <f>AND(Bills!AA31,"AAAAAGvk7pg=")</f>
        <v>#VALUE!</v>
      </c>
      <c r="EX38" t="e">
        <f>AND(Bills!AB31,"AAAAAGvk7pk=")</f>
        <v>#VALUE!</v>
      </c>
      <c r="EY38" t="e">
        <f>AND(Bills!#REF!,"AAAAAGvk7po=")</f>
        <v>#REF!</v>
      </c>
      <c r="EZ38">
        <f>IF(Bills!32:32,"AAAAAGvk7ps=",0)</f>
        <v>0</v>
      </c>
      <c r="FA38" t="e">
        <f>AND(Bills!B32,"AAAAAGvk7pw=")</f>
        <v>#VALUE!</v>
      </c>
      <c r="FB38" t="e">
        <f>AND(Bills!#REF!,"AAAAAGvk7p0=")</f>
        <v>#REF!</v>
      </c>
      <c r="FC38" t="e">
        <f>AND(Bills!C32,"AAAAAGvk7p4=")</f>
        <v>#VALUE!</v>
      </c>
      <c r="FD38" t="e">
        <f>AND(Bills!#REF!,"AAAAAGvk7p8=")</f>
        <v>#REF!</v>
      </c>
      <c r="FE38" t="e">
        <f>AND(Bills!#REF!,"AAAAAGvk7qA=")</f>
        <v>#REF!</v>
      </c>
      <c r="FF38" t="e">
        <f>AND(Bills!#REF!,"AAAAAGvk7qE=")</f>
        <v>#REF!</v>
      </c>
      <c r="FG38" t="e">
        <f>AND(Bills!#REF!,"AAAAAGvk7qI=")</f>
        <v>#REF!</v>
      </c>
      <c r="FH38" t="e">
        <f>AND(Bills!#REF!,"AAAAAGvk7qM=")</f>
        <v>#REF!</v>
      </c>
      <c r="FI38" t="e">
        <f>AND(Bills!D32,"AAAAAGvk7qQ=")</f>
        <v>#VALUE!</v>
      </c>
      <c r="FJ38" t="e">
        <f>AND(Bills!#REF!,"AAAAAGvk7qU=")</f>
        <v>#REF!</v>
      </c>
      <c r="FK38" t="e">
        <f>AND(Bills!E32,"AAAAAGvk7qY=")</f>
        <v>#VALUE!</v>
      </c>
      <c r="FL38" t="e">
        <f>AND(Bills!F32,"AAAAAGvk7qc=")</f>
        <v>#VALUE!</v>
      </c>
      <c r="FM38" t="e">
        <f>AND(Bills!G32,"AAAAAGvk7qg=")</f>
        <v>#VALUE!</v>
      </c>
      <c r="FN38" t="e">
        <f>AND(Bills!H32,"AAAAAGvk7qk=")</f>
        <v>#VALUE!</v>
      </c>
      <c r="FO38" t="e">
        <f>AND(Bills!I32,"AAAAAGvk7qo=")</f>
        <v>#VALUE!</v>
      </c>
      <c r="FP38" t="e">
        <f>AND(Bills!J32,"AAAAAGvk7qs=")</f>
        <v>#VALUE!</v>
      </c>
      <c r="FQ38" t="e">
        <f>AND(Bills!#REF!,"AAAAAGvk7qw=")</f>
        <v>#REF!</v>
      </c>
      <c r="FR38" t="e">
        <f>AND(Bills!K32,"AAAAAGvk7q0=")</f>
        <v>#VALUE!</v>
      </c>
      <c r="FS38" t="e">
        <f>AND(Bills!L32,"AAAAAGvk7q4=")</f>
        <v>#VALUE!</v>
      </c>
      <c r="FT38" t="e">
        <f>AND(Bills!M32,"AAAAAGvk7q8=")</f>
        <v>#VALUE!</v>
      </c>
      <c r="FU38" t="e">
        <f>AND(Bills!N32,"AAAAAGvk7rA=")</f>
        <v>#VALUE!</v>
      </c>
      <c r="FV38" t="e">
        <f>AND(Bills!O32,"AAAAAGvk7rE=")</f>
        <v>#VALUE!</v>
      </c>
      <c r="FW38" t="e">
        <f>AND(Bills!P32,"AAAAAGvk7rI=")</f>
        <v>#VALUE!</v>
      </c>
      <c r="FX38" t="e">
        <f>AND(Bills!Q32,"AAAAAGvk7rM=")</f>
        <v>#VALUE!</v>
      </c>
      <c r="FY38" t="e">
        <f>AND(Bills!R32,"AAAAAGvk7rQ=")</f>
        <v>#VALUE!</v>
      </c>
      <c r="FZ38" t="e">
        <f>AND(Bills!#REF!,"AAAAAGvk7rU=")</f>
        <v>#REF!</v>
      </c>
      <c r="GA38" t="e">
        <f>AND(Bills!S32,"AAAAAGvk7rY=")</f>
        <v>#VALUE!</v>
      </c>
      <c r="GB38" t="e">
        <f>AND(Bills!T32,"AAAAAGvk7rc=")</f>
        <v>#VALUE!</v>
      </c>
      <c r="GC38" t="e">
        <f>AND(Bills!U32,"AAAAAGvk7rg=")</f>
        <v>#VALUE!</v>
      </c>
      <c r="GD38" t="e">
        <f>AND(Bills!#REF!,"AAAAAGvk7rk=")</f>
        <v>#REF!</v>
      </c>
      <c r="GE38" t="e">
        <f>AND(Bills!#REF!,"AAAAAGvk7ro=")</f>
        <v>#REF!</v>
      </c>
      <c r="GF38" t="e">
        <f>AND(Bills!W32,"AAAAAGvk7rs=")</f>
        <v>#VALUE!</v>
      </c>
      <c r="GG38" t="e">
        <f>AND(Bills!X32,"AAAAAGvk7rw=")</f>
        <v>#VALUE!</v>
      </c>
      <c r="GH38" t="e">
        <f>AND(Bills!#REF!,"AAAAAGvk7r0=")</f>
        <v>#REF!</v>
      </c>
      <c r="GI38" t="e">
        <f>AND(Bills!#REF!,"AAAAAGvk7r4=")</f>
        <v>#REF!</v>
      </c>
      <c r="GJ38" t="e">
        <f>AND(Bills!#REF!,"AAAAAGvk7r8=")</f>
        <v>#REF!</v>
      </c>
      <c r="GK38" t="e">
        <f>AND(Bills!#REF!,"AAAAAGvk7sA=")</f>
        <v>#REF!</v>
      </c>
      <c r="GL38" t="e">
        <f>AND(Bills!#REF!,"AAAAAGvk7sE=")</f>
        <v>#REF!</v>
      </c>
      <c r="GM38" t="e">
        <f>AND(Bills!#REF!,"AAAAAGvk7sI=")</f>
        <v>#REF!</v>
      </c>
      <c r="GN38" t="e">
        <f>AND(Bills!#REF!,"AAAAAGvk7sM=")</f>
        <v>#REF!</v>
      </c>
      <c r="GO38" t="e">
        <f>AND(Bills!#REF!,"AAAAAGvk7sQ=")</f>
        <v>#REF!</v>
      </c>
      <c r="GP38" t="e">
        <f>AND(Bills!#REF!,"AAAAAGvk7sU=")</f>
        <v>#REF!</v>
      </c>
      <c r="GQ38" t="e">
        <f>AND(Bills!Y32,"AAAAAGvk7sY=")</f>
        <v>#VALUE!</v>
      </c>
      <c r="GR38" t="e">
        <f>AND(Bills!Z32,"AAAAAGvk7sc=")</f>
        <v>#VALUE!</v>
      </c>
      <c r="GS38" t="e">
        <f>AND(Bills!#REF!,"AAAAAGvk7sg=")</f>
        <v>#REF!</v>
      </c>
      <c r="GT38" t="e">
        <f>AND(Bills!#REF!,"AAAAAGvk7sk=")</f>
        <v>#REF!</v>
      </c>
      <c r="GU38" t="e">
        <f>AND(Bills!#REF!,"AAAAAGvk7so=")</f>
        <v>#REF!</v>
      </c>
      <c r="GV38" t="e">
        <f>AND(Bills!AA32,"AAAAAGvk7ss=")</f>
        <v>#VALUE!</v>
      </c>
      <c r="GW38" t="e">
        <f>AND(Bills!AB32,"AAAAAGvk7sw=")</f>
        <v>#VALUE!</v>
      </c>
      <c r="GX38" t="e">
        <f>AND(Bills!#REF!,"AAAAAGvk7s0=")</f>
        <v>#REF!</v>
      </c>
      <c r="GY38">
        <f>IF(Bills!33:33,"AAAAAGvk7s4=",0)</f>
        <v>0</v>
      </c>
      <c r="GZ38" t="e">
        <f>AND(Bills!B33,"AAAAAGvk7s8=")</f>
        <v>#VALUE!</v>
      </c>
      <c r="HA38" t="e">
        <f>AND(Bills!#REF!,"AAAAAGvk7tA=")</f>
        <v>#REF!</v>
      </c>
      <c r="HB38" t="e">
        <f>AND(Bills!C33,"AAAAAGvk7tE=")</f>
        <v>#VALUE!</v>
      </c>
      <c r="HC38" t="e">
        <f>AND(Bills!#REF!,"AAAAAGvk7tI=")</f>
        <v>#REF!</v>
      </c>
      <c r="HD38" t="e">
        <f>AND(Bills!#REF!,"AAAAAGvk7tM=")</f>
        <v>#REF!</v>
      </c>
      <c r="HE38" t="e">
        <f>AND(Bills!#REF!,"AAAAAGvk7tQ=")</f>
        <v>#REF!</v>
      </c>
      <c r="HF38" t="e">
        <f>AND(Bills!#REF!,"AAAAAGvk7tU=")</f>
        <v>#REF!</v>
      </c>
      <c r="HG38" t="e">
        <f>AND(Bills!#REF!,"AAAAAGvk7tY=")</f>
        <v>#REF!</v>
      </c>
      <c r="HH38" t="e">
        <f>AND(Bills!D33,"AAAAAGvk7tc=")</f>
        <v>#VALUE!</v>
      </c>
      <c r="HI38" t="e">
        <f>AND(Bills!#REF!,"AAAAAGvk7tg=")</f>
        <v>#REF!</v>
      </c>
      <c r="HJ38" t="e">
        <f>AND(Bills!E33,"AAAAAGvk7tk=")</f>
        <v>#VALUE!</v>
      </c>
      <c r="HK38" t="e">
        <f>AND(Bills!F33,"AAAAAGvk7to=")</f>
        <v>#VALUE!</v>
      </c>
      <c r="HL38" t="e">
        <f>AND(Bills!G33,"AAAAAGvk7ts=")</f>
        <v>#VALUE!</v>
      </c>
      <c r="HM38" t="e">
        <f>AND(Bills!H33,"AAAAAGvk7tw=")</f>
        <v>#VALUE!</v>
      </c>
      <c r="HN38" t="e">
        <f>AND(Bills!I33,"AAAAAGvk7t0=")</f>
        <v>#VALUE!</v>
      </c>
      <c r="HO38" t="e">
        <f>AND(Bills!J33,"AAAAAGvk7t4=")</f>
        <v>#VALUE!</v>
      </c>
      <c r="HP38" t="e">
        <f>AND(Bills!#REF!,"AAAAAGvk7t8=")</f>
        <v>#REF!</v>
      </c>
      <c r="HQ38" t="e">
        <f>AND(Bills!K33,"AAAAAGvk7uA=")</f>
        <v>#VALUE!</v>
      </c>
      <c r="HR38" t="e">
        <f>AND(Bills!L33,"AAAAAGvk7uE=")</f>
        <v>#VALUE!</v>
      </c>
      <c r="HS38" t="e">
        <f>AND(Bills!M33,"AAAAAGvk7uI=")</f>
        <v>#VALUE!</v>
      </c>
      <c r="HT38" t="e">
        <f>AND(Bills!N33,"AAAAAGvk7uM=")</f>
        <v>#VALUE!</v>
      </c>
      <c r="HU38" t="e">
        <f>AND(Bills!O33,"AAAAAGvk7uQ=")</f>
        <v>#VALUE!</v>
      </c>
      <c r="HV38" t="e">
        <f>AND(Bills!P33,"AAAAAGvk7uU=")</f>
        <v>#VALUE!</v>
      </c>
      <c r="HW38" t="e">
        <f>AND(Bills!Q33,"AAAAAGvk7uY=")</f>
        <v>#VALUE!</v>
      </c>
      <c r="HX38" t="e">
        <f>AND(Bills!R33,"AAAAAGvk7uc=")</f>
        <v>#VALUE!</v>
      </c>
      <c r="HY38" t="e">
        <f>AND(Bills!#REF!,"AAAAAGvk7ug=")</f>
        <v>#REF!</v>
      </c>
      <c r="HZ38" t="e">
        <f>AND(Bills!S33,"AAAAAGvk7uk=")</f>
        <v>#VALUE!</v>
      </c>
      <c r="IA38" t="e">
        <f>AND(Bills!T33,"AAAAAGvk7uo=")</f>
        <v>#VALUE!</v>
      </c>
      <c r="IB38" t="e">
        <f>AND(Bills!U33,"AAAAAGvk7us=")</f>
        <v>#VALUE!</v>
      </c>
      <c r="IC38" t="e">
        <f>AND(Bills!#REF!,"AAAAAGvk7uw=")</f>
        <v>#REF!</v>
      </c>
      <c r="ID38" t="e">
        <f>AND(Bills!#REF!,"AAAAAGvk7u0=")</f>
        <v>#REF!</v>
      </c>
      <c r="IE38" t="e">
        <f>AND(Bills!W33,"AAAAAGvk7u4=")</f>
        <v>#VALUE!</v>
      </c>
      <c r="IF38" t="e">
        <f>AND(Bills!X33,"AAAAAGvk7u8=")</f>
        <v>#VALUE!</v>
      </c>
      <c r="IG38" t="e">
        <f>AND(Bills!#REF!,"AAAAAGvk7vA=")</f>
        <v>#REF!</v>
      </c>
      <c r="IH38" t="e">
        <f>AND(Bills!#REF!,"AAAAAGvk7vE=")</f>
        <v>#REF!</v>
      </c>
      <c r="II38" t="e">
        <f>AND(Bills!#REF!,"AAAAAGvk7vI=")</f>
        <v>#REF!</v>
      </c>
      <c r="IJ38" t="e">
        <f>AND(Bills!#REF!,"AAAAAGvk7vM=")</f>
        <v>#REF!</v>
      </c>
      <c r="IK38" t="e">
        <f>AND(Bills!#REF!,"AAAAAGvk7vQ=")</f>
        <v>#REF!</v>
      </c>
      <c r="IL38" t="e">
        <f>AND(Bills!#REF!,"AAAAAGvk7vU=")</f>
        <v>#REF!</v>
      </c>
      <c r="IM38" t="e">
        <f>AND(Bills!#REF!,"AAAAAGvk7vY=")</f>
        <v>#REF!</v>
      </c>
      <c r="IN38" t="e">
        <f>AND(Bills!#REF!,"AAAAAGvk7vc=")</f>
        <v>#REF!</v>
      </c>
      <c r="IO38" t="e">
        <f>AND(Bills!#REF!,"AAAAAGvk7vg=")</f>
        <v>#REF!</v>
      </c>
      <c r="IP38" t="e">
        <f>AND(Bills!Y33,"AAAAAGvk7vk=")</f>
        <v>#VALUE!</v>
      </c>
      <c r="IQ38" t="e">
        <f>AND(Bills!Z33,"AAAAAGvk7vo=")</f>
        <v>#VALUE!</v>
      </c>
      <c r="IR38" t="e">
        <f>AND(Bills!#REF!,"AAAAAGvk7vs=")</f>
        <v>#REF!</v>
      </c>
      <c r="IS38" t="e">
        <f>AND(Bills!#REF!,"AAAAAGvk7vw=")</f>
        <v>#REF!</v>
      </c>
      <c r="IT38" t="e">
        <f>AND(Bills!#REF!,"AAAAAGvk7v0=")</f>
        <v>#REF!</v>
      </c>
      <c r="IU38" t="e">
        <f>AND(Bills!AA33,"AAAAAGvk7v4=")</f>
        <v>#VALUE!</v>
      </c>
      <c r="IV38" t="e">
        <f>AND(Bills!AB33,"AAAAAGvk7v8=")</f>
        <v>#VALUE!</v>
      </c>
    </row>
    <row r="39" spans="1:256">
      <c r="A39" t="e">
        <f>AND(Bills!#REF!,"AAAAAD8zdwA=")</f>
        <v>#REF!</v>
      </c>
      <c r="B39">
        <f>IF(Bills!34:34,"AAAAAD8zdwE=",0)</f>
        <v>0</v>
      </c>
      <c r="C39" t="e">
        <f>AND(Bills!B34,"AAAAAD8zdwI=")</f>
        <v>#VALUE!</v>
      </c>
      <c r="D39" t="e">
        <f>AND(Bills!#REF!,"AAAAAD8zdwM=")</f>
        <v>#REF!</v>
      </c>
      <c r="E39" t="e">
        <f>AND(Bills!C34,"AAAAAD8zdwQ=")</f>
        <v>#VALUE!</v>
      </c>
      <c r="F39" t="e">
        <f>AND(Bills!#REF!,"AAAAAD8zdwU=")</f>
        <v>#REF!</v>
      </c>
      <c r="G39" t="e">
        <f>AND(Bills!#REF!,"AAAAAD8zdwY=")</f>
        <v>#REF!</v>
      </c>
      <c r="H39" t="e">
        <f>AND(Bills!#REF!,"AAAAAD8zdwc=")</f>
        <v>#REF!</v>
      </c>
      <c r="I39" t="e">
        <f>AND(Bills!#REF!,"AAAAAD8zdwg=")</f>
        <v>#REF!</v>
      </c>
      <c r="J39" t="e">
        <f>AND(Bills!#REF!,"AAAAAD8zdwk=")</f>
        <v>#REF!</v>
      </c>
      <c r="K39" t="e">
        <f>AND(Bills!D34,"AAAAAD8zdwo=")</f>
        <v>#VALUE!</v>
      </c>
      <c r="L39" t="e">
        <f>AND(Bills!#REF!,"AAAAAD8zdws=")</f>
        <v>#REF!</v>
      </c>
      <c r="M39" t="e">
        <f>AND(Bills!E34,"AAAAAD8zdww=")</f>
        <v>#VALUE!</v>
      </c>
      <c r="N39" t="e">
        <f>AND(Bills!F34,"AAAAAD8zdw0=")</f>
        <v>#VALUE!</v>
      </c>
      <c r="O39" t="e">
        <f>AND(Bills!G34,"AAAAAD8zdw4=")</f>
        <v>#VALUE!</v>
      </c>
      <c r="P39" t="e">
        <f>AND(Bills!H34,"AAAAAD8zdw8=")</f>
        <v>#VALUE!</v>
      </c>
      <c r="Q39" t="e">
        <f>AND(Bills!I34,"AAAAAD8zdxA=")</f>
        <v>#VALUE!</v>
      </c>
      <c r="R39" t="e">
        <f>AND(Bills!J34,"AAAAAD8zdxE=")</f>
        <v>#VALUE!</v>
      </c>
      <c r="S39" t="e">
        <f>AND(Bills!#REF!,"AAAAAD8zdxI=")</f>
        <v>#REF!</v>
      </c>
      <c r="T39" t="e">
        <f>AND(Bills!K34,"AAAAAD8zdxM=")</f>
        <v>#VALUE!</v>
      </c>
      <c r="U39" t="e">
        <f>AND(Bills!L34,"AAAAAD8zdxQ=")</f>
        <v>#VALUE!</v>
      </c>
      <c r="V39" t="e">
        <f>AND(Bills!M34,"AAAAAD8zdxU=")</f>
        <v>#VALUE!</v>
      </c>
      <c r="W39" t="e">
        <f>AND(Bills!N34,"AAAAAD8zdxY=")</f>
        <v>#VALUE!</v>
      </c>
      <c r="X39" t="e">
        <f>AND(Bills!O34,"AAAAAD8zdxc=")</f>
        <v>#VALUE!</v>
      </c>
      <c r="Y39" t="e">
        <f>AND(Bills!P34,"AAAAAD8zdxg=")</f>
        <v>#VALUE!</v>
      </c>
      <c r="Z39" t="e">
        <f>AND(Bills!Q34,"AAAAAD8zdxk=")</f>
        <v>#VALUE!</v>
      </c>
      <c r="AA39" t="e">
        <f>AND(Bills!R34,"AAAAAD8zdxo=")</f>
        <v>#VALUE!</v>
      </c>
      <c r="AB39" t="e">
        <f>AND(Bills!#REF!,"AAAAAD8zdxs=")</f>
        <v>#REF!</v>
      </c>
      <c r="AC39" t="e">
        <f>AND(Bills!S34,"AAAAAD8zdxw=")</f>
        <v>#VALUE!</v>
      </c>
      <c r="AD39" t="e">
        <f>AND(Bills!T34,"AAAAAD8zdx0=")</f>
        <v>#VALUE!</v>
      </c>
      <c r="AE39" t="e">
        <f>AND(Bills!U34,"AAAAAD8zdx4=")</f>
        <v>#VALUE!</v>
      </c>
      <c r="AF39" t="e">
        <f>AND(Bills!#REF!,"AAAAAD8zdx8=")</f>
        <v>#REF!</v>
      </c>
      <c r="AG39" t="e">
        <f>AND(Bills!#REF!,"AAAAAD8zdyA=")</f>
        <v>#REF!</v>
      </c>
      <c r="AH39" t="e">
        <f>AND(Bills!W34,"AAAAAD8zdyE=")</f>
        <v>#VALUE!</v>
      </c>
      <c r="AI39" t="e">
        <f>AND(Bills!X34,"AAAAAD8zdyI=")</f>
        <v>#VALUE!</v>
      </c>
      <c r="AJ39" t="e">
        <f>AND(Bills!#REF!,"AAAAAD8zdyM=")</f>
        <v>#REF!</v>
      </c>
      <c r="AK39" t="e">
        <f>AND(Bills!#REF!,"AAAAAD8zdyQ=")</f>
        <v>#REF!</v>
      </c>
      <c r="AL39" t="e">
        <f>AND(Bills!#REF!,"AAAAAD8zdyU=")</f>
        <v>#REF!</v>
      </c>
      <c r="AM39" t="e">
        <f>AND(Bills!#REF!,"AAAAAD8zdyY=")</f>
        <v>#REF!</v>
      </c>
      <c r="AN39" t="e">
        <f>AND(Bills!#REF!,"AAAAAD8zdyc=")</f>
        <v>#REF!</v>
      </c>
      <c r="AO39" t="e">
        <f>AND(Bills!#REF!,"AAAAAD8zdyg=")</f>
        <v>#REF!</v>
      </c>
      <c r="AP39" t="e">
        <f>AND(Bills!#REF!,"AAAAAD8zdyk=")</f>
        <v>#REF!</v>
      </c>
      <c r="AQ39" t="e">
        <f>AND(Bills!#REF!,"AAAAAD8zdyo=")</f>
        <v>#REF!</v>
      </c>
      <c r="AR39" t="e">
        <f>AND(Bills!#REF!,"AAAAAD8zdys=")</f>
        <v>#REF!</v>
      </c>
      <c r="AS39" t="e">
        <f>AND(Bills!Y34,"AAAAAD8zdyw=")</f>
        <v>#VALUE!</v>
      </c>
      <c r="AT39" t="e">
        <f>AND(Bills!Z34,"AAAAAD8zdy0=")</f>
        <v>#VALUE!</v>
      </c>
      <c r="AU39" t="e">
        <f>AND(Bills!#REF!,"AAAAAD8zdy4=")</f>
        <v>#REF!</v>
      </c>
      <c r="AV39" t="e">
        <f>AND(Bills!#REF!,"AAAAAD8zdy8=")</f>
        <v>#REF!</v>
      </c>
      <c r="AW39" t="e">
        <f>AND(Bills!#REF!,"AAAAAD8zdzA=")</f>
        <v>#REF!</v>
      </c>
      <c r="AX39" t="e">
        <f>AND(Bills!AA34,"AAAAAD8zdzE=")</f>
        <v>#VALUE!</v>
      </c>
      <c r="AY39" t="e">
        <f>AND(Bills!AB34,"AAAAAD8zdzI=")</f>
        <v>#VALUE!</v>
      </c>
      <c r="AZ39" t="e">
        <f>AND(Bills!#REF!,"AAAAAD8zdzM=")</f>
        <v>#REF!</v>
      </c>
      <c r="BA39">
        <f>IF(Bills!35:35,"AAAAAD8zdzQ=",0)</f>
        <v>0</v>
      </c>
      <c r="BB39" t="e">
        <f>AND(Bills!B35,"AAAAAD8zdzU=")</f>
        <v>#VALUE!</v>
      </c>
      <c r="BC39" t="e">
        <f>AND(Bills!#REF!,"AAAAAD8zdzY=")</f>
        <v>#REF!</v>
      </c>
      <c r="BD39" t="e">
        <f>AND(Bills!C35,"AAAAAD8zdzc=")</f>
        <v>#VALUE!</v>
      </c>
      <c r="BE39" t="e">
        <f>AND(Bills!#REF!,"AAAAAD8zdzg=")</f>
        <v>#REF!</v>
      </c>
      <c r="BF39" t="e">
        <f>AND(Bills!#REF!,"AAAAAD8zdzk=")</f>
        <v>#REF!</v>
      </c>
      <c r="BG39" t="e">
        <f>AND(Bills!#REF!,"AAAAAD8zdzo=")</f>
        <v>#REF!</v>
      </c>
      <c r="BH39" t="e">
        <f>AND(Bills!#REF!,"AAAAAD8zdzs=")</f>
        <v>#REF!</v>
      </c>
      <c r="BI39" t="e">
        <f>AND(Bills!#REF!,"AAAAAD8zdzw=")</f>
        <v>#REF!</v>
      </c>
      <c r="BJ39" t="e">
        <f>AND(Bills!D35,"AAAAAD8zdz0=")</f>
        <v>#VALUE!</v>
      </c>
      <c r="BK39" t="e">
        <f>AND(Bills!#REF!,"AAAAAD8zdz4=")</f>
        <v>#REF!</v>
      </c>
      <c r="BL39" t="e">
        <f>AND(Bills!E35,"AAAAAD8zdz8=")</f>
        <v>#VALUE!</v>
      </c>
      <c r="BM39" t="e">
        <f>AND(Bills!F35,"AAAAAD8zd0A=")</f>
        <v>#VALUE!</v>
      </c>
      <c r="BN39" t="e">
        <f>AND(Bills!G35,"AAAAAD8zd0E=")</f>
        <v>#VALUE!</v>
      </c>
      <c r="BO39" t="e">
        <f>AND(Bills!H35,"AAAAAD8zd0I=")</f>
        <v>#VALUE!</v>
      </c>
      <c r="BP39" t="e">
        <f>AND(Bills!I35,"AAAAAD8zd0M=")</f>
        <v>#VALUE!</v>
      </c>
      <c r="BQ39" t="e">
        <f>AND(Bills!J35,"AAAAAD8zd0Q=")</f>
        <v>#VALUE!</v>
      </c>
      <c r="BR39" t="e">
        <f>AND(Bills!#REF!,"AAAAAD8zd0U=")</f>
        <v>#REF!</v>
      </c>
      <c r="BS39" t="e">
        <f>AND(Bills!K35,"AAAAAD8zd0Y=")</f>
        <v>#VALUE!</v>
      </c>
      <c r="BT39" t="e">
        <f>AND(Bills!L35,"AAAAAD8zd0c=")</f>
        <v>#VALUE!</v>
      </c>
      <c r="BU39" t="e">
        <f>AND(Bills!M35,"AAAAAD8zd0g=")</f>
        <v>#VALUE!</v>
      </c>
      <c r="BV39" t="e">
        <f>AND(Bills!N35,"AAAAAD8zd0k=")</f>
        <v>#VALUE!</v>
      </c>
      <c r="BW39" t="e">
        <f>AND(Bills!O35,"AAAAAD8zd0o=")</f>
        <v>#VALUE!</v>
      </c>
      <c r="BX39" t="e">
        <f>AND(Bills!P35,"AAAAAD8zd0s=")</f>
        <v>#VALUE!</v>
      </c>
      <c r="BY39" t="e">
        <f>AND(Bills!Q35,"AAAAAD8zd0w=")</f>
        <v>#VALUE!</v>
      </c>
      <c r="BZ39" t="e">
        <f>AND(Bills!R35,"AAAAAD8zd00=")</f>
        <v>#VALUE!</v>
      </c>
      <c r="CA39" t="e">
        <f>AND(Bills!#REF!,"AAAAAD8zd04=")</f>
        <v>#REF!</v>
      </c>
      <c r="CB39" t="e">
        <f>AND(Bills!S35,"AAAAAD8zd08=")</f>
        <v>#VALUE!</v>
      </c>
      <c r="CC39" t="e">
        <f>AND(Bills!T35,"AAAAAD8zd1A=")</f>
        <v>#VALUE!</v>
      </c>
      <c r="CD39" t="e">
        <f>AND(Bills!U35,"AAAAAD8zd1E=")</f>
        <v>#VALUE!</v>
      </c>
      <c r="CE39" t="e">
        <f>AND(Bills!#REF!,"AAAAAD8zd1I=")</f>
        <v>#REF!</v>
      </c>
      <c r="CF39" t="e">
        <f>AND(Bills!#REF!,"AAAAAD8zd1M=")</f>
        <v>#REF!</v>
      </c>
      <c r="CG39" t="e">
        <f>AND(Bills!W35,"AAAAAD8zd1Q=")</f>
        <v>#VALUE!</v>
      </c>
      <c r="CH39" t="e">
        <f>AND(Bills!X35,"AAAAAD8zd1U=")</f>
        <v>#VALUE!</v>
      </c>
      <c r="CI39" t="e">
        <f>AND(Bills!#REF!,"AAAAAD8zd1Y=")</f>
        <v>#REF!</v>
      </c>
      <c r="CJ39" t="e">
        <f>AND(Bills!#REF!,"AAAAAD8zd1c=")</f>
        <v>#REF!</v>
      </c>
      <c r="CK39" t="e">
        <f>AND(Bills!#REF!,"AAAAAD8zd1g=")</f>
        <v>#REF!</v>
      </c>
      <c r="CL39" t="e">
        <f>AND(Bills!#REF!,"AAAAAD8zd1k=")</f>
        <v>#REF!</v>
      </c>
      <c r="CM39" t="e">
        <f>AND(Bills!#REF!,"AAAAAD8zd1o=")</f>
        <v>#REF!</v>
      </c>
      <c r="CN39" t="e">
        <f>AND(Bills!#REF!,"AAAAAD8zd1s=")</f>
        <v>#REF!</v>
      </c>
      <c r="CO39" t="e">
        <f>AND(Bills!#REF!,"AAAAAD8zd1w=")</f>
        <v>#REF!</v>
      </c>
      <c r="CP39" t="e">
        <f>AND(Bills!#REF!,"AAAAAD8zd10=")</f>
        <v>#REF!</v>
      </c>
      <c r="CQ39" t="e">
        <f>AND(Bills!#REF!,"AAAAAD8zd14=")</f>
        <v>#REF!</v>
      </c>
      <c r="CR39" t="e">
        <f>AND(Bills!Y35,"AAAAAD8zd18=")</f>
        <v>#VALUE!</v>
      </c>
      <c r="CS39" t="e">
        <f>AND(Bills!Z35,"AAAAAD8zd2A=")</f>
        <v>#VALUE!</v>
      </c>
      <c r="CT39" t="e">
        <f>AND(Bills!#REF!,"AAAAAD8zd2E=")</f>
        <v>#REF!</v>
      </c>
      <c r="CU39" t="e">
        <f>AND(Bills!#REF!,"AAAAAD8zd2I=")</f>
        <v>#REF!</v>
      </c>
      <c r="CV39" t="e">
        <f>AND(Bills!#REF!,"AAAAAD8zd2M=")</f>
        <v>#REF!</v>
      </c>
      <c r="CW39" t="e">
        <f>AND(Bills!AA35,"AAAAAD8zd2Q=")</f>
        <v>#VALUE!</v>
      </c>
      <c r="CX39" t="e">
        <f>AND(Bills!AB35,"AAAAAD8zd2U=")</f>
        <v>#VALUE!</v>
      </c>
      <c r="CY39" t="e">
        <f>AND(Bills!#REF!,"AAAAAD8zd2Y=")</f>
        <v>#REF!</v>
      </c>
      <c r="CZ39">
        <f>IF(Bills!36:36,"AAAAAD8zd2c=",0)</f>
        <v>0</v>
      </c>
      <c r="DA39" t="e">
        <f>AND(Bills!B36,"AAAAAD8zd2g=")</f>
        <v>#VALUE!</v>
      </c>
      <c r="DB39" t="e">
        <f>AND(Bills!#REF!,"AAAAAD8zd2k=")</f>
        <v>#REF!</v>
      </c>
      <c r="DC39" t="e">
        <f>AND(Bills!C36,"AAAAAD8zd2o=")</f>
        <v>#VALUE!</v>
      </c>
      <c r="DD39" t="e">
        <f>AND(Bills!#REF!,"AAAAAD8zd2s=")</f>
        <v>#REF!</v>
      </c>
      <c r="DE39" t="e">
        <f>AND(Bills!#REF!,"AAAAAD8zd2w=")</f>
        <v>#REF!</v>
      </c>
      <c r="DF39" t="e">
        <f>AND(Bills!#REF!,"AAAAAD8zd20=")</f>
        <v>#REF!</v>
      </c>
      <c r="DG39" t="e">
        <f>AND(Bills!#REF!,"AAAAAD8zd24=")</f>
        <v>#REF!</v>
      </c>
      <c r="DH39" t="e">
        <f>AND(Bills!#REF!,"AAAAAD8zd28=")</f>
        <v>#REF!</v>
      </c>
      <c r="DI39" t="e">
        <f>AND(Bills!D36,"AAAAAD8zd3A=")</f>
        <v>#VALUE!</v>
      </c>
      <c r="DJ39" t="e">
        <f>AND(Bills!#REF!,"AAAAAD8zd3E=")</f>
        <v>#REF!</v>
      </c>
      <c r="DK39" t="e">
        <f>AND(Bills!E36,"AAAAAD8zd3I=")</f>
        <v>#VALUE!</v>
      </c>
      <c r="DL39" t="e">
        <f>AND(Bills!F36,"AAAAAD8zd3M=")</f>
        <v>#VALUE!</v>
      </c>
      <c r="DM39" t="e">
        <f>AND(Bills!G36,"AAAAAD8zd3Q=")</f>
        <v>#VALUE!</v>
      </c>
      <c r="DN39" t="e">
        <f>AND(Bills!H36,"AAAAAD8zd3U=")</f>
        <v>#VALUE!</v>
      </c>
      <c r="DO39" t="e">
        <f>AND(Bills!I36,"AAAAAD8zd3Y=")</f>
        <v>#VALUE!</v>
      </c>
      <c r="DP39" t="e">
        <f>AND(Bills!J36,"AAAAAD8zd3c=")</f>
        <v>#VALUE!</v>
      </c>
      <c r="DQ39" t="e">
        <f>AND(Bills!#REF!,"AAAAAD8zd3g=")</f>
        <v>#REF!</v>
      </c>
      <c r="DR39" t="e">
        <f>AND(Bills!K36,"AAAAAD8zd3k=")</f>
        <v>#VALUE!</v>
      </c>
      <c r="DS39" t="e">
        <f>AND(Bills!L36,"AAAAAD8zd3o=")</f>
        <v>#VALUE!</v>
      </c>
      <c r="DT39" t="e">
        <f>AND(Bills!M36,"AAAAAD8zd3s=")</f>
        <v>#VALUE!</v>
      </c>
      <c r="DU39" t="e">
        <f>AND(Bills!N36,"AAAAAD8zd3w=")</f>
        <v>#VALUE!</v>
      </c>
      <c r="DV39" t="e">
        <f>AND(Bills!O36,"AAAAAD8zd30=")</f>
        <v>#VALUE!</v>
      </c>
      <c r="DW39" t="e">
        <f>AND(Bills!P36,"AAAAAD8zd34=")</f>
        <v>#VALUE!</v>
      </c>
      <c r="DX39" t="e">
        <f>AND(Bills!Q36,"AAAAAD8zd38=")</f>
        <v>#VALUE!</v>
      </c>
      <c r="DY39" t="e">
        <f>AND(Bills!R36,"AAAAAD8zd4A=")</f>
        <v>#VALUE!</v>
      </c>
      <c r="DZ39" t="e">
        <f>AND(Bills!#REF!,"AAAAAD8zd4E=")</f>
        <v>#REF!</v>
      </c>
      <c r="EA39" t="e">
        <f>AND(Bills!S36,"AAAAAD8zd4I=")</f>
        <v>#VALUE!</v>
      </c>
      <c r="EB39" t="e">
        <f>AND(Bills!T36,"AAAAAD8zd4M=")</f>
        <v>#VALUE!</v>
      </c>
      <c r="EC39" t="e">
        <f>AND(Bills!U36,"AAAAAD8zd4Q=")</f>
        <v>#VALUE!</v>
      </c>
      <c r="ED39" t="e">
        <f>AND(Bills!#REF!,"AAAAAD8zd4U=")</f>
        <v>#REF!</v>
      </c>
      <c r="EE39" t="e">
        <f>AND(Bills!#REF!,"AAAAAD8zd4Y=")</f>
        <v>#REF!</v>
      </c>
      <c r="EF39" t="e">
        <f>AND(Bills!W36,"AAAAAD8zd4c=")</f>
        <v>#VALUE!</v>
      </c>
      <c r="EG39" t="e">
        <f>AND(Bills!X36,"AAAAAD8zd4g=")</f>
        <v>#VALUE!</v>
      </c>
      <c r="EH39" t="e">
        <f>AND(Bills!#REF!,"AAAAAD8zd4k=")</f>
        <v>#REF!</v>
      </c>
      <c r="EI39" t="e">
        <f>AND(Bills!#REF!,"AAAAAD8zd4o=")</f>
        <v>#REF!</v>
      </c>
      <c r="EJ39" t="e">
        <f>AND(Bills!#REF!,"AAAAAD8zd4s=")</f>
        <v>#REF!</v>
      </c>
      <c r="EK39" t="e">
        <f>AND(Bills!#REF!,"AAAAAD8zd4w=")</f>
        <v>#REF!</v>
      </c>
      <c r="EL39" t="e">
        <f>AND(Bills!#REF!,"AAAAAD8zd40=")</f>
        <v>#REF!</v>
      </c>
      <c r="EM39" t="e">
        <f>AND(Bills!#REF!,"AAAAAD8zd44=")</f>
        <v>#REF!</v>
      </c>
      <c r="EN39" t="e">
        <f>AND(Bills!#REF!,"AAAAAD8zd48=")</f>
        <v>#REF!</v>
      </c>
      <c r="EO39" t="e">
        <f>AND(Bills!#REF!,"AAAAAD8zd5A=")</f>
        <v>#REF!</v>
      </c>
      <c r="EP39" t="e">
        <f>AND(Bills!#REF!,"AAAAAD8zd5E=")</f>
        <v>#REF!</v>
      </c>
      <c r="EQ39" t="e">
        <f>AND(Bills!Y36,"AAAAAD8zd5I=")</f>
        <v>#VALUE!</v>
      </c>
      <c r="ER39" t="e">
        <f>AND(Bills!Z36,"AAAAAD8zd5M=")</f>
        <v>#VALUE!</v>
      </c>
      <c r="ES39" t="e">
        <f>AND(Bills!#REF!,"AAAAAD8zd5Q=")</f>
        <v>#REF!</v>
      </c>
      <c r="ET39" t="e">
        <f>AND(Bills!#REF!,"AAAAAD8zd5U=")</f>
        <v>#REF!</v>
      </c>
      <c r="EU39" t="e">
        <f>AND(Bills!#REF!,"AAAAAD8zd5Y=")</f>
        <v>#REF!</v>
      </c>
      <c r="EV39" t="e">
        <f>AND(Bills!AA36,"AAAAAD8zd5c=")</f>
        <v>#VALUE!</v>
      </c>
      <c r="EW39" t="e">
        <f>AND(Bills!AB36,"AAAAAD8zd5g=")</f>
        <v>#VALUE!</v>
      </c>
      <c r="EX39" t="e">
        <f>AND(Bills!#REF!,"AAAAAD8zd5k=")</f>
        <v>#REF!</v>
      </c>
      <c r="EY39">
        <f>IF(Bills!37:37,"AAAAAD8zd5o=",0)</f>
        <v>0</v>
      </c>
      <c r="EZ39" t="e">
        <f>AND(Bills!B37,"AAAAAD8zd5s=")</f>
        <v>#VALUE!</v>
      </c>
      <c r="FA39" t="e">
        <f>AND(Bills!#REF!,"AAAAAD8zd5w=")</f>
        <v>#REF!</v>
      </c>
      <c r="FB39" t="e">
        <f>AND(Bills!C37,"AAAAAD8zd50=")</f>
        <v>#VALUE!</v>
      </c>
      <c r="FC39" t="e">
        <f>AND(Bills!#REF!,"AAAAAD8zd54=")</f>
        <v>#REF!</v>
      </c>
      <c r="FD39" t="e">
        <f>AND(Bills!#REF!,"AAAAAD8zd58=")</f>
        <v>#REF!</v>
      </c>
      <c r="FE39" t="e">
        <f>AND(Bills!#REF!,"AAAAAD8zd6A=")</f>
        <v>#REF!</v>
      </c>
      <c r="FF39" t="e">
        <f>AND(Bills!#REF!,"AAAAAD8zd6E=")</f>
        <v>#REF!</v>
      </c>
      <c r="FG39" t="e">
        <f>AND(Bills!#REF!,"AAAAAD8zd6I=")</f>
        <v>#REF!</v>
      </c>
      <c r="FH39" t="e">
        <f>AND(Bills!D37,"AAAAAD8zd6M=")</f>
        <v>#VALUE!</v>
      </c>
      <c r="FI39" t="e">
        <f>AND(Bills!#REF!,"AAAAAD8zd6Q=")</f>
        <v>#REF!</v>
      </c>
      <c r="FJ39" t="e">
        <f>AND(Bills!E37,"AAAAAD8zd6U=")</f>
        <v>#VALUE!</v>
      </c>
      <c r="FK39" t="e">
        <f>AND(Bills!F37,"AAAAAD8zd6Y=")</f>
        <v>#VALUE!</v>
      </c>
      <c r="FL39" t="e">
        <f>AND(Bills!G37,"AAAAAD8zd6c=")</f>
        <v>#VALUE!</v>
      </c>
      <c r="FM39" t="e">
        <f>AND(Bills!H37,"AAAAAD8zd6g=")</f>
        <v>#VALUE!</v>
      </c>
      <c r="FN39" t="e">
        <f>AND(Bills!I37,"AAAAAD8zd6k=")</f>
        <v>#VALUE!</v>
      </c>
      <c r="FO39" t="e">
        <f>AND(Bills!J37,"AAAAAD8zd6o=")</f>
        <v>#VALUE!</v>
      </c>
      <c r="FP39" t="e">
        <f>AND(Bills!#REF!,"AAAAAD8zd6s=")</f>
        <v>#REF!</v>
      </c>
      <c r="FQ39" t="e">
        <f>AND(Bills!K37,"AAAAAD8zd6w=")</f>
        <v>#VALUE!</v>
      </c>
      <c r="FR39" t="e">
        <f>AND(Bills!L37,"AAAAAD8zd60=")</f>
        <v>#VALUE!</v>
      </c>
      <c r="FS39" t="e">
        <f>AND(Bills!M37,"AAAAAD8zd64=")</f>
        <v>#VALUE!</v>
      </c>
      <c r="FT39" t="e">
        <f>AND(Bills!N37,"AAAAAD8zd68=")</f>
        <v>#VALUE!</v>
      </c>
      <c r="FU39" t="e">
        <f>AND(Bills!O37,"AAAAAD8zd7A=")</f>
        <v>#VALUE!</v>
      </c>
      <c r="FV39" t="e">
        <f>AND(Bills!P37,"AAAAAD8zd7E=")</f>
        <v>#VALUE!</v>
      </c>
      <c r="FW39" t="e">
        <f>AND(Bills!Q37,"AAAAAD8zd7I=")</f>
        <v>#VALUE!</v>
      </c>
      <c r="FX39" t="e">
        <f>AND(Bills!R37,"AAAAAD8zd7M=")</f>
        <v>#VALUE!</v>
      </c>
      <c r="FY39" t="e">
        <f>AND(Bills!#REF!,"AAAAAD8zd7Q=")</f>
        <v>#REF!</v>
      </c>
      <c r="FZ39" t="e">
        <f>AND(Bills!S37,"AAAAAD8zd7U=")</f>
        <v>#VALUE!</v>
      </c>
      <c r="GA39" t="e">
        <f>AND(Bills!T37,"AAAAAD8zd7Y=")</f>
        <v>#VALUE!</v>
      </c>
      <c r="GB39" t="e">
        <f>AND(Bills!U37,"AAAAAD8zd7c=")</f>
        <v>#VALUE!</v>
      </c>
      <c r="GC39" t="e">
        <f>AND(Bills!#REF!,"AAAAAD8zd7g=")</f>
        <v>#REF!</v>
      </c>
      <c r="GD39" t="e">
        <f>AND(Bills!#REF!,"AAAAAD8zd7k=")</f>
        <v>#REF!</v>
      </c>
      <c r="GE39" t="e">
        <f>AND(Bills!W37,"AAAAAD8zd7o=")</f>
        <v>#VALUE!</v>
      </c>
      <c r="GF39" t="e">
        <f>AND(Bills!X37,"AAAAAD8zd7s=")</f>
        <v>#VALUE!</v>
      </c>
      <c r="GG39" t="e">
        <f>AND(Bills!#REF!,"AAAAAD8zd7w=")</f>
        <v>#REF!</v>
      </c>
      <c r="GH39" t="e">
        <f>AND(Bills!#REF!,"AAAAAD8zd70=")</f>
        <v>#REF!</v>
      </c>
      <c r="GI39" t="e">
        <f>AND(Bills!#REF!,"AAAAAD8zd74=")</f>
        <v>#REF!</v>
      </c>
      <c r="GJ39" t="e">
        <f>AND(Bills!#REF!,"AAAAAD8zd78=")</f>
        <v>#REF!</v>
      </c>
      <c r="GK39" t="e">
        <f>AND(Bills!#REF!,"AAAAAD8zd8A=")</f>
        <v>#REF!</v>
      </c>
      <c r="GL39" t="e">
        <f>AND(Bills!#REF!,"AAAAAD8zd8E=")</f>
        <v>#REF!</v>
      </c>
      <c r="GM39" t="e">
        <f>AND(Bills!#REF!,"AAAAAD8zd8I=")</f>
        <v>#REF!</v>
      </c>
      <c r="GN39" t="e">
        <f>AND(Bills!#REF!,"AAAAAD8zd8M=")</f>
        <v>#REF!</v>
      </c>
      <c r="GO39" t="e">
        <f>AND(Bills!#REF!,"AAAAAD8zd8Q=")</f>
        <v>#REF!</v>
      </c>
      <c r="GP39" t="e">
        <f>AND(Bills!Y37,"AAAAAD8zd8U=")</f>
        <v>#VALUE!</v>
      </c>
      <c r="GQ39" t="e">
        <f>AND(Bills!Z37,"AAAAAD8zd8Y=")</f>
        <v>#VALUE!</v>
      </c>
      <c r="GR39" t="e">
        <f>AND(Bills!#REF!,"AAAAAD8zd8c=")</f>
        <v>#REF!</v>
      </c>
      <c r="GS39" t="e">
        <f>AND(Bills!#REF!,"AAAAAD8zd8g=")</f>
        <v>#REF!</v>
      </c>
      <c r="GT39" t="e">
        <f>AND(Bills!#REF!,"AAAAAD8zd8k=")</f>
        <v>#REF!</v>
      </c>
      <c r="GU39" t="e">
        <f>AND(Bills!AA37,"AAAAAD8zd8o=")</f>
        <v>#VALUE!</v>
      </c>
      <c r="GV39" t="e">
        <f>AND(Bills!AB37,"AAAAAD8zd8s=")</f>
        <v>#VALUE!</v>
      </c>
      <c r="GW39" t="e">
        <f>AND(Bills!#REF!,"AAAAAD8zd8w=")</f>
        <v>#REF!</v>
      </c>
      <c r="GX39">
        <f>IF(Bills!38:38,"AAAAAD8zd80=",0)</f>
        <v>0</v>
      </c>
      <c r="GY39" t="e">
        <f>AND(Bills!B38,"AAAAAD8zd84=")</f>
        <v>#VALUE!</v>
      </c>
      <c r="GZ39" t="e">
        <f>AND(Bills!#REF!,"AAAAAD8zd88=")</f>
        <v>#REF!</v>
      </c>
      <c r="HA39" t="e">
        <f>AND(Bills!C38,"AAAAAD8zd9A=")</f>
        <v>#VALUE!</v>
      </c>
      <c r="HB39" t="e">
        <f>AND(Bills!#REF!,"AAAAAD8zd9E=")</f>
        <v>#REF!</v>
      </c>
      <c r="HC39" t="e">
        <f>AND(Bills!#REF!,"AAAAAD8zd9I=")</f>
        <v>#REF!</v>
      </c>
      <c r="HD39" t="e">
        <f>AND(Bills!#REF!,"AAAAAD8zd9M=")</f>
        <v>#REF!</v>
      </c>
      <c r="HE39" t="e">
        <f>AND(Bills!#REF!,"AAAAAD8zd9Q=")</f>
        <v>#REF!</v>
      </c>
      <c r="HF39" t="e">
        <f>AND(Bills!#REF!,"AAAAAD8zd9U=")</f>
        <v>#REF!</v>
      </c>
      <c r="HG39" t="e">
        <f>AND(Bills!D38,"AAAAAD8zd9Y=")</f>
        <v>#VALUE!</v>
      </c>
      <c r="HH39" t="e">
        <f>AND(Bills!#REF!,"AAAAAD8zd9c=")</f>
        <v>#REF!</v>
      </c>
      <c r="HI39" t="e">
        <f>AND(Bills!E38,"AAAAAD8zd9g=")</f>
        <v>#VALUE!</v>
      </c>
      <c r="HJ39" t="e">
        <f>AND(Bills!F38,"AAAAAD8zd9k=")</f>
        <v>#VALUE!</v>
      </c>
      <c r="HK39" t="e">
        <f>AND(Bills!G38,"AAAAAD8zd9o=")</f>
        <v>#VALUE!</v>
      </c>
      <c r="HL39" t="e">
        <f>AND(Bills!H38,"AAAAAD8zd9s=")</f>
        <v>#VALUE!</v>
      </c>
      <c r="HM39" t="e">
        <f>AND(Bills!I38,"AAAAAD8zd9w=")</f>
        <v>#VALUE!</v>
      </c>
      <c r="HN39" t="e">
        <f>AND(Bills!J38,"AAAAAD8zd90=")</f>
        <v>#VALUE!</v>
      </c>
      <c r="HO39" t="e">
        <f>AND(Bills!#REF!,"AAAAAD8zd94=")</f>
        <v>#REF!</v>
      </c>
      <c r="HP39" t="e">
        <f>AND(Bills!K38,"AAAAAD8zd98=")</f>
        <v>#VALUE!</v>
      </c>
      <c r="HQ39" t="e">
        <f>AND(Bills!L38,"AAAAAD8zd+A=")</f>
        <v>#VALUE!</v>
      </c>
      <c r="HR39" t="e">
        <f>AND(Bills!M38,"AAAAAD8zd+E=")</f>
        <v>#VALUE!</v>
      </c>
      <c r="HS39" t="e">
        <f>AND(Bills!N38,"AAAAAD8zd+I=")</f>
        <v>#VALUE!</v>
      </c>
      <c r="HT39" t="e">
        <f>AND(Bills!O38,"AAAAAD8zd+M=")</f>
        <v>#VALUE!</v>
      </c>
      <c r="HU39" t="e">
        <f>AND(Bills!P38,"AAAAAD8zd+Q=")</f>
        <v>#VALUE!</v>
      </c>
      <c r="HV39" t="e">
        <f>AND(Bills!Q38,"AAAAAD8zd+U=")</f>
        <v>#VALUE!</v>
      </c>
      <c r="HW39" t="e">
        <f>AND(Bills!R38,"AAAAAD8zd+Y=")</f>
        <v>#VALUE!</v>
      </c>
      <c r="HX39" t="e">
        <f>AND(Bills!#REF!,"AAAAAD8zd+c=")</f>
        <v>#REF!</v>
      </c>
      <c r="HY39" t="e">
        <f>AND(Bills!S38,"AAAAAD8zd+g=")</f>
        <v>#VALUE!</v>
      </c>
      <c r="HZ39" t="e">
        <f>AND(Bills!T38,"AAAAAD8zd+k=")</f>
        <v>#VALUE!</v>
      </c>
      <c r="IA39" t="e">
        <f>AND(Bills!U38,"AAAAAD8zd+o=")</f>
        <v>#VALUE!</v>
      </c>
      <c r="IB39" t="e">
        <f>AND(Bills!#REF!,"AAAAAD8zd+s=")</f>
        <v>#REF!</v>
      </c>
      <c r="IC39" t="e">
        <f>AND(Bills!#REF!,"AAAAAD8zd+w=")</f>
        <v>#REF!</v>
      </c>
      <c r="ID39" t="e">
        <f>AND(Bills!W38,"AAAAAD8zd+0=")</f>
        <v>#VALUE!</v>
      </c>
      <c r="IE39" t="e">
        <f>AND(Bills!X38,"AAAAAD8zd+4=")</f>
        <v>#VALUE!</v>
      </c>
      <c r="IF39" t="e">
        <f>AND(Bills!#REF!,"AAAAAD8zd+8=")</f>
        <v>#REF!</v>
      </c>
      <c r="IG39" t="e">
        <f>AND(Bills!#REF!,"AAAAAD8zd/A=")</f>
        <v>#REF!</v>
      </c>
      <c r="IH39" t="e">
        <f>AND(Bills!#REF!,"AAAAAD8zd/E=")</f>
        <v>#REF!</v>
      </c>
      <c r="II39" t="e">
        <f>AND(Bills!#REF!,"AAAAAD8zd/I=")</f>
        <v>#REF!</v>
      </c>
      <c r="IJ39" t="e">
        <f>AND(Bills!#REF!,"AAAAAD8zd/M=")</f>
        <v>#REF!</v>
      </c>
      <c r="IK39" t="e">
        <f>AND(Bills!#REF!,"AAAAAD8zd/Q=")</f>
        <v>#REF!</v>
      </c>
      <c r="IL39" t="e">
        <f>AND(Bills!#REF!,"AAAAAD8zd/U=")</f>
        <v>#REF!</v>
      </c>
      <c r="IM39" t="e">
        <f>AND(Bills!#REF!,"AAAAAD8zd/Y=")</f>
        <v>#REF!</v>
      </c>
      <c r="IN39" t="e">
        <f>AND(Bills!#REF!,"AAAAAD8zd/c=")</f>
        <v>#REF!</v>
      </c>
      <c r="IO39" t="e">
        <f>AND(Bills!Y38,"AAAAAD8zd/g=")</f>
        <v>#VALUE!</v>
      </c>
      <c r="IP39" t="e">
        <f>AND(Bills!Z38,"AAAAAD8zd/k=")</f>
        <v>#VALUE!</v>
      </c>
      <c r="IQ39" t="e">
        <f>AND(Bills!#REF!,"AAAAAD8zd/o=")</f>
        <v>#REF!</v>
      </c>
      <c r="IR39" t="e">
        <f>AND(Bills!#REF!,"AAAAAD8zd/s=")</f>
        <v>#REF!</v>
      </c>
      <c r="IS39" t="e">
        <f>AND(Bills!#REF!,"AAAAAD8zd/w=")</f>
        <v>#REF!</v>
      </c>
      <c r="IT39" t="e">
        <f>AND(Bills!AA38,"AAAAAD8zd/0=")</f>
        <v>#VALUE!</v>
      </c>
      <c r="IU39" t="e">
        <f>AND(Bills!AB38,"AAAAAD8zd/4=")</f>
        <v>#VALUE!</v>
      </c>
      <c r="IV39" t="e">
        <f>AND(Bills!#REF!,"AAAAAD8zd/8=")</f>
        <v>#REF!</v>
      </c>
    </row>
    <row r="40" spans="1:256">
      <c r="A40">
        <f>IF(Bills!39:39,"AAAAADqr6AA=",0)</f>
        <v>0</v>
      </c>
      <c r="B40" t="e">
        <f>AND(Bills!B39,"AAAAADqr6AE=")</f>
        <v>#VALUE!</v>
      </c>
      <c r="C40" t="e">
        <f>AND(Bills!#REF!,"AAAAADqr6AI=")</f>
        <v>#REF!</v>
      </c>
      <c r="D40" t="e">
        <f>AND(Bills!C39,"AAAAADqr6AM=")</f>
        <v>#VALUE!</v>
      </c>
      <c r="E40" t="e">
        <f>AND(Bills!#REF!,"AAAAADqr6AQ=")</f>
        <v>#REF!</v>
      </c>
      <c r="F40" t="e">
        <f>AND(Bills!#REF!,"AAAAADqr6AU=")</f>
        <v>#REF!</v>
      </c>
      <c r="G40" t="e">
        <f>AND(Bills!#REF!,"AAAAADqr6AY=")</f>
        <v>#REF!</v>
      </c>
      <c r="H40" t="e">
        <f>AND(Bills!#REF!,"AAAAADqr6Ac=")</f>
        <v>#REF!</v>
      </c>
      <c r="I40" t="e">
        <f>AND(Bills!#REF!,"AAAAADqr6Ag=")</f>
        <v>#REF!</v>
      </c>
      <c r="J40" t="e">
        <f>AND(Bills!D39,"AAAAADqr6Ak=")</f>
        <v>#VALUE!</v>
      </c>
      <c r="K40" t="e">
        <f>AND(Bills!#REF!,"AAAAADqr6Ao=")</f>
        <v>#REF!</v>
      </c>
      <c r="L40" t="e">
        <f>AND(Bills!E39,"AAAAADqr6As=")</f>
        <v>#VALUE!</v>
      </c>
      <c r="M40" t="e">
        <f>AND(Bills!F39,"AAAAADqr6Aw=")</f>
        <v>#VALUE!</v>
      </c>
      <c r="N40" t="e">
        <f>AND(Bills!G39,"AAAAADqr6A0=")</f>
        <v>#VALUE!</v>
      </c>
      <c r="O40" t="e">
        <f>AND(Bills!H39,"AAAAADqr6A4=")</f>
        <v>#VALUE!</v>
      </c>
      <c r="P40" t="e">
        <f>AND(Bills!I39,"AAAAADqr6A8=")</f>
        <v>#VALUE!</v>
      </c>
      <c r="Q40" t="e">
        <f>AND(Bills!J39,"AAAAADqr6BA=")</f>
        <v>#VALUE!</v>
      </c>
      <c r="R40" t="e">
        <f>AND(Bills!#REF!,"AAAAADqr6BE=")</f>
        <v>#REF!</v>
      </c>
      <c r="S40" t="e">
        <f>AND(Bills!K39,"AAAAADqr6BI=")</f>
        <v>#VALUE!</v>
      </c>
      <c r="T40" t="e">
        <f>AND(Bills!L39,"AAAAADqr6BM=")</f>
        <v>#VALUE!</v>
      </c>
      <c r="U40" t="e">
        <f>AND(Bills!M39,"AAAAADqr6BQ=")</f>
        <v>#VALUE!</v>
      </c>
      <c r="V40" t="e">
        <f>AND(Bills!N39,"AAAAADqr6BU=")</f>
        <v>#VALUE!</v>
      </c>
      <c r="W40" t="e">
        <f>AND(Bills!O39,"AAAAADqr6BY=")</f>
        <v>#VALUE!</v>
      </c>
      <c r="X40" t="e">
        <f>AND(Bills!P39,"AAAAADqr6Bc=")</f>
        <v>#VALUE!</v>
      </c>
      <c r="Y40" t="e">
        <f>AND(Bills!Q39,"AAAAADqr6Bg=")</f>
        <v>#VALUE!</v>
      </c>
      <c r="Z40" t="e">
        <f>AND(Bills!R39,"AAAAADqr6Bk=")</f>
        <v>#VALUE!</v>
      </c>
      <c r="AA40" t="e">
        <f>AND(Bills!#REF!,"AAAAADqr6Bo=")</f>
        <v>#REF!</v>
      </c>
      <c r="AB40" t="e">
        <f>AND(Bills!S39,"AAAAADqr6Bs=")</f>
        <v>#VALUE!</v>
      </c>
      <c r="AC40" t="e">
        <f>AND(Bills!T39,"AAAAADqr6Bw=")</f>
        <v>#VALUE!</v>
      </c>
      <c r="AD40" t="e">
        <f>AND(Bills!U39,"AAAAADqr6B0=")</f>
        <v>#VALUE!</v>
      </c>
      <c r="AE40" t="e">
        <f>AND(Bills!#REF!,"AAAAADqr6B4=")</f>
        <v>#REF!</v>
      </c>
      <c r="AF40" t="e">
        <f>AND(Bills!#REF!,"AAAAADqr6B8=")</f>
        <v>#REF!</v>
      </c>
      <c r="AG40" t="e">
        <f>AND(Bills!W39,"AAAAADqr6CA=")</f>
        <v>#VALUE!</v>
      </c>
      <c r="AH40" t="e">
        <f>AND(Bills!X39,"AAAAADqr6CE=")</f>
        <v>#VALUE!</v>
      </c>
      <c r="AI40" t="e">
        <f>AND(Bills!#REF!,"AAAAADqr6CI=")</f>
        <v>#REF!</v>
      </c>
      <c r="AJ40" t="e">
        <f>AND(Bills!#REF!,"AAAAADqr6CM=")</f>
        <v>#REF!</v>
      </c>
      <c r="AK40" t="e">
        <f>AND(Bills!#REF!,"AAAAADqr6CQ=")</f>
        <v>#REF!</v>
      </c>
      <c r="AL40" t="e">
        <f>AND(Bills!#REF!,"AAAAADqr6CU=")</f>
        <v>#REF!</v>
      </c>
      <c r="AM40" t="e">
        <f>AND(Bills!#REF!,"AAAAADqr6CY=")</f>
        <v>#REF!</v>
      </c>
      <c r="AN40" t="e">
        <f>AND(Bills!#REF!,"AAAAADqr6Cc=")</f>
        <v>#REF!</v>
      </c>
      <c r="AO40" t="e">
        <f>AND(Bills!#REF!,"AAAAADqr6Cg=")</f>
        <v>#REF!</v>
      </c>
      <c r="AP40" t="e">
        <f>AND(Bills!#REF!,"AAAAADqr6Ck=")</f>
        <v>#REF!</v>
      </c>
      <c r="AQ40" t="e">
        <f>AND(Bills!#REF!,"AAAAADqr6Co=")</f>
        <v>#REF!</v>
      </c>
      <c r="AR40" t="e">
        <f>AND(Bills!Y39,"AAAAADqr6Cs=")</f>
        <v>#VALUE!</v>
      </c>
      <c r="AS40" t="e">
        <f>AND(Bills!Z39,"AAAAADqr6Cw=")</f>
        <v>#VALUE!</v>
      </c>
      <c r="AT40" t="e">
        <f>AND(Bills!#REF!,"AAAAADqr6C0=")</f>
        <v>#REF!</v>
      </c>
      <c r="AU40" t="e">
        <f>AND(Bills!#REF!,"AAAAADqr6C4=")</f>
        <v>#REF!</v>
      </c>
      <c r="AV40" t="e">
        <f>AND(Bills!#REF!,"AAAAADqr6C8=")</f>
        <v>#REF!</v>
      </c>
      <c r="AW40" t="e">
        <f>AND(Bills!AA39,"AAAAADqr6DA=")</f>
        <v>#VALUE!</v>
      </c>
      <c r="AX40" t="e">
        <f>AND(Bills!AB39,"AAAAADqr6DE=")</f>
        <v>#VALUE!</v>
      </c>
      <c r="AY40" t="e">
        <f>AND(Bills!#REF!,"AAAAADqr6DI=")</f>
        <v>#REF!</v>
      </c>
      <c r="AZ40">
        <f>IF(Bills!40:40,"AAAAADqr6DM=",0)</f>
        <v>0</v>
      </c>
      <c r="BA40" t="e">
        <f>AND(Bills!B40,"AAAAADqr6DQ=")</f>
        <v>#VALUE!</v>
      </c>
      <c r="BB40" t="e">
        <f>AND(Bills!#REF!,"AAAAADqr6DU=")</f>
        <v>#REF!</v>
      </c>
      <c r="BC40" t="e">
        <f>AND(Bills!C40,"AAAAADqr6DY=")</f>
        <v>#VALUE!</v>
      </c>
      <c r="BD40" t="e">
        <f>AND(Bills!#REF!,"AAAAADqr6Dc=")</f>
        <v>#REF!</v>
      </c>
      <c r="BE40" t="e">
        <f>AND(Bills!#REF!,"AAAAADqr6Dg=")</f>
        <v>#REF!</v>
      </c>
      <c r="BF40" t="e">
        <f>AND(Bills!#REF!,"AAAAADqr6Dk=")</f>
        <v>#REF!</v>
      </c>
      <c r="BG40" t="e">
        <f>AND(Bills!#REF!,"AAAAADqr6Do=")</f>
        <v>#REF!</v>
      </c>
      <c r="BH40" t="e">
        <f>AND(Bills!#REF!,"AAAAADqr6Ds=")</f>
        <v>#REF!</v>
      </c>
      <c r="BI40" t="e">
        <f>AND(Bills!D40,"AAAAADqr6Dw=")</f>
        <v>#VALUE!</v>
      </c>
      <c r="BJ40" t="e">
        <f>AND(Bills!#REF!,"AAAAADqr6D0=")</f>
        <v>#REF!</v>
      </c>
      <c r="BK40" t="e">
        <f>AND(Bills!E40,"AAAAADqr6D4=")</f>
        <v>#VALUE!</v>
      </c>
      <c r="BL40" t="e">
        <f>AND(Bills!F40,"AAAAADqr6D8=")</f>
        <v>#VALUE!</v>
      </c>
      <c r="BM40" t="e">
        <f>AND(Bills!G40,"AAAAADqr6EA=")</f>
        <v>#VALUE!</v>
      </c>
      <c r="BN40" t="e">
        <f>AND(Bills!H40,"AAAAADqr6EE=")</f>
        <v>#VALUE!</v>
      </c>
      <c r="BO40" t="e">
        <f>AND(Bills!I40,"AAAAADqr6EI=")</f>
        <v>#VALUE!</v>
      </c>
      <c r="BP40" t="e">
        <f>AND(Bills!J40,"AAAAADqr6EM=")</f>
        <v>#VALUE!</v>
      </c>
      <c r="BQ40" t="e">
        <f>AND(Bills!#REF!,"AAAAADqr6EQ=")</f>
        <v>#REF!</v>
      </c>
      <c r="BR40" t="e">
        <f>AND(Bills!K40,"AAAAADqr6EU=")</f>
        <v>#VALUE!</v>
      </c>
      <c r="BS40" t="e">
        <f>AND(Bills!L40,"AAAAADqr6EY=")</f>
        <v>#VALUE!</v>
      </c>
      <c r="BT40" t="e">
        <f>AND(Bills!M40,"AAAAADqr6Ec=")</f>
        <v>#VALUE!</v>
      </c>
      <c r="BU40" t="e">
        <f>AND(Bills!N40,"AAAAADqr6Eg=")</f>
        <v>#VALUE!</v>
      </c>
      <c r="BV40" t="e">
        <f>AND(Bills!O40,"AAAAADqr6Ek=")</f>
        <v>#VALUE!</v>
      </c>
      <c r="BW40" t="e">
        <f>AND(Bills!P40,"AAAAADqr6Eo=")</f>
        <v>#VALUE!</v>
      </c>
      <c r="BX40" t="e">
        <f>AND(Bills!Q40,"AAAAADqr6Es=")</f>
        <v>#VALUE!</v>
      </c>
      <c r="BY40" t="e">
        <f>AND(Bills!R40,"AAAAADqr6Ew=")</f>
        <v>#VALUE!</v>
      </c>
      <c r="BZ40" t="e">
        <f>AND(Bills!#REF!,"AAAAADqr6E0=")</f>
        <v>#REF!</v>
      </c>
      <c r="CA40" t="e">
        <f>AND(Bills!S40,"AAAAADqr6E4=")</f>
        <v>#VALUE!</v>
      </c>
      <c r="CB40" t="e">
        <f>AND(Bills!T40,"AAAAADqr6E8=")</f>
        <v>#VALUE!</v>
      </c>
      <c r="CC40" t="e">
        <f>AND(Bills!U40,"AAAAADqr6FA=")</f>
        <v>#VALUE!</v>
      </c>
      <c r="CD40" t="e">
        <f>AND(Bills!#REF!,"AAAAADqr6FE=")</f>
        <v>#REF!</v>
      </c>
      <c r="CE40" t="e">
        <f>AND(Bills!#REF!,"AAAAADqr6FI=")</f>
        <v>#REF!</v>
      </c>
      <c r="CF40" t="e">
        <f>AND(Bills!W40,"AAAAADqr6FM=")</f>
        <v>#VALUE!</v>
      </c>
      <c r="CG40" t="e">
        <f>AND(Bills!X40,"AAAAADqr6FQ=")</f>
        <v>#VALUE!</v>
      </c>
      <c r="CH40" t="e">
        <f>AND(Bills!#REF!,"AAAAADqr6FU=")</f>
        <v>#REF!</v>
      </c>
      <c r="CI40" t="e">
        <f>AND(Bills!#REF!,"AAAAADqr6FY=")</f>
        <v>#REF!</v>
      </c>
      <c r="CJ40" t="e">
        <f>AND(Bills!#REF!,"AAAAADqr6Fc=")</f>
        <v>#REF!</v>
      </c>
      <c r="CK40" t="e">
        <f>AND(Bills!#REF!,"AAAAADqr6Fg=")</f>
        <v>#REF!</v>
      </c>
      <c r="CL40" t="e">
        <f>AND(Bills!#REF!,"AAAAADqr6Fk=")</f>
        <v>#REF!</v>
      </c>
      <c r="CM40" t="e">
        <f>AND(Bills!#REF!,"AAAAADqr6Fo=")</f>
        <v>#REF!</v>
      </c>
      <c r="CN40" t="e">
        <f>AND(Bills!#REF!,"AAAAADqr6Fs=")</f>
        <v>#REF!</v>
      </c>
      <c r="CO40" t="e">
        <f>AND(Bills!#REF!,"AAAAADqr6Fw=")</f>
        <v>#REF!</v>
      </c>
      <c r="CP40" t="e">
        <f>AND(Bills!#REF!,"AAAAADqr6F0=")</f>
        <v>#REF!</v>
      </c>
      <c r="CQ40" t="e">
        <f>AND(Bills!Y40,"AAAAADqr6F4=")</f>
        <v>#VALUE!</v>
      </c>
      <c r="CR40" t="e">
        <f>AND(Bills!Z40,"AAAAADqr6F8=")</f>
        <v>#VALUE!</v>
      </c>
      <c r="CS40" t="e">
        <f>AND(Bills!#REF!,"AAAAADqr6GA=")</f>
        <v>#REF!</v>
      </c>
      <c r="CT40" t="e">
        <f>AND(Bills!#REF!,"AAAAADqr6GE=")</f>
        <v>#REF!</v>
      </c>
      <c r="CU40" t="e">
        <f>AND(Bills!#REF!,"AAAAADqr6GI=")</f>
        <v>#REF!</v>
      </c>
      <c r="CV40" t="e">
        <f>AND(Bills!AA40,"AAAAADqr6GM=")</f>
        <v>#VALUE!</v>
      </c>
      <c r="CW40" t="e">
        <f>AND(Bills!AB40,"AAAAADqr6GQ=")</f>
        <v>#VALUE!</v>
      </c>
      <c r="CX40" t="e">
        <f>AND(Bills!#REF!,"AAAAADqr6GU=")</f>
        <v>#REF!</v>
      </c>
      <c r="CY40">
        <f>IF(Bills!41:41,"AAAAADqr6GY=",0)</f>
        <v>0</v>
      </c>
      <c r="CZ40" t="e">
        <f>AND(Bills!B41,"AAAAADqr6Gc=")</f>
        <v>#VALUE!</v>
      </c>
      <c r="DA40" t="e">
        <f>AND(Bills!#REF!,"AAAAADqr6Gg=")</f>
        <v>#REF!</v>
      </c>
      <c r="DB40" t="e">
        <f>AND(Bills!C41,"AAAAADqr6Gk=")</f>
        <v>#VALUE!</v>
      </c>
      <c r="DC40" t="e">
        <f>AND(Bills!#REF!,"AAAAADqr6Go=")</f>
        <v>#REF!</v>
      </c>
      <c r="DD40" t="e">
        <f>AND(Bills!#REF!,"AAAAADqr6Gs=")</f>
        <v>#REF!</v>
      </c>
      <c r="DE40" t="e">
        <f>AND(Bills!#REF!,"AAAAADqr6Gw=")</f>
        <v>#REF!</v>
      </c>
      <c r="DF40" t="e">
        <f>AND(Bills!#REF!,"AAAAADqr6G0=")</f>
        <v>#REF!</v>
      </c>
      <c r="DG40" t="e">
        <f>AND(Bills!#REF!,"AAAAADqr6G4=")</f>
        <v>#REF!</v>
      </c>
      <c r="DH40" t="e">
        <f>AND(Bills!D41,"AAAAADqr6G8=")</f>
        <v>#VALUE!</v>
      </c>
      <c r="DI40" t="e">
        <f>AND(Bills!#REF!,"AAAAADqr6HA=")</f>
        <v>#REF!</v>
      </c>
      <c r="DJ40" t="e">
        <f>AND(Bills!E41,"AAAAADqr6HE=")</f>
        <v>#VALUE!</v>
      </c>
      <c r="DK40" t="e">
        <f>AND(Bills!F41,"AAAAADqr6HI=")</f>
        <v>#VALUE!</v>
      </c>
      <c r="DL40" t="e">
        <f>AND(Bills!G41,"AAAAADqr6HM=")</f>
        <v>#VALUE!</v>
      </c>
      <c r="DM40" t="e">
        <f>AND(Bills!H41,"AAAAADqr6HQ=")</f>
        <v>#VALUE!</v>
      </c>
      <c r="DN40" t="e">
        <f>AND(Bills!I41,"AAAAADqr6HU=")</f>
        <v>#VALUE!</v>
      </c>
      <c r="DO40" t="e">
        <f>AND(Bills!J41,"AAAAADqr6HY=")</f>
        <v>#VALUE!</v>
      </c>
      <c r="DP40" t="e">
        <f>AND(Bills!#REF!,"AAAAADqr6Hc=")</f>
        <v>#REF!</v>
      </c>
      <c r="DQ40" t="e">
        <f>AND(Bills!K41,"AAAAADqr6Hg=")</f>
        <v>#VALUE!</v>
      </c>
      <c r="DR40" t="e">
        <f>AND(Bills!L41,"AAAAADqr6Hk=")</f>
        <v>#VALUE!</v>
      </c>
      <c r="DS40" t="e">
        <f>AND(Bills!M41,"AAAAADqr6Ho=")</f>
        <v>#VALUE!</v>
      </c>
      <c r="DT40" t="e">
        <f>AND(Bills!N41,"AAAAADqr6Hs=")</f>
        <v>#VALUE!</v>
      </c>
      <c r="DU40" t="e">
        <f>AND(Bills!O41,"AAAAADqr6Hw=")</f>
        <v>#VALUE!</v>
      </c>
      <c r="DV40" t="e">
        <f>AND(Bills!P41,"AAAAADqr6H0=")</f>
        <v>#VALUE!</v>
      </c>
      <c r="DW40" t="e">
        <f>AND(Bills!Q41,"AAAAADqr6H4=")</f>
        <v>#VALUE!</v>
      </c>
      <c r="DX40" t="e">
        <f>AND(Bills!R41,"AAAAADqr6H8=")</f>
        <v>#VALUE!</v>
      </c>
      <c r="DY40" t="e">
        <f>AND(Bills!#REF!,"AAAAADqr6IA=")</f>
        <v>#REF!</v>
      </c>
      <c r="DZ40" t="e">
        <f>AND(Bills!S41,"AAAAADqr6IE=")</f>
        <v>#VALUE!</v>
      </c>
      <c r="EA40" t="e">
        <f>AND(Bills!T41,"AAAAADqr6II=")</f>
        <v>#VALUE!</v>
      </c>
      <c r="EB40" t="e">
        <f>AND(Bills!U41,"AAAAADqr6IM=")</f>
        <v>#VALUE!</v>
      </c>
      <c r="EC40" t="e">
        <f>AND(Bills!#REF!,"AAAAADqr6IQ=")</f>
        <v>#REF!</v>
      </c>
      <c r="ED40" t="e">
        <f>AND(Bills!#REF!,"AAAAADqr6IU=")</f>
        <v>#REF!</v>
      </c>
      <c r="EE40" t="e">
        <f>AND(Bills!W41,"AAAAADqr6IY=")</f>
        <v>#VALUE!</v>
      </c>
      <c r="EF40" t="e">
        <f>AND(Bills!X41,"AAAAADqr6Ic=")</f>
        <v>#VALUE!</v>
      </c>
      <c r="EG40" t="e">
        <f>AND(Bills!#REF!,"AAAAADqr6Ig=")</f>
        <v>#REF!</v>
      </c>
      <c r="EH40" t="e">
        <f>AND(Bills!#REF!,"AAAAADqr6Ik=")</f>
        <v>#REF!</v>
      </c>
      <c r="EI40" t="e">
        <f>AND(Bills!#REF!,"AAAAADqr6Io=")</f>
        <v>#REF!</v>
      </c>
      <c r="EJ40" t="e">
        <f>AND(Bills!#REF!,"AAAAADqr6Is=")</f>
        <v>#REF!</v>
      </c>
      <c r="EK40" t="e">
        <f>AND(Bills!#REF!,"AAAAADqr6Iw=")</f>
        <v>#REF!</v>
      </c>
      <c r="EL40" t="e">
        <f>AND(Bills!#REF!,"AAAAADqr6I0=")</f>
        <v>#REF!</v>
      </c>
      <c r="EM40" t="e">
        <f>AND(Bills!#REF!,"AAAAADqr6I4=")</f>
        <v>#REF!</v>
      </c>
      <c r="EN40" t="e">
        <f>AND(Bills!#REF!,"AAAAADqr6I8=")</f>
        <v>#REF!</v>
      </c>
      <c r="EO40" t="e">
        <f>AND(Bills!#REF!,"AAAAADqr6JA=")</f>
        <v>#REF!</v>
      </c>
      <c r="EP40" t="e">
        <f>AND(Bills!Y41,"AAAAADqr6JE=")</f>
        <v>#VALUE!</v>
      </c>
      <c r="EQ40" t="e">
        <f>AND(Bills!Z41,"AAAAADqr6JI=")</f>
        <v>#VALUE!</v>
      </c>
      <c r="ER40" t="e">
        <f>AND(Bills!#REF!,"AAAAADqr6JM=")</f>
        <v>#REF!</v>
      </c>
      <c r="ES40" t="e">
        <f>AND(Bills!#REF!,"AAAAADqr6JQ=")</f>
        <v>#REF!</v>
      </c>
      <c r="ET40" t="e">
        <f>AND(Bills!#REF!,"AAAAADqr6JU=")</f>
        <v>#REF!</v>
      </c>
      <c r="EU40" t="e">
        <f>AND(Bills!AA41,"AAAAADqr6JY=")</f>
        <v>#VALUE!</v>
      </c>
      <c r="EV40" t="e">
        <f>AND(Bills!AB41,"AAAAADqr6Jc=")</f>
        <v>#VALUE!</v>
      </c>
      <c r="EW40" t="e">
        <f>AND(Bills!#REF!,"AAAAADqr6Jg=")</f>
        <v>#REF!</v>
      </c>
      <c r="EX40">
        <f>IF(Bills!42:42,"AAAAADqr6Jk=",0)</f>
        <v>0</v>
      </c>
      <c r="EY40" t="e">
        <f>AND(Bills!B42,"AAAAADqr6Jo=")</f>
        <v>#VALUE!</v>
      </c>
      <c r="EZ40" t="e">
        <f>AND(Bills!#REF!,"AAAAADqr6Js=")</f>
        <v>#REF!</v>
      </c>
      <c r="FA40" t="e">
        <f>AND(Bills!C42,"AAAAADqr6Jw=")</f>
        <v>#VALUE!</v>
      </c>
      <c r="FB40" t="e">
        <f>AND(Bills!#REF!,"AAAAADqr6J0=")</f>
        <v>#REF!</v>
      </c>
      <c r="FC40" t="e">
        <f>AND(Bills!#REF!,"AAAAADqr6J4=")</f>
        <v>#REF!</v>
      </c>
      <c r="FD40" t="e">
        <f>AND(Bills!#REF!,"AAAAADqr6J8=")</f>
        <v>#REF!</v>
      </c>
      <c r="FE40" t="e">
        <f>AND(Bills!#REF!,"AAAAADqr6KA=")</f>
        <v>#REF!</v>
      </c>
      <c r="FF40" t="e">
        <f>AND(Bills!#REF!,"AAAAADqr6KE=")</f>
        <v>#REF!</v>
      </c>
      <c r="FG40" t="e">
        <f>AND(Bills!D42,"AAAAADqr6KI=")</f>
        <v>#VALUE!</v>
      </c>
      <c r="FH40" t="e">
        <f>AND(Bills!#REF!,"AAAAADqr6KM=")</f>
        <v>#REF!</v>
      </c>
      <c r="FI40" t="e">
        <f>AND(Bills!E42,"AAAAADqr6KQ=")</f>
        <v>#VALUE!</v>
      </c>
      <c r="FJ40" t="e">
        <f>AND(Bills!F42,"AAAAADqr6KU=")</f>
        <v>#VALUE!</v>
      </c>
      <c r="FK40" t="e">
        <f>AND(Bills!G42,"AAAAADqr6KY=")</f>
        <v>#VALUE!</v>
      </c>
      <c r="FL40" t="e">
        <f>AND(Bills!H42,"AAAAADqr6Kc=")</f>
        <v>#VALUE!</v>
      </c>
      <c r="FM40" t="e">
        <f>AND(Bills!I42,"AAAAADqr6Kg=")</f>
        <v>#VALUE!</v>
      </c>
      <c r="FN40" t="e">
        <f>AND(Bills!J42,"AAAAADqr6Kk=")</f>
        <v>#VALUE!</v>
      </c>
      <c r="FO40" t="e">
        <f>AND(Bills!#REF!,"AAAAADqr6Ko=")</f>
        <v>#REF!</v>
      </c>
      <c r="FP40" t="e">
        <f>AND(Bills!K42,"AAAAADqr6Ks=")</f>
        <v>#VALUE!</v>
      </c>
      <c r="FQ40" t="e">
        <f>AND(Bills!L42,"AAAAADqr6Kw=")</f>
        <v>#VALUE!</v>
      </c>
      <c r="FR40" t="e">
        <f>AND(Bills!M42,"AAAAADqr6K0=")</f>
        <v>#VALUE!</v>
      </c>
      <c r="FS40" t="e">
        <f>AND(Bills!N42,"AAAAADqr6K4=")</f>
        <v>#VALUE!</v>
      </c>
      <c r="FT40" t="e">
        <f>AND(Bills!O42,"AAAAADqr6K8=")</f>
        <v>#VALUE!</v>
      </c>
      <c r="FU40" t="e">
        <f>AND(Bills!P42,"AAAAADqr6LA=")</f>
        <v>#VALUE!</v>
      </c>
      <c r="FV40" t="e">
        <f>AND(Bills!Q42,"AAAAADqr6LE=")</f>
        <v>#VALUE!</v>
      </c>
      <c r="FW40" t="e">
        <f>AND(Bills!R42,"AAAAADqr6LI=")</f>
        <v>#VALUE!</v>
      </c>
      <c r="FX40" t="e">
        <f>AND(Bills!#REF!,"AAAAADqr6LM=")</f>
        <v>#REF!</v>
      </c>
      <c r="FY40" t="e">
        <f>AND(Bills!S42,"AAAAADqr6LQ=")</f>
        <v>#VALUE!</v>
      </c>
      <c r="FZ40" t="e">
        <f>AND(Bills!T42,"AAAAADqr6LU=")</f>
        <v>#VALUE!</v>
      </c>
      <c r="GA40" t="e">
        <f>AND(Bills!U42,"AAAAADqr6LY=")</f>
        <v>#VALUE!</v>
      </c>
      <c r="GB40" t="e">
        <f>AND(Bills!#REF!,"AAAAADqr6Lc=")</f>
        <v>#REF!</v>
      </c>
      <c r="GC40" t="e">
        <f>AND(Bills!#REF!,"AAAAADqr6Lg=")</f>
        <v>#REF!</v>
      </c>
      <c r="GD40" t="e">
        <f>AND(Bills!W42,"AAAAADqr6Lk=")</f>
        <v>#VALUE!</v>
      </c>
      <c r="GE40" t="e">
        <f>AND(Bills!X42,"AAAAADqr6Lo=")</f>
        <v>#VALUE!</v>
      </c>
      <c r="GF40" t="e">
        <f>AND(Bills!#REF!,"AAAAADqr6Ls=")</f>
        <v>#REF!</v>
      </c>
      <c r="GG40" t="e">
        <f>AND(Bills!#REF!,"AAAAADqr6Lw=")</f>
        <v>#REF!</v>
      </c>
      <c r="GH40" t="e">
        <f>AND(Bills!#REF!,"AAAAADqr6L0=")</f>
        <v>#REF!</v>
      </c>
      <c r="GI40" t="e">
        <f>AND(Bills!#REF!,"AAAAADqr6L4=")</f>
        <v>#REF!</v>
      </c>
      <c r="GJ40" t="e">
        <f>AND(Bills!#REF!,"AAAAADqr6L8=")</f>
        <v>#REF!</v>
      </c>
      <c r="GK40" t="e">
        <f>AND(Bills!#REF!,"AAAAADqr6MA=")</f>
        <v>#REF!</v>
      </c>
      <c r="GL40" t="e">
        <f>AND(Bills!#REF!,"AAAAADqr6ME=")</f>
        <v>#REF!</v>
      </c>
      <c r="GM40" t="e">
        <f>AND(Bills!#REF!,"AAAAADqr6MI=")</f>
        <v>#REF!</v>
      </c>
      <c r="GN40" t="e">
        <f>AND(Bills!#REF!,"AAAAADqr6MM=")</f>
        <v>#REF!</v>
      </c>
      <c r="GO40" t="e">
        <f>AND(Bills!Y42,"AAAAADqr6MQ=")</f>
        <v>#VALUE!</v>
      </c>
      <c r="GP40" t="e">
        <f>AND(Bills!Z42,"AAAAADqr6MU=")</f>
        <v>#VALUE!</v>
      </c>
      <c r="GQ40" t="e">
        <f>AND(Bills!#REF!,"AAAAADqr6MY=")</f>
        <v>#REF!</v>
      </c>
      <c r="GR40" t="e">
        <f>AND(Bills!#REF!,"AAAAADqr6Mc=")</f>
        <v>#REF!</v>
      </c>
      <c r="GS40" t="e">
        <f>AND(Bills!#REF!,"AAAAADqr6Mg=")</f>
        <v>#REF!</v>
      </c>
      <c r="GT40" t="e">
        <f>AND(Bills!AA42,"AAAAADqr6Mk=")</f>
        <v>#VALUE!</v>
      </c>
      <c r="GU40" t="e">
        <f>AND(Bills!AB42,"AAAAADqr6Mo=")</f>
        <v>#VALUE!</v>
      </c>
      <c r="GV40" t="e">
        <f>AND(Bills!#REF!,"AAAAADqr6Ms=")</f>
        <v>#REF!</v>
      </c>
      <c r="GW40">
        <f>IF(Bills!43:43,"AAAAADqr6Mw=",0)</f>
        <v>0</v>
      </c>
      <c r="GX40" t="e">
        <f>AND(Bills!B43,"AAAAADqr6M0=")</f>
        <v>#VALUE!</v>
      </c>
      <c r="GY40" t="e">
        <f>AND(Bills!#REF!,"AAAAADqr6M4=")</f>
        <v>#REF!</v>
      </c>
      <c r="GZ40" t="e">
        <f>AND(Bills!C43,"AAAAADqr6M8=")</f>
        <v>#VALUE!</v>
      </c>
      <c r="HA40" t="e">
        <f>AND(Bills!#REF!,"AAAAADqr6NA=")</f>
        <v>#REF!</v>
      </c>
      <c r="HB40" t="e">
        <f>AND(Bills!#REF!,"AAAAADqr6NE=")</f>
        <v>#REF!</v>
      </c>
      <c r="HC40" t="e">
        <f>AND(Bills!#REF!,"AAAAADqr6NI=")</f>
        <v>#REF!</v>
      </c>
      <c r="HD40" t="e">
        <f>AND(Bills!#REF!,"AAAAADqr6NM=")</f>
        <v>#REF!</v>
      </c>
      <c r="HE40" t="e">
        <f>AND(Bills!#REF!,"AAAAADqr6NQ=")</f>
        <v>#REF!</v>
      </c>
      <c r="HF40" t="e">
        <f>AND(Bills!D43,"AAAAADqr6NU=")</f>
        <v>#VALUE!</v>
      </c>
      <c r="HG40" t="e">
        <f>AND(Bills!#REF!,"AAAAADqr6NY=")</f>
        <v>#REF!</v>
      </c>
      <c r="HH40" t="e">
        <f>AND(Bills!E43,"AAAAADqr6Nc=")</f>
        <v>#VALUE!</v>
      </c>
      <c r="HI40" t="e">
        <f>AND(Bills!F43,"AAAAADqr6Ng=")</f>
        <v>#VALUE!</v>
      </c>
      <c r="HJ40" t="e">
        <f>AND(Bills!G43,"AAAAADqr6Nk=")</f>
        <v>#VALUE!</v>
      </c>
      <c r="HK40" t="e">
        <f>AND(Bills!H43,"AAAAADqr6No=")</f>
        <v>#VALUE!</v>
      </c>
      <c r="HL40" t="e">
        <f>AND(Bills!I43,"AAAAADqr6Ns=")</f>
        <v>#VALUE!</v>
      </c>
      <c r="HM40" t="e">
        <f>AND(Bills!J43,"AAAAADqr6Nw=")</f>
        <v>#VALUE!</v>
      </c>
      <c r="HN40" t="e">
        <f>AND(Bills!#REF!,"AAAAADqr6N0=")</f>
        <v>#REF!</v>
      </c>
      <c r="HO40" t="e">
        <f>AND(Bills!K43,"AAAAADqr6N4=")</f>
        <v>#VALUE!</v>
      </c>
      <c r="HP40" t="e">
        <f>AND(Bills!L43,"AAAAADqr6N8=")</f>
        <v>#VALUE!</v>
      </c>
      <c r="HQ40" t="e">
        <f>AND(Bills!M43,"AAAAADqr6OA=")</f>
        <v>#VALUE!</v>
      </c>
      <c r="HR40" t="e">
        <f>AND(Bills!N43,"AAAAADqr6OE=")</f>
        <v>#VALUE!</v>
      </c>
      <c r="HS40" t="e">
        <f>AND(Bills!O43,"AAAAADqr6OI=")</f>
        <v>#VALUE!</v>
      </c>
      <c r="HT40" t="e">
        <f>AND(Bills!P43,"AAAAADqr6OM=")</f>
        <v>#VALUE!</v>
      </c>
      <c r="HU40" t="e">
        <f>AND(Bills!Q43,"AAAAADqr6OQ=")</f>
        <v>#VALUE!</v>
      </c>
      <c r="HV40" t="e">
        <f>AND(Bills!R43,"AAAAADqr6OU=")</f>
        <v>#VALUE!</v>
      </c>
      <c r="HW40" t="e">
        <f>AND(Bills!#REF!,"AAAAADqr6OY=")</f>
        <v>#REF!</v>
      </c>
      <c r="HX40" t="e">
        <f>AND(Bills!S43,"AAAAADqr6Oc=")</f>
        <v>#VALUE!</v>
      </c>
      <c r="HY40" t="e">
        <f>AND(Bills!T43,"AAAAADqr6Og=")</f>
        <v>#VALUE!</v>
      </c>
      <c r="HZ40" t="e">
        <f>AND(Bills!U43,"AAAAADqr6Ok=")</f>
        <v>#VALUE!</v>
      </c>
      <c r="IA40" t="e">
        <f>AND(Bills!#REF!,"AAAAADqr6Oo=")</f>
        <v>#REF!</v>
      </c>
      <c r="IB40" t="e">
        <f>AND(Bills!#REF!,"AAAAADqr6Os=")</f>
        <v>#REF!</v>
      </c>
      <c r="IC40" t="e">
        <f>AND(Bills!W43,"AAAAADqr6Ow=")</f>
        <v>#VALUE!</v>
      </c>
      <c r="ID40" t="e">
        <f>AND(Bills!X43,"AAAAADqr6O0=")</f>
        <v>#VALUE!</v>
      </c>
      <c r="IE40" t="e">
        <f>AND(Bills!#REF!,"AAAAADqr6O4=")</f>
        <v>#REF!</v>
      </c>
      <c r="IF40" t="e">
        <f>AND(Bills!#REF!,"AAAAADqr6O8=")</f>
        <v>#REF!</v>
      </c>
      <c r="IG40" t="e">
        <f>AND(Bills!#REF!,"AAAAADqr6PA=")</f>
        <v>#REF!</v>
      </c>
      <c r="IH40" t="e">
        <f>AND(Bills!#REF!,"AAAAADqr6PE=")</f>
        <v>#REF!</v>
      </c>
      <c r="II40" t="e">
        <f>AND(Bills!#REF!,"AAAAADqr6PI=")</f>
        <v>#REF!</v>
      </c>
      <c r="IJ40" t="e">
        <f>AND(Bills!#REF!,"AAAAADqr6PM=")</f>
        <v>#REF!</v>
      </c>
      <c r="IK40" t="e">
        <f>AND(Bills!#REF!,"AAAAADqr6PQ=")</f>
        <v>#REF!</v>
      </c>
      <c r="IL40" t="e">
        <f>AND(Bills!#REF!,"AAAAADqr6PU=")</f>
        <v>#REF!</v>
      </c>
      <c r="IM40" t="e">
        <f>AND(Bills!#REF!,"AAAAADqr6PY=")</f>
        <v>#REF!</v>
      </c>
      <c r="IN40" t="e">
        <f>AND(Bills!Y43,"AAAAADqr6Pc=")</f>
        <v>#VALUE!</v>
      </c>
      <c r="IO40" t="e">
        <f>AND(Bills!Z43,"AAAAADqr6Pg=")</f>
        <v>#VALUE!</v>
      </c>
      <c r="IP40" t="e">
        <f>AND(Bills!#REF!,"AAAAADqr6Pk=")</f>
        <v>#REF!</v>
      </c>
      <c r="IQ40" t="e">
        <f>AND(Bills!#REF!,"AAAAADqr6Po=")</f>
        <v>#REF!</v>
      </c>
      <c r="IR40" t="e">
        <f>AND(Bills!#REF!,"AAAAADqr6Ps=")</f>
        <v>#REF!</v>
      </c>
      <c r="IS40" t="e">
        <f>AND(Bills!AA43,"AAAAADqr6Pw=")</f>
        <v>#VALUE!</v>
      </c>
      <c r="IT40" t="e">
        <f>AND(Bills!AB43,"AAAAADqr6P0=")</f>
        <v>#VALUE!</v>
      </c>
      <c r="IU40" t="e">
        <f>AND(Bills!#REF!,"AAAAADqr6P4=")</f>
        <v>#REF!</v>
      </c>
      <c r="IV40" t="e">
        <f>IF(Bills!#REF!,"AAAAADqr6P8=",0)</f>
        <v>#REF!</v>
      </c>
    </row>
    <row r="41" spans="1:256">
      <c r="A41" t="e">
        <f>AND(Bills!#REF!,"AAAAAH3/+wA=")</f>
        <v>#REF!</v>
      </c>
      <c r="B41" t="e">
        <f>AND(Bills!#REF!,"AAAAAH3/+wE=")</f>
        <v>#REF!</v>
      </c>
      <c r="C41" t="e">
        <f>AND(Bills!#REF!,"AAAAAH3/+wI=")</f>
        <v>#REF!</v>
      </c>
      <c r="D41" t="e">
        <f>AND(Bills!#REF!,"AAAAAH3/+wM=")</f>
        <v>#REF!</v>
      </c>
      <c r="E41" t="e">
        <f>AND(Bills!#REF!,"AAAAAH3/+wQ=")</f>
        <v>#REF!</v>
      </c>
      <c r="F41" t="e">
        <f>AND(Bills!#REF!,"AAAAAH3/+wU=")</f>
        <v>#REF!</v>
      </c>
      <c r="G41" t="e">
        <f>AND(Bills!#REF!,"AAAAAH3/+wY=")</f>
        <v>#REF!</v>
      </c>
      <c r="H41" t="e">
        <f>AND(Bills!#REF!,"AAAAAH3/+wc=")</f>
        <v>#REF!</v>
      </c>
      <c r="I41" t="e">
        <f>AND(Bills!#REF!,"AAAAAH3/+wg=")</f>
        <v>#REF!</v>
      </c>
      <c r="J41" t="e">
        <f>AND(Bills!#REF!,"AAAAAH3/+wk=")</f>
        <v>#REF!</v>
      </c>
      <c r="K41" t="e">
        <f>AND(Bills!#REF!,"AAAAAH3/+wo=")</f>
        <v>#REF!</v>
      </c>
      <c r="L41" t="e">
        <f>AND(Bills!#REF!,"AAAAAH3/+ws=")</f>
        <v>#REF!</v>
      </c>
      <c r="M41" t="e">
        <f>AND(Bills!#REF!,"AAAAAH3/+ww=")</f>
        <v>#REF!</v>
      </c>
      <c r="N41" t="e">
        <f>AND(Bills!#REF!,"AAAAAH3/+w0=")</f>
        <v>#REF!</v>
      </c>
      <c r="O41" t="e">
        <f>AND(Bills!#REF!,"AAAAAH3/+w4=")</f>
        <v>#REF!</v>
      </c>
      <c r="P41" t="e">
        <f>AND(Bills!#REF!,"AAAAAH3/+w8=")</f>
        <v>#REF!</v>
      </c>
      <c r="Q41" t="e">
        <f>AND(Bills!#REF!,"AAAAAH3/+xA=")</f>
        <v>#REF!</v>
      </c>
      <c r="R41" t="e">
        <f>AND(Bills!#REF!,"AAAAAH3/+xE=")</f>
        <v>#REF!</v>
      </c>
      <c r="S41" t="e">
        <f>AND(Bills!#REF!,"AAAAAH3/+xI=")</f>
        <v>#REF!</v>
      </c>
      <c r="T41" t="e">
        <f>AND(Bills!#REF!,"AAAAAH3/+xM=")</f>
        <v>#REF!</v>
      </c>
      <c r="U41" t="e">
        <f>AND(Bills!#REF!,"AAAAAH3/+xQ=")</f>
        <v>#REF!</v>
      </c>
      <c r="V41" t="e">
        <f>AND(Bills!#REF!,"AAAAAH3/+xU=")</f>
        <v>#REF!</v>
      </c>
      <c r="W41" t="e">
        <f>AND(Bills!#REF!,"AAAAAH3/+xY=")</f>
        <v>#REF!</v>
      </c>
      <c r="X41" t="e">
        <f>AND(Bills!#REF!,"AAAAAH3/+xc=")</f>
        <v>#REF!</v>
      </c>
      <c r="Y41" t="e">
        <f>AND(Bills!#REF!,"AAAAAH3/+xg=")</f>
        <v>#REF!</v>
      </c>
      <c r="Z41" t="e">
        <f>AND(Bills!#REF!,"AAAAAH3/+xk=")</f>
        <v>#REF!</v>
      </c>
      <c r="AA41" t="e">
        <f>AND(Bills!#REF!,"AAAAAH3/+xo=")</f>
        <v>#REF!</v>
      </c>
      <c r="AB41" t="e">
        <f>AND(Bills!#REF!,"AAAAAH3/+xs=")</f>
        <v>#REF!</v>
      </c>
      <c r="AC41" t="e">
        <f>AND(Bills!#REF!,"AAAAAH3/+xw=")</f>
        <v>#REF!</v>
      </c>
      <c r="AD41" t="e">
        <f>AND(Bills!#REF!,"AAAAAH3/+x0=")</f>
        <v>#REF!</v>
      </c>
      <c r="AE41" t="e">
        <f>AND(Bills!#REF!,"AAAAAH3/+x4=")</f>
        <v>#REF!</v>
      </c>
      <c r="AF41" t="e">
        <f>AND(Bills!#REF!,"AAAAAH3/+x8=")</f>
        <v>#REF!</v>
      </c>
      <c r="AG41" t="e">
        <f>AND(Bills!#REF!,"AAAAAH3/+yA=")</f>
        <v>#REF!</v>
      </c>
      <c r="AH41" t="e">
        <f>AND(Bills!#REF!,"AAAAAH3/+yE=")</f>
        <v>#REF!</v>
      </c>
      <c r="AI41" t="e">
        <f>AND(Bills!#REF!,"AAAAAH3/+yI=")</f>
        <v>#REF!</v>
      </c>
      <c r="AJ41" t="e">
        <f>AND(Bills!#REF!,"AAAAAH3/+yM=")</f>
        <v>#REF!</v>
      </c>
      <c r="AK41" t="e">
        <f>AND(Bills!#REF!,"AAAAAH3/+yQ=")</f>
        <v>#REF!</v>
      </c>
      <c r="AL41" t="e">
        <f>AND(Bills!#REF!,"AAAAAH3/+yU=")</f>
        <v>#REF!</v>
      </c>
      <c r="AM41" t="e">
        <f>AND(Bills!#REF!,"AAAAAH3/+yY=")</f>
        <v>#REF!</v>
      </c>
      <c r="AN41" t="e">
        <f>AND(Bills!#REF!,"AAAAAH3/+yc=")</f>
        <v>#REF!</v>
      </c>
      <c r="AO41" t="e">
        <f>AND(Bills!#REF!,"AAAAAH3/+yg=")</f>
        <v>#REF!</v>
      </c>
      <c r="AP41" t="e">
        <f>AND(Bills!#REF!,"AAAAAH3/+yk=")</f>
        <v>#REF!</v>
      </c>
      <c r="AQ41" t="e">
        <f>AND(Bills!#REF!,"AAAAAH3/+yo=")</f>
        <v>#REF!</v>
      </c>
      <c r="AR41" t="e">
        <f>AND(Bills!#REF!,"AAAAAH3/+ys=")</f>
        <v>#REF!</v>
      </c>
      <c r="AS41" t="e">
        <f>AND(Bills!#REF!,"AAAAAH3/+yw=")</f>
        <v>#REF!</v>
      </c>
      <c r="AT41" t="e">
        <f>AND(Bills!#REF!,"AAAAAH3/+y0=")</f>
        <v>#REF!</v>
      </c>
      <c r="AU41" t="e">
        <f>AND(Bills!#REF!,"AAAAAH3/+y4=")</f>
        <v>#REF!</v>
      </c>
      <c r="AV41" t="e">
        <f>AND(Bills!#REF!,"AAAAAH3/+y8=")</f>
        <v>#REF!</v>
      </c>
      <c r="AW41" t="e">
        <f>AND(Bills!#REF!,"AAAAAH3/+zA=")</f>
        <v>#REF!</v>
      </c>
      <c r="AX41" t="e">
        <f>AND(Bills!#REF!,"AAAAAH3/+zE=")</f>
        <v>#REF!</v>
      </c>
      <c r="AY41" t="e">
        <f>IF(Bills!#REF!,"AAAAAH3/+zI=",0)</f>
        <v>#REF!</v>
      </c>
      <c r="AZ41" t="e">
        <f>AND(Bills!#REF!,"AAAAAH3/+zM=")</f>
        <v>#REF!</v>
      </c>
      <c r="BA41" t="e">
        <f>AND(Bills!#REF!,"AAAAAH3/+zQ=")</f>
        <v>#REF!</v>
      </c>
      <c r="BB41" t="e">
        <f>AND(Bills!#REF!,"AAAAAH3/+zU=")</f>
        <v>#REF!</v>
      </c>
      <c r="BC41" t="e">
        <f>AND(Bills!#REF!,"AAAAAH3/+zY=")</f>
        <v>#REF!</v>
      </c>
      <c r="BD41" t="e">
        <f>AND(Bills!#REF!,"AAAAAH3/+zc=")</f>
        <v>#REF!</v>
      </c>
      <c r="BE41" t="e">
        <f>AND(Bills!#REF!,"AAAAAH3/+zg=")</f>
        <v>#REF!</v>
      </c>
      <c r="BF41" t="e">
        <f>AND(Bills!#REF!,"AAAAAH3/+zk=")</f>
        <v>#REF!</v>
      </c>
      <c r="BG41" t="e">
        <f>AND(Bills!#REF!,"AAAAAH3/+zo=")</f>
        <v>#REF!</v>
      </c>
      <c r="BH41" t="e">
        <f>AND(Bills!#REF!,"AAAAAH3/+zs=")</f>
        <v>#REF!</v>
      </c>
      <c r="BI41" t="e">
        <f>AND(Bills!#REF!,"AAAAAH3/+zw=")</f>
        <v>#REF!</v>
      </c>
      <c r="BJ41" t="e">
        <f>AND(Bills!#REF!,"AAAAAH3/+z0=")</f>
        <v>#REF!</v>
      </c>
      <c r="BK41" t="e">
        <f>AND(Bills!#REF!,"AAAAAH3/+z4=")</f>
        <v>#REF!</v>
      </c>
      <c r="BL41" t="e">
        <f>AND(Bills!#REF!,"AAAAAH3/+z8=")</f>
        <v>#REF!</v>
      </c>
      <c r="BM41" t="e">
        <f>AND(Bills!#REF!,"AAAAAH3/+0A=")</f>
        <v>#REF!</v>
      </c>
      <c r="BN41" t="e">
        <f>AND(Bills!#REF!,"AAAAAH3/+0E=")</f>
        <v>#REF!</v>
      </c>
      <c r="BO41" t="e">
        <f>AND(Bills!#REF!,"AAAAAH3/+0I=")</f>
        <v>#REF!</v>
      </c>
      <c r="BP41" t="e">
        <f>AND(Bills!#REF!,"AAAAAH3/+0M=")</f>
        <v>#REF!</v>
      </c>
      <c r="BQ41" t="e">
        <f>AND(Bills!#REF!,"AAAAAH3/+0Q=")</f>
        <v>#REF!</v>
      </c>
      <c r="BR41" t="e">
        <f>AND(Bills!#REF!,"AAAAAH3/+0U=")</f>
        <v>#REF!</v>
      </c>
      <c r="BS41" t="e">
        <f>AND(Bills!#REF!,"AAAAAH3/+0Y=")</f>
        <v>#REF!</v>
      </c>
      <c r="BT41" t="e">
        <f>AND(Bills!#REF!,"AAAAAH3/+0c=")</f>
        <v>#REF!</v>
      </c>
      <c r="BU41" t="e">
        <f>AND(Bills!#REF!,"AAAAAH3/+0g=")</f>
        <v>#REF!</v>
      </c>
      <c r="BV41" t="e">
        <f>AND(Bills!#REF!,"AAAAAH3/+0k=")</f>
        <v>#REF!</v>
      </c>
      <c r="BW41" t="e">
        <f>AND(Bills!#REF!,"AAAAAH3/+0o=")</f>
        <v>#REF!</v>
      </c>
      <c r="BX41" t="e">
        <f>AND(Bills!#REF!,"AAAAAH3/+0s=")</f>
        <v>#REF!</v>
      </c>
      <c r="BY41" t="e">
        <f>AND(Bills!#REF!,"AAAAAH3/+0w=")</f>
        <v>#REF!</v>
      </c>
      <c r="BZ41" t="e">
        <f>AND(Bills!#REF!,"AAAAAH3/+00=")</f>
        <v>#REF!</v>
      </c>
      <c r="CA41" t="e">
        <f>AND(Bills!#REF!,"AAAAAH3/+04=")</f>
        <v>#REF!</v>
      </c>
      <c r="CB41" t="e">
        <f>AND(Bills!#REF!,"AAAAAH3/+08=")</f>
        <v>#REF!</v>
      </c>
      <c r="CC41" t="e">
        <f>AND(Bills!#REF!,"AAAAAH3/+1A=")</f>
        <v>#REF!</v>
      </c>
      <c r="CD41" t="e">
        <f>AND(Bills!#REF!,"AAAAAH3/+1E=")</f>
        <v>#REF!</v>
      </c>
      <c r="CE41" t="e">
        <f>AND(Bills!#REF!,"AAAAAH3/+1I=")</f>
        <v>#REF!</v>
      </c>
      <c r="CF41" t="e">
        <f>AND(Bills!#REF!,"AAAAAH3/+1M=")</f>
        <v>#REF!</v>
      </c>
      <c r="CG41" t="e">
        <f>AND(Bills!#REF!,"AAAAAH3/+1Q=")</f>
        <v>#REF!</v>
      </c>
      <c r="CH41" t="e">
        <f>AND(Bills!#REF!,"AAAAAH3/+1U=")</f>
        <v>#REF!</v>
      </c>
      <c r="CI41" t="e">
        <f>AND(Bills!#REF!,"AAAAAH3/+1Y=")</f>
        <v>#REF!</v>
      </c>
      <c r="CJ41" t="e">
        <f>AND(Bills!#REF!,"AAAAAH3/+1c=")</f>
        <v>#REF!</v>
      </c>
      <c r="CK41" t="e">
        <f>AND(Bills!#REF!,"AAAAAH3/+1g=")</f>
        <v>#REF!</v>
      </c>
      <c r="CL41" t="e">
        <f>AND(Bills!#REF!,"AAAAAH3/+1k=")</f>
        <v>#REF!</v>
      </c>
      <c r="CM41" t="e">
        <f>AND(Bills!#REF!,"AAAAAH3/+1o=")</f>
        <v>#REF!</v>
      </c>
      <c r="CN41" t="e">
        <f>AND(Bills!#REF!,"AAAAAH3/+1s=")</f>
        <v>#REF!</v>
      </c>
      <c r="CO41" t="e">
        <f>AND(Bills!#REF!,"AAAAAH3/+1w=")</f>
        <v>#REF!</v>
      </c>
      <c r="CP41" t="e">
        <f>AND(Bills!#REF!,"AAAAAH3/+10=")</f>
        <v>#REF!</v>
      </c>
      <c r="CQ41" t="e">
        <f>AND(Bills!#REF!,"AAAAAH3/+14=")</f>
        <v>#REF!</v>
      </c>
      <c r="CR41" t="e">
        <f>AND(Bills!#REF!,"AAAAAH3/+18=")</f>
        <v>#REF!</v>
      </c>
      <c r="CS41" t="e">
        <f>AND(Bills!#REF!,"AAAAAH3/+2A=")</f>
        <v>#REF!</v>
      </c>
      <c r="CT41" t="e">
        <f>AND(Bills!#REF!,"AAAAAH3/+2E=")</f>
        <v>#REF!</v>
      </c>
      <c r="CU41" t="e">
        <f>AND(Bills!#REF!,"AAAAAH3/+2I=")</f>
        <v>#REF!</v>
      </c>
      <c r="CV41" t="e">
        <f>AND(Bills!#REF!,"AAAAAH3/+2M=")</f>
        <v>#REF!</v>
      </c>
      <c r="CW41" t="e">
        <f>AND(Bills!#REF!,"AAAAAH3/+2Q=")</f>
        <v>#REF!</v>
      </c>
      <c r="CX41" t="e">
        <f>IF(Bills!#REF!,"AAAAAH3/+2U=",0)</f>
        <v>#REF!</v>
      </c>
      <c r="CY41" t="e">
        <f>AND(Bills!#REF!,"AAAAAH3/+2Y=")</f>
        <v>#REF!</v>
      </c>
      <c r="CZ41" t="e">
        <f>AND(Bills!#REF!,"AAAAAH3/+2c=")</f>
        <v>#REF!</v>
      </c>
      <c r="DA41" t="e">
        <f>AND(Bills!#REF!,"AAAAAH3/+2g=")</f>
        <v>#REF!</v>
      </c>
      <c r="DB41" t="e">
        <f>AND(Bills!#REF!,"AAAAAH3/+2k=")</f>
        <v>#REF!</v>
      </c>
      <c r="DC41" t="e">
        <f>AND(Bills!#REF!,"AAAAAH3/+2o=")</f>
        <v>#REF!</v>
      </c>
      <c r="DD41" t="e">
        <f>AND(Bills!#REF!,"AAAAAH3/+2s=")</f>
        <v>#REF!</v>
      </c>
      <c r="DE41" t="e">
        <f>AND(Bills!#REF!,"AAAAAH3/+2w=")</f>
        <v>#REF!</v>
      </c>
      <c r="DF41" t="e">
        <f>AND(Bills!#REF!,"AAAAAH3/+20=")</f>
        <v>#REF!</v>
      </c>
      <c r="DG41" t="e">
        <f>AND(Bills!#REF!,"AAAAAH3/+24=")</f>
        <v>#REF!</v>
      </c>
      <c r="DH41" t="e">
        <f>AND(Bills!#REF!,"AAAAAH3/+28=")</f>
        <v>#REF!</v>
      </c>
      <c r="DI41" t="e">
        <f>AND(Bills!#REF!,"AAAAAH3/+3A=")</f>
        <v>#REF!</v>
      </c>
      <c r="DJ41" t="e">
        <f>AND(Bills!#REF!,"AAAAAH3/+3E=")</f>
        <v>#REF!</v>
      </c>
      <c r="DK41" t="e">
        <f>AND(Bills!#REF!,"AAAAAH3/+3I=")</f>
        <v>#REF!</v>
      </c>
      <c r="DL41" t="e">
        <f>AND(Bills!#REF!,"AAAAAH3/+3M=")</f>
        <v>#REF!</v>
      </c>
      <c r="DM41" t="e">
        <f>AND(Bills!#REF!,"AAAAAH3/+3Q=")</f>
        <v>#REF!</v>
      </c>
      <c r="DN41" t="e">
        <f>AND(Bills!#REF!,"AAAAAH3/+3U=")</f>
        <v>#REF!</v>
      </c>
      <c r="DO41" t="e">
        <f>AND(Bills!#REF!,"AAAAAH3/+3Y=")</f>
        <v>#REF!</v>
      </c>
      <c r="DP41" t="e">
        <f>AND(Bills!#REF!,"AAAAAH3/+3c=")</f>
        <v>#REF!</v>
      </c>
      <c r="DQ41" t="e">
        <f>AND(Bills!#REF!,"AAAAAH3/+3g=")</f>
        <v>#REF!</v>
      </c>
      <c r="DR41" t="e">
        <f>AND(Bills!#REF!,"AAAAAH3/+3k=")</f>
        <v>#REF!</v>
      </c>
      <c r="DS41" t="e">
        <f>AND(Bills!#REF!,"AAAAAH3/+3o=")</f>
        <v>#REF!</v>
      </c>
      <c r="DT41" t="e">
        <f>AND(Bills!#REF!,"AAAAAH3/+3s=")</f>
        <v>#REF!</v>
      </c>
      <c r="DU41" t="e">
        <f>AND(Bills!#REF!,"AAAAAH3/+3w=")</f>
        <v>#REF!</v>
      </c>
      <c r="DV41" t="e">
        <f>AND(Bills!#REF!,"AAAAAH3/+30=")</f>
        <v>#REF!</v>
      </c>
      <c r="DW41" t="e">
        <f>AND(Bills!#REF!,"AAAAAH3/+34=")</f>
        <v>#REF!</v>
      </c>
      <c r="DX41" t="e">
        <f>AND(Bills!#REF!,"AAAAAH3/+38=")</f>
        <v>#REF!</v>
      </c>
      <c r="DY41" t="e">
        <f>AND(Bills!#REF!,"AAAAAH3/+4A=")</f>
        <v>#REF!</v>
      </c>
      <c r="DZ41" t="e">
        <f>AND(Bills!#REF!,"AAAAAH3/+4E=")</f>
        <v>#REF!</v>
      </c>
      <c r="EA41" t="e">
        <f>AND(Bills!#REF!,"AAAAAH3/+4I=")</f>
        <v>#REF!</v>
      </c>
      <c r="EB41" t="e">
        <f>AND(Bills!#REF!,"AAAAAH3/+4M=")</f>
        <v>#REF!</v>
      </c>
      <c r="EC41" t="e">
        <f>AND(Bills!#REF!,"AAAAAH3/+4Q=")</f>
        <v>#REF!</v>
      </c>
      <c r="ED41" t="e">
        <f>AND(Bills!#REF!,"AAAAAH3/+4U=")</f>
        <v>#REF!</v>
      </c>
      <c r="EE41" t="e">
        <f>AND(Bills!#REF!,"AAAAAH3/+4Y=")</f>
        <v>#REF!</v>
      </c>
      <c r="EF41" t="e">
        <f>AND(Bills!#REF!,"AAAAAH3/+4c=")</f>
        <v>#REF!</v>
      </c>
      <c r="EG41" t="e">
        <f>AND(Bills!#REF!,"AAAAAH3/+4g=")</f>
        <v>#REF!</v>
      </c>
      <c r="EH41" t="e">
        <f>AND(Bills!#REF!,"AAAAAH3/+4k=")</f>
        <v>#REF!</v>
      </c>
      <c r="EI41" t="e">
        <f>AND(Bills!#REF!,"AAAAAH3/+4o=")</f>
        <v>#REF!</v>
      </c>
      <c r="EJ41" t="e">
        <f>AND(Bills!#REF!,"AAAAAH3/+4s=")</f>
        <v>#REF!</v>
      </c>
      <c r="EK41" t="e">
        <f>AND(Bills!#REF!,"AAAAAH3/+4w=")</f>
        <v>#REF!</v>
      </c>
      <c r="EL41" t="e">
        <f>AND(Bills!#REF!,"AAAAAH3/+40=")</f>
        <v>#REF!</v>
      </c>
      <c r="EM41" t="e">
        <f>AND(Bills!#REF!,"AAAAAH3/+44=")</f>
        <v>#REF!</v>
      </c>
      <c r="EN41" t="e">
        <f>AND(Bills!#REF!,"AAAAAH3/+48=")</f>
        <v>#REF!</v>
      </c>
      <c r="EO41" t="e">
        <f>AND(Bills!#REF!,"AAAAAH3/+5A=")</f>
        <v>#REF!</v>
      </c>
      <c r="EP41" t="e">
        <f>AND(Bills!#REF!,"AAAAAH3/+5E=")</f>
        <v>#REF!</v>
      </c>
      <c r="EQ41" t="e">
        <f>AND(Bills!#REF!,"AAAAAH3/+5I=")</f>
        <v>#REF!</v>
      </c>
      <c r="ER41" t="e">
        <f>AND(Bills!#REF!,"AAAAAH3/+5M=")</f>
        <v>#REF!</v>
      </c>
      <c r="ES41" t="e">
        <f>AND(Bills!#REF!,"AAAAAH3/+5Q=")</f>
        <v>#REF!</v>
      </c>
      <c r="ET41" t="e">
        <f>AND(Bills!#REF!,"AAAAAH3/+5U=")</f>
        <v>#REF!</v>
      </c>
      <c r="EU41" t="e">
        <f>AND(Bills!#REF!,"AAAAAH3/+5Y=")</f>
        <v>#REF!</v>
      </c>
      <c r="EV41" t="e">
        <f>AND(Bills!#REF!,"AAAAAH3/+5c=")</f>
        <v>#REF!</v>
      </c>
      <c r="EW41" t="e">
        <f>IF(Bills!#REF!,"AAAAAH3/+5g=",0)</f>
        <v>#REF!</v>
      </c>
      <c r="EX41" t="e">
        <f>AND(Bills!#REF!,"AAAAAH3/+5k=")</f>
        <v>#REF!</v>
      </c>
      <c r="EY41" t="e">
        <f>AND(Bills!#REF!,"AAAAAH3/+5o=")</f>
        <v>#REF!</v>
      </c>
      <c r="EZ41" t="e">
        <f>AND(Bills!#REF!,"AAAAAH3/+5s=")</f>
        <v>#REF!</v>
      </c>
      <c r="FA41" t="e">
        <f>AND(Bills!#REF!,"AAAAAH3/+5w=")</f>
        <v>#REF!</v>
      </c>
      <c r="FB41" t="e">
        <f>AND(Bills!#REF!,"AAAAAH3/+50=")</f>
        <v>#REF!</v>
      </c>
      <c r="FC41" t="e">
        <f>AND(Bills!#REF!,"AAAAAH3/+54=")</f>
        <v>#REF!</v>
      </c>
      <c r="FD41" t="e">
        <f>AND(Bills!#REF!,"AAAAAH3/+58=")</f>
        <v>#REF!</v>
      </c>
      <c r="FE41" t="e">
        <f>AND(Bills!#REF!,"AAAAAH3/+6A=")</f>
        <v>#REF!</v>
      </c>
      <c r="FF41" t="e">
        <f>AND(Bills!#REF!,"AAAAAH3/+6E=")</f>
        <v>#REF!</v>
      </c>
      <c r="FG41" t="e">
        <f>AND(Bills!#REF!,"AAAAAH3/+6I=")</f>
        <v>#REF!</v>
      </c>
      <c r="FH41" t="e">
        <f>AND(Bills!#REF!,"AAAAAH3/+6M=")</f>
        <v>#REF!</v>
      </c>
      <c r="FI41" t="e">
        <f>AND(Bills!#REF!,"AAAAAH3/+6Q=")</f>
        <v>#REF!</v>
      </c>
      <c r="FJ41" t="e">
        <f>AND(Bills!#REF!,"AAAAAH3/+6U=")</f>
        <v>#REF!</v>
      </c>
      <c r="FK41" t="e">
        <f>AND(Bills!#REF!,"AAAAAH3/+6Y=")</f>
        <v>#REF!</v>
      </c>
      <c r="FL41" t="e">
        <f>AND(Bills!#REF!,"AAAAAH3/+6c=")</f>
        <v>#REF!</v>
      </c>
      <c r="FM41" t="e">
        <f>AND(Bills!#REF!,"AAAAAH3/+6g=")</f>
        <v>#REF!</v>
      </c>
      <c r="FN41" t="e">
        <f>AND(Bills!#REF!,"AAAAAH3/+6k=")</f>
        <v>#REF!</v>
      </c>
      <c r="FO41" t="e">
        <f>AND(Bills!#REF!,"AAAAAH3/+6o=")</f>
        <v>#REF!</v>
      </c>
      <c r="FP41" t="e">
        <f>AND(Bills!#REF!,"AAAAAH3/+6s=")</f>
        <v>#REF!</v>
      </c>
      <c r="FQ41" t="e">
        <f>AND(Bills!#REF!,"AAAAAH3/+6w=")</f>
        <v>#REF!</v>
      </c>
      <c r="FR41" t="e">
        <f>AND(Bills!#REF!,"AAAAAH3/+60=")</f>
        <v>#REF!</v>
      </c>
      <c r="FS41" t="e">
        <f>AND(Bills!#REF!,"AAAAAH3/+64=")</f>
        <v>#REF!</v>
      </c>
      <c r="FT41" t="e">
        <f>AND(Bills!#REF!,"AAAAAH3/+68=")</f>
        <v>#REF!</v>
      </c>
      <c r="FU41" t="e">
        <f>AND(Bills!#REF!,"AAAAAH3/+7A=")</f>
        <v>#REF!</v>
      </c>
      <c r="FV41" t="e">
        <f>AND(Bills!#REF!,"AAAAAH3/+7E=")</f>
        <v>#REF!</v>
      </c>
      <c r="FW41" t="e">
        <f>AND(Bills!#REF!,"AAAAAH3/+7I=")</f>
        <v>#REF!</v>
      </c>
      <c r="FX41" t="e">
        <f>AND(Bills!#REF!,"AAAAAH3/+7M=")</f>
        <v>#REF!</v>
      </c>
      <c r="FY41" t="e">
        <f>AND(Bills!#REF!,"AAAAAH3/+7Q=")</f>
        <v>#REF!</v>
      </c>
      <c r="FZ41" t="e">
        <f>AND(Bills!#REF!,"AAAAAH3/+7U=")</f>
        <v>#REF!</v>
      </c>
      <c r="GA41" t="e">
        <f>AND(Bills!#REF!,"AAAAAH3/+7Y=")</f>
        <v>#REF!</v>
      </c>
      <c r="GB41" t="e">
        <f>AND(Bills!#REF!,"AAAAAH3/+7c=")</f>
        <v>#REF!</v>
      </c>
      <c r="GC41" t="e">
        <f>AND(Bills!#REF!,"AAAAAH3/+7g=")</f>
        <v>#REF!</v>
      </c>
      <c r="GD41" t="e">
        <f>AND(Bills!#REF!,"AAAAAH3/+7k=")</f>
        <v>#REF!</v>
      </c>
      <c r="GE41" t="e">
        <f>AND(Bills!#REF!,"AAAAAH3/+7o=")</f>
        <v>#REF!</v>
      </c>
      <c r="GF41" t="e">
        <f>AND(Bills!#REF!,"AAAAAH3/+7s=")</f>
        <v>#REF!</v>
      </c>
      <c r="GG41" t="e">
        <f>AND(Bills!#REF!,"AAAAAH3/+7w=")</f>
        <v>#REF!</v>
      </c>
      <c r="GH41" t="e">
        <f>AND(Bills!#REF!,"AAAAAH3/+70=")</f>
        <v>#REF!</v>
      </c>
      <c r="GI41" t="e">
        <f>AND(Bills!#REF!,"AAAAAH3/+74=")</f>
        <v>#REF!</v>
      </c>
      <c r="GJ41" t="e">
        <f>AND(Bills!#REF!,"AAAAAH3/+78=")</f>
        <v>#REF!</v>
      </c>
      <c r="GK41" t="e">
        <f>AND(Bills!#REF!,"AAAAAH3/+8A=")</f>
        <v>#REF!</v>
      </c>
      <c r="GL41" t="e">
        <f>AND(Bills!#REF!,"AAAAAH3/+8E=")</f>
        <v>#REF!</v>
      </c>
      <c r="GM41" t="e">
        <f>AND(Bills!#REF!,"AAAAAH3/+8I=")</f>
        <v>#REF!</v>
      </c>
      <c r="GN41" t="e">
        <f>AND(Bills!#REF!,"AAAAAH3/+8M=")</f>
        <v>#REF!</v>
      </c>
      <c r="GO41" t="e">
        <f>AND(Bills!#REF!,"AAAAAH3/+8Q=")</f>
        <v>#REF!</v>
      </c>
      <c r="GP41" t="e">
        <f>AND(Bills!#REF!,"AAAAAH3/+8U=")</f>
        <v>#REF!</v>
      </c>
      <c r="GQ41" t="e">
        <f>AND(Bills!#REF!,"AAAAAH3/+8Y=")</f>
        <v>#REF!</v>
      </c>
      <c r="GR41" t="e">
        <f>AND(Bills!#REF!,"AAAAAH3/+8c=")</f>
        <v>#REF!</v>
      </c>
      <c r="GS41" t="e">
        <f>AND(Bills!#REF!,"AAAAAH3/+8g=")</f>
        <v>#REF!</v>
      </c>
      <c r="GT41" t="e">
        <f>AND(Bills!#REF!,"AAAAAH3/+8k=")</f>
        <v>#REF!</v>
      </c>
      <c r="GU41" t="e">
        <f>AND(Bills!#REF!,"AAAAAH3/+8o=")</f>
        <v>#REF!</v>
      </c>
      <c r="GV41" t="e">
        <f>IF(Bills!#REF!,"AAAAAH3/+8s=",0)</f>
        <v>#REF!</v>
      </c>
      <c r="GW41" t="e">
        <f>AND(Bills!#REF!,"AAAAAH3/+8w=")</f>
        <v>#REF!</v>
      </c>
      <c r="GX41" t="e">
        <f>AND(Bills!#REF!,"AAAAAH3/+80=")</f>
        <v>#REF!</v>
      </c>
      <c r="GY41" t="e">
        <f>AND(Bills!#REF!,"AAAAAH3/+84=")</f>
        <v>#REF!</v>
      </c>
      <c r="GZ41" t="e">
        <f>AND(Bills!#REF!,"AAAAAH3/+88=")</f>
        <v>#REF!</v>
      </c>
      <c r="HA41" t="e">
        <f>AND(Bills!#REF!,"AAAAAH3/+9A=")</f>
        <v>#REF!</v>
      </c>
      <c r="HB41" t="e">
        <f>AND(Bills!#REF!,"AAAAAH3/+9E=")</f>
        <v>#REF!</v>
      </c>
      <c r="HC41" t="e">
        <f>AND(Bills!#REF!,"AAAAAH3/+9I=")</f>
        <v>#REF!</v>
      </c>
      <c r="HD41" t="e">
        <f>AND(Bills!#REF!,"AAAAAH3/+9M=")</f>
        <v>#REF!</v>
      </c>
      <c r="HE41" t="e">
        <f>AND(Bills!#REF!,"AAAAAH3/+9Q=")</f>
        <v>#REF!</v>
      </c>
      <c r="HF41" t="e">
        <f>AND(Bills!#REF!,"AAAAAH3/+9U=")</f>
        <v>#REF!</v>
      </c>
      <c r="HG41" t="e">
        <f>AND(Bills!#REF!,"AAAAAH3/+9Y=")</f>
        <v>#REF!</v>
      </c>
      <c r="HH41" t="e">
        <f>AND(Bills!#REF!,"AAAAAH3/+9c=")</f>
        <v>#REF!</v>
      </c>
      <c r="HI41" t="e">
        <f>AND(Bills!#REF!,"AAAAAH3/+9g=")</f>
        <v>#REF!</v>
      </c>
      <c r="HJ41" t="e">
        <f>AND(Bills!#REF!,"AAAAAH3/+9k=")</f>
        <v>#REF!</v>
      </c>
      <c r="HK41" t="e">
        <f>AND(Bills!#REF!,"AAAAAH3/+9o=")</f>
        <v>#REF!</v>
      </c>
      <c r="HL41" t="e">
        <f>AND(Bills!#REF!,"AAAAAH3/+9s=")</f>
        <v>#REF!</v>
      </c>
      <c r="HM41" t="e">
        <f>AND(Bills!#REF!,"AAAAAH3/+9w=")</f>
        <v>#REF!</v>
      </c>
      <c r="HN41" t="e">
        <f>AND(Bills!#REF!,"AAAAAH3/+90=")</f>
        <v>#REF!</v>
      </c>
      <c r="HO41" t="e">
        <f>AND(Bills!#REF!,"AAAAAH3/+94=")</f>
        <v>#REF!</v>
      </c>
      <c r="HP41" t="e">
        <f>AND(Bills!#REF!,"AAAAAH3/+98=")</f>
        <v>#REF!</v>
      </c>
      <c r="HQ41" t="e">
        <f>AND(Bills!#REF!,"AAAAAH3/++A=")</f>
        <v>#REF!</v>
      </c>
      <c r="HR41" t="e">
        <f>AND(Bills!#REF!,"AAAAAH3/++E=")</f>
        <v>#REF!</v>
      </c>
      <c r="HS41" t="e">
        <f>AND(Bills!#REF!,"AAAAAH3/++I=")</f>
        <v>#REF!</v>
      </c>
      <c r="HT41" t="e">
        <f>AND(Bills!#REF!,"AAAAAH3/++M=")</f>
        <v>#REF!</v>
      </c>
      <c r="HU41" t="e">
        <f>AND(Bills!#REF!,"AAAAAH3/++Q=")</f>
        <v>#REF!</v>
      </c>
      <c r="HV41" t="e">
        <f>AND(Bills!#REF!,"AAAAAH3/++U=")</f>
        <v>#REF!</v>
      </c>
      <c r="HW41" t="e">
        <f>AND(Bills!#REF!,"AAAAAH3/++Y=")</f>
        <v>#REF!</v>
      </c>
      <c r="HX41" t="e">
        <f>AND(Bills!#REF!,"AAAAAH3/++c=")</f>
        <v>#REF!</v>
      </c>
      <c r="HY41" t="e">
        <f>AND(Bills!#REF!,"AAAAAH3/++g=")</f>
        <v>#REF!</v>
      </c>
      <c r="HZ41" t="e">
        <f>AND(Bills!#REF!,"AAAAAH3/++k=")</f>
        <v>#REF!</v>
      </c>
      <c r="IA41" t="e">
        <f>AND(Bills!#REF!,"AAAAAH3/++o=")</f>
        <v>#REF!</v>
      </c>
      <c r="IB41" t="e">
        <f>AND(Bills!#REF!,"AAAAAH3/++s=")</f>
        <v>#REF!</v>
      </c>
      <c r="IC41" t="e">
        <f>AND(Bills!#REF!,"AAAAAH3/++w=")</f>
        <v>#REF!</v>
      </c>
      <c r="ID41" t="e">
        <f>AND(Bills!#REF!,"AAAAAH3/++0=")</f>
        <v>#REF!</v>
      </c>
      <c r="IE41" t="e">
        <f>AND(Bills!#REF!,"AAAAAH3/++4=")</f>
        <v>#REF!</v>
      </c>
      <c r="IF41" t="e">
        <f>AND(Bills!#REF!,"AAAAAH3/++8=")</f>
        <v>#REF!</v>
      </c>
      <c r="IG41" t="e">
        <f>AND(Bills!#REF!,"AAAAAH3/+/A=")</f>
        <v>#REF!</v>
      </c>
      <c r="IH41" t="e">
        <f>AND(Bills!#REF!,"AAAAAH3/+/E=")</f>
        <v>#REF!</v>
      </c>
      <c r="II41" t="e">
        <f>AND(Bills!#REF!,"AAAAAH3/+/I=")</f>
        <v>#REF!</v>
      </c>
      <c r="IJ41" t="e">
        <f>AND(Bills!#REF!,"AAAAAH3/+/M=")</f>
        <v>#REF!</v>
      </c>
      <c r="IK41" t="e">
        <f>AND(Bills!#REF!,"AAAAAH3/+/Q=")</f>
        <v>#REF!</v>
      </c>
      <c r="IL41" t="e">
        <f>AND(Bills!#REF!,"AAAAAH3/+/U=")</f>
        <v>#REF!</v>
      </c>
      <c r="IM41" t="e">
        <f>AND(Bills!#REF!,"AAAAAH3/+/Y=")</f>
        <v>#REF!</v>
      </c>
      <c r="IN41" t="e">
        <f>AND(Bills!#REF!,"AAAAAH3/+/c=")</f>
        <v>#REF!</v>
      </c>
      <c r="IO41" t="e">
        <f>AND(Bills!#REF!,"AAAAAH3/+/g=")</f>
        <v>#REF!</v>
      </c>
      <c r="IP41" t="e">
        <f>AND(Bills!#REF!,"AAAAAH3/+/k=")</f>
        <v>#REF!</v>
      </c>
      <c r="IQ41" t="e">
        <f>AND(Bills!#REF!,"AAAAAH3/+/o=")</f>
        <v>#REF!</v>
      </c>
      <c r="IR41" t="e">
        <f>AND(Bills!#REF!,"AAAAAH3/+/s=")</f>
        <v>#REF!</v>
      </c>
      <c r="IS41" t="e">
        <f>AND(Bills!#REF!,"AAAAAH3/+/w=")</f>
        <v>#REF!</v>
      </c>
      <c r="IT41" t="e">
        <f>AND(Bills!#REF!,"AAAAAH3/+/0=")</f>
        <v>#REF!</v>
      </c>
      <c r="IU41" t="e">
        <f>IF(Bills!#REF!,"AAAAAH3/+/4=",0)</f>
        <v>#REF!</v>
      </c>
      <c r="IV41" t="e">
        <f>AND(Bills!#REF!,"AAAAAH3/+/8=")</f>
        <v>#REF!</v>
      </c>
    </row>
    <row r="42" spans="1:256">
      <c r="A42" t="e">
        <f>AND(Bills!#REF!,"AAAAAEdf3wA=")</f>
        <v>#REF!</v>
      </c>
      <c r="B42" t="e">
        <f>AND(Bills!#REF!,"AAAAAEdf3wE=")</f>
        <v>#REF!</v>
      </c>
      <c r="C42" t="e">
        <f>AND(Bills!#REF!,"AAAAAEdf3wI=")</f>
        <v>#REF!</v>
      </c>
      <c r="D42" t="e">
        <f>AND(Bills!#REF!,"AAAAAEdf3wM=")</f>
        <v>#REF!</v>
      </c>
      <c r="E42" t="e">
        <f>AND(Bills!#REF!,"AAAAAEdf3wQ=")</f>
        <v>#REF!</v>
      </c>
      <c r="F42" t="e">
        <f>AND(Bills!#REF!,"AAAAAEdf3wU=")</f>
        <v>#REF!</v>
      </c>
      <c r="G42" t="e">
        <f>AND(Bills!#REF!,"AAAAAEdf3wY=")</f>
        <v>#REF!</v>
      </c>
      <c r="H42" t="e">
        <f>AND(Bills!#REF!,"AAAAAEdf3wc=")</f>
        <v>#REF!</v>
      </c>
      <c r="I42" t="e">
        <f>AND(Bills!#REF!,"AAAAAEdf3wg=")</f>
        <v>#REF!</v>
      </c>
      <c r="J42" t="e">
        <f>AND(Bills!#REF!,"AAAAAEdf3wk=")</f>
        <v>#REF!</v>
      </c>
      <c r="K42" t="e">
        <f>AND(Bills!#REF!,"AAAAAEdf3wo=")</f>
        <v>#REF!</v>
      </c>
      <c r="L42" t="e">
        <f>AND(Bills!#REF!,"AAAAAEdf3ws=")</f>
        <v>#REF!</v>
      </c>
      <c r="M42" t="e">
        <f>AND(Bills!#REF!,"AAAAAEdf3ww=")</f>
        <v>#REF!</v>
      </c>
      <c r="N42" t="e">
        <f>AND(Bills!#REF!,"AAAAAEdf3w0=")</f>
        <v>#REF!</v>
      </c>
      <c r="O42" t="e">
        <f>AND(Bills!#REF!,"AAAAAEdf3w4=")</f>
        <v>#REF!</v>
      </c>
      <c r="P42" t="e">
        <f>AND(Bills!#REF!,"AAAAAEdf3w8=")</f>
        <v>#REF!</v>
      </c>
      <c r="Q42" t="e">
        <f>AND(Bills!#REF!,"AAAAAEdf3xA=")</f>
        <v>#REF!</v>
      </c>
      <c r="R42" t="e">
        <f>AND(Bills!#REF!,"AAAAAEdf3xE=")</f>
        <v>#REF!</v>
      </c>
      <c r="S42" t="e">
        <f>AND(Bills!#REF!,"AAAAAEdf3xI=")</f>
        <v>#REF!</v>
      </c>
      <c r="T42" t="e">
        <f>AND(Bills!#REF!,"AAAAAEdf3xM=")</f>
        <v>#REF!</v>
      </c>
      <c r="U42" t="e">
        <f>AND(Bills!#REF!,"AAAAAEdf3xQ=")</f>
        <v>#REF!</v>
      </c>
      <c r="V42" t="e">
        <f>AND(Bills!#REF!,"AAAAAEdf3xU=")</f>
        <v>#REF!</v>
      </c>
      <c r="W42" t="e">
        <f>AND(Bills!#REF!,"AAAAAEdf3xY=")</f>
        <v>#REF!</v>
      </c>
      <c r="X42" t="e">
        <f>AND(Bills!#REF!,"AAAAAEdf3xc=")</f>
        <v>#REF!</v>
      </c>
      <c r="Y42" t="e">
        <f>AND(Bills!#REF!,"AAAAAEdf3xg=")</f>
        <v>#REF!</v>
      </c>
      <c r="Z42" t="e">
        <f>AND(Bills!#REF!,"AAAAAEdf3xk=")</f>
        <v>#REF!</v>
      </c>
      <c r="AA42" t="e">
        <f>AND(Bills!#REF!,"AAAAAEdf3xo=")</f>
        <v>#REF!</v>
      </c>
      <c r="AB42" t="e">
        <f>AND(Bills!#REF!,"AAAAAEdf3xs=")</f>
        <v>#REF!</v>
      </c>
      <c r="AC42" t="e">
        <f>AND(Bills!#REF!,"AAAAAEdf3xw=")</f>
        <v>#REF!</v>
      </c>
      <c r="AD42" t="e">
        <f>AND(Bills!#REF!,"AAAAAEdf3x0=")</f>
        <v>#REF!</v>
      </c>
      <c r="AE42" t="e">
        <f>AND(Bills!#REF!,"AAAAAEdf3x4=")</f>
        <v>#REF!</v>
      </c>
      <c r="AF42" t="e">
        <f>AND(Bills!#REF!,"AAAAAEdf3x8=")</f>
        <v>#REF!</v>
      </c>
      <c r="AG42" t="e">
        <f>AND(Bills!#REF!,"AAAAAEdf3yA=")</f>
        <v>#REF!</v>
      </c>
      <c r="AH42" t="e">
        <f>AND(Bills!#REF!,"AAAAAEdf3yE=")</f>
        <v>#REF!</v>
      </c>
      <c r="AI42" t="e">
        <f>AND(Bills!#REF!,"AAAAAEdf3yI=")</f>
        <v>#REF!</v>
      </c>
      <c r="AJ42" t="e">
        <f>AND(Bills!#REF!,"AAAAAEdf3yM=")</f>
        <v>#REF!</v>
      </c>
      <c r="AK42" t="e">
        <f>AND(Bills!#REF!,"AAAAAEdf3yQ=")</f>
        <v>#REF!</v>
      </c>
      <c r="AL42" t="e">
        <f>AND(Bills!#REF!,"AAAAAEdf3yU=")</f>
        <v>#REF!</v>
      </c>
      <c r="AM42" t="e">
        <f>AND(Bills!#REF!,"AAAAAEdf3yY=")</f>
        <v>#REF!</v>
      </c>
      <c r="AN42" t="e">
        <f>AND(Bills!#REF!,"AAAAAEdf3yc=")</f>
        <v>#REF!</v>
      </c>
      <c r="AO42" t="e">
        <f>AND(Bills!#REF!,"AAAAAEdf3yg=")</f>
        <v>#REF!</v>
      </c>
      <c r="AP42" t="e">
        <f>AND(Bills!#REF!,"AAAAAEdf3yk=")</f>
        <v>#REF!</v>
      </c>
      <c r="AQ42" t="e">
        <f>AND(Bills!#REF!,"AAAAAEdf3yo=")</f>
        <v>#REF!</v>
      </c>
      <c r="AR42" t="e">
        <f>AND(Bills!#REF!,"AAAAAEdf3ys=")</f>
        <v>#REF!</v>
      </c>
      <c r="AS42" t="e">
        <f>AND(Bills!#REF!,"AAAAAEdf3yw=")</f>
        <v>#REF!</v>
      </c>
      <c r="AT42" t="e">
        <f>AND(Bills!#REF!,"AAAAAEdf3y0=")</f>
        <v>#REF!</v>
      </c>
      <c r="AU42" t="e">
        <f>AND(Bills!#REF!,"AAAAAEdf3y4=")</f>
        <v>#REF!</v>
      </c>
      <c r="AV42" t="e">
        <f>AND(Bills!#REF!,"AAAAAEdf3y8=")</f>
        <v>#REF!</v>
      </c>
      <c r="AW42" t="e">
        <f>AND(Bills!#REF!,"AAAAAEdf3zA=")</f>
        <v>#REF!</v>
      </c>
      <c r="AX42" t="e">
        <f>IF(Bills!#REF!,"AAAAAEdf3zE=",0)</f>
        <v>#REF!</v>
      </c>
      <c r="AY42" t="e">
        <f>AND(Bills!#REF!,"AAAAAEdf3zI=")</f>
        <v>#REF!</v>
      </c>
      <c r="AZ42" t="e">
        <f>AND(Bills!#REF!,"AAAAAEdf3zM=")</f>
        <v>#REF!</v>
      </c>
      <c r="BA42" t="e">
        <f>AND(Bills!#REF!,"AAAAAEdf3zQ=")</f>
        <v>#REF!</v>
      </c>
      <c r="BB42" t="e">
        <f>AND(Bills!#REF!,"AAAAAEdf3zU=")</f>
        <v>#REF!</v>
      </c>
      <c r="BC42" t="e">
        <f>AND(Bills!#REF!,"AAAAAEdf3zY=")</f>
        <v>#REF!</v>
      </c>
      <c r="BD42" t="e">
        <f>AND(Bills!#REF!,"AAAAAEdf3zc=")</f>
        <v>#REF!</v>
      </c>
      <c r="BE42" t="e">
        <f>AND(Bills!#REF!,"AAAAAEdf3zg=")</f>
        <v>#REF!</v>
      </c>
      <c r="BF42" t="e">
        <f>AND(Bills!#REF!,"AAAAAEdf3zk=")</f>
        <v>#REF!</v>
      </c>
      <c r="BG42" t="e">
        <f>AND(Bills!#REF!,"AAAAAEdf3zo=")</f>
        <v>#REF!</v>
      </c>
      <c r="BH42" t="e">
        <f>AND(Bills!#REF!,"AAAAAEdf3zs=")</f>
        <v>#REF!</v>
      </c>
      <c r="BI42" t="e">
        <f>AND(Bills!#REF!,"AAAAAEdf3zw=")</f>
        <v>#REF!</v>
      </c>
      <c r="BJ42" t="e">
        <f>AND(Bills!#REF!,"AAAAAEdf3z0=")</f>
        <v>#REF!</v>
      </c>
      <c r="BK42" t="e">
        <f>AND(Bills!#REF!,"AAAAAEdf3z4=")</f>
        <v>#REF!</v>
      </c>
      <c r="BL42" t="e">
        <f>AND(Bills!#REF!,"AAAAAEdf3z8=")</f>
        <v>#REF!</v>
      </c>
      <c r="BM42" t="e">
        <f>AND(Bills!#REF!,"AAAAAEdf30A=")</f>
        <v>#REF!</v>
      </c>
      <c r="BN42" t="e">
        <f>AND(Bills!#REF!,"AAAAAEdf30E=")</f>
        <v>#REF!</v>
      </c>
      <c r="BO42" t="e">
        <f>AND(Bills!#REF!,"AAAAAEdf30I=")</f>
        <v>#REF!</v>
      </c>
      <c r="BP42" t="e">
        <f>AND(Bills!#REF!,"AAAAAEdf30M=")</f>
        <v>#REF!</v>
      </c>
      <c r="BQ42" t="e">
        <f>AND(Bills!#REF!,"AAAAAEdf30Q=")</f>
        <v>#REF!</v>
      </c>
      <c r="BR42" t="e">
        <f>AND(Bills!#REF!,"AAAAAEdf30U=")</f>
        <v>#REF!</v>
      </c>
      <c r="BS42" t="e">
        <f>AND(Bills!#REF!,"AAAAAEdf30Y=")</f>
        <v>#REF!</v>
      </c>
      <c r="BT42" t="e">
        <f>AND(Bills!#REF!,"AAAAAEdf30c=")</f>
        <v>#REF!</v>
      </c>
      <c r="BU42" t="e">
        <f>AND(Bills!#REF!,"AAAAAEdf30g=")</f>
        <v>#REF!</v>
      </c>
      <c r="BV42" t="e">
        <f>AND(Bills!#REF!,"AAAAAEdf30k=")</f>
        <v>#REF!</v>
      </c>
      <c r="BW42" t="e">
        <f>AND(Bills!#REF!,"AAAAAEdf30o=")</f>
        <v>#REF!</v>
      </c>
      <c r="BX42" t="e">
        <f>AND(Bills!#REF!,"AAAAAEdf30s=")</f>
        <v>#REF!</v>
      </c>
      <c r="BY42" t="e">
        <f>AND(Bills!#REF!,"AAAAAEdf30w=")</f>
        <v>#REF!</v>
      </c>
      <c r="BZ42" t="e">
        <f>AND(Bills!#REF!,"AAAAAEdf300=")</f>
        <v>#REF!</v>
      </c>
      <c r="CA42" t="e">
        <f>AND(Bills!#REF!,"AAAAAEdf304=")</f>
        <v>#REF!</v>
      </c>
      <c r="CB42" t="e">
        <f>AND(Bills!#REF!,"AAAAAEdf308=")</f>
        <v>#REF!</v>
      </c>
      <c r="CC42" t="e">
        <f>AND(Bills!#REF!,"AAAAAEdf31A=")</f>
        <v>#REF!</v>
      </c>
      <c r="CD42" t="e">
        <f>AND(Bills!#REF!,"AAAAAEdf31E=")</f>
        <v>#REF!</v>
      </c>
      <c r="CE42" t="e">
        <f>AND(Bills!#REF!,"AAAAAEdf31I=")</f>
        <v>#REF!</v>
      </c>
      <c r="CF42" t="e">
        <f>AND(Bills!#REF!,"AAAAAEdf31M=")</f>
        <v>#REF!</v>
      </c>
      <c r="CG42" t="e">
        <f>AND(Bills!#REF!,"AAAAAEdf31Q=")</f>
        <v>#REF!</v>
      </c>
      <c r="CH42" t="e">
        <f>AND(Bills!#REF!,"AAAAAEdf31U=")</f>
        <v>#REF!</v>
      </c>
      <c r="CI42" t="e">
        <f>AND(Bills!#REF!,"AAAAAEdf31Y=")</f>
        <v>#REF!</v>
      </c>
      <c r="CJ42" t="e">
        <f>AND(Bills!#REF!,"AAAAAEdf31c=")</f>
        <v>#REF!</v>
      </c>
      <c r="CK42" t="e">
        <f>AND(Bills!#REF!,"AAAAAEdf31g=")</f>
        <v>#REF!</v>
      </c>
      <c r="CL42" t="e">
        <f>AND(Bills!#REF!,"AAAAAEdf31k=")</f>
        <v>#REF!</v>
      </c>
      <c r="CM42" t="e">
        <f>AND(Bills!#REF!,"AAAAAEdf31o=")</f>
        <v>#REF!</v>
      </c>
      <c r="CN42" t="e">
        <f>AND(Bills!#REF!,"AAAAAEdf31s=")</f>
        <v>#REF!</v>
      </c>
      <c r="CO42" t="e">
        <f>AND(Bills!#REF!,"AAAAAEdf31w=")</f>
        <v>#REF!</v>
      </c>
      <c r="CP42" t="e">
        <f>AND(Bills!#REF!,"AAAAAEdf310=")</f>
        <v>#REF!</v>
      </c>
      <c r="CQ42" t="e">
        <f>AND(Bills!#REF!,"AAAAAEdf314=")</f>
        <v>#REF!</v>
      </c>
      <c r="CR42" t="e">
        <f>AND(Bills!#REF!,"AAAAAEdf318=")</f>
        <v>#REF!</v>
      </c>
      <c r="CS42" t="e">
        <f>AND(Bills!#REF!,"AAAAAEdf32A=")</f>
        <v>#REF!</v>
      </c>
      <c r="CT42" t="e">
        <f>AND(Bills!#REF!,"AAAAAEdf32E=")</f>
        <v>#REF!</v>
      </c>
      <c r="CU42" t="e">
        <f>AND(Bills!#REF!,"AAAAAEdf32I=")</f>
        <v>#REF!</v>
      </c>
      <c r="CV42" t="e">
        <f>AND(Bills!#REF!,"AAAAAEdf32M=")</f>
        <v>#REF!</v>
      </c>
      <c r="CW42" t="e">
        <f>IF(Bills!#REF!,"AAAAAEdf32Q=",0)</f>
        <v>#REF!</v>
      </c>
      <c r="CX42" t="e">
        <f>AND(Bills!#REF!,"AAAAAEdf32U=")</f>
        <v>#REF!</v>
      </c>
      <c r="CY42" t="e">
        <f>AND(Bills!#REF!,"AAAAAEdf32Y=")</f>
        <v>#REF!</v>
      </c>
      <c r="CZ42" t="e">
        <f>AND(Bills!#REF!,"AAAAAEdf32c=")</f>
        <v>#REF!</v>
      </c>
      <c r="DA42" t="e">
        <f>AND(Bills!#REF!,"AAAAAEdf32g=")</f>
        <v>#REF!</v>
      </c>
      <c r="DB42" t="e">
        <f>AND(Bills!#REF!,"AAAAAEdf32k=")</f>
        <v>#REF!</v>
      </c>
      <c r="DC42" t="e">
        <f>AND(Bills!#REF!,"AAAAAEdf32o=")</f>
        <v>#REF!</v>
      </c>
      <c r="DD42" t="e">
        <f>AND(Bills!#REF!,"AAAAAEdf32s=")</f>
        <v>#REF!</v>
      </c>
      <c r="DE42" t="e">
        <f>AND(Bills!#REF!,"AAAAAEdf32w=")</f>
        <v>#REF!</v>
      </c>
      <c r="DF42" t="e">
        <f>AND(Bills!#REF!,"AAAAAEdf320=")</f>
        <v>#REF!</v>
      </c>
      <c r="DG42" t="e">
        <f>AND(Bills!#REF!,"AAAAAEdf324=")</f>
        <v>#REF!</v>
      </c>
      <c r="DH42" t="e">
        <f>AND(Bills!#REF!,"AAAAAEdf328=")</f>
        <v>#REF!</v>
      </c>
      <c r="DI42" t="e">
        <f>AND(Bills!#REF!,"AAAAAEdf33A=")</f>
        <v>#REF!</v>
      </c>
      <c r="DJ42" t="e">
        <f>AND(Bills!#REF!,"AAAAAEdf33E=")</f>
        <v>#REF!</v>
      </c>
      <c r="DK42" t="e">
        <f>AND(Bills!#REF!,"AAAAAEdf33I=")</f>
        <v>#REF!</v>
      </c>
      <c r="DL42" t="e">
        <f>AND(Bills!#REF!,"AAAAAEdf33M=")</f>
        <v>#REF!</v>
      </c>
      <c r="DM42" t="e">
        <f>AND(Bills!#REF!,"AAAAAEdf33Q=")</f>
        <v>#REF!</v>
      </c>
      <c r="DN42" t="e">
        <f>AND(Bills!#REF!,"AAAAAEdf33U=")</f>
        <v>#REF!</v>
      </c>
      <c r="DO42" t="e">
        <f>AND(Bills!#REF!,"AAAAAEdf33Y=")</f>
        <v>#REF!</v>
      </c>
      <c r="DP42" t="e">
        <f>AND(Bills!#REF!,"AAAAAEdf33c=")</f>
        <v>#REF!</v>
      </c>
      <c r="DQ42" t="e">
        <f>AND(Bills!#REF!,"AAAAAEdf33g=")</f>
        <v>#REF!</v>
      </c>
      <c r="DR42" t="e">
        <f>AND(Bills!#REF!,"AAAAAEdf33k=")</f>
        <v>#REF!</v>
      </c>
      <c r="DS42" t="e">
        <f>AND(Bills!#REF!,"AAAAAEdf33o=")</f>
        <v>#REF!</v>
      </c>
      <c r="DT42" t="e">
        <f>AND(Bills!#REF!,"AAAAAEdf33s=")</f>
        <v>#REF!</v>
      </c>
      <c r="DU42" t="e">
        <f>AND(Bills!#REF!,"AAAAAEdf33w=")</f>
        <v>#REF!</v>
      </c>
      <c r="DV42" t="e">
        <f>AND(Bills!#REF!,"AAAAAEdf330=")</f>
        <v>#REF!</v>
      </c>
      <c r="DW42" t="e">
        <f>AND(Bills!#REF!,"AAAAAEdf334=")</f>
        <v>#REF!</v>
      </c>
      <c r="DX42" t="e">
        <f>AND(Bills!#REF!,"AAAAAEdf338=")</f>
        <v>#REF!</v>
      </c>
      <c r="DY42" t="e">
        <f>AND(Bills!#REF!,"AAAAAEdf34A=")</f>
        <v>#REF!</v>
      </c>
      <c r="DZ42" t="e">
        <f>AND(Bills!#REF!,"AAAAAEdf34E=")</f>
        <v>#REF!</v>
      </c>
      <c r="EA42" t="e">
        <f>AND(Bills!#REF!,"AAAAAEdf34I=")</f>
        <v>#REF!</v>
      </c>
      <c r="EB42" t="e">
        <f>AND(Bills!#REF!,"AAAAAEdf34M=")</f>
        <v>#REF!</v>
      </c>
      <c r="EC42" t="e">
        <f>AND(Bills!#REF!,"AAAAAEdf34Q=")</f>
        <v>#REF!</v>
      </c>
      <c r="ED42" t="e">
        <f>AND(Bills!#REF!,"AAAAAEdf34U=")</f>
        <v>#REF!</v>
      </c>
      <c r="EE42" t="e">
        <f>AND(Bills!#REF!,"AAAAAEdf34Y=")</f>
        <v>#REF!</v>
      </c>
      <c r="EF42" t="e">
        <f>AND(Bills!#REF!,"AAAAAEdf34c=")</f>
        <v>#REF!</v>
      </c>
      <c r="EG42" t="e">
        <f>AND(Bills!#REF!,"AAAAAEdf34g=")</f>
        <v>#REF!</v>
      </c>
      <c r="EH42" t="e">
        <f>AND(Bills!#REF!,"AAAAAEdf34k=")</f>
        <v>#REF!</v>
      </c>
      <c r="EI42" t="e">
        <f>AND(Bills!#REF!,"AAAAAEdf34o=")</f>
        <v>#REF!</v>
      </c>
      <c r="EJ42" t="e">
        <f>AND(Bills!#REF!,"AAAAAEdf34s=")</f>
        <v>#REF!</v>
      </c>
      <c r="EK42" t="e">
        <f>AND(Bills!#REF!,"AAAAAEdf34w=")</f>
        <v>#REF!</v>
      </c>
      <c r="EL42" t="e">
        <f>AND(Bills!#REF!,"AAAAAEdf340=")</f>
        <v>#REF!</v>
      </c>
      <c r="EM42" t="e">
        <f>AND(Bills!#REF!,"AAAAAEdf344=")</f>
        <v>#REF!</v>
      </c>
      <c r="EN42" t="e">
        <f>AND(Bills!#REF!,"AAAAAEdf348=")</f>
        <v>#REF!</v>
      </c>
      <c r="EO42" t="e">
        <f>AND(Bills!#REF!,"AAAAAEdf35A=")</f>
        <v>#REF!</v>
      </c>
      <c r="EP42" t="e">
        <f>AND(Bills!#REF!,"AAAAAEdf35E=")</f>
        <v>#REF!</v>
      </c>
      <c r="EQ42" t="e">
        <f>AND(Bills!#REF!,"AAAAAEdf35I=")</f>
        <v>#REF!</v>
      </c>
      <c r="ER42" t="e">
        <f>AND(Bills!#REF!,"AAAAAEdf35M=")</f>
        <v>#REF!</v>
      </c>
      <c r="ES42" t="e">
        <f>AND(Bills!#REF!,"AAAAAEdf35Q=")</f>
        <v>#REF!</v>
      </c>
      <c r="ET42" t="e">
        <f>AND(Bills!#REF!,"AAAAAEdf35U=")</f>
        <v>#REF!</v>
      </c>
      <c r="EU42" t="e">
        <f>AND(Bills!#REF!,"AAAAAEdf35Y=")</f>
        <v>#REF!</v>
      </c>
      <c r="EV42" t="e">
        <f>IF(Bills!#REF!,"AAAAAEdf35c=",0)</f>
        <v>#REF!</v>
      </c>
      <c r="EW42" t="e">
        <f>AND(Bills!#REF!,"AAAAAEdf35g=")</f>
        <v>#REF!</v>
      </c>
      <c r="EX42" t="e">
        <f>AND(Bills!#REF!,"AAAAAEdf35k=")</f>
        <v>#REF!</v>
      </c>
      <c r="EY42" t="e">
        <f>AND(Bills!#REF!,"AAAAAEdf35o=")</f>
        <v>#REF!</v>
      </c>
      <c r="EZ42" t="e">
        <f>AND(Bills!#REF!,"AAAAAEdf35s=")</f>
        <v>#REF!</v>
      </c>
      <c r="FA42" t="e">
        <f>AND(Bills!#REF!,"AAAAAEdf35w=")</f>
        <v>#REF!</v>
      </c>
      <c r="FB42" t="e">
        <f>AND(Bills!#REF!,"AAAAAEdf350=")</f>
        <v>#REF!</v>
      </c>
      <c r="FC42" t="e">
        <f>AND(Bills!#REF!,"AAAAAEdf354=")</f>
        <v>#REF!</v>
      </c>
      <c r="FD42" t="e">
        <f>AND(Bills!#REF!,"AAAAAEdf358=")</f>
        <v>#REF!</v>
      </c>
      <c r="FE42" t="e">
        <f>AND(Bills!#REF!,"AAAAAEdf36A=")</f>
        <v>#REF!</v>
      </c>
      <c r="FF42" t="e">
        <f>AND(Bills!#REF!,"AAAAAEdf36E=")</f>
        <v>#REF!</v>
      </c>
      <c r="FG42" t="e">
        <f>AND(Bills!#REF!,"AAAAAEdf36I=")</f>
        <v>#REF!</v>
      </c>
      <c r="FH42" t="e">
        <f>AND(Bills!#REF!,"AAAAAEdf36M=")</f>
        <v>#REF!</v>
      </c>
      <c r="FI42" t="e">
        <f>AND(Bills!#REF!,"AAAAAEdf36Q=")</f>
        <v>#REF!</v>
      </c>
      <c r="FJ42" t="e">
        <f>AND(Bills!#REF!,"AAAAAEdf36U=")</f>
        <v>#REF!</v>
      </c>
      <c r="FK42" t="e">
        <f>AND(Bills!#REF!,"AAAAAEdf36Y=")</f>
        <v>#REF!</v>
      </c>
      <c r="FL42" t="e">
        <f>AND(Bills!#REF!,"AAAAAEdf36c=")</f>
        <v>#REF!</v>
      </c>
      <c r="FM42" t="e">
        <f>AND(Bills!#REF!,"AAAAAEdf36g=")</f>
        <v>#REF!</v>
      </c>
      <c r="FN42" t="e">
        <f>AND(Bills!#REF!,"AAAAAEdf36k=")</f>
        <v>#REF!</v>
      </c>
      <c r="FO42" t="e">
        <f>AND(Bills!#REF!,"AAAAAEdf36o=")</f>
        <v>#REF!</v>
      </c>
      <c r="FP42" t="e">
        <f>AND(Bills!#REF!,"AAAAAEdf36s=")</f>
        <v>#REF!</v>
      </c>
      <c r="FQ42" t="e">
        <f>AND(Bills!#REF!,"AAAAAEdf36w=")</f>
        <v>#REF!</v>
      </c>
      <c r="FR42" t="e">
        <f>AND(Bills!#REF!,"AAAAAEdf360=")</f>
        <v>#REF!</v>
      </c>
      <c r="FS42" t="e">
        <f>AND(Bills!#REF!,"AAAAAEdf364=")</f>
        <v>#REF!</v>
      </c>
      <c r="FT42" t="e">
        <f>AND(Bills!#REF!,"AAAAAEdf368=")</f>
        <v>#REF!</v>
      </c>
      <c r="FU42" t="e">
        <f>AND(Bills!#REF!,"AAAAAEdf37A=")</f>
        <v>#REF!</v>
      </c>
      <c r="FV42" t="e">
        <f>AND(Bills!#REF!,"AAAAAEdf37E=")</f>
        <v>#REF!</v>
      </c>
      <c r="FW42" t="e">
        <f>AND(Bills!#REF!,"AAAAAEdf37I=")</f>
        <v>#REF!</v>
      </c>
      <c r="FX42" t="e">
        <f>AND(Bills!#REF!,"AAAAAEdf37M=")</f>
        <v>#REF!</v>
      </c>
      <c r="FY42" t="e">
        <f>AND(Bills!#REF!,"AAAAAEdf37Q=")</f>
        <v>#REF!</v>
      </c>
      <c r="FZ42" t="e">
        <f>AND(Bills!#REF!,"AAAAAEdf37U=")</f>
        <v>#REF!</v>
      </c>
      <c r="GA42" t="e">
        <f>AND(Bills!#REF!,"AAAAAEdf37Y=")</f>
        <v>#REF!</v>
      </c>
      <c r="GB42" t="e">
        <f>AND(Bills!#REF!,"AAAAAEdf37c=")</f>
        <v>#REF!</v>
      </c>
      <c r="GC42" t="e">
        <f>AND(Bills!#REF!,"AAAAAEdf37g=")</f>
        <v>#REF!</v>
      </c>
      <c r="GD42" t="e">
        <f>AND(Bills!#REF!,"AAAAAEdf37k=")</f>
        <v>#REF!</v>
      </c>
      <c r="GE42" t="e">
        <f>AND(Bills!#REF!,"AAAAAEdf37o=")</f>
        <v>#REF!</v>
      </c>
      <c r="GF42" t="e">
        <f>AND(Bills!#REF!,"AAAAAEdf37s=")</f>
        <v>#REF!</v>
      </c>
      <c r="GG42" t="e">
        <f>AND(Bills!#REF!,"AAAAAEdf37w=")</f>
        <v>#REF!</v>
      </c>
      <c r="GH42" t="e">
        <f>AND(Bills!#REF!,"AAAAAEdf370=")</f>
        <v>#REF!</v>
      </c>
      <c r="GI42" t="e">
        <f>AND(Bills!#REF!,"AAAAAEdf374=")</f>
        <v>#REF!</v>
      </c>
      <c r="GJ42" t="e">
        <f>AND(Bills!#REF!,"AAAAAEdf378=")</f>
        <v>#REF!</v>
      </c>
      <c r="GK42" t="e">
        <f>AND(Bills!#REF!,"AAAAAEdf38A=")</f>
        <v>#REF!</v>
      </c>
      <c r="GL42" t="e">
        <f>AND(Bills!#REF!,"AAAAAEdf38E=")</f>
        <v>#REF!</v>
      </c>
      <c r="GM42" t="e">
        <f>AND(Bills!#REF!,"AAAAAEdf38I=")</f>
        <v>#REF!</v>
      </c>
      <c r="GN42" t="e">
        <f>AND(Bills!#REF!,"AAAAAEdf38M=")</f>
        <v>#REF!</v>
      </c>
      <c r="GO42" t="e">
        <f>AND(Bills!#REF!,"AAAAAEdf38Q=")</f>
        <v>#REF!</v>
      </c>
      <c r="GP42" t="e">
        <f>AND(Bills!#REF!,"AAAAAEdf38U=")</f>
        <v>#REF!</v>
      </c>
      <c r="GQ42" t="e">
        <f>AND(Bills!#REF!,"AAAAAEdf38Y=")</f>
        <v>#REF!</v>
      </c>
      <c r="GR42" t="e">
        <f>AND(Bills!#REF!,"AAAAAEdf38c=")</f>
        <v>#REF!</v>
      </c>
      <c r="GS42" t="e">
        <f>AND(Bills!#REF!,"AAAAAEdf38g=")</f>
        <v>#REF!</v>
      </c>
      <c r="GT42" t="e">
        <f>AND(Bills!#REF!,"AAAAAEdf38k=")</f>
        <v>#REF!</v>
      </c>
      <c r="GU42" t="e">
        <f>IF(Bills!#REF!,"AAAAAEdf38o=",0)</f>
        <v>#REF!</v>
      </c>
      <c r="GV42" t="e">
        <f>AND(Bills!#REF!,"AAAAAEdf38s=")</f>
        <v>#REF!</v>
      </c>
      <c r="GW42" t="e">
        <f>AND(Bills!#REF!,"AAAAAEdf38w=")</f>
        <v>#REF!</v>
      </c>
      <c r="GX42" t="e">
        <f>AND(Bills!#REF!,"AAAAAEdf380=")</f>
        <v>#REF!</v>
      </c>
      <c r="GY42" t="e">
        <f>AND(Bills!#REF!,"AAAAAEdf384=")</f>
        <v>#REF!</v>
      </c>
      <c r="GZ42" t="e">
        <f>AND(Bills!#REF!,"AAAAAEdf388=")</f>
        <v>#REF!</v>
      </c>
      <c r="HA42" t="e">
        <f>AND(Bills!#REF!,"AAAAAEdf39A=")</f>
        <v>#REF!</v>
      </c>
      <c r="HB42" t="e">
        <f>AND(Bills!#REF!,"AAAAAEdf39E=")</f>
        <v>#REF!</v>
      </c>
      <c r="HC42" t="e">
        <f>AND(Bills!#REF!,"AAAAAEdf39I=")</f>
        <v>#REF!</v>
      </c>
      <c r="HD42" t="e">
        <f>AND(Bills!#REF!,"AAAAAEdf39M=")</f>
        <v>#REF!</v>
      </c>
      <c r="HE42" t="e">
        <f>AND(Bills!#REF!,"AAAAAEdf39Q=")</f>
        <v>#REF!</v>
      </c>
      <c r="HF42" t="e">
        <f>AND(Bills!#REF!,"AAAAAEdf39U=")</f>
        <v>#REF!</v>
      </c>
      <c r="HG42" t="e">
        <f>AND(Bills!#REF!,"AAAAAEdf39Y=")</f>
        <v>#REF!</v>
      </c>
      <c r="HH42" t="e">
        <f>AND(Bills!#REF!,"AAAAAEdf39c=")</f>
        <v>#REF!</v>
      </c>
      <c r="HI42" t="e">
        <f>AND(Bills!#REF!,"AAAAAEdf39g=")</f>
        <v>#REF!</v>
      </c>
      <c r="HJ42" t="e">
        <f>AND(Bills!#REF!,"AAAAAEdf39k=")</f>
        <v>#REF!</v>
      </c>
      <c r="HK42" t="e">
        <f>AND(Bills!#REF!,"AAAAAEdf39o=")</f>
        <v>#REF!</v>
      </c>
      <c r="HL42" t="e">
        <f>AND(Bills!#REF!,"AAAAAEdf39s=")</f>
        <v>#REF!</v>
      </c>
      <c r="HM42" t="e">
        <f>AND(Bills!#REF!,"AAAAAEdf39w=")</f>
        <v>#REF!</v>
      </c>
      <c r="HN42" t="e">
        <f>AND(Bills!#REF!,"AAAAAEdf390=")</f>
        <v>#REF!</v>
      </c>
      <c r="HO42" t="e">
        <f>AND(Bills!#REF!,"AAAAAEdf394=")</f>
        <v>#REF!</v>
      </c>
      <c r="HP42" t="e">
        <f>AND(Bills!#REF!,"AAAAAEdf398=")</f>
        <v>#REF!</v>
      </c>
      <c r="HQ42" t="e">
        <f>AND(Bills!#REF!,"AAAAAEdf3+A=")</f>
        <v>#REF!</v>
      </c>
      <c r="HR42" t="e">
        <f>AND(Bills!#REF!,"AAAAAEdf3+E=")</f>
        <v>#REF!</v>
      </c>
      <c r="HS42" t="e">
        <f>AND(Bills!#REF!,"AAAAAEdf3+I=")</f>
        <v>#REF!</v>
      </c>
      <c r="HT42" t="e">
        <f>AND(Bills!#REF!,"AAAAAEdf3+M=")</f>
        <v>#REF!</v>
      </c>
      <c r="HU42" t="e">
        <f>AND(Bills!#REF!,"AAAAAEdf3+Q=")</f>
        <v>#REF!</v>
      </c>
      <c r="HV42" t="e">
        <f>AND(Bills!#REF!,"AAAAAEdf3+U=")</f>
        <v>#REF!</v>
      </c>
      <c r="HW42" t="e">
        <f>AND(Bills!#REF!,"AAAAAEdf3+Y=")</f>
        <v>#REF!</v>
      </c>
      <c r="HX42" t="e">
        <f>AND(Bills!#REF!,"AAAAAEdf3+c=")</f>
        <v>#REF!</v>
      </c>
      <c r="HY42" t="e">
        <f>AND(Bills!#REF!,"AAAAAEdf3+g=")</f>
        <v>#REF!</v>
      </c>
      <c r="HZ42" t="e">
        <f>AND(Bills!#REF!,"AAAAAEdf3+k=")</f>
        <v>#REF!</v>
      </c>
      <c r="IA42" t="e">
        <f>AND(Bills!#REF!,"AAAAAEdf3+o=")</f>
        <v>#REF!</v>
      </c>
      <c r="IB42" t="e">
        <f>AND(Bills!#REF!,"AAAAAEdf3+s=")</f>
        <v>#REF!</v>
      </c>
      <c r="IC42" t="e">
        <f>AND(Bills!#REF!,"AAAAAEdf3+w=")</f>
        <v>#REF!</v>
      </c>
      <c r="ID42" t="e">
        <f>AND(Bills!#REF!,"AAAAAEdf3+0=")</f>
        <v>#REF!</v>
      </c>
      <c r="IE42" t="e">
        <f>AND(Bills!#REF!,"AAAAAEdf3+4=")</f>
        <v>#REF!</v>
      </c>
      <c r="IF42" t="e">
        <f>AND(Bills!#REF!,"AAAAAEdf3+8=")</f>
        <v>#REF!</v>
      </c>
      <c r="IG42" t="e">
        <f>AND(Bills!#REF!,"AAAAAEdf3/A=")</f>
        <v>#REF!</v>
      </c>
      <c r="IH42" t="e">
        <f>AND(Bills!#REF!,"AAAAAEdf3/E=")</f>
        <v>#REF!</v>
      </c>
      <c r="II42" t="e">
        <f>AND(Bills!#REF!,"AAAAAEdf3/I=")</f>
        <v>#REF!</v>
      </c>
      <c r="IJ42" t="e">
        <f>AND(Bills!#REF!,"AAAAAEdf3/M=")</f>
        <v>#REF!</v>
      </c>
      <c r="IK42" t="e">
        <f>AND(Bills!#REF!,"AAAAAEdf3/Q=")</f>
        <v>#REF!</v>
      </c>
      <c r="IL42" t="e">
        <f>AND(Bills!#REF!,"AAAAAEdf3/U=")</f>
        <v>#REF!</v>
      </c>
      <c r="IM42" t="e">
        <f>AND(Bills!#REF!,"AAAAAEdf3/Y=")</f>
        <v>#REF!</v>
      </c>
      <c r="IN42" t="e">
        <f>AND(Bills!#REF!,"AAAAAEdf3/c=")</f>
        <v>#REF!</v>
      </c>
      <c r="IO42" t="e">
        <f>AND(Bills!#REF!,"AAAAAEdf3/g=")</f>
        <v>#REF!</v>
      </c>
      <c r="IP42" t="e">
        <f>AND(Bills!#REF!,"AAAAAEdf3/k=")</f>
        <v>#REF!</v>
      </c>
      <c r="IQ42" t="e">
        <f>AND(Bills!#REF!,"AAAAAEdf3/o=")</f>
        <v>#REF!</v>
      </c>
      <c r="IR42" t="e">
        <f>AND(Bills!#REF!,"AAAAAEdf3/s=")</f>
        <v>#REF!</v>
      </c>
      <c r="IS42" t="e">
        <f>AND(Bills!#REF!,"AAAAAEdf3/w=")</f>
        <v>#REF!</v>
      </c>
      <c r="IT42" t="e">
        <f>IF(Bills!#REF!,"AAAAAEdf3/0=",0)</f>
        <v>#REF!</v>
      </c>
      <c r="IU42" t="e">
        <f>AND(Bills!#REF!,"AAAAAEdf3/4=")</f>
        <v>#REF!</v>
      </c>
      <c r="IV42" t="e">
        <f>AND(Bills!#REF!,"AAAAAEdf3/8=")</f>
        <v>#REF!</v>
      </c>
    </row>
    <row r="43" spans="1:256">
      <c r="A43" t="e">
        <f>AND(Bills!#REF!,"AAAAAD99mQA=")</f>
        <v>#REF!</v>
      </c>
      <c r="B43" t="e">
        <f>AND(Bills!#REF!,"AAAAAD99mQE=")</f>
        <v>#REF!</v>
      </c>
      <c r="C43" t="e">
        <f>AND(Bills!#REF!,"AAAAAD99mQI=")</f>
        <v>#REF!</v>
      </c>
      <c r="D43" t="e">
        <f>AND(Bills!#REF!,"AAAAAD99mQM=")</f>
        <v>#REF!</v>
      </c>
      <c r="E43" t="e">
        <f>AND(Bills!#REF!,"AAAAAD99mQQ=")</f>
        <v>#REF!</v>
      </c>
      <c r="F43" t="e">
        <f>AND(Bills!#REF!,"AAAAAD99mQU=")</f>
        <v>#REF!</v>
      </c>
      <c r="G43" t="e">
        <f>AND(Bills!#REF!,"AAAAAD99mQY=")</f>
        <v>#REF!</v>
      </c>
      <c r="H43" t="e">
        <f>AND(Bills!#REF!,"AAAAAD99mQc=")</f>
        <v>#REF!</v>
      </c>
      <c r="I43" t="e">
        <f>AND(Bills!#REF!,"AAAAAD99mQg=")</f>
        <v>#REF!</v>
      </c>
      <c r="J43" t="e">
        <f>AND(Bills!#REF!,"AAAAAD99mQk=")</f>
        <v>#REF!</v>
      </c>
      <c r="K43" t="e">
        <f>AND(Bills!#REF!,"AAAAAD99mQo=")</f>
        <v>#REF!</v>
      </c>
      <c r="L43" t="e">
        <f>AND(Bills!#REF!,"AAAAAD99mQs=")</f>
        <v>#REF!</v>
      </c>
      <c r="M43" t="e">
        <f>AND(Bills!#REF!,"AAAAAD99mQw=")</f>
        <v>#REF!</v>
      </c>
      <c r="N43" t="e">
        <f>AND(Bills!#REF!,"AAAAAD99mQ0=")</f>
        <v>#REF!</v>
      </c>
      <c r="O43" t="e">
        <f>AND(Bills!#REF!,"AAAAAD99mQ4=")</f>
        <v>#REF!</v>
      </c>
      <c r="P43" t="e">
        <f>AND(Bills!#REF!,"AAAAAD99mQ8=")</f>
        <v>#REF!</v>
      </c>
      <c r="Q43" t="e">
        <f>AND(Bills!#REF!,"AAAAAD99mRA=")</f>
        <v>#REF!</v>
      </c>
      <c r="R43" t="e">
        <f>AND(Bills!#REF!,"AAAAAD99mRE=")</f>
        <v>#REF!</v>
      </c>
      <c r="S43" t="e">
        <f>AND(Bills!#REF!,"AAAAAD99mRI=")</f>
        <v>#REF!</v>
      </c>
      <c r="T43" t="e">
        <f>AND(Bills!#REF!,"AAAAAD99mRM=")</f>
        <v>#REF!</v>
      </c>
      <c r="U43" t="e">
        <f>AND(Bills!#REF!,"AAAAAD99mRQ=")</f>
        <v>#REF!</v>
      </c>
      <c r="V43" t="e">
        <f>AND(Bills!#REF!,"AAAAAD99mRU=")</f>
        <v>#REF!</v>
      </c>
      <c r="W43" t="e">
        <f>AND(Bills!#REF!,"AAAAAD99mRY=")</f>
        <v>#REF!</v>
      </c>
      <c r="X43" t="e">
        <f>AND(Bills!#REF!,"AAAAAD99mRc=")</f>
        <v>#REF!</v>
      </c>
      <c r="Y43" t="e">
        <f>AND(Bills!#REF!,"AAAAAD99mRg=")</f>
        <v>#REF!</v>
      </c>
      <c r="Z43" t="e">
        <f>AND(Bills!#REF!,"AAAAAD99mRk=")</f>
        <v>#REF!</v>
      </c>
      <c r="AA43" t="e">
        <f>AND(Bills!#REF!,"AAAAAD99mRo=")</f>
        <v>#REF!</v>
      </c>
      <c r="AB43" t="e">
        <f>AND(Bills!#REF!,"AAAAAD99mRs=")</f>
        <v>#REF!</v>
      </c>
      <c r="AC43" t="e">
        <f>AND(Bills!#REF!,"AAAAAD99mRw=")</f>
        <v>#REF!</v>
      </c>
      <c r="AD43" t="e">
        <f>AND(Bills!#REF!,"AAAAAD99mR0=")</f>
        <v>#REF!</v>
      </c>
      <c r="AE43" t="e">
        <f>AND(Bills!#REF!,"AAAAAD99mR4=")</f>
        <v>#REF!</v>
      </c>
      <c r="AF43" t="e">
        <f>AND(Bills!#REF!,"AAAAAD99mR8=")</f>
        <v>#REF!</v>
      </c>
      <c r="AG43" t="e">
        <f>AND(Bills!#REF!,"AAAAAD99mSA=")</f>
        <v>#REF!</v>
      </c>
      <c r="AH43" t="e">
        <f>AND(Bills!#REF!,"AAAAAD99mSE=")</f>
        <v>#REF!</v>
      </c>
      <c r="AI43" t="e">
        <f>AND(Bills!#REF!,"AAAAAD99mSI=")</f>
        <v>#REF!</v>
      </c>
      <c r="AJ43" t="e">
        <f>AND(Bills!#REF!,"AAAAAD99mSM=")</f>
        <v>#REF!</v>
      </c>
      <c r="AK43" t="e">
        <f>AND(Bills!#REF!,"AAAAAD99mSQ=")</f>
        <v>#REF!</v>
      </c>
      <c r="AL43" t="e">
        <f>AND(Bills!#REF!,"AAAAAD99mSU=")</f>
        <v>#REF!</v>
      </c>
      <c r="AM43" t="e">
        <f>AND(Bills!#REF!,"AAAAAD99mSY=")</f>
        <v>#REF!</v>
      </c>
      <c r="AN43" t="e">
        <f>AND(Bills!#REF!,"AAAAAD99mSc=")</f>
        <v>#REF!</v>
      </c>
      <c r="AO43" t="e">
        <f>AND(Bills!#REF!,"AAAAAD99mSg=")</f>
        <v>#REF!</v>
      </c>
      <c r="AP43" t="e">
        <f>AND(Bills!#REF!,"AAAAAD99mSk=")</f>
        <v>#REF!</v>
      </c>
      <c r="AQ43" t="e">
        <f>AND(Bills!#REF!,"AAAAAD99mSo=")</f>
        <v>#REF!</v>
      </c>
      <c r="AR43" t="e">
        <f>AND(Bills!#REF!,"AAAAAD99mSs=")</f>
        <v>#REF!</v>
      </c>
      <c r="AS43" t="e">
        <f>AND(Bills!#REF!,"AAAAAD99mSw=")</f>
        <v>#REF!</v>
      </c>
      <c r="AT43" t="e">
        <f>AND(Bills!#REF!,"AAAAAD99mS0=")</f>
        <v>#REF!</v>
      </c>
      <c r="AU43" t="e">
        <f>AND(Bills!#REF!,"AAAAAD99mS4=")</f>
        <v>#REF!</v>
      </c>
      <c r="AV43" t="e">
        <f>AND(Bills!#REF!,"AAAAAD99mS8=")</f>
        <v>#REF!</v>
      </c>
      <c r="AW43" t="e">
        <f>IF(Bills!#REF!,"AAAAAD99mTA=",0)</f>
        <v>#REF!</v>
      </c>
      <c r="AX43" t="e">
        <f>AND(Bills!#REF!,"AAAAAD99mTE=")</f>
        <v>#REF!</v>
      </c>
      <c r="AY43" t="e">
        <f>AND(Bills!#REF!,"AAAAAD99mTI=")</f>
        <v>#REF!</v>
      </c>
      <c r="AZ43" t="e">
        <f>AND(Bills!#REF!,"AAAAAD99mTM=")</f>
        <v>#REF!</v>
      </c>
      <c r="BA43" t="e">
        <f>AND(Bills!#REF!,"AAAAAD99mTQ=")</f>
        <v>#REF!</v>
      </c>
      <c r="BB43" t="e">
        <f>AND(Bills!#REF!,"AAAAAD99mTU=")</f>
        <v>#REF!</v>
      </c>
      <c r="BC43" t="e">
        <f>AND(Bills!#REF!,"AAAAAD99mTY=")</f>
        <v>#REF!</v>
      </c>
      <c r="BD43" t="e">
        <f>AND(Bills!#REF!,"AAAAAD99mTc=")</f>
        <v>#REF!</v>
      </c>
      <c r="BE43" t="e">
        <f>AND(Bills!#REF!,"AAAAAD99mTg=")</f>
        <v>#REF!</v>
      </c>
      <c r="BF43" t="e">
        <f>AND(Bills!#REF!,"AAAAAD99mTk=")</f>
        <v>#REF!</v>
      </c>
      <c r="BG43" t="e">
        <f>AND(Bills!#REF!,"AAAAAD99mTo=")</f>
        <v>#REF!</v>
      </c>
      <c r="BH43" t="e">
        <f>AND(Bills!#REF!,"AAAAAD99mTs=")</f>
        <v>#REF!</v>
      </c>
      <c r="BI43" t="e">
        <f>AND(Bills!#REF!,"AAAAAD99mTw=")</f>
        <v>#REF!</v>
      </c>
      <c r="BJ43" t="e">
        <f>AND(Bills!#REF!,"AAAAAD99mT0=")</f>
        <v>#REF!</v>
      </c>
      <c r="BK43" t="e">
        <f>AND(Bills!#REF!,"AAAAAD99mT4=")</f>
        <v>#REF!</v>
      </c>
      <c r="BL43" t="e">
        <f>AND(Bills!#REF!,"AAAAAD99mT8=")</f>
        <v>#REF!</v>
      </c>
      <c r="BM43" t="e">
        <f>AND(Bills!#REF!,"AAAAAD99mUA=")</f>
        <v>#REF!</v>
      </c>
      <c r="BN43" t="e">
        <f>AND(Bills!#REF!,"AAAAAD99mUE=")</f>
        <v>#REF!</v>
      </c>
      <c r="BO43" t="e">
        <f>AND(Bills!#REF!,"AAAAAD99mUI=")</f>
        <v>#REF!</v>
      </c>
      <c r="BP43" t="e">
        <f>AND(Bills!#REF!,"AAAAAD99mUM=")</f>
        <v>#REF!</v>
      </c>
      <c r="BQ43" t="e">
        <f>AND(Bills!#REF!,"AAAAAD99mUQ=")</f>
        <v>#REF!</v>
      </c>
      <c r="BR43" t="e">
        <f>AND(Bills!#REF!,"AAAAAD99mUU=")</f>
        <v>#REF!</v>
      </c>
      <c r="BS43" t="e">
        <f>AND(Bills!#REF!,"AAAAAD99mUY=")</f>
        <v>#REF!</v>
      </c>
      <c r="BT43" t="e">
        <f>AND(Bills!#REF!,"AAAAAD99mUc=")</f>
        <v>#REF!</v>
      </c>
      <c r="BU43" t="e">
        <f>AND(Bills!#REF!,"AAAAAD99mUg=")</f>
        <v>#REF!</v>
      </c>
      <c r="BV43" t="e">
        <f>AND(Bills!#REF!,"AAAAAD99mUk=")</f>
        <v>#REF!</v>
      </c>
      <c r="BW43" t="e">
        <f>AND(Bills!#REF!,"AAAAAD99mUo=")</f>
        <v>#REF!</v>
      </c>
      <c r="BX43" t="e">
        <f>AND(Bills!#REF!,"AAAAAD99mUs=")</f>
        <v>#REF!</v>
      </c>
      <c r="BY43" t="e">
        <f>AND(Bills!#REF!,"AAAAAD99mUw=")</f>
        <v>#REF!</v>
      </c>
      <c r="BZ43" t="e">
        <f>AND(Bills!#REF!,"AAAAAD99mU0=")</f>
        <v>#REF!</v>
      </c>
      <c r="CA43" t="e">
        <f>AND(Bills!#REF!,"AAAAAD99mU4=")</f>
        <v>#REF!</v>
      </c>
      <c r="CB43" t="e">
        <f>AND(Bills!#REF!,"AAAAAD99mU8=")</f>
        <v>#REF!</v>
      </c>
      <c r="CC43" t="e">
        <f>AND(Bills!#REF!,"AAAAAD99mVA=")</f>
        <v>#REF!</v>
      </c>
      <c r="CD43" t="e">
        <f>AND(Bills!#REF!,"AAAAAD99mVE=")</f>
        <v>#REF!</v>
      </c>
      <c r="CE43" t="e">
        <f>AND(Bills!#REF!,"AAAAAD99mVI=")</f>
        <v>#REF!</v>
      </c>
      <c r="CF43" t="e">
        <f>AND(Bills!#REF!,"AAAAAD99mVM=")</f>
        <v>#REF!</v>
      </c>
      <c r="CG43" t="e">
        <f>AND(Bills!#REF!,"AAAAAD99mVQ=")</f>
        <v>#REF!</v>
      </c>
      <c r="CH43" t="e">
        <f>AND(Bills!#REF!,"AAAAAD99mVU=")</f>
        <v>#REF!</v>
      </c>
      <c r="CI43" t="e">
        <f>AND(Bills!#REF!,"AAAAAD99mVY=")</f>
        <v>#REF!</v>
      </c>
      <c r="CJ43" t="e">
        <f>AND(Bills!#REF!,"AAAAAD99mVc=")</f>
        <v>#REF!</v>
      </c>
      <c r="CK43" t="e">
        <f>AND(Bills!#REF!,"AAAAAD99mVg=")</f>
        <v>#REF!</v>
      </c>
      <c r="CL43" t="e">
        <f>AND(Bills!#REF!,"AAAAAD99mVk=")</f>
        <v>#REF!</v>
      </c>
      <c r="CM43" t="e">
        <f>AND(Bills!#REF!,"AAAAAD99mVo=")</f>
        <v>#REF!</v>
      </c>
      <c r="CN43" t="e">
        <f>AND(Bills!#REF!,"AAAAAD99mVs=")</f>
        <v>#REF!</v>
      </c>
      <c r="CO43" t="e">
        <f>AND(Bills!#REF!,"AAAAAD99mVw=")</f>
        <v>#REF!</v>
      </c>
      <c r="CP43" t="e">
        <f>AND(Bills!#REF!,"AAAAAD99mV0=")</f>
        <v>#REF!</v>
      </c>
      <c r="CQ43" t="e">
        <f>AND(Bills!#REF!,"AAAAAD99mV4=")</f>
        <v>#REF!</v>
      </c>
      <c r="CR43" t="e">
        <f>AND(Bills!#REF!,"AAAAAD99mV8=")</f>
        <v>#REF!</v>
      </c>
      <c r="CS43" t="e">
        <f>AND(Bills!#REF!,"AAAAAD99mWA=")</f>
        <v>#REF!</v>
      </c>
      <c r="CT43" t="e">
        <f>AND(Bills!#REF!,"AAAAAD99mWE=")</f>
        <v>#REF!</v>
      </c>
      <c r="CU43" t="e">
        <f>AND(Bills!#REF!,"AAAAAD99mWI=")</f>
        <v>#REF!</v>
      </c>
      <c r="CV43" t="e">
        <f>IF(Bills!#REF!,"AAAAAD99mWM=",0)</f>
        <v>#REF!</v>
      </c>
      <c r="CW43" t="e">
        <f>AND(Bills!#REF!,"AAAAAD99mWQ=")</f>
        <v>#REF!</v>
      </c>
      <c r="CX43" t="e">
        <f>AND(Bills!#REF!,"AAAAAD99mWU=")</f>
        <v>#REF!</v>
      </c>
      <c r="CY43" t="e">
        <f>AND(Bills!#REF!,"AAAAAD99mWY=")</f>
        <v>#REF!</v>
      </c>
      <c r="CZ43" t="e">
        <f>AND(Bills!#REF!,"AAAAAD99mWc=")</f>
        <v>#REF!</v>
      </c>
      <c r="DA43" t="e">
        <f>AND(Bills!#REF!,"AAAAAD99mWg=")</f>
        <v>#REF!</v>
      </c>
      <c r="DB43" t="e">
        <f>AND(Bills!#REF!,"AAAAAD99mWk=")</f>
        <v>#REF!</v>
      </c>
      <c r="DC43" t="e">
        <f>AND(Bills!#REF!,"AAAAAD99mWo=")</f>
        <v>#REF!</v>
      </c>
      <c r="DD43" t="e">
        <f>AND(Bills!#REF!,"AAAAAD99mWs=")</f>
        <v>#REF!</v>
      </c>
      <c r="DE43" t="e">
        <f>AND(Bills!#REF!,"AAAAAD99mWw=")</f>
        <v>#REF!</v>
      </c>
      <c r="DF43" t="e">
        <f>AND(Bills!#REF!,"AAAAAD99mW0=")</f>
        <v>#REF!</v>
      </c>
      <c r="DG43" t="e">
        <f>AND(Bills!#REF!,"AAAAAD99mW4=")</f>
        <v>#REF!</v>
      </c>
      <c r="DH43" t="e">
        <f>AND(Bills!#REF!,"AAAAAD99mW8=")</f>
        <v>#REF!</v>
      </c>
      <c r="DI43" t="e">
        <f>AND(Bills!#REF!,"AAAAAD99mXA=")</f>
        <v>#REF!</v>
      </c>
      <c r="DJ43" t="e">
        <f>AND(Bills!#REF!,"AAAAAD99mXE=")</f>
        <v>#REF!</v>
      </c>
      <c r="DK43" t="e">
        <f>AND(Bills!#REF!,"AAAAAD99mXI=")</f>
        <v>#REF!</v>
      </c>
      <c r="DL43" t="e">
        <f>AND(Bills!#REF!,"AAAAAD99mXM=")</f>
        <v>#REF!</v>
      </c>
      <c r="DM43" t="e">
        <f>AND(Bills!#REF!,"AAAAAD99mXQ=")</f>
        <v>#REF!</v>
      </c>
      <c r="DN43" t="e">
        <f>AND(Bills!#REF!,"AAAAAD99mXU=")</f>
        <v>#REF!</v>
      </c>
      <c r="DO43" t="e">
        <f>AND(Bills!#REF!,"AAAAAD99mXY=")</f>
        <v>#REF!</v>
      </c>
      <c r="DP43" t="e">
        <f>AND(Bills!#REF!,"AAAAAD99mXc=")</f>
        <v>#REF!</v>
      </c>
      <c r="DQ43" t="e">
        <f>AND(Bills!#REF!,"AAAAAD99mXg=")</f>
        <v>#REF!</v>
      </c>
      <c r="DR43" t="e">
        <f>AND(Bills!#REF!,"AAAAAD99mXk=")</f>
        <v>#REF!</v>
      </c>
      <c r="DS43" t="e">
        <f>AND(Bills!#REF!,"AAAAAD99mXo=")</f>
        <v>#REF!</v>
      </c>
      <c r="DT43" t="e">
        <f>AND(Bills!#REF!,"AAAAAD99mXs=")</f>
        <v>#REF!</v>
      </c>
      <c r="DU43" t="e">
        <f>AND(Bills!#REF!,"AAAAAD99mXw=")</f>
        <v>#REF!</v>
      </c>
      <c r="DV43" t="e">
        <f>AND(Bills!#REF!,"AAAAAD99mX0=")</f>
        <v>#REF!</v>
      </c>
      <c r="DW43" t="e">
        <f>AND(Bills!#REF!,"AAAAAD99mX4=")</f>
        <v>#REF!</v>
      </c>
      <c r="DX43" t="e">
        <f>AND(Bills!#REF!,"AAAAAD99mX8=")</f>
        <v>#REF!</v>
      </c>
      <c r="DY43" t="e">
        <f>AND(Bills!#REF!,"AAAAAD99mYA=")</f>
        <v>#REF!</v>
      </c>
      <c r="DZ43" t="e">
        <f>AND(Bills!#REF!,"AAAAAD99mYE=")</f>
        <v>#REF!</v>
      </c>
      <c r="EA43" t="e">
        <f>AND(Bills!#REF!,"AAAAAD99mYI=")</f>
        <v>#REF!</v>
      </c>
      <c r="EB43" t="e">
        <f>AND(Bills!#REF!,"AAAAAD99mYM=")</f>
        <v>#REF!</v>
      </c>
      <c r="EC43" t="e">
        <f>AND(Bills!#REF!,"AAAAAD99mYQ=")</f>
        <v>#REF!</v>
      </c>
      <c r="ED43" t="e">
        <f>AND(Bills!#REF!,"AAAAAD99mYU=")</f>
        <v>#REF!</v>
      </c>
      <c r="EE43" t="e">
        <f>AND(Bills!#REF!,"AAAAAD99mYY=")</f>
        <v>#REF!</v>
      </c>
      <c r="EF43" t="e">
        <f>AND(Bills!#REF!,"AAAAAD99mYc=")</f>
        <v>#REF!</v>
      </c>
      <c r="EG43" t="e">
        <f>AND(Bills!#REF!,"AAAAAD99mYg=")</f>
        <v>#REF!</v>
      </c>
      <c r="EH43" t="e">
        <f>AND(Bills!#REF!,"AAAAAD99mYk=")</f>
        <v>#REF!</v>
      </c>
      <c r="EI43" t="e">
        <f>AND(Bills!#REF!,"AAAAAD99mYo=")</f>
        <v>#REF!</v>
      </c>
      <c r="EJ43" t="e">
        <f>AND(Bills!#REF!,"AAAAAD99mYs=")</f>
        <v>#REF!</v>
      </c>
      <c r="EK43" t="e">
        <f>AND(Bills!#REF!,"AAAAAD99mYw=")</f>
        <v>#REF!</v>
      </c>
      <c r="EL43" t="e">
        <f>AND(Bills!#REF!,"AAAAAD99mY0=")</f>
        <v>#REF!</v>
      </c>
      <c r="EM43" t="e">
        <f>AND(Bills!#REF!,"AAAAAD99mY4=")</f>
        <v>#REF!</v>
      </c>
      <c r="EN43" t="e">
        <f>AND(Bills!#REF!,"AAAAAD99mY8=")</f>
        <v>#REF!</v>
      </c>
      <c r="EO43" t="e">
        <f>AND(Bills!#REF!,"AAAAAD99mZA=")</f>
        <v>#REF!</v>
      </c>
      <c r="EP43" t="e">
        <f>AND(Bills!#REF!,"AAAAAD99mZE=")</f>
        <v>#REF!</v>
      </c>
      <c r="EQ43" t="e">
        <f>AND(Bills!#REF!,"AAAAAD99mZI=")</f>
        <v>#REF!</v>
      </c>
      <c r="ER43" t="e">
        <f>AND(Bills!#REF!,"AAAAAD99mZM=")</f>
        <v>#REF!</v>
      </c>
      <c r="ES43" t="e">
        <f>AND(Bills!#REF!,"AAAAAD99mZQ=")</f>
        <v>#REF!</v>
      </c>
      <c r="ET43" t="e">
        <f>AND(Bills!#REF!,"AAAAAD99mZU=")</f>
        <v>#REF!</v>
      </c>
      <c r="EU43" t="e">
        <f>IF(Bills!#REF!,"AAAAAD99mZY=",0)</f>
        <v>#REF!</v>
      </c>
      <c r="EV43" t="e">
        <f>AND(Bills!#REF!,"AAAAAD99mZc=")</f>
        <v>#REF!</v>
      </c>
      <c r="EW43" t="e">
        <f>AND(Bills!#REF!,"AAAAAD99mZg=")</f>
        <v>#REF!</v>
      </c>
      <c r="EX43" t="e">
        <f>AND(Bills!#REF!,"AAAAAD99mZk=")</f>
        <v>#REF!</v>
      </c>
      <c r="EY43" t="e">
        <f>AND(Bills!#REF!,"AAAAAD99mZo=")</f>
        <v>#REF!</v>
      </c>
      <c r="EZ43" t="e">
        <f>AND(Bills!#REF!,"AAAAAD99mZs=")</f>
        <v>#REF!</v>
      </c>
      <c r="FA43" t="e">
        <f>AND(Bills!#REF!,"AAAAAD99mZw=")</f>
        <v>#REF!</v>
      </c>
      <c r="FB43" t="e">
        <f>AND(Bills!#REF!,"AAAAAD99mZ0=")</f>
        <v>#REF!</v>
      </c>
      <c r="FC43" t="e">
        <f>AND(Bills!#REF!,"AAAAAD99mZ4=")</f>
        <v>#REF!</v>
      </c>
      <c r="FD43" t="e">
        <f>AND(Bills!#REF!,"AAAAAD99mZ8=")</f>
        <v>#REF!</v>
      </c>
      <c r="FE43" t="e">
        <f>AND(Bills!#REF!,"AAAAAD99maA=")</f>
        <v>#REF!</v>
      </c>
      <c r="FF43" t="e">
        <f>AND(Bills!#REF!,"AAAAAD99maE=")</f>
        <v>#REF!</v>
      </c>
      <c r="FG43" t="e">
        <f>AND(Bills!#REF!,"AAAAAD99maI=")</f>
        <v>#REF!</v>
      </c>
      <c r="FH43" t="e">
        <f>AND(Bills!#REF!,"AAAAAD99maM=")</f>
        <v>#REF!</v>
      </c>
      <c r="FI43" t="e">
        <f>AND(Bills!#REF!,"AAAAAD99maQ=")</f>
        <v>#REF!</v>
      </c>
      <c r="FJ43" t="e">
        <f>AND(Bills!#REF!,"AAAAAD99maU=")</f>
        <v>#REF!</v>
      </c>
      <c r="FK43" t="e">
        <f>AND(Bills!#REF!,"AAAAAD99maY=")</f>
        <v>#REF!</v>
      </c>
      <c r="FL43" t="e">
        <f>AND(Bills!#REF!,"AAAAAD99mac=")</f>
        <v>#REF!</v>
      </c>
      <c r="FM43" t="e">
        <f>AND(Bills!#REF!,"AAAAAD99mag=")</f>
        <v>#REF!</v>
      </c>
      <c r="FN43" t="e">
        <f>AND(Bills!#REF!,"AAAAAD99mak=")</f>
        <v>#REF!</v>
      </c>
      <c r="FO43" t="e">
        <f>AND(Bills!#REF!,"AAAAAD99mao=")</f>
        <v>#REF!</v>
      </c>
      <c r="FP43" t="e">
        <f>AND(Bills!#REF!,"AAAAAD99mas=")</f>
        <v>#REF!</v>
      </c>
      <c r="FQ43" t="e">
        <f>AND(Bills!#REF!,"AAAAAD99maw=")</f>
        <v>#REF!</v>
      </c>
      <c r="FR43" t="e">
        <f>AND(Bills!#REF!,"AAAAAD99ma0=")</f>
        <v>#REF!</v>
      </c>
      <c r="FS43" t="e">
        <f>AND(Bills!#REF!,"AAAAAD99ma4=")</f>
        <v>#REF!</v>
      </c>
      <c r="FT43" t="e">
        <f>AND(Bills!#REF!,"AAAAAD99ma8=")</f>
        <v>#REF!</v>
      </c>
      <c r="FU43" t="e">
        <f>AND(Bills!#REF!,"AAAAAD99mbA=")</f>
        <v>#REF!</v>
      </c>
      <c r="FV43" t="e">
        <f>AND(Bills!#REF!,"AAAAAD99mbE=")</f>
        <v>#REF!</v>
      </c>
      <c r="FW43" t="e">
        <f>AND(Bills!#REF!,"AAAAAD99mbI=")</f>
        <v>#REF!</v>
      </c>
      <c r="FX43" t="e">
        <f>AND(Bills!#REF!,"AAAAAD99mbM=")</f>
        <v>#REF!</v>
      </c>
      <c r="FY43" t="e">
        <f>AND(Bills!#REF!,"AAAAAD99mbQ=")</f>
        <v>#REF!</v>
      </c>
      <c r="FZ43" t="e">
        <f>AND(Bills!#REF!,"AAAAAD99mbU=")</f>
        <v>#REF!</v>
      </c>
      <c r="GA43" t="e">
        <f>AND(Bills!#REF!,"AAAAAD99mbY=")</f>
        <v>#REF!</v>
      </c>
      <c r="GB43" t="e">
        <f>AND(Bills!#REF!,"AAAAAD99mbc=")</f>
        <v>#REF!</v>
      </c>
      <c r="GC43" t="e">
        <f>AND(Bills!#REF!,"AAAAAD99mbg=")</f>
        <v>#REF!</v>
      </c>
      <c r="GD43" t="e">
        <f>AND(Bills!#REF!,"AAAAAD99mbk=")</f>
        <v>#REF!</v>
      </c>
      <c r="GE43" t="e">
        <f>AND(Bills!#REF!,"AAAAAD99mbo=")</f>
        <v>#REF!</v>
      </c>
      <c r="GF43" t="e">
        <f>AND(Bills!#REF!,"AAAAAD99mbs=")</f>
        <v>#REF!</v>
      </c>
      <c r="GG43" t="e">
        <f>AND(Bills!#REF!,"AAAAAD99mbw=")</f>
        <v>#REF!</v>
      </c>
      <c r="GH43" t="e">
        <f>AND(Bills!#REF!,"AAAAAD99mb0=")</f>
        <v>#REF!</v>
      </c>
      <c r="GI43" t="e">
        <f>AND(Bills!#REF!,"AAAAAD99mb4=")</f>
        <v>#REF!</v>
      </c>
      <c r="GJ43" t="e">
        <f>AND(Bills!#REF!,"AAAAAD99mb8=")</f>
        <v>#REF!</v>
      </c>
      <c r="GK43" t="e">
        <f>AND(Bills!#REF!,"AAAAAD99mcA=")</f>
        <v>#REF!</v>
      </c>
      <c r="GL43" t="e">
        <f>AND(Bills!#REF!,"AAAAAD99mcE=")</f>
        <v>#REF!</v>
      </c>
      <c r="GM43" t="e">
        <f>AND(Bills!#REF!,"AAAAAD99mcI=")</f>
        <v>#REF!</v>
      </c>
      <c r="GN43" t="e">
        <f>AND(Bills!#REF!,"AAAAAD99mcM=")</f>
        <v>#REF!</v>
      </c>
      <c r="GO43" t="e">
        <f>AND(Bills!#REF!,"AAAAAD99mcQ=")</f>
        <v>#REF!</v>
      </c>
      <c r="GP43" t="e">
        <f>AND(Bills!#REF!,"AAAAAD99mcU=")</f>
        <v>#REF!</v>
      </c>
      <c r="GQ43" t="e">
        <f>AND(Bills!#REF!,"AAAAAD99mcY=")</f>
        <v>#REF!</v>
      </c>
      <c r="GR43" t="e">
        <f>AND(Bills!#REF!,"AAAAAD99mcc=")</f>
        <v>#REF!</v>
      </c>
      <c r="GS43" t="e">
        <f>AND(Bills!#REF!,"AAAAAD99mcg=")</f>
        <v>#REF!</v>
      </c>
      <c r="GT43" t="e">
        <f>IF(Bills!#REF!,"AAAAAD99mck=",0)</f>
        <v>#REF!</v>
      </c>
      <c r="GU43" t="e">
        <f>AND(Bills!#REF!,"AAAAAD99mco=")</f>
        <v>#REF!</v>
      </c>
      <c r="GV43" t="e">
        <f>AND(Bills!#REF!,"AAAAAD99mcs=")</f>
        <v>#REF!</v>
      </c>
      <c r="GW43" t="e">
        <f>AND(Bills!#REF!,"AAAAAD99mcw=")</f>
        <v>#REF!</v>
      </c>
      <c r="GX43" t="e">
        <f>AND(Bills!#REF!,"AAAAAD99mc0=")</f>
        <v>#REF!</v>
      </c>
      <c r="GY43" t="e">
        <f>AND(Bills!#REF!,"AAAAAD99mc4=")</f>
        <v>#REF!</v>
      </c>
      <c r="GZ43" t="e">
        <f>AND(Bills!#REF!,"AAAAAD99mc8=")</f>
        <v>#REF!</v>
      </c>
      <c r="HA43" t="e">
        <f>AND(Bills!#REF!,"AAAAAD99mdA=")</f>
        <v>#REF!</v>
      </c>
      <c r="HB43" t="e">
        <f>AND(Bills!#REF!,"AAAAAD99mdE=")</f>
        <v>#REF!</v>
      </c>
      <c r="HC43" t="e">
        <f>AND(Bills!#REF!,"AAAAAD99mdI=")</f>
        <v>#REF!</v>
      </c>
      <c r="HD43" t="e">
        <f>AND(Bills!#REF!,"AAAAAD99mdM=")</f>
        <v>#REF!</v>
      </c>
      <c r="HE43" t="e">
        <f>AND(Bills!#REF!,"AAAAAD99mdQ=")</f>
        <v>#REF!</v>
      </c>
      <c r="HF43" t="e">
        <f>AND(Bills!#REF!,"AAAAAD99mdU=")</f>
        <v>#REF!</v>
      </c>
      <c r="HG43" t="e">
        <f>AND(Bills!#REF!,"AAAAAD99mdY=")</f>
        <v>#REF!</v>
      </c>
      <c r="HH43" t="e">
        <f>AND(Bills!#REF!,"AAAAAD99mdc=")</f>
        <v>#REF!</v>
      </c>
      <c r="HI43" t="e">
        <f>AND(Bills!#REF!,"AAAAAD99mdg=")</f>
        <v>#REF!</v>
      </c>
      <c r="HJ43" t="e">
        <f>AND(Bills!#REF!,"AAAAAD99mdk=")</f>
        <v>#REF!</v>
      </c>
      <c r="HK43" t="e">
        <f>AND(Bills!#REF!,"AAAAAD99mdo=")</f>
        <v>#REF!</v>
      </c>
      <c r="HL43" t="e">
        <f>AND(Bills!#REF!,"AAAAAD99mds=")</f>
        <v>#REF!</v>
      </c>
      <c r="HM43" t="e">
        <f>AND(Bills!#REF!,"AAAAAD99mdw=")</f>
        <v>#REF!</v>
      </c>
      <c r="HN43" t="e">
        <f>AND(Bills!#REF!,"AAAAAD99md0=")</f>
        <v>#REF!</v>
      </c>
      <c r="HO43" t="e">
        <f>AND(Bills!#REF!,"AAAAAD99md4=")</f>
        <v>#REF!</v>
      </c>
      <c r="HP43" t="e">
        <f>AND(Bills!#REF!,"AAAAAD99md8=")</f>
        <v>#REF!</v>
      </c>
      <c r="HQ43" t="e">
        <f>AND(Bills!#REF!,"AAAAAD99meA=")</f>
        <v>#REF!</v>
      </c>
      <c r="HR43" t="e">
        <f>AND(Bills!#REF!,"AAAAAD99meE=")</f>
        <v>#REF!</v>
      </c>
      <c r="HS43" t="e">
        <f>AND(Bills!#REF!,"AAAAAD99meI=")</f>
        <v>#REF!</v>
      </c>
      <c r="HT43" t="e">
        <f>AND(Bills!#REF!,"AAAAAD99meM=")</f>
        <v>#REF!</v>
      </c>
      <c r="HU43" t="e">
        <f>AND(Bills!#REF!,"AAAAAD99meQ=")</f>
        <v>#REF!</v>
      </c>
      <c r="HV43" t="e">
        <f>AND(Bills!#REF!,"AAAAAD99meU=")</f>
        <v>#REF!</v>
      </c>
      <c r="HW43" t="e">
        <f>AND(Bills!#REF!,"AAAAAD99meY=")</f>
        <v>#REF!</v>
      </c>
      <c r="HX43" t="e">
        <f>AND(Bills!#REF!,"AAAAAD99mec=")</f>
        <v>#REF!</v>
      </c>
      <c r="HY43" t="e">
        <f>AND(Bills!#REF!,"AAAAAD99meg=")</f>
        <v>#REF!</v>
      </c>
      <c r="HZ43" t="e">
        <f>AND(Bills!#REF!,"AAAAAD99mek=")</f>
        <v>#REF!</v>
      </c>
      <c r="IA43" t="e">
        <f>AND(Bills!#REF!,"AAAAAD99meo=")</f>
        <v>#REF!</v>
      </c>
      <c r="IB43" t="e">
        <f>AND(Bills!#REF!,"AAAAAD99mes=")</f>
        <v>#REF!</v>
      </c>
      <c r="IC43" t="e">
        <f>AND(Bills!#REF!,"AAAAAD99mew=")</f>
        <v>#REF!</v>
      </c>
      <c r="ID43" t="e">
        <f>AND(Bills!#REF!,"AAAAAD99me0=")</f>
        <v>#REF!</v>
      </c>
      <c r="IE43" t="e">
        <f>AND(Bills!#REF!,"AAAAAD99me4=")</f>
        <v>#REF!</v>
      </c>
      <c r="IF43" t="e">
        <f>AND(Bills!#REF!,"AAAAAD99me8=")</f>
        <v>#REF!</v>
      </c>
      <c r="IG43" t="e">
        <f>AND(Bills!#REF!,"AAAAAD99mfA=")</f>
        <v>#REF!</v>
      </c>
      <c r="IH43" t="e">
        <f>AND(Bills!#REF!,"AAAAAD99mfE=")</f>
        <v>#REF!</v>
      </c>
      <c r="II43" t="e">
        <f>AND(Bills!#REF!,"AAAAAD99mfI=")</f>
        <v>#REF!</v>
      </c>
      <c r="IJ43" t="e">
        <f>AND(Bills!#REF!,"AAAAAD99mfM=")</f>
        <v>#REF!</v>
      </c>
      <c r="IK43" t="e">
        <f>AND(Bills!#REF!,"AAAAAD99mfQ=")</f>
        <v>#REF!</v>
      </c>
      <c r="IL43" t="e">
        <f>AND(Bills!#REF!,"AAAAAD99mfU=")</f>
        <v>#REF!</v>
      </c>
      <c r="IM43" t="e">
        <f>AND(Bills!#REF!,"AAAAAD99mfY=")</f>
        <v>#REF!</v>
      </c>
      <c r="IN43" t="e">
        <f>AND(Bills!#REF!,"AAAAAD99mfc=")</f>
        <v>#REF!</v>
      </c>
      <c r="IO43" t="e">
        <f>AND(Bills!#REF!,"AAAAAD99mfg=")</f>
        <v>#REF!</v>
      </c>
      <c r="IP43" t="e">
        <f>AND(Bills!#REF!,"AAAAAD99mfk=")</f>
        <v>#REF!</v>
      </c>
      <c r="IQ43" t="e">
        <f>AND(Bills!#REF!,"AAAAAD99mfo=")</f>
        <v>#REF!</v>
      </c>
      <c r="IR43" t="e">
        <f>AND(Bills!#REF!,"AAAAAD99mfs=")</f>
        <v>#REF!</v>
      </c>
      <c r="IS43" t="e">
        <f>IF(Bills!#REF!,"AAAAAD99mfw=",0)</f>
        <v>#REF!</v>
      </c>
      <c r="IT43" t="e">
        <f>AND(Bills!#REF!,"AAAAAD99mf0=")</f>
        <v>#REF!</v>
      </c>
      <c r="IU43" t="e">
        <f>AND(Bills!#REF!,"AAAAAD99mf4=")</f>
        <v>#REF!</v>
      </c>
      <c r="IV43" t="e">
        <f>AND(Bills!#REF!,"AAAAAD99mf8=")</f>
        <v>#REF!</v>
      </c>
    </row>
    <row r="44" spans="1:256">
      <c r="A44" t="e">
        <f>AND(Bills!#REF!,"AAAAAHt/+wA=")</f>
        <v>#REF!</v>
      </c>
      <c r="B44" t="e">
        <f>AND(Bills!#REF!,"AAAAAHt/+wE=")</f>
        <v>#REF!</v>
      </c>
      <c r="C44" t="e">
        <f>AND(Bills!#REF!,"AAAAAHt/+wI=")</f>
        <v>#REF!</v>
      </c>
      <c r="D44" t="e">
        <f>AND(Bills!#REF!,"AAAAAHt/+wM=")</f>
        <v>#REF!</v>
      </c>
      <c r="E44" t="e">
        <f>AND(Bills!#REF!,"AAAAAHt/+wQ=")</f>
        <v>#REF!</v>
      </c>
      <c r="F44" t="e">
        <f>AND(Bills!#REF!,"AAAAAHt/+wU=")</f>
        <v>#REF!</v>
      </c>
      <c r="G44" t="e">
        <f>AND(Bills!#REF!,"AAAAAHt/+wY=")</f>
        <v>#REF!</v>
      </c>
      <c r="H44" t="e">
        <f>AND(Bills!#REF!,"AAAAAHt/+wc=")</f>
        <v>#REF!</v>
      </c>
      <c r="I44" t="e">
        <f>AND(Bills!#REF!,"AAAAAHt/+wg=")</f>
        <v>#REF!</v>
      </c>
      <c r="J44" t="e">
        <f>AND(Bills!#REF!,"AAAAAHt/+wk=")</f>
        <v>#REF!</v>
      </c>
      <c r="K44" t="e">
        <f>AND(Bills!#REF!,"AAAAAHt/+wo=")</f>
        <v>#REF!</v>
      </c>
      <c r="L44" t="e">
        <f>AND(Bills!#REF!,"AAAAAHt/+ws=")</f>
        <v>#REF!</v>
      </c>
      <c r="M44" t="e">
        <f>AND(Bills!#REF!,"AAAAAHt/+ww=")</f>
        <v>#REF!</v>
      </c>
      <c r="N44" t="e">
        <f>AND(Bills!#REF!,"AAAAAHt/+w0=")</f>
        <v>#REF!</v>
      </c>
      <c r="O44" t="e">
        <f>AND(Bills!#REF!,"AAAAAHt/+w4=")</f>
        <v>#REF!</v>
      </c>
      <c r="P44" t="e">
        <f>AND(Bills!#REF!,"AAAAAHt/+w8=")</f>
        <v>#REF!</v>
      </c>
      <c r="Q44" t="e">
        <f>AND(Bills!#REF!,"AAAAAHt/+xA=")</f>
        <v>#REF!</v>
      </c>
      <c r="R44" t="e">
        <f>AND(Bills!#REF!,"AAAAAHt/+xE=")</f>
        <v>#REF!</v>
      </c>
      <c r="S44" t="e">
        <f>AND(Bills!#REF!,"AAAAAHt/+xI=")</f>
        <v>#REF!</v>
      </c>
      <c r="T44" t="e">
        <f>AND(Bills!#REF!,"AAAAAHt/+xM=")</f>
        <v>#REF!</v>
      </c>
      <c r="U44" t="e">
        <f>AND(Bills!#REF!,"AAAAAHt/+xQ=")</f>
        <v>#REF!</v>
      </c>
      <c r="V44" t="e">
        <f>AND(Bills!#REF!,"AAAAAHt/+xU=")</f>
        <v>#REF!</v>
      </c>
      <c r="W44" t="e">
        <f>AND(Bills!#REF!,"AAAAAHt/+xY=")</f>
        <v>#REF!</v>
      </c>
      <c r="X44" t="e">
        <f>AND(Bills!#REF!,"AAAAAHt/+xc=")</f>
        <v>#REF!</v>
      </c>
      <c r="Y44" t="e">
        <f>AND(Bills!#REF!,"AAAAAHt/+xg=")</f>
        <v>#REF!</v>
      </c>
      <c r="Z44" t="e">
        <f>AND(Bills!#REF!,"AAAAAHt/+xk=")</f>
        <v>#REF!</v>
      </c>
      <c r="AA44" t="e">
        <f>AND(Bills!#REF!,"AAAAAHt/+xo=")</f>
        <v>#REF!</v>
      </c>
      <c r="AB44" t="e">
        <f>AND(Bills!#REF!,"AAAAAHt/+xs=")</f>
        <v>#REF!</v>
      </c>
      <c r="AC44" t="e">
        <f>AND(Bills!#REF!,"AAAAAHt/+xw=")</f>
        <v>#REF!</v>
      </c>
      <c r="AD44" t="e">
        <f>AND(Bills!#REF!,"AAAAAHt/+x0=")</f>
        <v>#REF!</v>
      </c>
      <c r="AE44" t="e">
        <f>AND(Bills!#REF!,"AAAAAHt/+x4=")</f>
        <v>#REF!</v>
      </c>
      <c r="AF44" t="e">
        <f>AND(Bills!#REF!,"AAAAAHt/+x8=")</f>
        <v>#REF!</v>
      </c>
      <c r="AG44" t="e">
        <f>AND(Bills!#REF!,"AAAAAHt/+yA=")</f>
        <v>#REF!</v>
      </c>
      <c r="AH44" t="e">
        <f>AND(Bills!#REF!,"AAAAAHt/+yE=")</f>
        <v>#REF!</v>
      </c>
      <c r="AI44" t="e">
        <f>AND(Bills!#REF!,"AAAAAHt/+yI=")</f>
        <v>#REF!</v>
      </c>
      <c r="AJ44" t="e">
        <f>AND(Bills!#REF!,"AAAAAHt/+yM=")</f>
        <v>#REF!</v>
      </c>
      <c r="AK44" t="e">
        <f>AND(Bills!#REF!,"AAAAAHt/+yQ=")</f>
        <v>#REF!</v>
      </c>
      <c r="AL44" t="e">
        <f>AND(Bills!#REF!,"AAAAAHt/+yU=")</f>
        <v>#REF!</v>
      </c>
      <c r="AM44" t="e">
        <f>AND(Bills!#REF!,"AAAAAHt/+yY=")</f>
        <v>#REF!</v>
      </c>
      <c r="AN44" t="e">
        <f>AND(Bills!#REF!,"AAAAAHt/+yc=")</f>
        <v>#REF!</v>
      </c>
      <c r="AO44" t="e">
        <f>AND(Bills!#REF!,"AAAAAHt/+yg=")</f>
        <v>#REF!</v>
      </c>
      <c r="AP44" t="e">
        <f>AND(Bills!#REF!,"AAAAAHt/+yk=")</f>
        <v>#REF!</v>
      </c>
      <c r="AQ44" t="e">
        <f>AND(Bills!#REF!,"AAAAAHt/+yo=")</f>
        <v>#REF!</v>
      </c>
      <c r="AR44" t="e">
        <f>AND(Bills!#REF!,"AAAAAHt/+ys=")</f>
        <v>#REF!</v>
      </c>
      <c r="AS44" t="e">
        <f>AND(Bills!#REF!,"AAAAAHt/+yw=")</f>
        <v>#REF!</v>
      </c>
      <c r="AT44" t="e">
        <f>AND(Bills!#REF!,"AAAAAHt/+y0=")</f>
        <v>#REF!</v>
      </c>
      <c r="AU44" t="e">
        <f>AND(Bills!#REF!,"AAAAAHt/+y4=")</f>
        <v>#REF!</v>
      </c>
      <c r="AV44" t="e">
        <f>IF(Bills!#REF!,"AAAAAHt/+y8=",0)</f>
        <v>#REF!</v>
      </c>
      <c r="AW44" t="e">
        <f>AND(Bills!#REF!,"AAAAAHt/+zA=")</f>
        <v>#REF!</v>
      </c>
      <c r="AX44" t="e">
        <f>AND(Bills!#REF!,"AAAAAHt/+zE=")</f>
        <v>#REF!</v>
      </c>
      <c r="AY44" t="e">
        <f>AND(Bills!#REF!,"AAAAAHt/+zI=")</f>
        <v>#REF!</v>
      </c>
      <c r="AZ44" t="e">
        <f>AND(Bills!#REF!,"AAAAAHt/+zM=")</f>
        <v>#REF!</v>
      </c>
      <c r="BA44" t="e">
        <f>AND(Bills!#REF!,"AAAAAHt/+zQ=")</f>
        <v>#REF!</v>
      </c>
      <c r="BB44" t="e">
        <f>AND(Bills!#REF!,"AAAAAHt/+zU=")</f>
        <v>#REF!</v>
      </c>
      <c r="BC44" t="e">
        <f>AND(Bills!#REF!,"AAAAAHt/+zY=")</f>
        <v>#REF!</v>
      </c>
      <c r="BD44" t="e">
        <f>AND(Bills!#REF!,"AAAAAHt/+zc=")</f>
        <v>#REF!</v>
      </c>
      <c r="BE44" t="e">
        <f>AND(Bills!#REF!,"AAAAAHt/+zg=")</f>
        <v>#REF!</v>
      </c>
      <c r="BF44" t="e">
        <f>AND(Bills!#REF!,"AAAAAHt/+zk=")</f>
        <v>#REF!</v>
      </c>
      <c r="BG44" t="e">
        <f>AND(Bills!#REF!,"AAAAAHt/+zo=")</f>
        <v>#REF!</v>
      </c>
      <c r="BH44" t="e">
        <f>AND(Bills!#REF!,"AAAAAHt/+zs=")</f>
        <v>#REF!</v>
      </c>
      <c r="BI44" t="e">
        <f>AND(Bills!#REF!,"AAAAAHt/+zw=")</f>
        <v>#REF!</v>
      </c>
      <c r="BJ44" t="e">
        <f>AND(Bills!#REF!,"AAAAAHt/+z0=")</f>
        <v>#REF!</v>
      </c>
      <c r="BK44" t="e">
        <f>AND(Bills!#REF!,"AAAAAHt/+z4=")</f>
        <v>#REF!</v>
      </c>
      <c r="BL44" t="e">
        <f>AND(Bills!#REF!,"AAAAAHt/+z8=")</f>
        <v>#REF!</v>
      </c>
      <c r="BM44" t="e">
        <f>AND(Bills!#REF!,"AAAAAHt/+0A=")</f>
        <v>#REF!</v>
      </c>
      <c r="BN44" t="e">
        <f>AND(Bills!#REF!,"AAAAAHt/+0E=")</f>
        <v>#REF!</v>
      </c>
      <c r="BO44" t="e">
        <f>AND(Bills!#REF!,"AAAAAHt/+0I=")</f>
        <v>#REF!</v>
      </c>
      <c r="BP44" t="e">
        <f>AND(Bills!#REF!,"AAAAAHt/+0M=")</f>
        <v>#REF!</v>
      </c>
      <c r="BQ44" t="e">
        <f>AND(Bills!#REF!,"AAAAAHt/+0Q=")</f>
        <v>#REF!</v>
      </c>
      <c r="BR44" t="e">
        <f>AND(Bills!#REF!,"AAAAAHt/+0U=")</f>
        <v>#REF!</v>
      </c>
      <c r="BS44" t="e">
        <f>AND(Bills!#REF!,"AAAAAHt/+0Y=")</f>
        <v>#REF!</v>
      </c>
      <c r="BT44" t="e">
        <f>AND(Bills!#REF!,"AAAAAHt/+0c=")</f>
        <v>#REF!</v>
      </c>
      <c r="BU44" t="e">
        <f>AND(Bills!#REF!,"AAAAAHt/+0g=")</f>
        <v>#REF!</v>
      </c>
      <c r="BV44" t="e">
        <f>AND(Bills!#REF!,"AAAAAHt/+0k=")</f>
        <v>#REF!</v>
      </c>
      <c r="BW44" t="e">
        <f>AND(Bills!#REF!,"AAAAAHt/+0o=")</f>
        <v>#REF!</v>
      </c>
      <c r="BX44" t="e">
        <f>AND(Bills!#REF!,"AAAAAHt/+0s=")</f>
        <v>#REF!</v>
      </c>
      <c r="BY44" t="e">
        <f>AND(Bills!#REF!,"AAAAAHt/+0w=")</f>
        <v>#REF!</v>
      </c>
      <c r="BZ44" t="e">
        <f>AND(Bills!#REF!,"AAAAAHt/+00=")</f>
        <v>#REF!</v>
      </c>
      <c r="CA44" t="e">
        <f>AND(Bills!#REF!,"AAAAAHt/+04=")</f>
        <v>#REF!</v>
      </c>
      <c r="CB44" t="e">
        <f>AND(Bills!#REF!,"AAAAAHt/+08=")</f>
        <v>#REF!</v>
      </c>
      <c r="CC44" t="e">
        <f>AND(Bills!#REF!,"AAAAAHt/+1A=")</f>
        <v>#REF!</v>
      </c>
      <c r="CD44" t="e">
        <f>AND(Bills!#REF!,"AAAAAHt/+1E=")</f>
        <v>#REF!</v>
      </c>
      <c r="CE44" t="e">
        <f>AND(Bills!#REF!,"AAAAAHt/+1I=")</f>
        <v>#REF!</v>
      </c>
      <c r="CF44" t="e">
        <f>AND(Bills!#REF!,"AAAAAHt/+1M=")</f>
        <v>#REF!</v>
      </c>
      <c r="CG44" t="e">
        <f>AND(Bills!#REF!,"AAAAAHt/+1Q=")</f>
        <v>#REF!</v>
      </c>
      <c r="CH44" t="e">
        <f>AND(Bills!#REF!,"AAAAAHt/+1U=")</f>
        <v>#REF!</v>
      </c>
      <c r="CI44" t="e">
        <f>AND(Bills!#REF!,"AAAAAHt/+1Y=")</f>
        <v>#REF!</v>
      </c>
      <c r="CJ44" t="e">
        <f>AND(Bills!#REF!,"AAAAAHt/+1c=")</f>
        <v>#REF!</v>
      </c>
      <c r="CK44" t="e">
        <f>AND(Bills!#REF!,"AAAAAHt/+1g=")</f>
        <v>#REF!</v>
      </c>
      <c r="CL44" t="e">
        <f>AND(Bills!#REF!,"AAAAAHt/+1k=")</f>
        <v>#REF!</v>
      </c>
      <c r="CM44" t="e">
        <f>AND(Bills!#REF!,"AAAAAHt/+1o=")</f>
        <v>#REF!</v>
      </c>
      <c r="CN44" t="e">
        <f>AND(Bills!#REF!,"AAAAAHt/+1s=")</f>
        <v>#REF!</v>
      </c>
      <c r="CO44" t="e">
        <f>AND(Bills!#REF!,"AAAAAHt/+1w=")</f>
        <v>#REF!</v>
      </c>
      <c r="CP44" t="e">
        <f>AND(Bills!#REF!,"AAAAAHt/+10=")</f>
        <v>#REF!</v>
      </c>
      <c r="CQ44" t="e">
        <f>AND(Bills!#REF!,"AAAAAHt/+14=")</f>
        <v>#REF!</v>
      </c>
      <c r="CR44" t="e">
        <f>AND(Bills!#REF!,"AAAAAHt/+18=")</f>
        <v>#REF!</v>
      </c>
      <c r="CS44" t="e">
        <f>AND(Bills!#REF!,"AAAAAHt/+2A=")</f>
        <v>#REF!</v>
      </c>
      <c r="CT44" t="e">
        <f>AND(Bills!#REF!,"AAAAAHt/+2E=")</f>
        <v>#REF!</v>
      </c>
      <c r="CU44" t="e">
        <f>IF(Bills!#REF!,"AAAAAHt/+2I=",0)</f>
        <v>#REF!</v>
      </c>
      <c r="CV44" t="e">
        <f>AND(Bills!#REF!,"AAAAAHt/+2M=")</f>
        <v>#REF!</v>
      </c>
      <c r="CW44" t="e">
        <f>AND(Bills!#REF!,"AAAAAHt/+2Q=")</f>
        <v>#REF!</v>
      </c>
      <c r="CX44" t="e">
        <f>AND(Bills!#REF!,"AAAAAHt/+2U=")</f>
        <v>#REF!</v>
      </c>
      <c r="CY44" t="e">
        <f>AND(Bills!#REF!,"AAAAAHt/+2Y=")</f>
        <v>#REF!</v>
      </c>
      <c r="CZ44" t="e">
        <f>AND(Bills!#REF!,"AAAAAHt/+2c=")</f>
        <v>#REF!</v>
      </c>
      <c r="DA44" t="e">
        <f>AND(Bills!#REF!,"AAAAAHt/+2g=")</f>
        <v>#REF!</v>
      </c>
      <c r="DB44" t="e">
        <f>AND(Bills!#REF!,"AAAAAHt/+2k=")</f>
        <v>#REF!</v>
      </c>
      <c r="DC44" t="e">
        <f>AND(Bills!#REF!,"AAAAAHt/+2o=")</f>
        <v>#REF!</v>
      </c>
      <c r="DD44" t="e">
        <f>AND(Bills!#REF!,"AAAAAHt/+2s=")</f>
        <v>#REF!</v>
      </c>
      <c r="DE44" t="e">
        <f>AND(Bills!#REF!,"AAAAAHt/+2w=")</f>
        <v>#REF!</v>
      </c>
      <c r="DF44" t="e">
        <f>AND(Bills!#REF!,"AAAAAHt/+20=")</f>
        <v>#REF!</v>
      </c>
      <c r="DG44" t="e">
        <f>AND(Bills!#REF!,"AAAAAHt/+24=")</f>
        <v>#REF!</v>
      </c>
      <c r="DH44" t="e">
        <f>AND(Bills!#REF!,"AAAAAHt/+28=")</f>
        <v>#REF!</v>
      </c>
      <c r="DI44" t="e">
        <f>AND(Bills!#REF!,"AAAAAHt/+3A=")</f>
        <v>#REF!</v>
      </c>
      <c r="DJ44" t="e">
        <f>AND(Bills!#REF!,"AAAAAHt/+3E=")</f>
        <v>#REF!</v>
      </c>
      <c r="DK44" t="e">
        <f>AND(Bills!#REF!,"AAAAAHt/+3I=")</f>
        <v>#REF!</v>
      </c>
      <c r="DL44" t="e">
        <f>AND(Bills!#REF!,"AAAAAHt/+3M=")</f>
        <v>#REF!</v>
      </c>
      <c r="DM44" t="e">
        <f>AND(Bills!#REF!,"AAAAAHt/+3Q=")</f>
        <v>#REF!</v>
      </c>
      <c r="DN44" t="e">
        <f>AND(Bills!#REF!,"AAAAAHt/+3U=")</f>
        <v>#REF!</v>
      </c>
      <c r="DO44" t="e">
        <f>AND(Bills!#REF!,"AAAAAHt/+3Y=")</f>
        <v>#REF!</v>
      </c>
      <c r="DP44" t="e">
        <f>AND(Bills!#REF!,"AAAAAHt/+3c=")</f>
        <v>#REF!</v>
      </c>
      <c r="DQ44" t="e">
        <f>AND(Bills!#REF!,"AAAAAHt/+3g=")</f>
        <v>#REF!</v>
      </c>
      <c r="DR44" t="e">
        <f>AND(Bills!#REF!,"AAAAAHt/+3k=")</f>
        <v>#REF!</v>
      </c>
      <c r="DS44" t="e">
        <f>AND(Bills!#REF!,"AAAAAHt/+3o=")</f>
        <v>#REF!</v>
      </c>
      <c r="DT44" t="e">
        <f>AND(Bills!#REF!,"AAAAAHt/+3s=")</f>
        <v>#REF!</v>
      </c>
      <c r="DU44" t="e">
        <f>AND(Bills!#REF!,"AAAAAHt/+3w=")</f>
        <v>#REF!</v>
      </c>
      <c r="DV44" t="e">
        <f>AND(Bills!#REF!,"AAAAAHt/+30=")</f>
        <v>#REF!</v>
      </c>
      <c r="DW44" t="e">
        <f>AND(Bills!#REF!,"AAAAAHt/+34=")</f>
        <v>#REF!</v>
      </c>
      <c r="DX44" t="e">
        <f>AND(Bills!#REF!,"AAAAAHt/+38=")</f>
        <v>#REF!</v>
      </c>
      <c r="DY44" t="e">
        <f>AND(Bills!#REF!,"AAAAAHt/+4A=")</f>
        <v>#REF!</v>
      </c>
      <c r="DZ44" t="e">
        <f>AND(Bills!#REF!,"AAAAAHt/+4E=")</f>
        <v>#REF!</v>
      </c>
      <c r="EA44" t="e">
        <f>AND(Bills!#REF!,"AAAAAHt/+4I=")</f>
        <v>#REF!</v>
      </c>
      <c r="EB44" t="e">
        <f>AND(Bills!#REF!,"AAAAAHt/+4M=")</f>
        <v>#REF!</v>
      </c>
      <c r="EC44" t="e">
        <f>AND(Bills!#REF!,"AAAAAHt/+4Q=")</f>
        <v>#REF!</v>
      </c>
      <c r="ED44" t="e">
        <f>AND(Bills!#REF!,"AAAAAHt/+4U=")</f>
        <v>#REF!</v>
      </c>
      <c r="EE44" t="e">
        <f>AND(Bills!#REF!,"AAAAAHt/+4Y=")</f>
        <v>#REF!</v>
      </c>
      <c r="EF44" t="e">
        <f>AND(Bills!#REF!,"AAAAAHt/+4c=")</f>
        <v>#REF!</v>
      </c>
      <c r="EG44" t="e">
        <f>AND(Bills!#REF!,"AAAAAHt/+4g=")</f>
        <v>#REF!</v>
      </c>
      <c r="EH44" t="e">
        <f>AND(Bills!#REF!,"AAAAAHt/+4k=")</f>
        <v>#REF!</v>
      </c>
      <c r="EI44" t="e">
        <f>AND(Bills!#REF!,"AAAAAHt/+4o=")</f>
        <v>#REF!</v>
      </c>
      <c r="EJ44" t="e">
        <f>AND(Bills!#REF!,"AAAAAHt/+4s=")</f>
        <v>#REF!</v>
      </c>
      <c r="EK44" t="e">
        <f>AND(Bills!#REF!,"AAAAAHt/+4w=")</f>
        <v>#REF!</v>
      </c>
      <c r="EL44" t="e">
        <f>AND(Bills!#REF!,"AAAAAHt/+40=")</f>
        <v>#REF!</v>
      </c>
      <c r="EM44" t="e">
        <f>AND(Bills!#REF!,"AAAAAHt/+44=")</f>
        <v>#REF!</v>
      </c>
      <c r="EN44" t="e">
        <f>AND(Bills!#REF!,"AAAAAHt/+48=")</f>
        <v>#REF!</v>
      </c>
      <c r="EO44" t="e">
        <f>AND(Bills!#REF!,"AAAAAHt/+5A=")</f>
        <v>#REF!</v>
      </c>
      <c r="EP44" t="e">
        <f>AND(Bills!#REF!,"AAAAAHt/+5E=")</f>
        <v>#REF!</v>
      </c>
      <c r="EQ44" t="e">
        <f>AND(Bills!#REF!,"AAAAAHt/+5I=")</f>
        <v>#REF!</v>
      </c>
      <c r="ER44" t="e">
        <f>AND(Bills!#REF!,"AAAAAHt/+5M=")</f>
        <v>#REF!</v>
      </c>
      <c r="ES44" t="e">
        <f>AND(Bills!#REF!,"AAAAAHt/+5Q=")</f>
        <v>#REF!</v>
      </c>
      <c r="ET44" t="e">
        <f>IF(Bills!#REF!,"AAAAAHt/+5U=",0)</f>
        <v>#REF!</v>
      </c>
      <c r="EU44" t="e">
        <f>AND(Bills!#REF!,"AAAAAHt/+5Y=")</f>
        <v>#REF!</v>
      </c>
      <c r="EV44" t="e">
        <f>AND(Bills!#REF!,"AAAAAHt/+5c=")</f>
        <v>#REF!</v>
      </c>
      <c r="EW44" t="e">
        <f>AND(Bills!#REF!,"AAAAAHt/+5g=")</f>
        <v>#REF!</v>
      </c>
      <c r="EX44" t="e">
        <f>AND(Bills!#REF!,"AAAAAHt/+5k=")</f>
        <v>#REF!</v>
      </c>
      <c r="EY44" t="e">
        <f>AND(Bills!#REF!,"AAAAAHt/+5o=")</f>
        <v>#REF!</v>
      </c>
      <c r="EZ44" t="e">
        <f>AND(Bills!#REF!,"AAAAAHt/+5s=")</f>
        <v>#REF!</v>
      </c>
      <c r="FA44" t="e">
        <f>AND(Bills!#REF!,"AAAAAHt/+5w=")</f>
        <v>#REF!</v>
      </c>
      <c r="FB44" t="e">
        <f>AND(Bills!#REF!,"AAAAAHt/+50=")</f>
        <v>#REF!</v>
      </c>
      <c r="FC44" t="e">
        <f>AND(Bills!#REF!,"AAAAAHt/+54=")</f>
        <v>#REF!</v>
      </c>
      <c r="FD44" t="e">
        <f>AND(Bills!#REF!,"AAAAAHt/+58=")</f>
        <v>#REF!</v>
      </c>
      <c r="FE44" t="e">
        <f>AND(Bills!#REF!,"AAAAAHt/+6A=")</f>
        <v>#REF!</v>
      </c>
      <c r="FF44" t="e">
        <f>AND(Bills!#REF!,"AAAAAHt/+6E=")</f>
        <v>#REF!</v>
      </c>
      <c r="FG44" t="e">
        <f>AND(Bills!#REF!,"AAAAAHt/+6I=")</f>
        <v>#REF!</v>
      </c>
      <c r="FH44" t="e">
        <f>AND(Bills!#REF!,"AAAAAHt/+6M=")</f>
        <v>#REF!</v>
      </c>
      <c r="FI44" t="e">
        <f>AND(Bills!#REF!,"AAAAAHt/+6Q=")</f>
        <v>#REF!</v>
      </c>
      <c r="FJ44" t="e">
        <f>AND(Bills!#REF!,"AAAAAHt/+6U=")</f>
        <v>#REF!</v>
      </c>
      <c r="FK44" t="e">
        <f>AND(Bills!#REF!,"AAAAAHt/+6Y=")</f>
        <v>#REF!</v>
      </c>
      <c r="FL44" t="e">
        <f>AND(Bills!#REF!,"AAAAAHt/+6c=")</f>
        <v>#REF!</v>
      </c>
      <c r="FM44" t="e">
        <f>AND(Bills!#REF!,"AAAAAHt/+6g=")</f>
        <v>#REF!</v>
      </c>
      <c r="FN44" t="e">
        <f>AND(Bills!#REF!,"AAAAAHt/+6k=")</f>
        <v>#REF!</v>
      </c>
      <c r="FO44" t="e">
        <f>AND(Bills!#REF!,"AAAAAHt/+6o=")</f>
        <v>#REF!</v>
      </c>
      <c r="FP44" t="e">
        <f>AND(Bills!#REF!,"AAAAAHt/+6s=")</f>
        <v>#REF!</v>
      </c>
      <c r="FQ44" t="e">
        <f>AND(Bills!#REF!,"AAAAAHt/+6w=")</f>
        <v>#REF!</v>
      </c>
      <c r="FR44" t="e">
        <f>AND(Bills!#REF!,"AAAAAHt/+60=")</f>
        <v>#REF!</v>
      </c>
      <c r="FS44" t="e">
        <f>AND(Bills!#REF!,"AAAAAHt/+64=")</f>
        <v>#REF!</v>
      </c>
      <c r="FT44" t="e">
        <f>AND(Bills!#REF!,"AAAAAHt/+68=")</f>
        <v>#REF!</v>
      </c>
      <c r="FU44" t="e">
        <f>AND(Bills!#REF!,"AAAAAHt/+7A=")</f>
        <v>#REF!</v>
      </c>
      <c r="FV44" t="e">
        <f>AND(Bills!#REF!,"AAAAAHt/+7E=")</f>
        <v>#REF!</v>
      </c>
      <c r="FW44" t="e">
        <f>AND(Bills!#REF!,"AAAAAHt/+7I=")</f>
        <v>#REF!</v>
      </c>
      <c r="FX44" t="e">
        <f>AND(Bills!#REF!,"AAAAAHt/+7M=")</f>
        <v>#REF!</v>
      </c>
      <c r="FY44" t="e">
        <f>AND(Bills!#REF!,"AAAAAHt/+7Q=")</f>
        <v>#REF!</v>
      </c>
      <c r="FZ44" t="e">
        <f>AND(Bills!#REF!,"AAAAAHt/+7U=")</f>
        <v>#REF!</v>
      </c>
      <c r="GA44" t="e">
        <f>AND(Bills!#REF!,"AAAAAHt/+7Y=")</f>
        <v>#REF!</v>
      </c>
      <c r="GB44" t="e">
        <f>AND(Bills!#REF!,"AAAAAHt/+7c=")</f>
        <v>#REF!</v>
      </c>
      <c r="GC44" t="e">
        <f>AND(Bills!#REF!,"AAAAAHt/+7g=")</f>
        <v>#REF!</v>
      </c>
      <c r="GD44" t="e">
        <f>AND(Bills!#REF!,"AAAAAHt/+7k=")</f>
        <v>#REF!</v>
      </c>
      <c r="GE44" t="e">
        <f>AND(Bills!#REF!,"AAAAAHt/+7o=")</f>
        <v>#REF!</v>
      </c>
      <c r="GF44" t="e">
        <f>AND(Bills!#REF!,"AAAAAHt/+7s=")</f>
        <v>#REF!</v>
      </c>
      <c r="GG44" t="e">
        <f>AND(Bills!#REF!,"AAAAAHt/+7w=")</f>
        <v>#REF!</v>
      </c>
      <c r="GH44" t="e">
        <f>AND(Bills!#REF!,"AAAAAHt/+70=")</f>
        <v>#REF!</v>
      </c>
      <c r="GI44" t="e">
        <f>AND(Bills!#REF!,"AAAAAHt/+74=")</f>
        <v>#REF!</v>
      </c>
      <c r="GJ44" t="e">
        <f>AND(Bills!#REF!,"AAAAAHt/+78=")</f>
        <v>#REF!</v>
      </c>
      <c r="GK44" t="e">
        <f>AND(Bills!#REF!,"AAAAAHt/+8A=")</f>
        <v>#REF!</v>
      </c>
      <c r="GL44" t="e">
        <f>AND(Bills!#REF!,"AAAAAHt/+8E=")</f>
        <v>#REF!</v>
      </c>
      <c r="GM44" t="e">
        <f>AND(Bills!#REF!,"AAAAAHt/+8I=")</f>
        <v>#REF!</v>
      </c>
      <c r="GN44" t="e">
        <f>AND(Bills!#REF!,"AAAAAHt/+8M=")</f>
        <v>#REF!</v>
      </c>
      <c r="GO44" t="e">
        <f>AND(Bills!#REF!,"AAAAAHt/+8Q=")</f>
        <v>#REF!</v>
      </c>
      <c r="GP44" t="e">
        <f>AND(Bills!#REF!,"AAAAAHt/+8U=")</f>
        <v>#REF!</v>
      </c>
      <c r="GQ44" t="e">
        <f>AND(Bills!#REF!,"AAAAAHt/+8Y=")</f>
        <v>#REF!</v>
      </c>
      <c r="GR44" t="e">
        <f>AND(Bills!#REF!,"AAAAAHt/+8c=")</f>
        <v>#REF!</v>
      </c>
      <c r="GS44" t="e">
        <f>IF(Bills!#REF!,"AAAAAHt/+8g=",0)</f>
        <v>#REF!</v>
      </c>
      <c r="GT44" t="e">
        <f>AND(Bills!#REF!,"AAAAAHt/+8k=")</f>
        <v>#REF!</v>
      </c>
      <c r="GU44" t="e">
        <f>AND(Bills!#REF!,"AAAAAHt/+8o=")</f>
        <v>#REF!</v>
      </c>
      <c r="GV44" t="e">
        <f>AND(Bills!#REF!,"AAAAAHt/+8s=")</f>
        <v>#REF!</v>
      </c>
      <c r="GW44" t="e">
        <f>AND(Bills!#REF!,"AAAAAHt/+8w=")</f>
        <v>#REF!</v>
      </c>
      <c r="GX44" t="e">
        <f>AND(Bills!#REF!,"AAAAAHt/+80=")</f>
        <v>#REF!</v>
      </c>
      <c r="GY44" t="e">
        <f>AND(Bills!#REF!,"AAAAAHt/+84=")</f>
        <v>#REF!</v>
      </c>
      <c r="GZ44" t="e">
        <f>AND(Bills!#REF!,"AAAAAHt/+88=")</f>
        <v>#REF!</v>
      </c>
      <c r="HA44" t="e">
        <f>AND(Bills!#REF!,"AAAAAHt/+9A=")</f>
        <v>#REF!</v>
      </c>
      <c r="HB44" t="e">
        <f>AND(Bills!#REF!,"AAAAAHt/+9E=")</f>
        <v>#REF!</v>
      </c>
      <c r="HC44" t="e">
        <f>AND(Bills!#REF!,"AAAAAHt/+9I=")</f>
        <v>#REF!</v>
      </c>
      <c r="HD44" t="e">
        <f>AND(Bills!#REF!,"AAAAAHt/+9M=")</f>
        <v>#REF!</v>
      </c>
      <c r="HE44" t="e">
        <f>AND(Bills!#REF!,"AAAAAHt/+9Q=")</f>
        <v>#REF!</v>
      </c>
      <c r="HF44" t="e">
        <f>AND(Bills!#REF!,"AAAAAHt/+9U=")</f>
        <v>#REF!</v>
      </c>
      <c r="HG44" t="e">
        <f>AND(Bills!#REF!,"AAAAAHt/+9Y=")</f>
        <v>#REF!</v>
      </c>
      <c r="HH44" t="e">
        <f>AND(Bills!#REF!,"AAAAAHt/+9c=")</f>
        <v>#REF!</v>
      </c>
      <c r="HI44" t="e">
        <f>AND(Bills!#REF!,"AAAAAHt/+9g=")</f>
        <v>#REF!</v>
      </c>
      <c r="HJ44" t="e">
        <f>AND(Bills!#REF!,"AAAAAHt/+9k=")</f>
        <v>#REF!</v>
      </c>
      <c r="HK44" t="e">
        <f>AND(Bills!#REF!,"AAAAAHt/+9o=")</f>
        <v>#REF!</v>
      </c>
      <c r="HL44" t="e">
        <f>AND(Bills!#REF!,"AAAAAHt/+9s=")</f>
        <v>#REF!</v>
      </c>
      <c r="HM44" t="e">
        <f>AND(Bills!#REF!,"AAAAAHt/+9w=")</f>
        <v>#REF!</v>
      </c>
      <c r="HN44" t="e">
        <f>AND(Bills!#REF!,"AAAAAHt/+90=")</f>
        <v>#REF!</v>
      </c>
      <c r="HO44" t="e">
        <f>AND(Bills!#REF!,"AAAAAHt/+94=")</f>
        <v>#REF!</v>
      </c>
      <c r="HP44" t="e">
        <f>AND(Bills!#REF!,"AAAAAHt/+98=")</f>
        <v>#REF!</v>
      </c>
      <c r="HQ44" t="e">
        <f>AND(Bills!#REF!,"AAAAAHt/++A=")</f>
        <v>#REF!</v>
      </c>
      <c r="HR44" t="e">
        <f>AND(Bills!#REF!,"AAAAAHt/++E=")</f>
        <v>#REF!</v>
      </c>
      <c r="HS44" t="e">
        <f>AND(Bills!#REF!,"AAAAAHt/++I=")</f>
        <v>#REF!</v>
      </c>
      <c r="HT44" t="e">
        <f>AND(Bills!#REF!,"AAAAAHt/++M=")</f>
        <v>#REF!</v>
      </c>
      <c r="HU44" t="e">
        <f>AND(Bills!#REF!,"AAAAAHt/++Q=")</f>
        <v>#REF!</v>
      </c>
      <c r="HV44" t="e">
        <f>AND(Bills!#REF!,"AAAAAHt/++U=")</f>
        <v>#REF!</v>
      </c>
      <c r="HW44" t="e">
        <f>AND(Bills!#REF!,"AAAAAHt/++Y=")</f>
        <v>#REF!</v>
      </c>
      <c r="HX44" t="e">
        <f>AND(Bills!#REF!,"AAAAAHt/++c=")</f>
        <v>#REF!</v>
      </c>
      <c r="HY44" t="e">
        <f>AND(Bills!#REF!,"AAAAAHt/++g=")</f>
        <v>#REF!</v>
      </c>
      <c r="HZ44" t="e">
        <f>AND(Bills!#REF!,"AAAAAHt/++k=")</f>
        <v>#REF!</v>
      </c>
      <c r="IA44" t="e">
        <f>AND(Bills!#REF!,"AAAAAHt/++o=")</f>
        <v>#REF!</v>
      </c>
      <c r="IB44" t="e">
        <f>AND(Bills!#REF!,"AAAAAHt/++s=")</f>
        <v>#REF!</v>
      </c>
      <c r="IC44" t="e">
        <f>AND(Bills!#REF!,"AAAAAHt/++w=")</f>
        <v>#REF!</v>
      </c>
      <c r="ID44" t="e">
        <f>AND(Bills!#REF!,"AAAAAHt/++0=")</f>
        <v>#REF!</v>
      </c>
      <c r="IE44" t="e">
        <f>AND(Bills!#REF!,"AAAAAHt/++4=")</f>
        <v>#REF!</v>
      </c>
      <c r="IF44" t="e">
        <f>AND(Bills!#REF!,"AAAAAHt/++8=")</f>
        <v>#REF!</v>
      </c>
      <c r="IG44" t="e">
        <f>AND(Bills!#REF!,"AAAAAHt/+/A=")</f>
        <v>#REF!</v>
      </c>
      <c r="IH44" t="e">
        <f>AND(Bills!#REF!,"AAAAAHt/+/E=")</f>
        <v>#REF!</v>
      </c>
      <c r="II44" t="e">
        <f>AND(Bills!#REF!,"AAAAAHt/+/I=")</f>
        <v>#REF!</v>
      </c>
      <c r="IJ44" t="e">
        <f>AND(Bills!#REF!,"AAAAAHt/+/M=")</f>
        <v>#REF!</v>
      </c>
      <c r="IK44" t="e">
        <f>AND(Bills!#REF!,"AAAAAHt/+/Q=")</f>
        <v>#REF!</v>
      </c>
      <c r="IL44" t="e">
        <f>AND(Bills!#REF!,"AAAAAHt/+/U=")</f>
        <v>#REF!</v>
      </c>
      <c r="IM44" t="e">
        <f>AND(Bills!#REF!,"AAAAAHt/+/Y=")</f>
        <v>#REF!</v>
      </c>
      <c r="IN44" t="e">
        <f>AND(Bills!#REF!,"AAAAAHt/+/c=")</f>
        <v>#REF!</v>
      </c>
      <c r="IO44" t="e">
        <f>AND(Bills!#REF!,"AAAAAHt/+/g=")</f>
        <v>#REF!</v>
      </c>
      <c r="IP44" t="e">
        <f>AND(Bills!#REF!,"AAAAAHt/+/k=")</f>
        <v>#REF!</v>
      </c>
      <c r="IQ44" t="e">
        <f>AND(Bills!#REF!,"AAAAAHt/+/o=")</f>
        <v>#REF!</v>
      </c>
      <c r="IR44" t="e">
        <f>IF(Bills!#REF!,"AAAAAHt/+/s=",0)</f>
        <v>#REF!</v>
      </c>
      <c r="IS44" t="e">
        <f>AND(Bills!#REF!,"AAAAAHt/+/w=")</f>
        <v>#REF!</v>
      </c>
      <c r="IT44" t="e">
        <f>AND(Bills!#REF!,"AAAAAHt/+/0=")</f>
        <v>#REF!</v>
      </c>
      <c r="IU44" t="e">
        <f>AND(Bills!#REF!,"AAAAAHt/+/4=")</f>
        <v>#REF!</v>
      </c>
      <c r="IV44" t="e">
        <f>AND(Bills!#REF!,"AAAAAHt/+/8=")</f>
        <v>#REF!</v>
      </c>
    </row>
    <row r="45" spans="1:256">
      <c r="A45" t="e">
        <f>AND(Bills!#REF!,"AAAAACsvvwA=")</f>
        <v>#REF!</v>
      </c>
      <c r="B45" t="e">
        <f>AND(Bills!#REF!,"AAAAACsvvwE=")</f>
        <v>#REF!</v>
      </c>
      <c r="C45" t="e">
        <f>AND(Bills!#REF!,"AAAAACsvvwI=")</f>
        <v>#REF!</v>
      </c>
      <c r="D45" t="e">
        <f>AND(Bills!#REF!,"AAAAACsvvwM=")</f>
        <v>#REF!</v>
      </c>
      <c r="E45" t="e">
        <f>AND(Bills!#REF!,"AAAAACsvvwQ=")</f>
        <v>#REF!</v>
      </c>
      <c r="F45" t="e">
        <f>AND(Bills!#REF!,"AAAAACsvvwU=")</f>
        <v>#REF!</v>
      </c>
      <c r="G45" t="e">
        <f>AND(Bills!#REF!,"AAAAACsvvwY=")</f>
        <v>#REF!</v>
      </c>
      <c r="H45" t="e">
        <f>AND(Bills!#REF!,"AAAAACsvvwc=")</f>
        <v>#REF!</v>
      </c>
      <c r="I45" t="e">
        <f>AND(Bills!#REF!,"AAAAACsvvwg=")</f>
        <v>#REF!</v>
      </c>
      <c r="J45" t="e">
        <f>AND(Bills!#REF!,"AAAAACsvvwk=")</f>
        <v>#REF!</v>
      </c>
      <c r="K45" t="e">
        <f>AND(Bills!#REF!,"AAAAACsvvwo=")</f>
        <v>#REF!</v>
      </c>
      <c r="L45" t="e">
        <f>AND(Bills!#REF!,"AAAAACsvvws=")</f>
        <v>#REF!</v>
      </c>
      <c r="M45" t="e">
        <f>AND(Bills!#REF!,"AAAAACsvvww=")</f>
        <v>#REF!</v>
      </c>
      <c r="N45" t="e">
        <f>AND(Bills!#REF!,"AAAAACsvvw0=")</f>
        <v>#REF!</v>
      </c>
      <c r="O45" t="e">
        <f>AND(Bills!#REF!,"AAAAACsvvw4=")</f>
        <v>#REF!</v>
      </c>
      <c r="P45" t="e">
        <f>AND(Bills!#REF!,"AAAAACsvvw8=")</f>
        <v>#REF!</v>
      </c>
      <c r="Q45" t="e">
        <f>AND(Bills!#REF!,"AAAAACsvvxA=")</f>
        <v>#REF!</v>
      </c>
      <c r="R45" t="e">
        <f>AND(Bills!#REF!,"AAAAACsvvxE=")</f>
        <v>#REF!</v>
      </c>
      <c r="S45" t="e">
        <f>AND(Bills!#REF!,"AAAAACsvvxI=")</f>
        <v>#REF!</v>
      </c>
      <c r="T45" t="e">
        <f>AND(Bills!#REF!,"AAAAACsvvxM=")</f>
        <v>#REF!</v>
      </c>
      <c r="U45" t="e">
        <f>AND(Bills!#REF!,"AAAAACsvvxQ=")</f>
        <v>#REF!</v>
      </c>
      <c r="V45" t="e">
        <f>AND(Bills!#REF!,"AAAAACsvvxU=")</f>
        <v>#REF!</v>
      </c>
      <c r="W45" t="e">
        <f>AND(Bills!#REF!,"AAAAACsvvxY=")</f>
        <v>#REF!</v>
      </c>
      <c r="X45" t="e">
        <f>AND(Bills!#REF!,"AAAAACsvvxc=")</f>
        <v>#REF!</v>
      </c>
      <c r="Y45" t="e">
        <f>AND(Bills!#REF!,"AAAAACsvvxg=")</f>
        <v>#REF!</v>
      </c>
      <c r="Z45" t="e">
        <f>AND(Bills!#REF!,"AAAAACsvvxk=")</f>
        <v>#REF!</v>
      </c>
      <c r="AA45" t="e">
        <f>AND(Bills!#REF!,"AAAAACsvvxo=")</f>
        <v>#REF!</v>
      </c>
      <c r="AB45" t="e">
        <f>AND(Bills!#REF!,"AAAAACsvvxs=")</f>
        <v>#REF!</v>
      </c>
      <c r="AC45" t="e">
        <f>AND(Bills!#REF!,"AAAAACsvvxw=")</f>
        <v>#REF!</v>
      </c>
      <c r="AD45" t="e">
        <f>AND(Bills!#REF!,"AAAAACsvvx0=")</f>
        <v>#REF!</v>
      </c>
      <c r="AE45" t="e">
        <f>AND(Bills!#REF!,"AAAAACsvvx4=")</f>
        <v>#REF!</v>
      </c>
      <c r="AF45" t="e">
        <f>AND(Bills!#REF!,"AAAAACsvvx8=")</f>
        <v>#REF!</v>
      </c>
      <c r="AG45" t="e">
        <f>AND(Bills!#REF!,"AAAAACsvvyA=")</f>
        <v>#REF!</v>
      </c>
      <c r="AH45" t="e">
        <f>AND(Bills!#REF!,"AAAAACsvvyE=")</f>
        <v>#REF!</v>
      </c>
      <c r="AI45" t="e">
        <f>AND(Bills!#REF!,"AAAAACsvvyI=")</f>
        <v>#REF!</v>
      </c>
      <c r="AJ45" t="e">
        <f>AND(Bills!#REF!,"AAAAACsvvyM=")</f>
        <v>#REF!</v>
      </c>
      <c r="AK45" t="e">
        <f>AND(Bills!#REF!,"AAAAACsvvyQ=")</f>
        <v>#REF!</v>
      </c>
      <c r="AL45" t="e">
        <f>AND(Bills!#REF!,"AAAAACsvvyU=")</f>
        <v>#REF!</v>
      </c>
      <c r="AM45" t="e">
        <f>AND(Bills!#REF!,"AAAAACsvvyY=")</f>
        <v>#REF!</v>
      </c>
      <c r="AN45" t="e">
        <f>AND(Bills!#REF!,"AAAAACsvvyc=")</f>
        <v>#REF!</v>
      </c>
      <c r="AO45" t="e">
        <f>AND(Bills!#REF!,"AAAAACsvvyg=")</f>
        <v>#REF!</v>
      </c>
      <c r="AP45" t="e">
        <f>AND(Bills!#REF!,"AAAAACsvvyk=")</f>
        <v>#REF!</v>
      </c>
      <c r="AQ45" t="e">
        <f>AND(Bills!#REF!,"AAAAACsvvyo=")</f>
        <v>#REF!</v>
      </c>
      <c r="AR45" t="e">
        <f>AND(Bills!#REF!,"AAAAACsvvys=")</f>
        <v>#REF!</v>
      </c>
      <c r="AS45" t="e">
        <f>AND(Bills!#REF!,"AAAAACsvvyw=")</f>
        <v>#REF!</v>
      </c>
      <c r="AT45" t="e">
        <f>AND(Bills!#REF!,"AAAAACsvvy0=")</f>
        <v>#REF!</v>
      </c>
      <c r="AU45" t="e">
        <f>IF(Bills!#REF!,"AAAAACsvvy4=",0)</f>
        <v>#REF!</v>
      </c>
      <c r="AV45" t="e">
        <f>AND(Bills!#REF!,"AAAAACsvvy8=")</f>
        <v>#REF!</v>
      </c>
      <c r="AW45" t="e">
        <f>AND(Bills!#REF!,"AAAAACsvvzA=")</f>
        <v>#REF!</v>
      </c>
      <c r="AX45" t="e">
        <f>AND(Bills!#REF!,"AAAAACsvvzE=")</f>
        <v>#REF!</v>
      </c>
      <c r="AY45" t="e">
        <f>AND(Bills!#REF!,"AAAAACsvvzI=")</f>
        <v>#REF!</v>
      </c>
      <c r="AZ45" t="e">
        <f>AND(Bills!#REF!,"AAAAACsvvzM=")</f>
        <v>#REF!</v>
      </c>
      <c r="BA45" t="e">
        <f>AND(Bills!#REF!,"AAAAACsvvzQ=")</f>
        <v>#REF!</v>
      </c>
      <c r="BB45" t="e">
        <f>AND(Bills!#REF!,"AAAAACsvvzU=")</f>
        <v>#REF!</v>
      </c>
      <c r="BC45" t="e">
        <f>AND(Bills!#REF!,"AAAAACsvvzY=")</f>
        <v>#REF!</v>
      </c>
      <c r="BD45" t="e">
        <f>AND(Bills!#REF!,"AAAAACsvvzc=")</f>
        <v>#REF!</v>
      </c>
      <c r="BE45" t="e">
        <f>AND(Bills!#REF!,"AAAAACsvvzg=")</f>
        <v>#REF!</v>
      </c>
      <c r="BF45" t="e">
        <f>AND(Bills!#REF!,"AAAAACsvvzk=")</f>
        <v>#REF!</v>
      </c>
      <c r="BG45" t="e">
        <f>AND(Bills!#REF!,"AAAAACsvvzo=")</f>
        <v>#REF!</v>
      </c>
      <c r="BH45" t="e">
        <f>AND(Bills!#REF!,"AAAAACsvvzs=")</f>
        <v>#REF!</v>
      </c>
      <c r="BI45" t="e">
        <f>AND(Bills!#REF!,"AAAAACsvvzw=")</f>
        <v>#REF!</v>
      </c>
      <c r="BJ45" t="e">
        <f>AND(Bills!#REF!,"AAAAACsvvz0=")</f>
        <v>#REF!</v>
      </c>
      <c r="BK45" t="e">
        <f>AND(Bills!#REF!,"AAAAACsvvz4=")</f>
        <v>#REF!</v>
      </c>
      <c r="BL45" t="e">
        <f>AND(Bills!#REF!,"AAAAACsvvz8=")</f>
        <v>#REF!</v>
      </c>
      <c r="BM45" t="e">
        <f>AND(Bills!#REF!,"AAAAACsvv0A=")</f>
        <v>#REF!</v>
      </c>
      <c r="BN45" t="e">
        <f>AND(Bills!#REF!,"AAAAACsvv0E=")</f>
        <v>#REF!</v>
      </c>
      <c r="BO45" t="e">
        <f>AND(Bills!#REF!,"AAAAACsvv0I=")</f>
        <v>#REF!</v>
      </c>
      <c r="BP45" t="e">
        <f>AND(Bills!#REF!,"AAAAACsvv0M=")</f>
        <v>#REF!</v>
      </c>
      <c r="BQ45" t="e">
        <f>AND(Bills!#REF!,"AAAAACsvv0Q=")</f>
        <v>#REF!</v>
      </c>
      <c r="BR45" t="e">
        <f>AND(Bills!#REF!,"AAAAACsvv0U=")</f>
        <v>#REF!</v>
      </c>
      <c r="BS45" t="e">
        <f>AND(Bills!#REF!,"AAAAACsvv0Y=")</f>
        <v>#REF!</v>
      </c>
      <c r="BT45" t="e">
        <f>AND(Bills!#REF!,"AAAAACsvv0c=")</f>
        <v>#REF!</v>
      </c>
      <c r="BU45" t="e">
        <f>AND(Bills!#REF!,"AAAAACsvv0g=")</f>
        <v>#REF!</v>
      </c>
      <c r="BV45" t="e">
        <f>AND(Bills!#REF!,"AAAAACsvv0k=")</f>
        <v>#REF!</v>
      </c>
      <c r="BW45" t="e">
        <f>AND(Bills!#REF!,"AAAAACsvv0o=")</f>
        <v>#REF!</v>
      </c>
      <c r="BX45" t="e">
        <f>AND(Bills!#REF!,"AAAAACsvv0s=")</f>
        <v>#REF!</v>
      </c>
      <c r="BY45" t="e">
        <f>AND(Bills!#REF!,"AAAAACsvv0w=")</f>
        <v>#REF!</v>
      </c>
      <c r="BZ45" t="e">
        <f>AND(Bills!#REF!,"AAAAACsvv00=")</f>
        <v>#REF!</v>
      </c>
      <c r="CA45" t="e">
        <f>AND(Bills!#REF!,"AAAAACsvv04=")</f>
        <v>#REF!</v>
      </c>
      <c r="CB45" t="e">
        <f>AND(Bills!#REF!,"AAAAACsvv08=")</f>
        <v>#REF!</v>
      </c>
      <c r="CC45" t="e">
        <f>AND(Bills!#REF!,"AAAAACsvv1A=")</f>
        <v>#REF!</v>
      </c>
      <c r="CD45" t="e">
        <f>AND(Bills!#REF!,"AAAAACsvv1E=")</f>
        <v>#REF!</v>
      </c>
      <c r="CE45" t="e">
        <f>AND(Bills!#REF!,"AAAAACsvv1I=")</f>
        <v>#REF!</v>
      </c>
      <c r="CF45" t="e">
        <f>AND(Bills!#REF!,"AAAAACsvv1M=")</f>
        <v>#REF!</v>
      </c>
      <c r="CG45" t="e">
        <f>AND(Bills!#REF!,"AAAAACsvv1Q=")</f>
        <v>#REF!</v>
      </c>
      <c r="CH45" t="e">
        <f>AND(Bills!#REF!,"AAAAACsvv1U=")</f>
        <v>#REF!</v>
      </c>
      <c r="CI45" t="e">
        <f>AND(Bills!#REF!,"AAAAACsvv1Y=")</f>
        <v>#REF!</v>
      </c>
      <c r="CJ45" t="e">
        <f>AND(Bills!#REF!,"AAAAACsvv1c=")</f>
        <v>#REF!</v>
      </c>
      <c r="CK45" t="e">
        <f>AND(Bills!#REF!,"AAAAACsvv1g=")</f>
        <v>#REF!</v>
      </c>
      <c r="CL45" t="e">
        <f>AND(Bills!#REF!,"AAAAACsvv1k=")</f>
        <v>#REF!</v>
      </c>
      <c r="CM45" t="e">
        <f>AND(Bills!#REF!,"AAAAACsvv1o=")</f>
        <v>#REF!</v>
      </c>
      <c r="CN45" t="e">
        <f>AND(Bills!#REF!,"AAAAACsvv1s=")</f>
        <v>#REF!</v>
      </c>
      <c r="CO45" t="e">
        <f>AND(Bills!#REF!,"AAAAACsvv1w=")</f>
        <v>#REF!</v>
      </c>
      <c r="CP45" t="e">
        <f>AND(Bills!#REF!,"AAAAACsvv10=")</f>
        <v>#REF!</v>
      </c>
      <c r="CQ45" t="e">
        <f>AND(Bills!#REF!,"AAAAACsvv14=")</f>
        <v>#REF!</v>
      </c>
      <c r="CR45" t="e">
        <f>AND(Bills!#REF!,"AAAAACsvv18=")</f>
        <v>#REF!</v>
      </c>
      <c r="CS45" t="e">
        <f>AND(Bills!#REF!,"AAAAACsvv2A=")</f>
        <v>#REF!</v>
      </c>
      <c r="CT45" t="e">
        <f>IF(Bills!#REF!,"AAAAACsvv2E=",0)</f>
        <v>#REF!</v>
      </c>
      <c r="CU45" t="e">
        <f>AND(Bills!#REF!,"AAAAACsvv2I=")</f>
        <v>#REF!</v>
      </c>
      <c r="CV45" t="e">
        <f>AND(Bills!#REF!,"AAAAACsvv2M=")</f>
        <v>#REF!</v>
      </c>
      <c r="CW45" t="e">
        <f>AND(Bills!#REF!,"AAAAACsvv2Q=")</f>
        <v>#REF!</v>
      </c>
      <c r="CX45" t="e">
        <f>AND(Bills!#REF!,"AAAAACsvv2U=")</f>
        <v>#REF!</v>
      </c>
      <c r="CY45" t="e">
        <f>AND(Bills!#REF!,"AAAAACsvv2Y=")</f>
        <v>#REF!</v>
      </c>
      <c r="CZ45" t="e">
        <f>AND(Bills!#REF!,"AAAAACsvv2c=")</f>
        <v>#REF!</v>
      </c>
      <c r="DA45" t="e">
        <f>AND(Bills!#REF!,"AAAAACsvv2g=")</f>
        <v>#REF!</v>
      </c>
      <c r="DB45" t="e">
        <f>AND(Bills!#REF!,"AAAAACsvv2k=")</f>
        <v>#REF!</v>
      </c>
      <c r="DC45" t="e">
        <f>AND(Bills!#REF!,"AAAAACsvv2o=")</f>
        <v>#REF!</v>
      </c>
      <c r="DD45" t="e">
        <f>AND(Bills!#REF!,"AAAAACsvv2s=")</f>
        <v>#REF!</v>
      </c>
      <c r="DE45" t="e">
        <f>AND(Bills!#REF!,"AAAAACsvv2w=")</f>
        <v>#REF!</v>
      </c>
      <c r="DF45" t="e">
        <f>AND(Bills!#REF!,"AAAAACsvv20=")</f>
        <v>#REF!</v>
      </c>
      <c r="DG45" t="e">
        <f>AND(Bills!#REF!,"AAAAACsvv24=")</f>
        <v>#REF!</v>
      </c>
      <c r="DH45" t="e">
        <f>AND(Bills!#REF!,"AAAAACsvv28=")</f>
        <v>#REF!</v>
      </c>
      <c r="DI45" t="e">
        <f>AND(Bills!#REF!,"AAAAACsvv3A=")</f>
        <v>#REF!</v>
      </c>
      <c r="DJ45" t="e">
        <f>AND(Bills!#REF!,"AAAAACsvv3E=")</f>
        <v>#REF!</v>
      </c>
      <c r="DK45" t="e">
        <f>AND(Bills!#REF!,"AAAAACsvv3I=")</f>
        <v>#REF!</v>
      </c>
      <c r="DL45" t="e">
        <f>AND(Bills!#REF!,"AAAAACsvv3M=")</f>
        <v>#REF!</v>
      </c>
      <c r="DM45" t="e">
        <f>AND(Bills!#REF!,"AAAAACsvv3Q=")</f>
        <v>#REF!</v>
      </c>
      <c r="DN45" t="e">
        <f>AND(Bills!#REF!,"AAAAACsvv3U=")</f>
        <v>#REF!</v>
      </c>
      <c r="DO45" t="e">
        <f>AND(Bills!#REF!,"AAAAACsvv3Y=")</f>
        <v>#REF!</v>
      </c>
      <c r="DP45" t="e">
        <f>AND(Bills!#REF!,"AAAAACsvv3c=")</f>
        <v>#REF!</v>
      </c>
      <c r="DQ45" t="e">
        <f>AND(Bills!#REF!,"AAAAACsvv3g=")</f>
        <v>#REF!</v>
      </c>
      <c r="DR45" t="e">
        <f>AND(Bills!#REF!,"AAAAACsvv3k=")</f>
        <v>#REF!</v>
      </c>
      <c r="DS45" t="e">
        <f>AND(Bills!#REF!,"AAAAACsvv3o=")</f>
        <v>#REF!</v>
      </c>
      <c r="DT45" t="e">
        <f>AND(Bills!#REF!,"AAAAACsvv3s=")</f>
        <v>#REF!</v>
      </c>
      <c r="DU45" t="e">
        <f>AND(Bills!#REF!,"AAAAACsvv3w=")</f>
        <v>#REF!</v>
      </c>
      <c r="DV45" t="e">
        <f>AND(Bills!#REF!,"AAAAACsvv30=")</f>
        <v>#REF!</v>
      </c>
      <c r="DW45" t="e">
        <f>AND(Bills!#REF!,"AAAAACsvv34=")</f>
        <v>#REF!</v>
      </c>
      <c r="DX45" t="e">
        <f>AND(Bills!#REF!,"AAAAACsvv38=")</f>
        <v>#REF!</v>
      </c>
      <c r="DY45" t="e">
        <f>AND(Bills!#REF!,"AAAAACsvv4A=")</f>
        <v>#REF!</v>
      </c>
      <c r="DZ45" t="e">
        <f>AND(Bills!#REF!,"AAAAACsvv4E=")</f>
        <v>#REF!</v>
      </c>
      <c r="EA45" t="e">
        <f>AND(Bills!#REF!,"AAAAACsvv4I=")</f>
        <v>#REF!</v>
      </c>
      <c r="EB45" t="e">
        <f>AND(Bills!#REF!,"AAAAACsvv4M=")</f>
        <v>#REF!</v>
      </c>
      <c r="EC45" t="e">
        <f>AND(Bills!#REF!,"AAAAACsvv4Q=")</f>
        <v>#REF!</v>
      </c>
      <c r="ED45" t="e">
        <f>AND(Bills!#REF!,"AAAAACsvv4U=")</f>
        <v>#REF!</v>
      </c>
      <c r="EE45" t="e">
        <f>AND(Bills!#REF!,"AAAAACsvv4Y=")</f>
        <v>#REF!</v>
      </c>
      <c r="EF45" t="e">
        <f>AND(Bills!#REF!,"AAAAACsvv4c=")</f>
        <v>#REF!</v>
      </c>
      <c r="EG45" t="e">
        <f>AND(Bills!#REF!,"AAAAACsvv4g=")</f>
        <v>#REF!</v>
      </c>
      <c r="EH45" t="e">
        <f>AND(Bills!#REF!,"AAAAACsvv4k=")</f>
        <v>#REF!</v>
      </c>
      <c r="EI45" t="e">
        <f>AND(Bills!#REF!,"AAAAACsvv4o=")</f>
        <v>#REF!</v>
      </c>
      <c r="EJ45" t="e">
        <f>AND(Bills!#REF!,"AAAAACsvv4s=")</f>
        <v>#REF!</v>
      </c>
      <c r="EK45" t="e">
        <f>AND(Bills!#REF!,"AAAAACsvv4w=")</f>
        <v>#REF!</v>
      </c>
      <c r="EL45" t="e">
        <f>AND(Bills!#REF!,"AAAAACsvv40=")</f>
        <v>#REF!</v>
      </c>
      <c r="EM45" t="e">
        <f>AND(Bills!#REF!,"AAAAACsvv44=")</f>
        <v>#REF!</v>
      </c>
      <c r="EN45" t="e">
        <f>AND(Bills!#REF!,"AAAAACsvv48=")</f>
        <v>#REF!</v>
      </c>
      <c r="EO45" t="e">
        <f>AND(Bills!#REF!,"AAAAACsvv5A=")</f>
        <v>#REF!</v>
      </c>
      <c r="EP45" t="e">
        <f>AND(Bills!#REF!,"AAAAACsvv5E=")</f>
        <v>#REF!</v>
      </c>
      <c r="EQ45" t="e">
        <f>AND(Bills!#REF!,"AAAAACsvv5I=")</f>
        <v>#REF!</v>
      </c>
      <c r="ER45" t="e">
        <f>AND(Bills!#REF!,"AAAAACsvv5M=")</f>
        <v>#REF!</v>
      </c>
      <c r="ES45" t="e">
        <f>IF(Bills!#REF!,"AAAAACsvv5Q=",0)</f>
        <v>#REF!</v>
      </c>
      <c r="ET45" t="e">
        <f>AND(Bills!#REF!,"AAAAACsvv5U=")</f>
        <v>#REF!</v>
      </c>
      <c r="EU45" t="e">
        <f>AND(Bills!#REF!,"AAAAACsvv5Y=")</f>
        <v>#REF!</v>
      </c>
      <c r="EV45" t="e">
        <f>AND(Bills!#REF!,"AAAAACsvv5c=")</f>
        <v>#REF!</v>
      </c>
      <c r="EW45" t="e">
        <f>AND(Bills!#REF!,"AAAAACsvv5g=")</f>
        <v>#REF!</v>
      </c>
      <c r="EX45" t="e">
        <f>AND(Bills!#REF!,"AAAAACsvv5k=")</f>
        <v>#REF!</v>
      </c>
      <c r="EY45" t="e">
        <f>AND(Bills!#REF!,"AAAAACsvv5o=")</f>
        <v>#REF!</v>
      </c>
      <c r="EZ45" t="e">
        <f>AND(Bills!#REF!,"AAAAACsvv5s=")</f>
        <v>#REF!</v>
      </c>
      <c r="FA45" t="e">
        <f>AND(Bills!#REF!,"AAAAACsvv5w=")</f>
        <v>#REF!</v>
      </c>
      <c r="FB45" t="e">
        <f>AND(Bills!#REF!,"AAAAACsvv50=")</f>
        <v>#REF!</v>
      </c>
      <c r="FC45" t="e">
        <f>AND(Bills!#REF!,"AAAAACsvv54=")</f>
        <v>#REF!</v>
      </c>
      <c r="FD45" t="e">
        <f>AND(Bills!#REF!,"AAAAACsvv58=")</f>
        <v>#REF!</v>
      </c>
      <c r="FE45" t="e">
        <f>AND(Bills!#REF!,"AAAAACsvv6A=")</f>
        <v>#REF!</v>
      </c>
      <c r="FF45" t="e">
        <f>AND(Bills!#REF!,"AAAAACsvv6E=")</f>
        <v>#REF!</v>
      </c>
      <c r="FG45" t="e">
        <f>AND(Bills!#REF!,"AAAAACsvv6I=")</f>
        <v>#REF!</v>
      </c>
      <c r="FH45" t="e">
        <f>AND(Bills!#REF!,"AAAAACsvv6M=")</f>
        <v>#REF!</v>
      </c>
      <c r="FI45" t="e">
        <f>AND(Bills!#REF!,"AAAAACsvv6Q=")</f>
        <v>#REF!</v>
      </c>
      <c r="FJ45" t="e">
        <f>AND(Bills!#REF!,"AAAAACsvv6U=")</f>
        <v>#REF!</v>
      </c>
      <c r="FK45" t="e">
        <f>AND(Bills!#REF!,"AAAAACsvv6Y=")</f>
        <v>#REF!</v>
      </c>
      <c r="FL45" t="e">
        <f>AND(Bills!#REF!,"AAAAACsvv6c=")</f>
        <v>#REF!</v>
      </c>
      <c r="FM45" t="e">
        <f>AND(Bills!#REF!,"AAAAACsvv6g=")</f>
        <v>#REF!</v>
      </c>
      <c r="FN45" t="e">
        <f>AND(Bills!#REF!,"AAAAACsvv6k=")</f>
        <v>#REF!</v>
      </c>
      <c r="FO45" t="e">
        <f>AND(Bills!#REF!,"AAAAACsvv6o=")</f>
        <v>#REF!</v>
      </c>
      <c r="FP45" t="e">
        <f>AND(Bills!#REF!,"AAAAACsvv6s=")</f>
        <v>#REF!</v>
      </c>
      <c r="FQ45" t="e">
        <f>AND(Bills!#REF!,"AAAAACsvv6w=")</f>
        <v>#REF!</v>
      </c>
      <c r="FR45" t="e">
        <f>AND(Bills!#REF!,"AAAAACsvv60=")</f>
        <v>#REF!</v>
      </c>
      <c r="FS45" t="e">
        <f>AND(Bills!#REF!,"AAAAACsvv64=")</f>
        <v>#REF!</v>
      </c>
      <c r="FT45" t="e">
        <f>AND(Bills!#REF!,"AAAAACsvv68=")</f>
        <v>#REF!</v>
      </c>
      <c r="FU45" t="e">
        <f>AND(Bills!#REF!,"AAAAACsvv7A=")</f>
        <v>#REF!</v>
      </c>
      <c r="FV45" t="e">
        <f>AND(Bills!#REF!,"AAAAACsvv7E=")</f>
        <v>#REF!</v>
      </c>
      <c r="FW45" t="e">
        <f>AND(Bills!#REF!,"AAAAACsvv7I=")</f>
        <v>#REF!</v>
      </c>
      <c r="FX45" t="e">
        <f>AND(Bills!#REF!,"AAAAACsvv7M=")</f>
        <v>#REF!</v>
      </c>
      <c r="FY45" t="e">
        <f>AND(Bills!#REF!,"AAAAACsvv7Q=")</f>
        <v>#REF!</v>
      </c>
      <c r="FZ45" t="e">
        <f>AND(Bills!#REF!,"AAAAACsvv7U=")</f>
        <v>#REF!</v>
      </c>
      <c r="GA45" t="e">
        <f>AND(Bills!#REF!,"AAAAACsvv7Y=")</f>
        <v>#REF!</v>
      </c>
      <c r="GB45" t="e">
        <f>AND(Bills!#REF!,"AAAAACsvv7c=")</f>
        <v>#REF!</v>
      </c>
      <c r="GC45" t="e">
        <f>AND(Bills!#REF!,"AAAAACsvv7g=")</f>
        <v>#REF!</v>
      </c>
      <c r="GD45" t="e">
        <f>AND(Bills!#REF!,"AAAAACsvv7k=")</f>
        <v>#REF!</v>
      </c>
      <c r="GE45" t="e">
        <f>AND(Bills!#REF!,"AAAAACsvv7o=")</f>
        <v>#REF!</v>
      </c>
      <c r="GF45" t="e">
        <f>AND(Bills!#REF!,"AAAAACsvv7s=")</f>
        <v>#REF!</v>
      </c>
      <c r="GG45" t="e">
        <f>AND(Bills!#REF!,"AAAAACsvv7w=")</f>
        <v>#REF!</v>
      </c>
      <c r="GH45" t="e">
        <f>AND(Bills!#REF!,"AAAAACsvv70=")</f>
        <v>#REF!</v>
      </c>
      <c r="GI45" t="e">
        <f>AND(Bills!#REF!,"AAAAACsvv74=")</f>
        <v>#REF!</v>
      </c>
      <c r="GJ45" t="e">
        <f>AND(Bills!#REF!,"AAAAACsvv78=")</f>
        <v>#REF!</v>
      </c>
      <c r="GK45" t="e">
        <f>AND(Bills!#REF!,"AAAAACsvv8A=")</f>
        <v>#REF!</v>
      </c>
      <c r="GL45" t="e">
        <f>AND(Bills!#REF!,"AAAAACsvv8E=")</f>
        <v>#REF!</v>
      </c>
      <c r="GM45" t="e">
        <f>AND(Bills!#REF!,"AAAAACsvv8I=")</f>
        <v>#REF!</v>
      </c>
      <c r="GN45" t="e">
        <f>AND(Bills!#REF!,"AAAAACsvv8M=")</f>
        <v>#REF!</v>
      </c>
      <c r="GO45" t="e">
        <f>AND(Bills!#REF!,"AAAAACsvv8Q=")</f>
        <v>#REF!</v>
      </c>
      <c r="GP45" t="e">
        <f>AND(Bills!#REF!,"AAAAACsvv8U=")</f>
        <v>#REF!</v>
      </c>
      <c r="GQ45" t="e">
        <f>AND(Bills!#REF!,"AAAAACsvv8Y=")</f>
        <v>#REF!</v>
      </c>
      <c r="GR45" t="e">
        <f>IF(Bills!#REF!,"AAAAACsvv8c=",0)</f>
        <v>#REF!</v>
      </c>
      <c r="GS45" t="e">
        <f>AND(Bills!#REF!,"AAAAACsvv8g=")</f>
        <v>#REF!</v>
      </c>
      <c r="GT45" t="e">
        <f>AND(Bills!#REF!,"AAAAACsvv8k=")</f>
        <v>#REF!</v>
      </c>
      <c r="GU45" t="e">
        <f>AND(Bills!#REF!,"AAAAACsvv8o=")</f>
        <v>#REF!</v>
      </c>
      <c r="GV45" t="e">
        <f>AND(Bills!#REF!,"AAAAACsvv8s=")</f>
        <v>#REF!</v>
      </c>
      <c r="GW45" t="e">
        <f>AND(Bills!#REF!,"AAAAACsvv8w=")</f>
        <v>#REF!</v>
      </c>
      <c r="GX45" t="e">
        <f>AND(Bills!#REF!,"AAAAACsvv80=")</f>
        <v>#REF!</v>
      </c>
      <c r="GY45" t="e">
        <f>AND(Bills!#REF!,"AAAAACsvv84=")</f>
        <v>#REF!</v>
      </c>
      <c r="GZ45" t="e">
        <f>AND(Bills!#REF!,"AAAAACsvv88=")</f>
        <v>#REF!</v>
      </c>
      <c r="HA45" t="e">
        <f>AND(Bills!#REF!,"AAAAACsvv9A=")</f>
        <v>#REF!</v>
      </c>
      <c r="HB45" t="e">
        <f>AND(Bills!#REF!,"AAAAACsvv9E=")</f>
        <v>#REF!</v>
      </c>
      <c r="HC45" t="e">
        <f>AND(Bills!#REF!,"AAAAACsvv9I=")</f>
        <v>#REF!</v>
      </c>
      <c r="HD45" t="e">
        <f>AND(Bills!#REF!,"AAAAACsvv9M=")</f>
        <v>#REF!</v>
      </c>
      <c r="HE45" t="e">
        <f>AND(Bills!#REF!,"AAAAACsvv9Q=")</f>
        <v>#REF!</v>
      </c>
      <c r="HF45" t="e">
        <f>AND(Bills!#REF!,"AAAAACsvv9U=")</f>
        <v>#REF!</v>
      </c>
      <c r="HG45" t="e">
        <f>AND(Bills!#REF!,"AAAAACsvv9Y=")</f>
        <v>#REF!</v>
      </c>
      <c r="HH45" t="e">
        <f>AND(Bills!#REF!,"AAAAACsvv9c=")</f>
        <v>#REF!</v>
      </c>
      <c r="HI45" t="e">
        <f>AND(Bills!#REF!,"AAAAACsvv9g=")</f>
        <v>#REF!</v>
      </c>
      <c r="HJ45" t="e">
        <f>AND(Bills!#REF!,"AAAAACsvv9k=")</f>
        <v>#REF!</v>
      </c>
      <c r="HK45" t="e">
        <f>AND(Bills!#REF!,"AAAAACsvv9o=")</f>
        <v>#REF!</v>
      </c>
      <c r="HL45" t="e">
        <f>AND(Bills!#REF!,"AAAAACsvv9s=")</f>
        <v>#REF!</v>
      </c>
      <c r="HM45" t="e">
        <f>AND(Bills!#REF!,"AAAAACsvv9w=")</f>
        <v>#REF!</v>
      </c>
      <c r="HN45" t="e">
        <f>AND(Bills!#REF!,"AAAAACsvv90=")</f>
        <v>#REF!</v>
      </c>
      <c r="HO45" t="e">
        <f>AND(Bills!#REF!,"AAAAACsvv94=")</f>
        <v>#REF!</v>
      </c>
      <c r="HP45" t="e">
        <f>AND(Bills!#REF!,"AAAAACsvv98=")</f>
        <v>#REF!</v>
      </c>
      <c r="HQ45" t="e">
        <f>AND(Bills!#REF!,"AAAAACsvv+A=")</f>
        <v>#REF!</v>
      </c>
      <c r="HR45" t="e">
        <f>AND(Bills!#REF!,"AAAAACsvv+E=")</f>
        <v>#REF!</v>
      </c>
      <c r="HS45" t="e">
        <f>AND(Bills!#REF!,"AAAAACsvv+I=")</f>
        <v>#REF!</v>
      </c>
      <c r="HT45" t="e">
        <f>AND(Bills!#REF!,"AAAAACsvv+M=")</f>
        <v>#REF!</v>
      </c>
      <c r="HU45" t="e">
        <f>AND(Bills!#REF!,"AAAAACsvv+Q=")</f>
        <v>#REF!</v>
      </c>
      <c r="HV45" t="e">
        <f>AND(Bills!#REF!,"AAAAACsvv+U=")</f>
        <v>#REF!</v>
      </c>
      <c r="HW45" t="e">
        <f>AND(Bills!#REF!,"AAAAACsvv+Y=")</f>
        <v>#REF!</v>
      </c>
      <c r="HX45" t="e">
        <f>AND(Bills!#REF!,"AAAAACsvv+c=")</f>
        <v>#REF!</v>
      </c>
      <c r="HY45" t="e">
        <f>AND(Bills!#REF!,"AAAAACsvv+g=")</f>
        <v>#REF!</v>
      </c>
      <c r="HZ45" t="e">
        <f>AND(Bills!#REF!,"AAAAACsvv+k=")</f>
        <v>#REF!</v>
      </c>
      <c r="IA45" t="e">
        <f>AND(Bills!#REF!,"AAAAACsvv+o=")</f>
        <v>#REF!</v>
      </c>
      <c r="IB45" t="e">
        <f>AND(Bills!#REF!,"AAAAACsvv+s=")</f>
        <v>#REF!</v>
      </c>
      <c r="IC45" t="e">
        <f>AND(Bills!#REF!,"AAAAACsvv+w=")</f>
        <v>#REF!</v>
      </c>
      <c r="ID45" t="e">
        <f>AND(Bills!#REF!,"AAAAACsvv+0=")</f>
        <v>#REF!</v>
      </c>
      <c r="IE45" t="e">
        <f>AND(Bills!#REF!,"AAAAACsvv+4=")</f>
        <v>#REF!</v>
      </c>
      <c r="IF45" t="e">
        <f>AND(Bills!#REF!,"AAAAACsvv+8=")</f>
        <v>#REF!</v>
      </c>
      <c r="IG45" t="e">
        <f>AND(Bills!#REF!,"AAAAACsvv/A=")</f>
        <v>#REF!</v>
      </c>
      <c r="IH45" t="e">
        <f>AND(Bills!#REF!,"AAAAACsvv/E=")</f>
        <v>#REF!</v>
      </c>
      <c r="II45" t="e">
        <f>AND(Bills!#REF!,"AAAAACsvv/I=")</f>
        <v>#REF!</v>
      </c>
      <c r="IJ45" t="e">
        <f>AND(Bills!#REF!,"AAAAACsvv/M=")</f>
        <v>#REF!</v>
      </c>
      <c r="IK45" t="e">
        <f>AND(Bills!#REF!,"AAAAACsvv/Q=")</f>
        <v>#REF!</v>
      </c>
      <c r="IL45" t="e">
        <f>AND(Bills!#REF!,"AAAAACsvv/U=")</f>
        <v>#REF!</v>
      </c>
      <c r="IM45" t="e">
        <f>AND(Bills!#REF!,"AAAAACsvv/Y=")</f>
        <v>#REF!</v>
      </c>
      <c r="IN45" t="e">
        <f>AND(Bills!#REF!,"AAAAACsvv/c=")</f>
        <v>#REF!</v>
      </c>
      <c r="IO45" t="e">
        <f>AND(Bills!#REF!,"AAAAACsvv/g=")</f>
        <v>#REF!</v>
      </c>
      <c r="IP45" t="e">
        <f>AND(Bills!#REF!,"AAAAACsvv/k=")</f>
        <v>#REF!</v>
      </c>
      <c r="IQ45" t="e">
        <f>IF(Bills!#REF!,"AAAAACsvv/o=",0)</f>
        <v>#REF!</v>
      </c>
      <c r="IR45" t="e">
        <f>AND(Bills!#REF!,"AAAAACsvv/s=")</f>
        <v>#REF!</v>
      </c>
      <c r="IS45" t="e">
        <f>AND(Bills!#REF!,"AAAAACsvv/w=")</f>
        <v>#REF!</v>
      </c>
      <c r="IT45" t="e">
        <f>AND(Bills!#REF!,"AAAAACsvv/0=")</f>
        <v>#REF!</v>
      </c>
      <c r="IU45" t="e">
        <f>AND(Bills!#REF!,"AAAAACsvv/4=")</f>
        <v>#REF!</v>
      </c>
      <c r="IV45" t="e">
        <f>AND(Bills!#REF!,"AAAAACsvv/8=")</f>
        <v>#REF!</v>
      </c>
    </row>
    <row r="46" spans="1:256">
      <c r="A46" t="e">
        <f>AND(Bills!#REF!,"AAAAAHm9fAA=")</f>
        <v>#REF!</v>
      </c>
      <c r="B46" t="e">
        <f>AND(Bills!#REF!,"AAAAAHm9fAE=")</f>
        <v>#REF!</v>
      </c>
      <c r="C46" t="e">
        <f>AND(Bills!#REF!,"AAAAAHm9fAI=")</f>
        <v>#REF!</v>
      </c>
      <c r="D46" t="e">
        <f>AND(Bills!#REF!,"AAAAAHm9fAM=")</f>
        <v>#REF!</v>
      </c>
      <c r="E46" t="e">
        <f>AND(Bills!#REF!,"AAAAAHm9fAQ=")</f>
        <v>#REF!</v>
      </c>
      <c r="F46" t="e">
        <f>AND(Bills!#REF!,"AAAAAHm9fAU=")</f>
        <v>#REF!</v>
      </c>
      <c r="G46" t="e">
        <f>AND(Bills!#REF!,"AAAAAHm9fAY=")</f>
        <v>#REF!</v>
      </c>
      <c r="H46" t="e">
        <f>AND(Bills!#REF!,"AAAAAHm9fAc=")</f>
        <v>#REF!</v>
      </c>
      <c r="I46" t="e">
        <f>AND(Bills!#REF!,"AAAAAHm9fAg=")</f>
        <v>#REF!</v>
      </c>
      <c r="J46" t="e">
        <f>AND(Bills!#REF!,"AAAAAHm9fAk=")</f>
        <v>#REF!</v>
      </c>
      <c r="K46" t="e">
        <f>AND(Bills!#REF!,"AAAAAHm9fAo=")</f>
        <v>#REF!</v>
      </c>
      <c r="L46" t="e">
        <f>AND(Bills!#REF!,"AAAAAHm9fAs=")</f>
        <v>#REF!</v>
      </c>
      <c r="M46" t="e">
        <f>AND(Bills!#REF!,"AAAAAHm9fAw=")</f>
        <v>#REF!</v>
      </c>
      <c r="N46" t="e">
        <f>AND(Bills!#REF!,"AAAAAHm9fA0=")</f>
        <v>#REF!</v>
      </c>
      <c r="O46" t="e">
        <f>AND(Bills!#REF!,"AAAAAHm9fA4=")</f>
        <v>#REF!</v>
      </c>
      <c r="P46" t="e">
        <f>AND(Bills!#REF!,"AAAAAHm9fA8=")</f>
        <v>#REF!</v>
      </c>
      <c r="Q46" t="e">
        <f>AND(Bills!#REF!,"AAAAAHm9fBA=")</f>
        <v>#REF!</v>
      </c>
      <c r="R46" t="e">
        <f>AND(Bills!#REF!,"AAAAAHm9fBE=")</f>
        <v>#REF!</v>
      </c>
      <c r="S46" t="e">
        <f>AND(Bills!#REF!,"AAAAAHm9fBI=")</f>
        <v>#REF!</v>
      </c>
      <c r="T46" t="e">
        <f>AND(Bills!#REF!,"AAAAAHm9fBM=")</f>
        <v>#REF!</v>
      </c>
      <c r="U46" t="e">
        <f>AND(Bills!#REF!,"AAAAAHm9fBQ=")</f>
        <v>#REF!</v>
      </c>
      <c r="V46" t="e">
        <f>AND(Bills!#REF!,"AAAAAHm9fBU=")</f>
        <v>#REF!</v>
      </c>
      <c r="W46" t="e">
        <f>AND(Bills!#REF!,"AAAAAHm9fBY=")</f>
        <v>#REF!</v>
      </c>
      <c r="X46" t="e">
        <f>AND(Bills!#REF!,"AAAAAHm9fBc=")</f>
        <v>#REF!</v>
      </c>
      <c r="Y46" t="e">
        <f>AND(Bills!#REF!,"AAAAAHm9fBg=")</f>
        <v>#REF!</v>
      </c>
      <c r="Z46" t="e">
        <f>AND(Bills!#REF!,"AAAAAHm9fBk=")</f>
        <v>#REF!</v>
      </c>
      <c r="AA46" t="e">
        <f>AND(Bills!#REF!,"AAAAAHm9fBo=")</f>
        <v>#REF!</v>
      </c>
      <c r="AB46" t="e">
        <f>AND(Bills!#REF!,"AAAAAHm9fBs=")</f>
        <v>#REF!</v>
      </c>
      <c r="AC46" t="e">
        <f>AND(Bills!#REF!,"AAAAAHm9fBw=")</f>
        <v>#REF!</v>
      </c>
      <c r="AD46" t="e">
        <f>AND(Bills!#REF!,"AAAAAHm9fB0=")</f>
        <v>#REF!</v>
      </c>
      <c r="AE46" t="e">
        <f>AND(Bills!#REF!,"AAAAAHm9fB4=")</f>
        <v>#REF!</v>
      </c>
      <c r="AF46" t="e">
        <f>AND(Bills!#REF!,"AAAAAHm9fB8=")</f>
        <v>#REF!</v>
      </c>
      <c r="AG46" t="e">
        <f>AND(Bills!#REF!,"AAAAAHm9fCA=")</f>
        <v>#REF!</v>
      </c>
      <c r="AH46" t="e">
        <f>AND(Bills!#REF!,"AAAAAHm9fCE=")</f>
        <v>#REF!</v>
      </c>
      <c r="AI46" t="e">
        <f>AND(Bills!#REF!,"AAAAAHm9fCI=")</f>
        <v>#REF!</v>
      </c>
      <c r="AJ46" t="e">
        <f>AND(Bills!#REF!,"AAAAAHm9fCM=")</f>
        <v>#REF!</v>
      </c>
      <c r="AK46" t="e">
        <f>AND(Bills!#REF!,"AAAAAHm9fCQ=")</f>
        <v>#REF!</v>
      </c>
      <c r="AL46" t="e">
        <f>AND(Bills!#REF!,"AAAAAHm9fCU=")</f>
        <v>#REF!</v>
      </c>
      <c r="AM46" t="e">
        <f>AND(Bills!#REF!,"AAAAAHm9fCY=")</f>
        <v>#REF!</v>
      </c>
      <c r="AN46" t="e">
        <f>AND(Bills!#REF!,"AAAAAHm9fCc=")</f>
        <v>#REF!</v>
      </c>
      <c r="AO46" t="e">
        <f>AND(Bills!#REF!,"AAAAAHm9fCg=")</f>
        <v>#REF!</v>
      </c>
      <c r="AP46" t="e">
        <f>AND(Bills!#REF!,"AAAAAHm9fCk=")</f>
        <v>#REF!</v>
      </c>
      <c r="AQ46" t="e">
        <f>AND(Bills!#REF!,"AAAAAHm9fCo=")</f>
        <v>#REF!</v>
      </c>
      <c r="AR46" t="e">
        <f>AND(Bills!#REF!,"AAAAAHm9fCs=")</f>
        <v>#REF!</v>
      </c>
      <c r="AS46" t="e">
        <f>AND(Bills!#REF!,"AAAAAHm9fCw=")</f>
        <v>#REF!</v>
      </c>
      <c r="AT46" t="e">
        <f>IF(Bills!#REF!,"AAAAAHm9fC0=",0)</f>
        <v>#REF!</v>
      </c>
      <c r="AU46" t="e">
        <f>AND(Bills!#REF!,"AAAAAHm9fC4=")</f>
        <v>#REF!</v>
      </c>
      <c r="AV46" t="e">
        <f>AND(Bills!#REF!,"AAAAAHm9fC8=")</f>
        <v>#REF!</v>
      </c>
      <c r="AW46" t="e">
        <f>AND(Bills!#REF!,"AAAAAHm9fDA=")</f>
        <v>#REF!</v>
      </c>
      <c r="AX46" t="e">
        <f>AND(Bills!#REF!,"AAAAAHm9fDE=")</f>
        <v>#REF!</v>
      </c>
      <c r="AY46" t="e">
        <f>AND(Bills!#REF!,"AAAAAHm9fDI=")</f>
        <v>#REF!</v>
      </c>
      <c r="AZ46" t="e">
        <f>AND(Bills!#REF!,"AAAAAHm9fDM=")</f>
        <v>#REF!</v>
      </c>
      <c r="BA46" t="e">
        <f>AND(Bills!#REF!,"AAAAAHm9fDQ=")</f>
        <v>#REF!</v>
      </c>
      <c r="BB46" t="e">
        <f>AND(Bills!#REF!,"AAAAAHm9fDU=")</f>
        <v>#REF!</v>
      </c>
      <c r="BC46" t="e">
        <f>AND(Bills!#REF!,"AAAAAHm9fDY=")</f>
        <v>#REF!</v>
      </c>
      <c r="BD46" t="e">
        <f>AND(Bills!#REF!,"AAAAAHm9fDc=")</f>
        <v>#REF!</v>
      </c>
      <c r="BE46" t="e">
        <f>AND(Bills!#REF!,"AAAAAHm9fDg=")</f>
        <v>#REF!</v>
      </c>
      <c r="BF46" t="e">
        <f>AND(Bills!#REF!,"AAAAAHm9fDk=")</f>
        <v>#REF!</v>
      </c>
      <c r="BG46" t="e">
        <f>AND(Bills!#REF!,"AAAAAHm9fDo=")</f>
        <v>#REF!</v>
      </c>
      <c r="BH46" t="e">
        <f>AND(Bills!#REF!,"AAAAAHm9fDs=")</f>
        <v>#REF!</v>
      </c>
      <c r="BI46" t="e">
        <f>AND(Bills!#REF!,"AAAAAHm9fDw=")</f>
        <v>#REF!</v>
      </c>
      <c r="BJ46" t="e">
        <f>AND(Bills!#REF!,"AAAAAHm9fD0=")</f>
        <v>#REF!</v>
      </c>
      <c r="BK46" t="e">
        <f>AND(Bills!#REF!,"AAAAAHm9fD4=")</f>
        <v>#REF!</v>
      </c>
      <c r="BL46" t="e">
        <f>AND(Bills!#REF!,"AAAAAHm9fD8=")</f>
        <v>#REF!</v>
      </c>
      <c r="BM46" t="e">
        <f>AND(Bills!#REF!,"AAAAAHm9fEA=")</f>
        <v>#REF!</v>
      </c>
      <c r="BN46" t="e">
        <f>AND(Bills!#REF!,"AAAAAHm9fEE=")</f>
        <v>#REF!</v>
      </c>
      <c r="BO46" t="e">
        <f>AND(Bills!#REF!,"AAAAAHm9fEI=")</f>
        <v>#REF!</v>
      </c>
      <c r="BP46" t="e">
        <f>AND(Bills!#REF!,"AAAAAHm9fEM=")</f>
        <v>#REF!</v>
      </c>
      <c r="BQ46" t="e">
        <f>AND(Bills!#REF!,"AAAAAHm9fEQ=")</f>
        <v>#REF!</v>
      </c>
      <c r="BR46" t="e">
        <f>AND(Bills!#REF!,"AAAAAHm9fEU=")</f>
        <v>#REF!</v>
      </c>
      <c r="BS46" t="e">
        <f>AND(Bills!#REF!,"AAAAAHm9fEY=")</f>
        <v>#REF!</v>
      </c>
      <c r="BT46" t="e">
        <f>AND(Bills!#REF!,"AAAAAHm9fEc=")</f>
        <v>#REF!</v>
      </c>
      <c r="BU46" t="e">
        <f>AND(Bills!#REF!,"AAAAAHm9fEg=")</f>
        <v>#REF!</v>
      </c>
      <c r="BV46" t="e">
        <f>AND(Bills!#REF!,"AAAAAHm9fEk=")</f>
        <v>#REF!</v>
      </c>
      <c r="BW46" t="e">
        <f>AND(Bills!#REF!,"AAAAAHm9fEo=")</f>
        <v>#REF!</v>
      </c>
      <c r="BX46" t="e">
        <f>AND(Bills!#REF!,"AAAAAHm9fEs=")</f>
        <v>#REF!</v>
      </c>
      <c r="BY46" t="e">
        <f>AND(Bills!#REF!,"AAAAAHm9fEw=")</f>
        <v>#REF!</v>
      </c>
      <c r="BZ46" t="e">
        <f>AND(Bills!#REF!,"AAAAAHm9fE0=")</f>
        <v>#REF!</v>
      </c>
      <c r="CA46" t="e">
        <f>AND(Bills!#REF!,"AAAAAHm9fE4=")</f>
        <v>#REF!</v>
      </c>
      <c r="CB46" t="e">
        <f>AND(Bills!#REF!,"AAAAAHm9fE8=")</f>
        <v>#REF!</v>
      </c>
      <c r="CC46" t="e">
        <f>AND(Bills!#REF!,"AAAAAHm9fFA=")</f>
        <v>#REF!</v>
      </c>
      <c r="CD46" t="e">
        <f>AND(Bills!#REF!,"AAAAAHm9fFE=")</f>
        <v>#REF!</v>
      </c>
      <c r="CE46" t="e">
        <f>AND(Bills!#REF!,"AAAAAHm9fFI=")</f>
        <v>#REF!</v>
      </c>
      <c r="CF46" t="e">
        <f>AND(Bills!#REF!,"AAAAAHm9fFM=")</f>
        <v>#REF!</v>
      </c>
      <c r="CG46" t="e">
        <f>AND(Bills!#REF!,"AAAAAHm9fFQ=")</f>
        <v>#REF!</v>
      </c>
      <c r="CH46" t="e">
        <f>AND(Bills!#REF!,"AAAAAHm9fFU=")</f>
        <v>#REF!</v>
      </c>
      <c r="CI46" t="e">
        <f>AND(Bills!#REF!,"AAAAAHm9fFY=")</f>
        <v>#REF!</v>
      </c>
      <c r="CJ46" t="e">
        <f>AND(Bills!#REF!,"AAAAAHm9fFc=")</f>
        <v>#REF!</v>
      </c>
      <c r="CK46" t="e">
        <f>AND(Bills!#REF!,"AAAAAHm9fFg=")</f>
        <v>#REF!</v>
      </c>
      <c r="CL46" t="e">
        <f>AND(Bills!#REF!,"AAAAAHm9fFk=")</f>
        <v>#REF!</v>
      </c>
      <c r="CM46" t="e">
        <f>AND(Bills!#REF!,"AAAAAHm9fFo=")</f>
        <v>#REF!</v>
      </c>
      <c r="CN46" t="e">
        <f>AND(Bills!#REF!,"AAAAAHm9fFs=")</f>
        <v>#REF!</v>
      </c>
      <c r="CO46" t="e">
        <f>AND(Bills!#REF!,"AAAAAHm9fFw=")</f>
        <v>#REF!</v>
      </c>
      <c r="CP46" t="e">
        <f>AND(Bills!#REF!,"AAAAAHm9fF0=")</f>
        <v>#REF!</v>
      </c>
      <c r="CQ46" t="e">
        <f>AND(Bills!#REF!,"AAAAAHm9fF4=")</f>
        <v>#REF!</v>
      </c>
      <c r="CR46" t="e">
        <f>AND(Bills!#REF!,"AAAAAHm9fF8=")</f>
        <v>#REF!</v>
      </c>
      <c r="CS46" t="e">
        <f>IF(Bills!#REF!,"AAAAAHm9fGA=",0)</f>
        <v>#REF!</v>
      </c>
      <c r="CT46" t="e">
        <f>AND(Bills!#REF!,"AAAAAHm9fGE=")</f>
        <v>#REF!</v>
      </c>
      <c r="CU46" t="e">
        <f>AND(Bills!#REF!,"AAAAAHm9fGI=")</f>
        <v>#REF!</v>
      </c>
      <c r="CV46" t="e">
        <f>AND(Bills!#REF!,"AAAAAHm9fGM=")</f>
        <v>#REF!</v>
      </c>
      <c r="CW46" t="e">
        <f>AND(Bills!#REF!,"AAAAAHm9fGQ=")</f>
        <v>#REF!</v>
      </c>
      <c r="CX46" t="e">
        <f>AND(Bills!#REF!,"AAAAAHm9fGU=")</f>
        <v>#REF!</v>
      </c>
      <c r="CY46" t="e">
        <f>AND(Bills!#REF!,"AAAAAHm9fGY=")</f>
        <v>#REF!</v>
      </c>
      <c r="CZ46" t="e">
        <f>AND(Bills!#REF!,"AAAAAHm9fGc=")</f>
        <v>#REF!</v>
      </c>
      <c r="DA46" t="e">
        <f>AND(Bills!#REF!,"AAAAAHm9fGg=")</f>
        <v>#REF!</v>
      </c>
      <c r="DB46" t="e">
        <f>AND(Bills!#REF!,"AAAAAHm9fGk=")</f>
        <v>#REF!</v>
      </c>
      <c r="DC46" t="e">
        <f>AND(Bills!#REF!,"AAAAAHm9fGo=")</f>
        <v>#REF!</v>
      </c>
      <c r="DD46" t="e">
        <f>AND(Bills!#REF!,"AAAAAHm9fGs=")</f>
        <v>#REF!</v>
      </c>
      <c r="DE46" t="e">
        <f>AND(Bills!#REF!,"AAAAAHm9fGw=")</f>
        <v>#REF!</v>
      </c>
      <c r="DF46" t="e">
        <f>AND(Bills!#REF!,"AAAAAHm9fG0=")</f>
        <v>#REF!</v>
      </c>
      <c r="DG46" t="e">
        <f>AND(Bills!#REF!,"AAAAAHm9fG4=")</f>
        <v>#REF!</v>
      </c>
      <c r="DH46" t="e">
        <f>AND(Bills!#REF!,"AAAAAHm9fG8=")</f>
        <v>#REF!</v>
      </c>
      <c r="DI46" t="e">
        <f>AND(Bills!#REF!,"AAAAAHm9fHA=")</f>
        <v>#REF!</v>
      </c>
      <c r="DJ46" t="e">
        <f>AND(Bills!#REF!,"AAAAAHm9fHE=")</f>
        <v>#REF!</v>
      </c>
      <c r="DK46" t="e">
        <f>AND(Bills!#REF!,"AAAAAHm9fHI=")</f>
        <v>#REF!</v>
      </c>
      <c r="DL46" t="e">
        <f>AND(Bills!#REF!,"AAAAAHm9fHM=")</f>
        <v>#REF!</v>
      </c>
      <c r="DM46" t="e">
        <f>AND(Bills!#REF!,"AAAAAHm9fHQ=")</f>
        <v>#REF!</v>
      </c>
      <c r="DN46" t="e">
        <f>AND(Bills!#REF!,"AAAAAHm9fHU=")</f>
        <v>#REF!</v>
      </c>
      <c r="DO46" t="e">
        <f>AND(Bills!#REF!,"AAAAAHm9fHY=")</f>
        <v>#REF!</v>
      </c>
      <c r="DP46" t="e">
        <f>AND(Bills!#REF!,"AAAAAHm9fHc=")</f>
        <v>#REF!</v>
      </c>
      <c r="DQ46" t="e">
        <f>AND(Bills!#REF!,"AAAAAHm9fHg=")</f>
        <v>#REF!</v>
      </c>
      <c r="DR46" t="e">
        <f>AND(Bills!#REF!,"AAAAAHm9fHk=")</f>
        <v>#REF!</v>
      </c>
      <c r="DS46" t="e">
        <f>AND(Bills!#REF!,"AAAAAHm9fHo=")</f>
        <v>#REF!</v>
      </c>
      <c r="DT46" t="e">
        <f>AND(Bills!#REF!,"AAAAAHm9fHs=")</f>
        <v>#REF!</v>
      </c>
      <c r="DU46" t="e">
        <f>AND(Bills!#REF!,"AAAAAHm9fHw=")</f>
        <v>#REF!</v>
      </c>
      <c r="DV46" t="e">
        <f>AND(Bills!#REF!,"AAAAAHm9fH0=")</f>
        <v>#REF!</v>
      </c>
      <c r="DW46" t="e">
        <f>AND(Bills!#REF!,"AAAAAHm9fH4=")</f>
        <v>#REF!</v>
      </c>
      <c r="DX46" t="e">
        <f>AND(Bills!#REF!,"AAAAAHm9fH8=")</f>
        <v>#REF!</v>
      </c>
      <c r="DY46" t="e">
        <f>AND(Bills!#REF!,"AAAAAHm9fIA=")</f>
        <v>#REF!</v>
      </c>
      <c r="DZ46" t="e">
        <f>AND(Bills!#REF!,"AAAAAHm9fIE=")</f>
        <v>#REF!</v>
      </c>
      <c r="EA46" t="e">
        <f>AND(Bills!#REF!,"AAAAAHm9fII=")</f>
        <v>#REF!</v>
      </c>
      <c r="EB46" t="e">
        <f>AND(Bills!#REF!,"AAAAAHm9fIM=")</f>
        <v>#REF!</v>
      </c>
      <c r="EC46" t="e">
        <f>AND(Bills!#REF!,"AAAAAHm9fIQ=")</f>
        <v>#REF!</v>
      </c>
      <c r="ED46" t="e">
        <f>AND(Bills!#REF!,"AAAAAHm9fIU=")</f>
        <v>#REF!</v>
      </c>
      <c r="EE46" t="e">
        <f>AND(Bills!#REF!,"AAAAAHm9fIY=")</f>
        <v>#REF!</v>
      </c>
      <c r="EF46" t="e">
        <f>AND(Bills!#REF!,"AAAAAHm9fIc=")</f>
        <v>#REF!</v>
      </c>
      <c r="EG46" t="e">
        <f>AND(Bills!#REF!,"AAAAAHm9fIg=")</f>
        <v>#REF!</v>
      </c>
      <c r="EH46" t="e">
        <f>AND(Bills!#REF!,"AAAAAHm9fIk=")</f>
        <v>#REF!</v>
      </c>
      <c r="EI46" t="e">
        <f>AND(Bills!#REF!,"AAAAAHm9fIo=")</f>
        <v>#REF!</v>
      </c>
      <c r="EJ46" t="e">
        <f>AND(Bills!#REF!,"AAAAAHm9fIs=")</f>
        <v>#REF!</v>
      </c>
      <c r="EK46" t="e">
        <f>AND(Bills!#REF!,"AAAAAHm9fIw=")</f>
        <v>#REF!</v>
      </c>
      <c r="EL46" t="e">
        <f>AND(Bills!#REF!,"AAAAAHm9fI0=")</f>
        <v>#REF!</v>
      </c>
      <c r="EM46" t="e">
        <f>AND(Bills!#REF!,"AAAAAHm9fI4=")</f>
        <v>#REF!</v>
      </c>
      <c r="EN46" t="e">
        <f>AND(Bills!#REF!,"AAAAAHm9fI8=")</f>
        <v>#REF!</v>
      </c>
      <c r="EO46" t="e">
        <f>AND(Bills!#REF!,"AAAAAHm9fJA=")</f>
        <v>#REF!</v>
      </c>
      <c r="EP46" t="e">
        <f>AND(Bills!#REF!,"AAAAAHm9fJE=")</f>
        <v>#REF!</v>
      </c>
      <c r="EQ46" t="e">
        <f>AND(Bills!#REF!,"AAAAAHm9fJI=")</f>
        <v>#REF!</v>
      </c>
      <c r="ER46" t="e">
        <f>IF(Bills!#REF!,"AAAAAHm9fJM=",0)</f>
        <v>#REF!</v>
      </c>
      <c r="ES46" t="e">
        <f>AND(Bills!#REF!,"AAAAAHm9fJQ=")</f>
        <v>#REF!</v>
      </c>
      <c r="ET46" t="e">
        <f>AND(Bills!#REF!,"AAAAAHm9fJU=")</f>
        <v>#REF!</v>
      </c>
      <c r="EU46" t="e">
        <f>AND(Bills!#REF!,"AAAAAHm9fJY=")</f>
        <v>#REF!</v>
      </c>
      <c r="EV46" t="e">
        <f>AND(Bills!#REF!,"AAAAAHm9fJc=")</f>
        <v>#REF!</v>
      </c>
      <c r="EW46" t="e">
        <f>AND(Bills!#REF!,"AAAAAHm9fJg=")</f>
        <v>#REF!</v>
      </c>
      <c r="EX46" t="e">
        <f>AND(Bills!#REF!,"AAAAAHm9fJk=")</f>
        <v>#REF!</v>
      </c>
      <c r="EY46" t="e">
        <f>AND(Bills!#REF!,"AAAAAHm9fJo=")</f>
        <v>#REF!</v>
      </c>
      <c r="EZ46" t="e">
        <f>AND(Bills!#REF!,"AAAAAHm9fJs=")</f>
        <v>#REF!</v>
      </c>
      <c r="FA46" t="e">
        <f>AND(Bills!#REF!,"AAAAAHm9fJw=")</f>
        <v>#REF!</v>
      </c>
      <c r="FB46" t="e">
        <f>AND(Bills!#REF!,"AAAAAHm9fJ0=")</f>
        <v>#REF!</v>
      </c>
      <c r="FC46" t="e">
        <f>AND(Bills!#REF!,"AAAAAHm9fJ4=")</f>
        <v>#REF!</v>
      </c>
      <c r="FD46" t="e">
        <f>AND(Bills!#REF!,"AAAAAHm9fJ8=")</f>
        <v>#REF!</v>
      </c>
      <c r="FE46" t="e">
        <f>AND(Bills!#REF!,"AAAAAHm9fKA=")</f>
        <v>#REF!</v>
      </c>
      <c r="FF46" t="e">
        <f>AND(Bills!#REF!,"AAAAAHm9fKE=")</f>
        <v>#REF!</v>
      </c>
      <c r="FG46" t="e">
        <f>AND(Bills!#REF!,"AAAAAHm9fKI=")</f>
        <v>#REF!</v>
      </c>
      <c r="FH46" t="e">
        <f>AND(Bills!#REF!,"AAAAAHm9fKM=")</f>
        <v>#REF!</v>
      </c>
      <c r="FI46" t="e">
        <f>AND(Bills!#REF!,"AAAAAHm9fKQ=")</f>
        <v>#REF!</v>
      </c>
      <c r="FJ46" t="e">
        <f>AND(Bills!#REF!,"AAAAAHm9fKU=")</f>
        <v>#REF!</v>
      </c>
      <c r="FK46" t="e">
        <f>AND(Bills!#REF!,"AAAAAHm9fKY=")</f>
        <v>#REF!</v>
      </c>
      <c r="FL46" t="e">
        <f>AND(Bills!#REF!,"AAAAAHm9fKc=")</f>
        <v>#REF!</v>
      </c>
      <c r="FM46" t="e">
        <f>AND(Bills!#REF!,"AAAAAHm9fKg=")</f>
        <v>#REF!</v>
      </c>
      <c r="FN46" t="e">
        <f>AND(Bills!#REF!,"AAAAAHm9fKk=")</f>
        <v>#REF!</v>
      </c>
      <c r="FO46" t="e">
        <f>AND(Bills!#REF!,"AAAAAHm9fKo=")</f>
        <v>#REF!</v>
      </c>
      <c r="FP46" t="e">
        <f>AND(Bills!#REF!,"AAAAAHm9fKs=")</f>
        <v>#REF!</v>
      </c>
      <c r="FQ46" t="e">
        <f>AND(Bills!#REF!,"AAAAAHm9fKw=")</f>
        <v>#REF!</v>
      </c>
      <c r="FR46" t="e">
        <f>AND(Bills!#REF!,"AAAAAHm9fK0=")</f>
        <v>#REF!</v>
      </c>
      <c r="FS46" t="e">
        <f>AND(Bills!#REF!,"AAAAAHm9fK4=")</f>
        <v>#REF!</v>
      </c>
      <c r="FT46" t="e">
        <f>AND(Bills!#REF!,"AAAAAHm9fK8=")</f>
        <v>#REF!</v>
      </c>
      <c r="FU46" t="e">
        <f>AND(Bills!#REF!,"AAAAAHm9fLA=")</f>
        <v>#REF!</v>
      </c>
      <c r="FV46" t="e">
        <f>AND(Bills!#REF!,"AAAAAHm9fLE=")</f>
        <v>#REF!</v>
      </c>
      <c r="FW46" t="e">
        <f>AND(Bills!#REF!,"AAAAAHm9fLI=")</f>
        <v>#REF!</v>
      </c>
      <c r="FX46" t="e">
        <f>AND(Bills!#REF!,"AAAAAHm9fLM=")</f>
        <v>#REF!</v>
      </c>
      <c r="FY46" t="e">
        <f>AND(Bills!#REF!,"AAAAAHm9fLQ=")</f>
        <v>#REF!</v>
      </c>
      <c r="FZ46" t="e">
        <f>AND(Bills!#REF!,"AAAAAHm9fLU=")</f>
        <v>#REF!</v>
      </c>
      <c r="GA46" t="e">
        <f>AND(Bills!#REF!,"AAAAAHm9fLY=")</f>
        <v>#REF!</v>
      </c>
      <c r="GB46" t="e">
        <f>AND(Bills!#REF!,"AAAAAHm9fLc=")</f>
        <v>#REF!</v>
      </c>
      <c r="GC46" t="e">
        <f>AND(Bills!#REF!,"AAAAAHm9fLg=")</f>
        <v>#REF!</v>
      </c>
      <c r="GD46" t="e">
        <f>AND(Bills!#REF!,"AAAAAHm9fLk=")</f>
        <v>#REF!</v>
      </c>
      <c r="GE46" t="e">
        <f>AND(Bills!#REF!,"AAAAAHm9fLo=")</f>
        <v>#REF!</v>
      </c>
      <c r="GF46" t="e">
        <f>AND(Bills!#REF!,"AAAAAHm9fLs=")</f>
        <v>#REF!</v>
      </c>
      <c r="GG46" t="e">
        <f>AND(Bills!#REF!,"AAAAAHm9fLw=")</f>
        <v>#REF!</v>
      </c>
      <c r="GH46" t="e">
        <f>AND(Bills!#REF!,"AAAAAHm9fL0=")</f>
        <v>#REF!</v>
      </c>
      <c r="GI46" t="e">
        <f>AND(Bills!#REF!,"AAAAAHm9fL4=")</f>
        <v>#REF!</v>
      </c>
      <c r="GJ46" t="e">
        <f>AND(Bills!#REF!,"AAAAAHm9fL8=")</f>
        <v>#REF!</v>
      </c>
      <c r="GK46" t="e">
        <f>AND(Bills!#REF!,"AAAAAHm9fMA=")</f>
        <v>#REF!</v>
      </c>
      <c r="GL46" t="e">
        <f>AND(Bills!#REF!,"AAAAAHm9fME=")</f>
        <v>#REF!</v>
      </c>
      <c r="GM46" t="e">
        <f>AND(Bills!#REF!,"AAAAAHm9fMI=")</f>
        <v>#REF!</v>
      </c>
      <c r="GN46" t="e">
        <f>AND(Bills!#REF!,"AAAAAHm9fMM=")</f>
        <v>#REF!</v>
      </c>
      <c r="GO46" t="e">
        <f>AND(Bills!#REF!,"AAAAAHm9fMQ=")</f>
        <v>#REF!</v>
      </c>
      <c r="GP46" t="e">
        <f>AND(Bills!#REF!,"AAAAAHm9fMU=")</f>
        <v>#REF!</v>
      </c>
      <c r="GQ46" t="e">
        <f>IF(Bills!#REF!,"AAAAAHm9fMY=",0)</f>
        <v>#REF!</v>
      </c>
      <c r="GR46" t="e">
        <f>AND(Bills!#REF!,"AAAAAHm9fMc=")</f>
        <v>#REF!</v>
      </c>
      <c r="GS46" t="e">
        <f>AND(Bills!#REF!,"AAAAAHm9fMg=")</f>
        <v>#REF!</v>
      </c>
      <c r="GT46" t="e">
        <f>AND(Bills!#REF!,"AAAAAHm9fMk=")</f>
        <v>#REF!</v>
      </c>
      <c r="GU46" t="e">
        <f>AND(Bills!#REF!,"AAAAAHm9fMo=")</f>
        <v>#REF!</v>
      </c>
      <c r="GV46" t="e">
        <f>AND(Bills!#REF!,"AAAAAHm9fMs=")</f>
        <v>#REF!</v>
      </c>
      <c r="GW46" t="e">
        <f>AND(Bills!#REF!,"AAAAAHm9fMw=")</f>
        <v>#REF!</v>
      </c>
      <c r="GX46" t="e">
        <f>AND(Bills!#REF!,"AAAAAHm9fM0=")</f>
        <v>#REF!</v>
      </c>
      <c r="GY46" t="e">
        <f>AND(Bills!#REF!,"AAAAAHm9fM4=")</f>
        <v>#REF!</v>
      </c>
      <c r="GZ46" t="e">
        <f>AND(Bills!#REF!,"AAAAAHm9fM8=")</f>
        <v>#REF!</v>
      </c>
      <c r="HA46" t="e">
        <f>AND(Bills!#REF!,"AAAAAHm9fNA=")</f>
        <v>#REF!</v>
      </c>
      <c r="HB46" t="e">
        <f>AND(Bills!#REF!,"AAAAAHm9fNE=")</f>
        <v>#REF!</v>
      </c>
      <c r="HC46" t="e">
        <f>AND(Bills!#REF!,"AAAAAHm9fNI=")</f>
        <v>#REF!</v>
      </c>
      <c r="HD46" t="e">
        <f>AND(Bills!#REF!,"AAAAAHm9fNM=")</f>
        <v>#REF!</v>
      </c>
      <c r="HE46" t="e">
        <f>AND(Bills!#REF!,"AAAAAHm9fNQ=")</f>
        <v>#REF!</v>
      </c>
      <c r="HF46" t="e">
        <f>AND(Bills!#REF!,"AAAAAHm9fNU=")</f>
        <v>#REF!</v>
      </c>
      <c r="HG46" t="e">
        <f>AND(Bills!#REF!,"AAAAAHm9fNY=")</f>
        <v>#REF!</v>
      </c>
      <c r="HH46" t="e">
        <f>AND(Bills!#REF!,"AAAAAHm9fNc=")</f>
        <v>#REF!</v>
      </c>
      <c r="HI46" t="e">
        <f>AND(Bills!#REF!,"AAAAAHm9fNg=")</f>
        <v>#REF!</v>
      </c>
      <c r="HJ46" t="e">
        <f>AND(Bills!#REF!,"AAAAAHm9fNk=")</f>
        <v>#REF!</v>
      </c>
      <c r="HK46" t="e">
        <f>AND(Bills!#REF!,"AAAAAHm9fNo=")</f>
        <v>#REF!</v>
      </c>
      <c r="HL46" t="e">
        <f>AND(Bills!#REF!,"AAAAAHm9fNs=")</f>
        <v>#REF!</v>
      </c>
      <c r="HM46" t="e">
        <f>AND(Bills!#REF!,"AAAAAHm9fNw=")</f>
        <v>#REF!</v>
      </c>
      <c r="HN46" t="e">
        <f>AND(Bills!#REF!,"AAAAAHm9fN0=")</f>
        <v>#REF!</v>
      </c>
      <c r="HO46" t="e">
        <f>AND(Bills!#REF!,"AAAAAHm9fN4=")</f>
        <v>#REF!</v>
      </c>
      <c r="HP46" t="e">
        <f>AND(Bills!#REF!,"AAAAAHm9fN8=")</f>
        <v>#REF!</v>
      </c>
      <c r="HQ46" t="e">
        <f>AND(Bills!#REF!,"AAAAAHm9fOA=")</f>
        <v>#REF!</v>
      </c>
      <c r="HR46" t="e">
        <f>AND(Bills!#REF!,"AAAAAHm9fOE=")</f>
        <v>#REF!</v>
      </c>
      <c r="HS46" t="e">
        <f>AND(Bills!#REF!,"AAAAAHm9fOI=")</f>
        <v>#REF!</v>
      </c>
      <c r="HT46" t="e">
        <f>AND(Bills!#REF!,"AAAAAHm9fOM=")</f>
        <v>#REF!</v>
      </c>
      <c r="HU46" t="e">
        <f>AND(Bills!#REF!,"AAAAAHm9fOQ=")</f>
        <v>#REF!</v>
      </c>
      <c r="HV46" t="e">
        <f>AND(Bills!#REF!,"AAAAAHm9fOU=")</f>
        <v>#REF!</v>
      </c>
      <c r="HW46" t="e">
        <f>AND(Bills!#REF!,"AAAAAHm9fOY=")</f>
        <v>#REF!</v>
      </c>
      <c r="HX46" t="e">
        <f>AND(Bills!#REF!,"AAAAAHm9fOc=")</f>
        <v>#REF!</v>
      </c>
      <c r="HY46" t="e">
        <f>AND(Bills!#REF!,"AAAAAHm9fOg=")</f>
        <v>#REF!</v>
      </c>
      <c r="HZ46" t="e">
        <f>AND(Bills!#REF!,"AAAAAHm9fOk=")</f>
        <v>#REF!</v>
      </c>
      <c r="IA46" t="e">
        <f>AND(Bills!#REF!,"AAAAAHm9fOo=")</f>
        <v>#REF!</v>
      </c>
      <c r="IB46" t="e">
        <f>AND(Bills!#REF!,"AAAAAHm9fOs=")</f>
        <v>#REF!</v>
      </c>
      <c r="IC46" t="e">
        <f>AND(Bills!#REF!,"AAAAAHm9fOw=")</f>
        <v>#REF!</v>
      </c>
      <c r="ID46" t="e">
        <f>AND(Bills!#REF!,"AAAAAHm9fO0=")</f>
        <v>#REF!</v>
      </c>
      <c r="IE46" t="e">
        <f>AND(Bills!#REF!,"AAAAAHm9fO4=")</f>
        <v>#REF!</v>
      </c>
      <c r="IF46" t="e">
        <f>AND(Bills!#REF!,"AAAAAHm9fO8=")</f>
        <v>#REF!</v>
      </c>
      <c r="IG46" t="e">
        <f>AND(Bills!#REF!,"AAAAAHm9fPA=")</f>
        <v>#REF!</v>
      </c>
      <c r="IH46" t="e">
        <f>AND(Bills!#REF!,"AAAAAHm9fPE=")</f>
        <v>#REF!</v>
      </c>
      <c r="II46" t="e">
        <f>AND(Bills!#REF!,"AAAAAHm9fPI=")</f>
        <v>#REF!</v>
      </c>
      <c r="IJ46" t="e">
        <f>AND(Bills!#REF!,"AAAAAHm9fPM=")</f>
        <v>#REF!</v>
      </c>
      <c r="IK46" t="e">
        <f>AND(Bills!#REF!,"AAAAAHm9fPQ=")</f>
        <v>#REF!</v>
      </c>
      <c r="IL46" t="e">
        <f>AND(Bills!#REF!,"AAAAAHm9fPU=")</f>
        <v>#REF!</v>
      </c>
      <c r="IM46" t="e">
        <f>AND(Bills!#REF!,"AAAAAHm9fPY=")</f>
        <v>#REF!</v>
      </c>
      <c r="IN46" t="e">
        <f>AND(Bills!#REF!,"AAAAAHm9fPc=")</f>
        <v>#REF!</v>
      </c>
      <c r="IO46" t="e">
        <f>AND(Bills!#REF!,"AAAAAHm9fPg=")</f>
        <v>#REF!</v>
      </c>
      <c r="IP46" t="e">
        <f>IF(Bills!#REF!,"AAAAAHm9fPk=",0)</f>
        <v>#REF!</v>
      </c>
      <c r="IQ46" t="e">
        <f>AND(Bills!#REF!,"AAAAAHm9fPo=")</f>
        <v>#REF!</v>
      </c>
      <c r="IR46" t="e">
        <f>AND(Bills!#REF!,"AAAAAHm9fPs=")</f>
        <v>#REF!</v>
      </c>
      <c r="IS46" t="e">
        <f>AND(Bills!#REF!,"AAAAAHm9fPw=")</f>
        <v>#REF!</v>
      </c>
      <c r="IT46" t="e">
        <f>AND(Bills!#REF!,"AAAAAHm9fP0=")</f>
        <v>#REF!</v>
      </c>
      <c r="IU46" t="e">
        <f>AND(Bills!#REF!,"AAAAAHm9fP4=")</f>
        <v>#REF!</v>
      </c>
      <c r="IV46" t="e">
        <f>AND(Bills!#REF!,"AAAAAHm9fP8=")</f>
        <v>#REF!</v>
      </c>
    </row>
    <row r="47" spans="1:256">
      <c r="A47" t="e">
        <f>AND(Bills!#REF!,"AAAAAH6/3wA=")</f>
        <v>#REF!</v>
      </c>
      <c r="B47" t="e">
        <f>AND(Bills!#REF!,"AAAAAH6/3wE=")</f>
        <v>#REF!</v>
      </c>
      <c r="C47" t="e">
        <f>AND(Bills!#REF!,"AAAAAH6/3wI=")</f>
        <v>#REF!</v>
      </c>
      <c r="D47" t="e">
        <f>AND(Bills!#REF!,"AAAAAH6/3wM=")</f>
        <v>#REF!</v>
      </c>
      <c r="E47" t="e">
        <f>AND(Bills!#REF!,"AAAAAH6/3wQ=")</f>
        <v>#REF!</v>
      </c>
      <c r="F47" t="e">
        <f>AND(Bills!#REF!,"AAAAAH6/3wU=")</f>
        <v>#REF!</v>
      </c>
      <c r="G47" t="e">
        <f>AND(Bills!#REF!,"AAAAAH6/3wY=")</f>
        <v>#REF!</v>
      </c>
      <c r="H47" t="e">
        <f>AND(Bills!#REF!,"AAAAAH6/3wc=")</f>
        <v>#REF!</v>
      </c>
      <c r="I47" t="e">
        <f>AND(Bills!#REF!,"AAAAAH6/3wg=")</f>
        <v>#REF!</v>
      </c>
      <c r="J47" t="e">
        <f>AND(Bills!#REF!,"AAAAAH6/3wk=")</f>
        <v>#REF!</v>
      </c>
      <c r="K47" t="e">
        <f>AND(Bills!#REF!,"AAAAAH6/3wo=")</f>
        <v>#REF!</v>
      </c>
      <c r="L47" t="e">
        <f>AND(Bills!#REF!,"AAAAAH6/3ws=")</f>
        <v>#REF!</v>
      </c>
      <c r="M47" t="e">
        <f>AND(Bills!#REF!,"AAAAAH6/3ww=")</f>
        <v>#REF!</v>
      </c>
      <c r="N47" t="e">
        <f>AND(Bills!#REF!,"AAAAAH6/3w0=")</f>
        <v>#REF!</v>
      </c>
      <c r="O47" t="e">
        <f>AND(Bills!#REF!,"AAAAAH6/3w4=")</f>
        <v>#REF!</v>
      </c>
      <c r="P47" t="e">
        <f>AND(Bills!#REF!,"AAAAAH6/3w8=")</f>
        <v>#REF!</v>
      </c>
      <c r="Q47" t="e">
        <f>AND(Bills!#REF!,"AAAAAH6/3xA=")</f>
        <v>#REF!</v>
      </c>
      <c r="R47" t="e">
        <f>AND(Bills!#REF!,"AAAAAH6/3xE=")</f>
        <v>#REF!</v>
      </c>
      <c r="S47" t="e">
        <f>AND(Bills!#REF!,"AAAAAH6/3xI=")</f>
        <v>#REF!</v>
      </c>
      <c r="T47" t="e">
        <f>AND(Bills!#REF!,"AAAAAH6/3xM=")</f>
        <v>#REF!</v>
      </c>
      <c r="U47" t="e">
        <f>AND(Bills!#REF!,"AAAAAH6/3xQ=")</f>
        <v>#REF!</v>
      </c>
      <c r="V47" t="e">
        <f>AND(Bills!#REF!,"AAAAAH6/3xU=")</f>
        <v>#REF!</v>
      </c>
      <c r="W47" t="e">
        <f>AND(Bills!#REF!,"AAAAAH6/3xY=")</f>
        <v>#REF!</v>
      </c>
      <c r="X47" t="e">
        <f>AND(Bills!#REF!,"AAAAAH6/3xc=")</f>
        <v>#REF!</v>
      </c>
      <c r="Y47" t="e">
        <f>AND(Bills!#REF!,"AAAAAH6/3xg=")</f>
        <v>#REF!</v>
      </c>
      <c r="Z47" t="e">
        <f>AND(Bills!#REF!,"AAAAAH6/3xk=")</f>
        <v>#REF!</v>
      </c>
      <c r="AA47" t="e">
        <f>AND(Bills!#REF!,"AAAAAH6/3xo=")</f>
        <v>#REF!</v>
      </c>
      <c r="AB47" t="e">
        <f>AND(Bills!#REF!,"AAAAAH6/3xs=")</f>
        <v>#REF!</v>
      </c>
      <c r="AC47" t="e">
        <f>AND(Bills!#REF!,"AAAAAH6/3xw=")</f>
        <v>#REF!</v>
      </c>
      <c r="AD47" t="e">
        <f>AND(Bills!#REF!,"AAAAAH6/3x0=")</f>
        <v>#REF!</v>
      </c>
      <c r="AE47" t="e">
        <f>AND(Bills!#REF!,"AAAAAH6/3x4=")</f>
        <v>#REF!</v>
      </c>
      <c r="AF47" t="e">
        <f>AND(Bills!#REF!,"AAAAAH6/3x8=")</f>
        <v>#REF!</v>
      </c>
      <c r="AG47" t="e">
        <f>AND(Bills!#REF!,"AAAAAH6/3yA=")</f>
        <v>#REF!</v>
      </c>
      <c r="AH47" t="e">
        <f>AND(Bills!#REF!,"AAAAAH6/3yE=")</f>
        <v>#REF!</v>
      </c>
      <c r="AI47" t="e">
        <f>AND(Bills!#REF!,"AAAAAH6/3yI=")</f>
        <v>#REF!</v>
      </c>
      <c r="AJ47" t="e">
        <f>AND(Bills!#REF!,"AAAAAH6/3yM=")</f>
        <v>#REF!</v>
      </c>
      <c r="AK47" t="e">
        <f>AND(Bills!#REF!,"AAAAAH6/3yQ=")</f>
        <v>#REF!</v>
      </c>
      <c r="AL47" t="e">
        <f>AND(Bills!#REF!,"AAAAAH6/3yU=")</f>
        <v>#REF!</v>
      </c>
      <c r="AM47" t="e">
        <f>AND(Bills!#REF!,"AAAAAH6/3yY=")</f>
        <v>#REF!</v>
      </c>
      <c r="AN47" t="e">
        <f>AND(Bills!#REF!,"AAAAAH6/3yc=")</f>
        <v>#REF!</v>
      </c>
      <c r="AO47" t="e">
        <f>AND(Bills!#REF!,"AAAAAH6/3yg=")</f>
        <v>#REF!</v>
      </c>
      <c r="AP47" t="e">
        <f>AND(Bills!#REF!,"AAAAAH6/3yk=")</f>
        <v>#REF!</v>
      </c>
      <c r="AQ47" t="e">
        <f>AND(Bills!#REF!,"AAAAAH6/3yo=")</f>
        <v>#REF!</v>
      </c>
      <c r="AR47" t="e">
        <f>AND(Bills!#REF!,"AAAAAH6/3ys=")</f>
        <v>#REF!</v>
      </c>
      <c r="AS47" t="e">
        <f>IF(Bills!#REF!,"AAAAAH6/3yw=",0)</f>
        <v>#REF!</v>
      </c>
      <c r="AT47" t="e">
        <f>AND(Bills!#REF!,"AAAAAH6/3y0=")</f>
        <v>#REF!</v>
      </c>
      <c r="AU47" t="e">
        <f>AND(Bills!#REF!,"AAAAAH6/3y4=")</f>
        <v>#REF!</v>
      </c>
      <c r="AV47" t="e">
        <f>AND(Bills!#REF!,"AAAAAH6/3y8=")</f>
        <v>#REF!</v>
      </c>
      <c r="AW47" t="e">
        <f>AND(Bills!#REF!,"AAAAAH6/3zA=")</f>
        <v>#REF!</v>
      </c>
      <c r="AX47" t="e">
        <f>AND(Bills!#REF!,"AAAAAH6/3zE=")</f>
        <v>#REF!</v>
      </c>
      <c r="AY47" t="e">
        <f>AND(Bills!#REF!,"AAAAAH6/3zI=")</f>
        <v>#REF!</v>
      </c>
      <c r="AZ47" t="e">
        <f>AND(Bills!#REF!,"AAAAAH6/3zM=")</f>
        <v>#REF!</v>
      </c>
      <c r="BA47" t="e">
        <f>AND(Bills!#REF!,"AAAAAH6/3zQ=")</f>
        <v>#REF!</v>
      </c>
      <c r="BB47" t="e">
        <f>AND(Bills!#REF!,"AAAAAH6/3zU=")</f>
        <v>#REF!</v>
      </c>
      <c r="BC47" t="e">
        <f>AND(Bills!#REF!,"AAAAAH6/3zY=")</f>
        <v>#REF!</v>
      </c>
      <c r="BD47" t="e">
        <f>AND(Bills!#REF!,"AAAAAH6/3zc=")</f>
        <v>#REF!</v>
      </c>
      <c r="BE47" t="e">
        <f>AND(Bills!#REF!,"AAAAAH6/3zg=")</f>
        <v>#REF!</v>
      </c>
      <c r="BF47" t="e">
        <f>AND(Bills!#REF!,"AAAAAH6/3zk=")</f>
        <v>#REF!</v>
      </c>
      <c r="BG47" t="e">
        <f>AND(Bills!#REF!,"AAAAAH6/3zo=")</f>
        <v>#REF!</v>
      </c>
      <c r="BH47" t="e">
        <f>AND(Bills!#REF!,"AAAAAH6/3zs=")</f>
        <v>#REF!</v>
      </c>
      <c r="BI47" t="e">
        <f>AND(Bills!#REF!,"AAAAAH6/3zw=")</f>
        <v>#REF!</v>
      </c>
      <c r="BJ47" t="e">
        <f>AND(Bills!#REF!,"AAAAAH6/3z0=")</f>
        <v>#REF!</v>
      </c>
      <c r="BK47" t="e">
        <f>AND(Bills!#REF!,"AAAAAH6/3z4=")</f>
        <v>#REF!</v>
      </c>
      <c r="BL47" t="e">
        <f>AND(Bills!#REF!,"AAAAAH6/3z8=")</f>
        <v>#REF!</v>
      </c>
      <c r="BM47" t="e">
        <f>AND(Bills!#REF!,"AAAAAH6/30A=")</f>
        <v>#REF!</v>
      </c>
      <c r="BN47" t="e">
        <f>AND(Bills!#REF!,"AAAAAH6/30E=")</f>
        <v>#REF!</v>
      </c>
      <c r="BO47" t="e">
        <f>AND(Bills!#REF!,"AAAAAH6/30I=")</f>
        <v>#REF!</v>
      </c>
      <c r="BP47" t="e">
        <f>AND(Bills!#REF!,"AAAAAH6/30M=")</f>
        <v>#REF!</v>
      </c>
      <c r="BQ47" t="e">
        <f>AND(Bills!#REF!,"AAAAAH6/30Q=")</f>
        <v>#REF!</v>
      </c>
      <c r="BR47" t="e">
        <f>AND(Bills!#REF!,"AAAAAH6/30U=")</f>
        <v>#REF!</v>
      </c>
      <c r="BS47" t="e">
        <f>AND(Bills!#REF!,"AAAAAH6/30Y=")</f>
        <v>#REF!</v>
      </c>
      <c r="BT47" t="e">
        <f>AND(Bills!#REF!,"AAAAAH6/30c=")</f>
        <v>#REF!</v>
      </c>
      <c r="BU47" t="e">
        <f>AND(Bills!#REF!,"AAAAAH6/30g=")</f>
        <v>#REF!</v>
      </c>
      <c r="BV47" t="e">
        <f>AND(Bills!#REF!,"AAAAAH6/30k=")</f>
        <v>#REF!</v>
      </c>
      <c r="BW47" t="e">
        <f>AND(Bills!#REF!,"AAAAAH6/30o=")</f>
        <v>#REF!</v>
      </c>
      <c r="BX47" t="e">
        <f>AND(Bills!#REF!,"AAAAAH6/30s=")</f>
        <v>#REF!</v>
      </c>
      <c r="BY47" t="e">
        <f>AND(Bills!#REF!,"AAAAAH6/30w=")</f>
        <v>#REF!</v>
      </c>
      <c r="BZ47" t="e">
        <f>AND(Bills!#REF!,"AAAAAH6/300=")</f>
        <v>#REF!</v>
      </c>
      <c r="CA47" t="e">
        <f>AND(Bills!#REF!,"AAAAAH6/304=")</f>
        <v>#REF!</v>
      </c>
      <c r="CB47" t="e">
        <f>AND(Bills!#REF!,"AAAAAH6/308=")</f>
        <v>#REF!</v>
      </c>
      <c r="CC47" t="e">
        <f>AND(Bills!#REF!,"AAAAAH6/31A=")</f>
        <v>#REF!</v>
      </c>
      <c r="CD47" t="e">
        <f>AND(Bills!#REF!,"AAAAAH6/31E=")</f>
        <v>#REF!</v>
      </c>
      <c r="CE47" t="e">
        <f>AND(Bills!#REF!,"AAAAAH6/31I=")</f>
        <v>#REF!</v>
      </c>
      <c r="CF47" t="e">
        <f>AND(Bills!#REF!,"AAAAAH6/31M=")</f>
        <v>#REF!</v>
      </c>
      <c r="CG47" t="e">
        <f>AND(Bills!#REF!,"AAAAAH6/31Q=")</f>
        <v>#REF!</v>
      </c>
      <c r="CH47" t="e">
        <f>AND(Bills!#REF!,"AAAAAH6/31U=")</f>
        <v>#REF!</v>
      </c>
      <c r="CI47" t="e">
        <f>AND(Bills!#REF!,"AAAAAH6/31Y=")</f>
        <v>#REF!</v>
      </c>
      <c r="CJ47" t="e">
        <f>AND(Bills!#REF!,"AAAAAH6/31c=")</f>
        <v>#REF!</v>
      </c>
      <c r="CK47" t="e">
        <f>AND(Bills!#REF!,"AAAAAH6/31g=")</f>
        <v>#REF!</v>
      </c>
      <c r="CL47" t="e">
        <f>AND(Bills!#REF!,"AAAAAH6/31k=")</f>
        <v>#REF!</v>
      </c>
      <c r="CM47" t="e">
        <f>AND(Bills!#REF!,"AAAAAH6/31o=")</f>
        <v>#REF!</v>
      </c>
      <c r="CN47" t="e">
        <f>AND(Bills!#REF!,"AAAAAH6/31s=")</f>
        <v>#REF!</v>
      </c>
      <c r="CO47" t="e">
        <f>AND(Bills!#REF!,"AAAAAH6/31w=")</f>
        <v>#REF!</v>
      </c>
      <c r="CP47" t="e">
        <f>AND(Bills!#REF!,"AAAAAH6/310=")</f>
        <v>#REF!</v>
      </c>
      <c r="CQ47" t="e">
        <f>AND(Bills!#REF!,"AAAAAH6/314=")</f>
        <v>#REF!</v>
      </c>
      <c r="CR47" t="e">
        <f>IF(Bills!#REF!,"AAAAAH6/318=",0)</f>
        <v>#REF!</v>
      </c>
      <c r="CS47" t="e">
        <f>AND(Bills!#REF!,"AAAAAH6/32A=")</f>
        <v>#REF!</v>
      </c>
      <c r="CT47" t="e">
        <f>AND(Bills!#REF!,"AAAAAH6/32E=")</f>
        <v>#REF!</v>
      </c>
      <c r="CU47" t="e">
        <f>AND(Bills!#REF!,"AAAAAH6/32I=")</f>
        <v>#REF!</v>
      </c>
      <c r="CV47" t="e">
        <f>AND(Bills!#REF!,"AAAAAH6/32M=")</f>
        <v>#REF!</v>
      </c>
      <c r="CW47" t="e">
        <f>AND(Bills!#REF!,"AAAAAH6/32Q=")</f>
        <v>#REF!</v>
      </c>
      <c r="CX47" t="e">
        <f>AND(Bills!#REF!,"AAAAAH6/32U=")</f>
        <v>#REF!</v>
      </c>
      <c r="CY47" t="e">
        <f>AND(Bills!#REF!,"AAAAAH6/32Y=")</f>
        <v>#REF!</v>
      </c>
      <c r="CZ47" t="e">
        <f>AND(Bills!#REF!,"AAAAAH6/32c=")</f>
        <v>#REF!</v>
      </c>
      <c r="DA47" t="e">
        <f>AND(Bills!#REF!,"AAAAAH6/32g=")</f>
        <v>#REF!</v>
      </c>
      <c r="DB47" t="e">
        <f>AND(Bills!#REF!,"AAAAAH6/32k=")</f>
        <v>#REF!</v>
      </c>
      <c r="DC47" t="e">
        <f>AND(Bills!#REF!,"AAAAAH6/32o=")</f>
        <v>#REF!</v>
      </c>
      <c r="DD47" t="e">
        <f>AND(Bills!#REF!,"AAAAAH6/32s=")</f>
        <v>#REF!</v>
      </c>
      <c r="DE47" t="e">
        <f>AND(Bills!#REF!,"AAAAAH6/32w=")</f>
        <v>#REF!</v>
      </c>
      <c r="DF47" t="e">
        <f>AND(Bills!#REF!,"AAAAAH6/320=")</f>
        <v>#REF!</v>
      </c>
      <c r="DG47" t="e">
        <f>AND(Bills!#REF!,"AAAAAH6/324=")</f>
        <v>#REF!</v>
      </c>
      <c r="DH47" t="e">
        <f>AND(Bills!#REF!,"AAAAAH6/328=")</f>
        <v>#REF!</v>
      </c>
      <c r="DI47" t="e">
        <f>AND(Bills!#REF!,"AAAAAH6/33A=")</f>
        <v>#REF!</v>
      </c>
      <c r="DJ47" t="e">
        <f>AND(Bills!#REF!,"AAAAAH6/33E=")</f>
        <v>#REF!</v>
      </c>
      <c r="DK47" t="e">
        <f>AND(Bills!#REF!,"AAAAAH6/33I=")</f>
        <v>#REF!</v>
      </c>
      <c r="DL47" t="e">
        <f>AND(Bills!#REF!,"AAAAAH6/33M=")</f>
        <v>#REF!</v>
      </c>
      <c r="DM47" t="e">
        <f>AND(Bills!#REF!,"AAAAAH6/33Q=")</f>
        <v>#REF!</v>
      </c>
      <c r="DN47" t="e">
        <f>AND(Bills!#REF!,"AAAAAH6/33U=")</f>
        <v>#REF!</v>
      </c>
      <c r="DO47" t="e">
        <f>AND(Bills!#REF!,"AAAAAH6/33Y=")</f>
        <v>#REF!</v>
      </c>
      <c r="DP47" t="e">
        <f>AND(Bills!#REF!,"AAAAAH6/33c=")</f>
        <v>#REF!</v>
      </c>
      <c r="DQ47" t="e">
        <f>AND(Bills!#REF!,"AAAAAH6/33g=")</f>
        <v>#REF!</v>
      </c>
      <c r="DR47" t="e">
        <f>AND(Bills!#REF!,"AAAAAH6/33k=")</f>
        <v>#REF!</v>
      </c>
      <c r="DS47" t="e">
        <f>AND(Bills!#REF!,"AAAAAH6/33o=")</f>
        <v>#REF!</v>
      </c>
      <c r="DT47" t="e">
        <f>AND(Bills!#REF!,"AAAAAH6/33s=")</f>
        <v>#REF!</v>
      </c>
      <c r="DU47" t="e">
        <f>AND(Bills!#REF!,"AAAAAH6/33w=")</f>
        <v>#REF!</v>
      </c>
      <c r="DV47" t="e">
        <f>AND(Bills!#REF!,"AAAAAH6/330=")</f>
        <v>#REF!</v>
      </c>
      <c r="DW47" t="e">
        <f>AND(Bills!#REF!,"AAAAAH6/334=")</f>
        <v>#REF!</v>
      </c>
      <c r="DX47" t="e">
        <f>AND(Bills!#REF!,"AAAAAH6/338=")</f>
        <v>#REF!</v>
      </c>
      <c r="DY47" t="e">
        <f>AND(Bills!#REF!,"AAAAAH6/34A=")</f>
        <v>#REF!</v>
      </c>
      <c r="DZ47" t="e">
        <f>AND(Bills!#REF!,"AAAAAH6/34E=")</f>
        <v>#REF!</v>
      </c>
      <c r="EA47" t="e">
        <f>AND(Bills!#REF!,"AAAAAH6/34I=")</f>
        <v>#REF!</v>
      </c>
      <c r="EB47" t="e">
        <f>AND(Bills!#REF!,"AAAAAH6/34M=")</f>
        <v>#REF!</v>
      </c>
      <c r="EC47" t="e">
        <f>AND(Bills!#REF!,"AAAAAH6/34Q=")</f>
        <v>#REF!</v>
      </c>
      <c r="ED47" t="e">
        <f>AND(Bills!#REF!,"AAAAAH6/34U=")</f>
        <v>#REF!</v>
      </c>
      <c r="EE47" t="e">
        <f>AND(Bills!#REF!,"AAAAAH6/34Y=")</f>
        <v>#REF!</v>
      </c>
      <c r="EF47" t="e">
        <f>AND(Bills!#REF!,"AAAAAH6/34c=")</f>
        <v>#REF!</v>
      </c>
      <c r="EG47" t="e">
        <f>AND(Bills!#REF!,"AAAAAH6/34g=")</f>
        <v>#REF!</v>
      </c>
      <c r="EH47" t="e">
        <f>AND(Bills!#REF!,"AAAAAH6/34k=")</f>
        <v>#REF!</v>
      </c>
      <c r="EI47" t="e">
        <f>AND(Bills!#REF!,"AAAAAH6/34o=")</f>
        <v>#REF!</v>
      </c>
      <c r="EJ47" t="e">
        <f>AND(Bills!#REF!,"AAAAAH6/34s=")</f>
        <v>#REF!</v>
      </c>
      <c r="EK47" t="e">
        <f>AND(Bills!#REF!,"AAAAAH6/34w=")</f>
        <v>#REF!</v>
      </c>
      <c r="EL47" t="e">
        <f>AND(Bills!#REF!,"AAAAAH6/340=")</f>
        <v>#REF!</v>
      </c>
      <c r="EM47" t="e">
        <f>AND(Bills!#REF!,"AAAAAH6/344=")</f>
        <v>#REF!</v>
      </c>
      <c r="EN47" t="e">
        <f>AND(Bills!#REF!,"AAAAAH6/348=")</f>
        <v>#REF!</v>
      </c>
      <c r="EO47" t="e">
        <f>AND(Bills!#REF!,"AAAAAH6/35A=")</f>
        <v>#REF!</v>
      </c>
      <c r="EP47" t="e">
        <f>AND(Bills!#REF!,"AAAAAH6/35E=")</f>
        <v>#REF!</v>
      </c>
      <c r="EQ47" t="e">
        <f>IF(Bills!#REF!,"AAAAAH6/35I=",0)</f>
        <v>#REF!</v>
      </c>
      <c r="ER47" t="e">
        <f>AND(Bills!#REF!,"AAAAAH6/35M=")</f>
        <v>#REF!</v>
      </c>
      <c r="ES47" t="e">
        <f>AND(Bills!#REF!,"AAAAAH6/35Q=")</f>
        <v>#REF!</v>
      </c>
      <c r="ET47" t="e">
        <f>AND(Bills!#REF!,"AAAAAH6/35U=")</f>
        <v>#REF!</v>
      </c>
      <c r="EU47" t="e">
        <f>AND(Bills!#REF!,"AAAAAH6/35Y=")</f>
        <v>#REF!</v>
      </c>
      <c r="EV47" t="e">
        <f>AND(Bills!#REF!,"AAAAAH6/35c=")</f>
        <v>#REF!</v>
      </c>
      <c r="EW47" t="e">
        <f>AND(Bills!#REF!,"AAAAAH6/35g=")</f>
        <v>#REF!</v>
      </c>
      <c r="EX47" t="e">
        <f>AND(Bills!#REF!,"AAAAAH6/35k=")</f>
        <v>#REF!</v>
      </c>
      <c r="EY47" t="e">
        <f>AND(Bills!#REF!,"AAAAAH6/35o=")</f>
        <v>#REF!</v>
      </c>
      <c r="EZ47" t="e">
        <f>AND(Bills!#REF!,"AAAAAH6/35s=")</f>
        <v>#REF!</v>
      </c>
      <c r="FA47" t="e">
        <f>AND(Bills!#REF!,"AAAAAH6/35w=")</f>
        <v>#REF!</v>
      </c>
      <c r="FB47" t="e">
        <f>AND(Bills!#REF!,"AAAAAH6/350=")</f>
        <v>#REF!</v>
      </c>
      <c r="FC47" t="e">
        <f>AND(Bills!#REF!,"AAAAAH6/354=")</f>
        <v>#REF!</v>
      </c>
      <c r="FD47" t="e">
        <f>AND(Bills!#REF!,"AAAAAH6/358=")</f>
        <v>#REF!</v>
      </c>
      <c r="FE47" t="e">
        <f>AND(Bills!#REF!,"AAAAAH6/36A=")</f>
        <v>#REF!</v>
      </c>
      <c r="FF47" t="e">
        <f>AND(Bills!#REF!,"AAAAAH6/36E=")</f>
        <v>#REF!</v>
      </c>
      <c r="FG47" t="e">
        <f>AND(Bills!#REF!,"AAAAAH6/36I=")</f>
        <v>#REF!</v>
      </c>
      <c r="FH47" t="e">
        <f>AND(Bills!#REF!,"AAAAAH6/36M=")</f>
        <v>#REF!</v>
      </c>
      <c r="FI47" t="e">
        <f>AND(Bills!#REF!,"AAAAAH6/36Q=")</f>
        <v>#REF!</v>
      </c>
      <c r="FJ47" t="e">
        <f>AND(Bills!#REF!,"AAAAAH6/36U=")</f>
        <v>#REF!</v>
      </c>
      <c r="FK47" t="e">
        <f>AND(Bills!#REF!,"AAAAAH6/36Y=")</f>
        <v>#REF!</v>
      </c>
      <c r="FL47" t="e">
        <f>AND(Bills!#REF!,"AAAAAH6/36c=")</f>
        <v>#REF!</v>
      </c>
      <c r="FM47" t="e">
        <f>AND(Bills!#REF!,"AAAAAH6/36g=")</f>
        <v>#REF!</v>
      </c>
      <c r="FN47" t="e">
        <f>AND(Bills!#REF!,"AAAAAH6/36k=")</f>
        <v>#REF!</v>
      </c>
      <c r="FO47" t="e">
        <f>AND(Bills!#REF!,"AAAAAH6/36o=")</f>
        <v>#REF!</v>
      </c>
      <c r="FP47" t="e">
        <f>AND(Bills!#REF!,"AAAAAH6/36s=")</f>
        <v>#REF!</v>
      </c>
      <c r="FQ47" t="e">
        <f>AND(Bills!#REF!,"AAAAAH6/36w=")</f>
        <v>#REF!</v>
      </c>
      <c r="FR47" t="e">
        <f>AND(Bills!#REF!,"AAAAAH6/360=")</f>
        <v>#REF!</v>
      </c>
      <c r="FS47" t="e">
        <f>AND(Bills!#REF!,"AAAAAH6/364=")</f>
        <v>#REF!</v>
      </c>
      <c r="FT47" t="e">
        <f>AND(Bills!#REF!,"AAAAAH6/368=")</f>
        <v>#REF!</v>
      </c>
      <c r="FU47" t="e">
        <f>AND(Bills!#REF!,"AAAAAH6/37A=")</f>
        <v>#REF!</v>
      </c>
      <c r="FV47" t="e">
        <f>AND(Bills!#REF!,"AAAAAH6/37E=")</f>
        <v>#REF!</v>
      </c>
      <c r="FW47" t="e">
        <f>AND(Bills!#REF!,"AAAAAH6/37I=")</f>
        <v>#REF!</v>
      </c>
      <c r="FX47" t="e">
        <f>AND(Bills!#REF!,"AAAAAH6/37M=")</f>
        <v>#REF!</v>
      </c>
      <c r="FY47" t="e">
        <f>AND(Bills!#REF!,"AAAAAH6/37Q=")</f>
        <v>#REF!</v>
      </c>
      <c r="FZ47" t="e">
        <f>AND(Bills!#REF!,"AAAAAH6/37U=")</f>
        <v>#REF!</v>
      </c>
      <c r="GA47" t="e">
        <f>AND(Bills!#REF!,"AAAAAH6/37Y=")</f>
        <v>#REF!</v>
      </c>
      <c r="GB47" t="e">
        <f>AND(Bills!#REF!,"AAAAAH6/37c=")</f>
        <v>#REF!</v>
      </c>
      <c r="GC47" t="e">
        <f>AND(Bills!#REF!,"AAAAAH6/37g=")</f>
        <v>#REF!</v>
      </c>
      <c r="GD47" t="e">
        <f>AND(Bills!#REF!,"AAAAAH6/37k=")</f>
        <v>#REF!</v>
      </c>
      <c r="GE47" t="e">
        <f>AND(Bills!#REF!,"AAAAAH6/37o=")</f>
        <v>#REF!</v>
      </c>
      <c r="GF47" t="e">
        <f>AND(Bills!#REF!,"AAAAAH6/37s=")</f>
        <v>#REF!</v>
      </c>
      <c r="GG47" t="e">
        <f>AND(Bills!#REF!,"AAAAAH6/37w=")</f>
        <v>#REF!</v>
      </c>
      <c r="GH47" t="e">
        <f>AND(Bills!#REF!,"AAAAAH6/370=")</f>
        <v>#REF!</v>
      </c>
      <c r="GI47" t="e">
        <f>AND(Bills!#REF!,"AAAAAH6/374=")</f>
        <v>#REF!</v>
      </c>
      <c r="GJ47" t="e">
        <f>AND(Bills!#REF!,"AAAAAH6/378=")</f>
        <v>#REF!</v>
      </c>
      <c r="GK47" t="e">
        <f>AND(Bills!#REF!,"AAAAAH6/38A=")</f>
        <v>#REF!</v>
      </c>
      <c r="GL47" t="e">
        <f>AND(Bills!#REF!,"AAAAAH6/38E=")</f>
        <v>#REF!</v>
      </c>
      <c r="GM47" t="e">
        <f>AND(Bills!#REF!,"AAAAAH6/38I=")</f>
        <v>#REF!</v>
      </c>
      <c r="GN47" t="e">
        <f>AND(Bills!#REF!,"AAAAAH6/38M=")</f>
        <v>#REF!</v>
      </c>
      <c r="GO47" t="e">
        <f>AND(Bills!#REF!,"AAAAAH6/38Q=")</f>
        <v>#REF!</v>
      </c>
      <c r="GP47" t="e">
        <f>IF(Bills!#REF!,"AAAAAH6/38U=",0)</f>
        <v>#REF!</v>
      </c>
      <c r="GQ47" t="e">
        <f>AND(Bills!#REF!,"AAAAAH6/38Y=")</f>
        <v>#REF!</v>
      </c>
      <c r="GR47" t="e">
        <f>AND(Bills!#REF!,"AAAAAH6/38c=")</f>
        <v>#REF!</v>
      </c>
      <c r="GS47" t="e">
        <f>AND(Bills!#REF!,"AAAAAH6/38g=")</f>
        <v>#REF!</v>
      </c>
      <c r="GT47" t="e">
        <f>AND(Bills!#REF!,"AAAAAH6/38k=")</f>
        <v>#REF!</v>
      </c>
      <c r="GU47" t="e">
        <f>AND(Bills!#REF!,"AAAAAH6/38o=")</f>
        <v>#REF!</v>
      </c>
      <c r="GV47" t="e">
        <f>AND(Bills!#REF!,"AAAAAH6/38s=")</f>
        <v>#REF!</v>
      </c>
      <c r="GW47" t="e">
        <f>AND(Bills!#REF!,"AAAAAH6/38w=")</f>
        <v>#REF!</v>
      </c>
      <c r="GX47" t="e">
        <f>AND(Bills!#REF!,"AAAAAH6/380=")</f>
        <v>#REF!</v>
      </c>
      <c r="GY47" t="e">
        <f>AND(Bills!#REF!,"AAAAAH6/384=")</f>
        <v>#REF!</v>
      </c>
      <c r="GZ47" t="e">
        <f>AND(Bills!#REF!,"AAAAAH6/388=")</f>
        <v>#REF!</v>
      </c>
      <c r="HA47" t="e">
        <f>AND(Bills!#REF!,"AAAAAH6/39A=")</f>
        <v>#REF!</v>
      </c>
      <c r="HB47" t="e">
        <f>AND(Bills!#REF!,"AAAAAH6/39E=")</f>
        <v>#REF!</v>
      </c>
      <c r="HC47" t="e">
        <f>AND(Bills!#REF!,"AAAAAH6/39I=")</f>
        <v>#REF!</v>
      </c>
      <c r="HD47" t="e">
        <f>AND(Bills!#REF!,"AAAAAH6/39M=")</f>
        <v>#REF!</v>
      </c>
      <c r="HE47" t="e">
        <f>AND(Bills!#REF!,"AAAAAH6/39Q=")</f>
        <v>#REF!</v>
      </c>
      <c r="HF47" t="e">
        <f>AND(Bills!#REF!,"AAAAAH6/39U=")</f>
        <v>#REF!</v>
      </c>
      <c r="HG47" t="e">
        <f>AND(Bills!#REF!,"AAAAAH6/39Y=")</f>
        <v>#REF!</v>
      </c>
      <c r="HH47" t="e">
        <f>AND(Bills!#REF!,"AAAAAH6/39c=")</f>
        <v>#REF!</v>
      </c>
      <c r="HI47" t="e">
        <f>AND(Bills!#REF!,"AAAAAH6/39g=")</f>
        <v>#REF!</v>
      </c>
      <c r="HJ47" t="e">
        <f>AND(Bills!#REF!,"AAAAAH6/39k=")</f>
        <v>#REF!</v>
      </c>
      <c r="HK47" t="e">
        <f>AND(Bills!#REF!,"AAAAAH6/39o=")</f>
        <v>#REF!</v>
      </c>
      <c r="HL47" t="e">
        <f>AND(Bills!#REF!,"AAAAAH6/39s=")</f>
        <v>#REF!</v>
      </c>
      <c r="HM47" t="e">
        <f>AND(Bills!#REF!,"AAAAAH6/39w=")</f>
        <v>#REF!</v>
      </c>
      <c r="HN47" t="e">
        <f>AND(Bills!#REF!,"AAAAAH6/390=")</f>
        <v>#REF!</v>
      </c>
      <c r="HO47" t="e">
        <f>AND(Bills!#REF!,"AAAAAH6/394=")</f>
        <v>#REF!</v>
      </c>
      <c r="HP47" t="e">
        <f>AND(Bills!#REF!,"AAAAAH6/398=")</f>
        <v>#REF!</v>
      </c>
      <c r="HQ47" t="e">
        <f>AND(Bills!#REF!,"AAAAAH6/3+A=")</f>
        <v>#REF!</v>
      </c>
      <c r="HR47" t="e">
        <f>AND(Bills!#REF!,"AAAAAH6/3+E=")</f>
        <v>#REF!</v>
      </c>
      <c r="HS47" t="e">
        <f>AND(Bills!#REF!,"AAAAAH6/3+I=")</f>
        <v>#REF!</v>
      </c>
      <c r="HT47" t="e">
        <f>AND(Bills!#REF!,"AAAAAH6/3+M=")</f>
        <v>#REF!</v>
      </c>
      <c r="HU47" t="e">
        <f>AND(Bills!#REF!,"AAAAAH6/3+Q=")</f>
        <v>#REF!</v>
      </c>
      <c r="HV47" t="e">
        <f>AND(Bills!#REF!,"AAAAAH6/3+U=")</f>
        <v>#REF!</v>
      </c>
      <c r="HW47" t="e">
        <f>AND(Bills!#REF!,"AAAAAH6/3+Y=")</f>
        <v>#REF!</v>
      </c>
      <c r="HX47" t="e">
        <f>AND(Bills!#REF!,"AAAAAH6/3+c=")</f>
        <v>#REF!</v>
      </c>
      <c r="HY47" t="e">
        <f>AND(Bills!#REF!,"AAAAAH6/3+g=")</f>
        <v>#REF!</v>
      </c>
      <c r="HZ47" t="e">
        <f>AND(Bills!#REF!,"AAAAAH6/3+k=")</f>
        <v>#REF!</v>
      </c>
      <c r="IA47" t="e">
        <f>AND(Bills!#REF!,"AAAAAH6/3+o=")</f>
        <v>#REF!</v>
      </c>
      <c r="IB47" t="e">
        <f>AND(Bills!#REF!,"AAAAAH6/3+s=")</f>
        <v>#REF!</v>
      </c>
      <c r="IC47" t="e">
        <f>AND(Bills!#REF!,"AAAAAH6/3+w=")</f>
        <v>#REF!</v>
      </c>
      <c r="ID47" t="e">
        <f>AND(Bills!#REF!,"AAAAAH6/3+0=")</f>
        <v>#REF!</v>
      </c>
      <c r="IE47" t="e">
        <f>AND(Bills!#REF!,"AAAAAH6/3+4=")</f>
        <v>#REF!</v>
      </c>
      <c r="IF47" t="e">
        <f>AND(Bills!#REF!,"AAAAAH6/3+8=")</f>
        <v>#REF!</v>
      </c>
      <c r="IG47" t="e">
        <f>AND(Bills!#REF!,"AAAAAH6/3/A=")</f>
        <v>#REF!</v>
      </c>
      <c r="IH47" t="e">
        <f>AND(Bills!#REF!,"AAAAAH6/3/E=")</f>
        <v>#REF!</v>
      </c>
      <c r="II47" t="e">
        <f>AND(Bills!#REF!,"AAAAAH6/3/I=")</f>
        <v>#REF!</v>
      </c>
      <c r="IJ47" t="e">
        <f>AND(Bills!#REF!,"AAAAAH6/3/M=")</f>
        <v>#REF!</v>
      </c>
      <c r="IK47" t="e">
        <f>AND(Bills!#REF!,"AAAAAH6/3/Q=")</f>
        <v>#REF!</v>
      </c>
      <c r="IL47" t="e">
        <f>AND(Bills!#REF!,"AAAAAH6/3/U=")</f>
        <v>#REF!</v>
      </c>
      <c r="IM47" t="e">
        <f>AND(Bills!#REF!,"AAAAAH6/3/Y=")</f>
        <v>#REF!</v>
      </c>
      <c r="IN47" t="e">
        <f>AND(Bills!#REF!,"AAAAAH6/3/c=")</f>
        <v>#REF!</v>
      </c>
      <c r="IO47" t="e">
        <f>IF(Bills!#REF!,"AAAAAH6/3/g=",0)</f>
        <v>#REF!</v>
      </c>
      <c r="IP47" t="e">
        <f>AND(Bills!#REF!,"AAAAAH6/3/k=")</f>
        <v>#REF!</v>
      </c>
      <c r="IQ47" t="e">
        <f>AND(Bills!#REF!,"AAAAAH6/3/o=")</f>
        <v>#REF!</v>
      </c>
      <c r="IR47" t="e">
        <f>AND(Bills!#REF!,"AAAAAH6/3/s=")</f>
        <v>#REF!</v>
      </c>
      <c r="IS47" t="e">
        <f>AND(Bills!#REF!,"AAAAAH6/3/w=")</f>
        <v>#REF!</v>
      </c>
      <c r="IT47" t="e">
        <f>AND(Bills!#REF!,"AAAAAH6/3/0=")</f>
        <v>#REF!</v>
      </c>
      <c r="IU47" t="e">
        <f>AND(Bills!#REF!,"AAAAAH6/3/4=")</f>
        <v>#REF!</v>
      </c>
      <c r="IV47" t="e">
        <f>AND(Bills!#REF!,"AAAAAH6/3/8=")</f>
        <v>#REF!</v>
      </c>
    </row>
    <row r="48" spans="1:256">
      <c r="A48" t="e">
        <f>AND(Bills!#REF!,"AAAAAHN7/QA=")</f>
        <v>#REF!</v>
      </c>
      <c r="B48" t="e">
        <f>AND(Bills!#REF!,"AAAAAHN7/QE=")</f>
        <v>#REF!</v>
      </c>
      <c r="C48" t="e">
        <f>AND(Bills!#REF!,"AAAAAHN7/QI=")</f>
        <v>#REF!</v>
      </c>
      <c r="D48" t="e">
        <f>AND(Bills!#REF!,"AAAAAHN7/QM=")</f>
        <v>#REF!</v>
      </c>
      <c r="E48" t="e">
        <f>AND(Bills!#REF!,"AAAAAHN7/QQ=")</f>
        <v>#REF!</v>
      </c>
      <c r="F48" t="e">
        <f>AND(Bills!#REF!,"AAAAAHN7/QU=")</f>
        <v>#REF!</v>
      </c>
      <c r="G48" t="e">
        <f>AND(Bills!#REF!,"AAAAAHN7/QY=")</f>
        <v>#REF!</v>
      </c>
      <c r="H48" t="e">
        <f>AND(Bills!#REF!,"AAAAAHN7/Qc=")</f>
        <v>#REF!</v>
      </c>
      <c r="I48" t="e">
        <f>AND(Bills!#REF!,"AAAAAHN7/Qg=")</f>
        <v>#REF!</v>
      </c>
      <c r="J48" t="e">
        <f>AND(Bills!#REF!,"AAAAAHN7/Qk=")</f>
        <v>#REF!</v>
      </c>
      <c r="K48" t="e">
        <f>AND(Bills!#REF!,"AAAAAHN7/Qo=")</f>
        <v>#REF!</v>
      </c>
      <c r="L48" t="e">
        <f>AND(Bills!#REF!,"AAAAAHN7/Qs=")</f>
        <v>#REF!</v>
      </c>
      <c r="M48" t="e">
        <f>AND(Bills!#REF!,"AAAAAHN7/Qw=")</f>
        <v>#REF!</v>
      </c>
      <c r="N48" t="e">
        <f>AND(Bills!#REF!,"AAAAAHN7/Q0=")</f>
        <v>#REF!</v>
      </c>
      <c r="O48" t="e">
        <f>AND(Bills!#REF!,"AAAAAHN7/Q4=")</f>
        <v>#REF!</v>
      </c>
      <c r="P48" t="e">
        <f>AND(Bills!#REF!,"AAAAAHN7/Q8=")</f>
        <v>#REF!</v>
      </c>
      <c r="Q48" t="e">
        <f>AND(Bills!#REF!,"AAAAAHN7/RA=")</f>
        <v>#REF!</v>
      </c>
      <c r="R48" t="e">
        <f>AND(Bills!#REF!,"AAAAAHN7/RE=")</f>
        <v>#REF!</v>
      </c>
      <c r="S48" t="e">
        <f>AND(Bills!#REF!,"AAAAAHN7/RI=")</f>
        <v>#REF!</v>
      </c>
      <c r="T48" t="e">
        <f>AND(Bills!#REF!,"AAAAAHN7/RM=")</f>
        <v>#REF!</v>
      </c>
      <c r="U48" t="e">
        <f>AND(Bills!#REF!,"AAAAAHN7/RQ=")</f>
        <v>#REF!</v>
      </c>
      <c r="V48" t="e">
        <f>AND(Bills!#REF!,"AAAAAHN7/RU=")</f>
        <v>#REF!</v>
      </c>
      <c r="W48" t="e">
        <f>AND(Bills!#REF!,"AAAAAHN7/RY=")</f>
        <v>#REF!</v>
      </c>
      <c r="X48" t="e">
        <f>AND(Bills!#REF!,"AAAAAHN7/Rc=")</f>
        <v>#REF!</v>
      </c>
      <c r="Y48" t="e">
        <f>AND(Bills!#REF!,"AAAAAHN7/Rg=")</f>
        <v>#REF!</v>
      </c>
      <c r="Z48" t="e">
        <f>AND(Bills!#REF!,"AAAAAHN7/Rk=")</f>
        <v>#REF!</v>
      </c>
      <c r="AA48" t="e">
        <f>AND(Bills!#REF!,"AAAAAHN7/Ro=")</f>
        <v>#REF!</v>
      </c>
      <c r="AB48" t="e">
        <f>AND(Bills!#REF!,"AAAAAHN7/Rs=")</f>
        <v>#REF!</v>
      </c>
      <c r="AC48" t="e">
        <f>AND(Bills!#REF!,"AAAAAHN7/Rw=")</f>
        <v>#REF!</v>
      </c>
      <c r="AD48" t="e">
        <f>AND(Bills!#REF!,"AAAAAHN7/R0=")</f>
        <v>#REF!</v>
      </c>
      <c r="AE48" t="e">
        <f>AND(Bills!#REF!,"AAAAAHN7/R4=")</f>
        <v>#REF!</v>
      </c>
      <c r="AF48" t="e">
        <f>AND(Bills!#REF!,"AAAAAHN7/R8=")</f>
        <v>#REF!</v>
      </c>
      <c r="AG48" t="e">
        <f>AND(Bills!#REF!,"AAAAAHN7/SA=")</f>
        <v>#REF!</v>
      </c>
      <c r="AH48" t="e">
        <f>AND(Bills!#REF!,"AAAAAHN7/SE=")</f>
        <v>#REF!</v>
      </c>
      <c r="AI48" t="e">
        <f>AND(Bills!#REF!,"AAAAAHN7/SI=")</f>
        <v>#REF!</v>
      </c>
      <c r="AJ48" t="e">
        <f>AND(Bills!#REF!,"AAAAAHN7/SM=")</f>
        <v>#REF!</v>
      </c>
      <c r="AK48" t="e">
        <f>AND(Bills!#REF!,"AAAAAHN7/SQ=")</f>
        <v>#REF!</v>
      </c>
      <c r="AL48" t="e">
        <f>AND(Bills!#REF!,"AAAAAHN7/SU=")</f>
        <v>#REF!</v>
      </c>
      <c r="AM48" t="e">
        <f>AND(Bills!#REF!,"AAAAAHN7/SY=")</f>
        <v>#REF!</v>
      </c>
      <c r="AN48" t="e">
        <f>AND(Bills!#REF!,"AAAAAHN7/Sc=")</f>
        <v>#REF!</v>
      </c>
      <c r="AO48" t="e">
        <f>AND(Bills!#REF!,"AAAAAHN7/Sg=")</f>
        <v>#REF!</v>
      </c>
      <c r="AP48" t="e">
        <f>AND(Bills!#REF!,"AAAAAHN7/Sk=")</f>
        <v>#REF!</v>
      </c>
      <c r="AQ48" t="e">
        <f>AND(Bills!#REF!,"AAAAAHN7/So=")</f>
        <v>#REF!</v>
      </c>
      <c r="AR48" t="e">
        <f>IF(Bills!#REF!,"AAAAAHN7/Ss=",0)</f>
        <v>#REF!</v>
      </c>
      <c r="AS48" t="e">
        <f>AND(Bills!#REF!,"AAAAAHN7/Sw=")</f>
        <v>#REF!</v>
      </c>
      <c r="AT48" t="e">
        <f>AND(Bills!#REF!,"AAAAAHN7/S0=")</f>
        <v>#REF!</v>
      </c>
      <c r="AU48" t="e">
        <f>AND(Bills!#REF!,"AAAAAHN7/S4=")</f>
        <v>#REF!</v>
      </c>
      <c r="AV48" t="e">
        <f>AND(Bills!#REF!,"AAAAAHN7/S8=")</f>
        <v>#REF!</v>
      </c>
      <c r="AW48" t="e">
        <f>AND(Bills!#REF!,"AAAAAHN7/TA=")</f>
        <v>#REF!</v>
      </c>
      <c r="AX48" t="e">
        <f>AND(Bills!#REF!,"AAAAAHN7/TE=")</f>
        <v>#REF!</v>
      </c>
      <c r="AY48" t="e">
        <f>AND(Bills!#REF!,"AAAAAHN7/TI=")</f>
        <v>#REF!</v>
      </c>
      <c r="AZ48" t="e">
        <f>AND(Bills!#REF!,"AAAAAHN7/TM=")</f>
        <v>#REF!</v>
      </c>
      <c r="BA48" t="e">
        <f>AND(Bills!#REF!,"AAAAAHN7/TQ=")</f>
        <v>#REF!</v>
      </c>
      <c r="BB48" t="e">
        <f>AND(Bills!#REF!,"AAAAAHN7/TU=")</f>
        <v>#REF!</v>
      </c>
      <c r="BC48" t="e">
        <f>AND(Bills!#REF!,"AAAAAHN7/TY=")</f>
        <v>#REF!</v>
      </c>
      <c r="BD48" t="e">
        <f>AND(Bills!#REF!,"AAAAAHN7/Tc=")</f>
        <v>#REF!</v>
      </c>
      <c r="BE48" t="e">
        <f>AND(Bills!#REF!,"AAAAAHN7/Tg=")</f>
        <v>#REF!</v>
      </c>
      <c r="BF48" t="e">
        <f>AND(Bills!#REF!,"AAAAAHN7/Tk=")</f>
        <v>#REF!</v>
      </c>
      <c r="BG48" t="e">
        <f>AND(Bills!#REF!,"AAAAAHN7/To=")</f>
        <v>#REF!</v>
      </c>
      <c r="BH48" t="e">
        <f>AND(Bills!#REF!,"AAAAAHN7/Ts=")</f>
        <v>#REF!</v>
      </c>
      <c r="BI48" t="e">
        <f>AND(Bills!#REF!,"AAAAAHN7/Tw=")</f>
        <v>#REF!</v>
      </c>
      <c r="BJ48" t="e">
        <f>AND(Bills!#REF!,"AAAAAHN7/T0=")</f>
        <v>#REF!</v>
      </c>
      <c r="BK48" t="e">
        <f>AND(Bills!#REF!,"AAAAAHN7/T4=")</f>
        <v>#REF!</v>
      </c>
      <c r="BL48" t="e">
        <f>AND(Bills!#REF!,"AAAAAHN7/T8=")</f>
        <v>#REF!</v>
      </c>
      <c r="BM48" t="e">
        <f>AND(Bills!#REF!,"AAAAAHN7/UA=")</f>
        <v>#REF!</v>
      </c>
      <c r="BN48" t="e">
        <f>AND(Bills!#REF!,"AAAAAHN7/UE=")</f>
        <v>#REF!</v>
      </c>
      <c r="BO48" t="e">
        <f>AND(Bills!#REF!,"AAAAAHN7/UI=")</f>
        <v>#REF!</v>
      </c>
      <c r="BP48" t="e">
        <f>AND(Bills!#REF!,"AAAAAHN7/UM=")</f>
        <v>#REF!</v>
      </c>
      <c r="BQ48" t="e">
        <f>AND(Bills!#REF!,"AAAAAHN7/UQ=")</f>
        <v>#REF!</v>
      </c>
      <c r="BR48" t="e">
        <f>AND(Bills!#REF!,"AAAAAHN7/UU=")</f>
        <v>#REF!</v>
      </c>
      <c r="BS48" t="e">
        <f>AND(Bills!#REF!,"AAAAAHN7/UY=")</f>
        <v>#REF!</v>
      </c>
      <c r="BT48" t="e">
        <f>AND(Bills!#REF!,"AAAAAHN7/Uc=")</f>
        <v>#REF!</v>
      </c>
      <c r="BU48" t="e">
        <f>AND(Bills!#REF!,"AAAAAHN7/Ug=")</f>
        <v>#REF!</v>
      </c>
      <c r="BV48" t="e">
        <f>AND(Bills!#REF!,"AAAAAHN7/Uk=")</f>
        <v>#REF!</v>
      </c>
      <c r="BW48" t="e">
        <f>AND(Bills!#REF!,"AAAAAHN7/Uo=")</f>
        <v>#REF!</v>
      </c>
      <c r="BX48" t="e">
        <f>AND(Bills!#REF!,"AAAAAHN7/Us=")</f>
        <v>#REF!</v>
      </c>
      <c r="BY48" t="e">
        <f>AND(Bills!#REF!,"AAAAAHN7/Uw=")</f>
        <v>#REF!</v>
      </c>
      <c r="BZ48" t="e">
        <f>AND(Bills!#REF!,"AAAAAHN7/U0=")</f>
        <v>#REF!</v>
      </c>
      <c r="CA48" t="e">
        <f>AND(Bills!#REF!,"AAAAAHN7/U4=")</f>
        <v>#REF!</v>
      </c>
      <c r="CB48" t="e">
        <f>AND(Bills!#REF!,"AAAAAHN7/U8=")</f>
        <v>#REF!</v>
      </c>
      <c r="CC48" t="e">
        <f>AND(Bills!#REF!,"AAAAAHN7/VA=")</f>
        <v>#REF!</v>
      </c>
      <c r="CD48" t="e">
        <f>AND(Bills!#REF!,"AAAAAHN7/VE=")</f>
        <v>#REF!</v>
      </c>
      <c r="CE48" t="e">
        <f>AND(Bills!#REF!,"AAAAAHN7/VI=")</f>
        <v>#REF!</v>
      </c>
      <c r="CF48" t="e">
        <f>AND(Bills!#REF!,"AAAAAHN7/VM=")</f>
        <v>#REF!</v>
      </c>
      <c r="CG48" t="e">
        <f>AND(Bills!#REF!,"AAAAAHN7/VQ=")</f>
        <v>#REF!</v>
      </c>
      <c r="CH48" t="e">
        <f>AND(Bills!#REF!,"AAAAAHN7/VU=")</f>
        <v>#REF!</v>
      </c>
      <c r="CI48" t="e">
        <f>AND(Bills!#REF!,"AAAAAHN7/VY=")</f>
        <v>#REF!</v>
      </c>
      <c r="CJ48" t="e">
        <f>AND(Bills!#REF!,"AAAAAHN7/Vc=")</f>
        <v>#REF!</v>
      </c>
      <c r="CK48" t="e">
        <f>AND(Bills!#REF!,"AAAAAHN7/Vg=")</f>
        <v>#REF!</v>
      </c>
      <c r="CL48" t="e">
        <f>AND(Bills!#REF!,"AAAAAHN7/Vk=")</f>
        <v>#REF!</v>
      </c>
      <c r="CM48" t="e">
        <f>AND(Bills!#REF!,"AAAAAHN7/Vo=")</f>
        <v>#REF!</v>
      </c>
      <c r="CN48" t="e">
        <f>AND(Bills!#REF!,"AAAAAHN7/Vs=")</f>
        <v>#REF!</v>
      </c>
      <c r="CO48" t="e">
        <f>AND(Bills!#REF!,"AAAAAHN7/Vw=")</f>
        <v>#REF!</v>
      </c>
      <c r="CP48" t="e">
        <f>AND(Bills!#REF!,"AAAAAHN7/V0=")</f>
        <v>#REF!</v>
      </c>
      <c r="CQ48" t="e">
        <f>IF(Bills!#REF!,"AAAAAHN7/V4=",0)</f>
        <v>#REF!</v>
      </c>
      <c r="CR48" t="e">
        <f>AND(Bills!#REF!,"AAAAAHN7/V8=")</f>
        <v>#REF!</v>
      </c>
      <c r="CS48" t="e">
        <f>AND(Bills!#REF!,"AAAAAHN7/WA=")</f>
        <v>#REF!</v>
      </c>
      <c r="CT48" t="e">
        <f>AND(Bills!#REF!,"AAAAAHN7/WE=")</f>
        <v>#REF!</v>
      </c>
      <c r="CU48" t="e">
        <f>AND(Bills!#REF!,"AAAAAHN7/WI=")</f>
        <v>#REF!</v>
      </c>
      <c r="CV48" t="e">
        <f>AND(Bills!#REF!,"AAAAAHN7/WM=")</f>
        <v>#REF!</v>
      </c>
      <c r="CW48" t="e">
        <f>AND(Bills!#REF!,"AAAAAHN7/WQ=")</f>
        <v>#REF!</v>
      </c>
      <c r="CX48" t="e">
        <f>AND(Bills!#REF!,"AAAAAHN7/WU=")</f>
        <v>#REF!</v>
      </c>
      <c r="CY48" t="e">
        <f>AND(Bills!#REF!,"AAAAAHN7/WY=")</f>
        <v>#REF!</v>
      </c>
      <c r="CZ48" t="e">
        <f>AND(Bills!#REF!,"AAAAAHN7/Wc=")</f>
        <v>#REF!</v>
      </c>
      <c r="DA48" t="e">
        <f>AND(Bills!#REF!,"AAAAAHN7/Wg=")</f>
        <v>#REF!</v>
      </c>
      <c r="DB48" t="e">
        <f>AND(Bills!#REF!,"AAAAAHN7/Wk=")</f>
        <v>#REF!</v>
      </c>
      <c r="DC48" t="e">
        <f>AND(Bills!#REF!,"AAAAAHN7/Wo=")</f>
        <v>#REF!</v>
      </c>
      <c r="DD48" t="e">
        <f>AND(Bills!#REF!,"AAAAAHN7/Ws=")</f>
        <v>#REF!</v>
      </c>
      <c r="DE48" t="e">
        <f>AND(Bills!#REF!,"AAAAAHN7/Ww=")</f>
        <v>#REF!</v>
      </c>
      <c r="DF48" t="e">
        <f>AND(Bills!#REF!,"AAAAAHN7/W0=")</f>
        <v>#REF!</v>
      </c>
      <c r="DG48" t="e">
        <f>AND(Bills!#REF!,"AAAAAHN7/W4=")</f>
        <v>#REF!</v>
      </c>
      <c r="DH48" t="e">
        <f>AND(Bills!#REF!,"AAAAAHN7/W8=")</f>
        <v>#REF!</v>
      </c>
      <c r="DI48" t="e">
        <f>AND(Bills!#REF!,"AAAAAHN7/XA=")</f>
        <v>#REF!</v>
      </c>
      <c r="DJ48" t="e">
        <f>AND(Bills!#REF!,"AAAAAHN7/XE=")</f>
        <v>#REF!</v>
      </c>
      <c r="DK48" t="e">
        <f>AND(Bills!#REF!,"AAAAAHN7/XI=")</f>
        <v>#REF!</v>
      </c>
      <c r="DL48" t="e">
        <f>AND(Bills!#REF!,"AAAAAHN7/XM=")</f>
        <v>#REF!</v>
      </c>
      <c r="DM48" t="e">
        <f>AND(Bills!#REF!,"AAAAAHN7/XQ=")</f>
        <v>#REF!</v>
      </c>
      <c r="DN48" t="e">
        <f>AND(Bills!#REF!,"AAAAAHN7/XU=")</f>
        <v>#REF!</v>
      </c>
      <c r="DO48" t="e">
        <f>AND(Bills!#REF!,"AAAAAHN7/XY=")</f>
        <v>#REF!</v>
      </c>
      <c r="DP48" t="e">
        <f>AND(Bills!#REF!,"AAAAAHN7/Xc=")</f>
        <v>#REF!</v>
      </c>
      <c r="DQ48" t="e">
        <f>AND(Bills!#REF!,"AAAAAHN7/Xg=")</f>
        <v>#REF!</v>
      </c>
      <c r="DR48" t="e">
        <f>AND(Bills!#REF!,"AAAAAHN7/Xk=")</f>
        <v>#REF!</v>
      </c>
      <c r="DS48" t="e">
        <f>AND(Bills!#REF!,"AAAAAHN7/Xo=")</f>
        <v>#REF!</v>
      </c>
      <c r="DT48" t="e">
        <f>AND(Bills!#REF!,"AAAAAHN7/Xs=")</f>
        <v>#REF!</v>
      </c>
      <c r="DU48" t="e">
        <f>AND(Bills!#REF!,"AAAAAHN7/Xw=")</f>
        <v>#REF!</v>
      </c>
      <c r="DV48" t="e">
        <f>AND(Bills!#REF!,"AAAAAHN7/X0=")</f>
        <v>#REF!</v>
      </c>
      <c r="DW48" t="e">
        <f>AND(Bills!#REF!,"AAAAAHN7/X4=")</f>
        <v>#REF!</v>
      </c>
      <c r="DX48" t="e">
        <f>AND(Bills!#REF!,"AAAAAHN7/X8=")</f>
        <v>#REF!</v>
      </c>
      <c r="DY48" t="e">
        <f>AND(Bills!#REF!,"AAAAAHN7/YA=")</f>
        <v>#REF!</v>
      </c>
      <c r="DZ48" t="e">
        <f>AND(Bills!#REF!,"AAAAAHN7/YE=")</f>
        <v>#REF!</v>
      </c>
      <c r="EA48" t="e">
        <f>AND(Bills!#REF!,"AAAAAHN7/YI=")</f>
        <v>#REF!</v>
      </c>
      <c r="EB48" t="e">
        <f>AND(Bills!#REF!,"AAAAAHN7/YM=")</f>
        <v>#REF!</v>
      </c>
      <c r="EC48" t="e">
        <f>AND(Bills!#REF!,"AAAAAHN7/YQ=")</f>
        <v>#REF!</v>
      </c>
      <c r="ED48" t="e">
        <f>AND(Bills!#REF!,"AAAAAHN7/YU=")</f>
        <v>#REF!</v>
      </c>
      <c r="EE48" t="e">
        <f>AND(Bills!#REF!,"AAAAAHN7/YY=")</f>
        <v>#REF!</v>
      </c>
      <c r="EF48" t="e">
        <f>AND(Bills!#REF!,"AAAAAHN7/Yc=")</f>
        <v>#REF!</v>
      </c>
      <c r="EG48" t="e">
        <f>AND(Bills!#REF!,"AAAAAHN7/Yg=")</f>
        <v>#REF!</v>
      </c>
      <c r="EH48" t="e">
        <f>AND(Bills!#REF!,"AAAAAHN7/Yk=")</f>
        <v>#REF!</v>
      </c>
      <c r="EI48" t="e">
        <f>AND(Bills!#REF!,"AAAAAHN7/Yo=")</f>
        <v>#REF!</v>
      </c>
      <c r="EJ48" t="e">
        <f>AND(Bills!#REF!,"AAAAAHN7/Ys=")</f>
        <v>#REF!</v>
      </c>
      <c r="EK48" t="e">
        <f>AND(Bills!#REF!,"AAAAAHN7/Yw=")</f>
        <v>#REF!</v>
      </c>
      <c r="EL48" t="e">
        <f>AND(Bills!#REF!,"AAAAAHN7/Y0=")</f>
        <v>#REF!</v>
      </c>
      <c r="EM48" t="e">
        <f>AND(Bills!#REF!,"AAAAAHN7/Y4=")</f>
        <v>#REF!</v>
      </c>
      <c r="EN48" t="e">
        <f>AND(Bills!#REF!,"AAAAAHN7/Y8=")</f>
        <v>#REF!</v>
      </c>
      <c r="EO48" t="e">
        <f>AND(Bills!#REF!,"AAAAAHN7/ZA=")</f>
        <v>#REF!</v>
      </c>
      <c r="EP48" t="e">
        <f>IF(Bills!#REF!,"AAAAAHN7/ZE=",0)</f>
        <v>#REF!</v>
      </c>
      <c r="EQ48" t="e">
        <f>AND(Bills!#REF!,"AAAAAHN7/ZI=")</f>
        <v>#REF!</v>
      </c>
      <c r="ER48" t="e">
        <f>AND(Bills!#REF!,"AAAAAHN7/ZM=")</f>
        <v>#REF!</v>
      </c>
      <c r="ES48" t="e">
        <f>AND(Bills!#REF!,"AAAAAHN7/ZQ=")</f>
        <v>#REF!</v>
      </c>
      <c r="ET48" t="e">
        <f>AND(Bills!#REF!,"AAAAAHN7/ZU=")</f>
        <v>#REF!</v>
      </c>
      <c r="EU48" t="e">
        <f>AND(Bills!#REF!,"AAAAAHN7/ZY=")</f>
        <v>#REF!</v>
      </c>
      <c r="EV48" t="e">
        <f>AND(Bills!#REF!,"AAAAAHN7/Zc=")</f>
        <v>#REF!</v>
      </c>
      <c r="EW48" t="e">
        <f>AND(Bills!#REF!,"AAAAAHN7/Zg=")</f>
        <v>#REF!</v>
      </c>
      <c r="EX48" t="e">
        <f>AND(Bills!#REF!,"AAAAAHN7/Zk=")</f>
        <v>#REF!</v>
      </c>
      <c r="EY48" t="e">
        <f>AND(Bills!#REF!,"AAAAAHN7/Zo=")</f>
        <v>#REF!</v>
      </c>
      <c r="EZ48" t="e">
        <f>AND(Bills!#REF!,"AAAAAHN7/Zs=")</f>
        <v>#REF!</v>
      </c>
      <c r="FA48" t="e">
        <f>AND(Bills!#REF!,"AAAAAHN7/Zw=")</f>
        <v>#REF!</v>
      </c>
      <c r="FB48" t="e">
        <f>AND(Bills!#REF!,"AAAAAHN7/Z0=")</f>
        <v>#REF!</v>
      </c>
      <c r="FC48" t="e">
        <f>AND(Bills!#REF!,"AAAAAHN7/Z4=")</f>
        <v>#REF!</v>
      </c>
      <c r="FD48" t="e">
        <f>AND(Bills!#REF!,"AAAAAHN7/Z8=")</f>
        <v>#REF!</v>
      </c>
      <c r="FE48" t="e">
        <f>AND(Bills!#REF!,"AAAAAHN7/aA=")</f>
        <v>#REF!</v>
      </c>
      <c r="FF48" t="e">
        <f>AND(Bills!#REF!,"AAAAAHN7/aE=")</f>
        <v>#REF!</v>
      </c>
      <c r="FG48" t="e">
        <f>AND(Bills!#REF!,"AAAAAHN7/aI=")</f>
        <v>#REF!</v>
      </c>
      <c r="FH48" t="e">
        <f>AND(Bills!#REF!,"AAAAAHN7/aM=")</f>
        <v>#REF!</v>
      </c>
      <c r="FI48" t="e">
        <f>AND(Bills!#REF!,"AAAAAHN7/aQ=")</f>
        <v>#REF!</v>
      </c>
      <c r="FJ48" t="e">
        <f>AND(Bills!#REF!,"AAAAAHN7/aU=")</f>
        <v>#REF!</v>
      </c>
      <c r="FK48" t="e">
        <f>AND(Bills!#REF!,"AAAAAHN7/aY=")</f>
        <v>#REF!</v>
      </c>
      <c r="FL48" t="e">
        <f>AND(Bills!#REF!,"AAAAAHN7/ac=")</f>
        <v>#REF!</v>
      </c>
      <c r="FM48" t="e">
        <f>AND(Bills!#REF!,"AAAAAHN7/ag=")</f>
        <v>#REF!</v>
      </c>
      <c r="FN48" t="e">
        <f>AND(Bills!#REF!,"AAAAAHN7/ak=")</f>
        <v>#REF!</v>
      </c>
      <c r="FO48" t="e">
        <f>AND(Bills!#REF!,"AAAAAHN7/ao=")</f>
        <v>#REF!</v>
      </c>
      <c r="FP48" t="e">
        <f>AND(Bills!#REF!,"AAAAAHN7/as=")</f>
        <v>#REF!</v>
      </c>
      <c r="FQ48" t="e">
        <f>AND(Bills!#REF!,"AAAAAHN7/aw=")</f>
        <v>#REF!</v>
      </c>
      <c r="FR48" t="e">
        <f>AND(Bills!#REF!,"AAAAAHN7/a0=")</f>
        <v>#REF!</v>
      </c>
      <c r="FS48" t="e">
        <f>AND(Bills!#REF!,"AAAAAHN7/a4=")</f>
        <v>#REF!</v>
      </c>
      <c r="FT48" t="e">
        <f>AND(Bills!#REF!,"AAAAAHN7/a8=")</f>
        <v>#REF!</v>
      </c>
      <c r="FU48" t="e">
        <f>AND(Bills!#REF!,"AAAAAHN7/bA=")</f>
        <v>#REF!</v>
      </c>
      <c r="FV48" t="e">
        <f>AND(Bills!#REF!,"AAAAAHN7/bE=")</f>
        <v>#REF!</v>
      </c>
      <c r="FW48" t="e">
        <f>AND(Bills!#REF!,"AAAAAHN7/bI=")</f>
        <v>#REF!</v>
      </c>
      <c r="FX48" t="e">
        <f>AND(Bills!#REF!,"AAAAAHN7/bM=")</f>
        <v>#REF!</v>
      </c>
      <c r="FY48" t="e">
        <f>AND(Bills!#REF!,"AAAAAHN7/bQ=")</f>
        <v>#REF!</v>
      </c>
      <c r="FZ48" t="e">
        <f>AND(Bills!#REF!,"AAAAAHN7/bU=")</f>
        <v>#REF!</v>
      </c>
      <c r="GA48" t="e">
        <f>AND(Bills!#REF!,"AAAAAHN7/bY=")</f>
        <v>#REF!</v>
      </c>
      <c r="GB48" t="e">
        <f>AND(Bills!#REF!,"AAAAAHN7/bc=")</f>
        <v>#REF!</v>
      </c>
      <c r="GC48" t="e">
        <f>AND(Bills!#REF!,"AAAAAHN7/bg=")</f>
        <v>#REF!</v>
      </c>
      <c r="GD48" t="e">
        <f>AND(Bills!#REF!,"AAAAAHN7/bk=")</f>
        <v>#REF!</v>
      </c>
      <c r="GE48" t="e">
        <f>AND(Bills!#REF!,"AAAAAHN7/bo=")</f>
        <v>#REF!</v>
      </c>
      <c r="GF48" t="e">
        <f>AND(Bills!#REF!,"AAAAAHN7/bs=")</f>
        <v>#REF!</v>
      </c>
      <c r="GG48" t="e">
        <f>AND(Bills!#REF!,"AAAAAHN7/bw=")</f>
        <v>#REF!</v>
      </c>
      <c r="GH48" t="e">
        <f>AND(Bills!#REF!,"AAAAAHN7/b0=")</f>
        <v>#REF!</v>
      </c>
      <c r="GI48" t="e">
        <f>AND(Bills!#REF!,"AAAAAHN7/b4=")</f>
        <v>#REF!</v>
      </c>
      <c r="GJ48" t="e">
        <f>AND(Bills!#REF!,"AAAAAHN7/b8=")</f>
        <v>#REF!</v>
      </c>
      <c r="GK48" t="e">
        <f>AND(Bills!#REF!,"AAAAAHN7/cA=")</f>
        <v>#REF!</v>
      </c>
      <c r="GL48" t="e">
        <f>AND(Bills!#REF!,"AAAAAHN7/cE=")</f>
        <v>#REF!</v>
      </c>
      <c r="GM48" t="e">
        <f>AND(Bills!#REF!,"AAAAAHN7/cI=")</f>
        <v>#REF!</v>
      </c>
      <c r="GN48" t="e">
        <f>AND(Bills!#REF!,"AAAAAHN7/cM=")</f>
        <v>#REF!</v>
      </c>
      <c r="GO48" t="e">
        <f>IF(Bills!#REF!,"AAAAAHN7/cQ=",0)</f>
        <v>#REF!</v>
      </c>
      <c r="GP48" t="e">
        <f>AND(Bills!#REF!,"AAAAAHN7/cU=")</f>
        <v>#REF!</v>
      </c>
      <c r="GQ48" t="e">
        <f>AND(Bills!#REF!,"AAAAAHN7/cY=")</f>
        <v>#REF!</v>
      </c>
      <c r="GR48" t="e">
        <f>AND(Bills!#REF!,"AAAAAHN7/cc=")</f>
        <v>#REF!</v>
      </c>
      <c r="GS48" t="e">
        <f>AND(Bills!#REF!,"AAAAAHN7/cg=")</f>
        <v>#REF!</v>
      </c>
      <c r="GT48" t="e">
        <f>AND(Bills!#REF!,"AAAAAHN7/ck=")</f>
        <v>#REF!</v>
      </c>
      <c r="GU48" t="e">
        <f>AND(Bills!#REF!,"AAAAAHN7/co=")</f>
        <v>#REF!</v>
      </c>
      <c r="GV48" t="e">
        <f>AND(Bills!#REF!,"AAAAAHN7/cs=")</f>
        <v>#REF!</v>
      </c>
      <c r="GW48" t="e">
        <f>AND(Bills!#REF!,"AAAAAHN7/cw=")</f>
        <v>#REF!</v>
      </c>
      <c r="GX48" t="e">
        <f>AND(Bills!#REF!,"AAAAAHN7/c0=")</f>
        <v>#REF!</v>
      </c>
      <c r="GY48" t="e">
        <f>AND(Bills!#REF!,"AAAAAHN7/c4=")</f>
        <v>#REF!</v>
      </c>
      <c r="GZ48" t="e">
        <f>AND(Bills!#REF!,"AAAAAHN7/c8=")</f>
        <v>#REF!</v>
      </c>
      <c r="HA48" t="e">
        <f>AND(Bills!#REF!,"AAAAAHN7/dA=")</f>
        <v>#REF!</v>
      </c>
      <c r="HB48" t="e">
        <f>AND(Bills!#REF!,"AAAAAHN7/dE=")</f>
        <v>#REF!</v>
      </c>
      <c r="HC48" t="e">
        <f>AND(Bills!#REF!,"AAAAAHN7/dI=")</f>
        <v>#REF!</v>
      </c>
      <c r="HD48" t="e">
        <f>AND(Bills!#REF!,"AAAAAHN7/dM=")</f>
        <v>#REF!</v>
      </c>
      <c r="HE48" t="e">
        <f>AND(Bills!#REF!,"AAAAAHN7/dQ=")</f>
        <v>#REF!</v>
      </c>
      <c r="HF48" t="e">
        <f>AND(Bills!#REF!,"AAAAAHN7/dU=")</f>
        <v>#REF!</v>
      </c>
      <c r="HG48" t="e">
        <f>AND(Bills!#REF!,"AAAAAHN7/dY=")</f>
        <v>#REF!</v>
      </c>
      <c r="HH48" t="e">
        <f>AND(Bills!#REF!,"AAAAAHN7/dc=")</f>
        <v>#REF!</v>
      </c>
      <c r="HI48" t="e">
        <f>AND(Bills!#REF!,"AAAAAHN7/dg=")</f>
        <v>#REF!</v>
      </c>
      <c r="HJ48" t="e">
        <f>AND(Bills!#REF!,"AAAAAHN7/dk=")</f>
        <v>#REF!</v>
      </c>
      <c r="HK48" t="e">
        <f>AND(Bills!#REF!,"AAAAAHN7/do=")</f>
        <v>#REF!</v>
      </c>
      <c r="HL48" t="e">
        <f>AND(Bills!#REF!,"AAAAAHN7/ds=")</f>
        <v>#REF!</v>
      </c>
      <c r="HM48" t="e">
        <f>AND(Bills!#REF!,"AAAAAHN7/dw=")</f>
        <v>#REF!</v>
      </c>
      <c r="HN48" t="e">
        <f>AND(Bills!#REF!,"AAAAAHN7/d0=")</f>
        <v>#REF!</v>
      </c>
      <c r="HO48" t="e">
        <f>AND(Bills!#REF!,"AAAAAHN7/d4=")</f>
        <v>#REF!</v>
      </c>
      <c r="HP48" t="e">
        <f>AND(Bills!#REF!,"AAAAAHN7/d8=")</f>
        <v>#REF!</v>
      </c>
      <c r="HQ48" t="e">
        <f>AND(Bills!#REF!,"AAAAAHN7/eA=")</f>
        <v>#REF!</v>
      </c>
      <c r="HR48" t="e">
        <f>AND(Bills!#REF!,"AAAAAHN7/eE=")</f>
        <v>#REF!</v>
      </c>
      <c r="HS48" t="e">
        <f>AND(Bills!#REF!,"AAAAAHN7/eI=")</f>
        <v>#REF!</v>
      </c>
      <c r="HT48" t="e">
        <f>AND(Bills!#REF!,"AAAAAHN7/eM=")</f>
        <v>#REF!</v>
      </c>
      <c r="HU48" t="e">
        <f>AND(Bills!#REF!,"AAAAAHN7/eQ=")</f>
        <v>#REF!</v>
      </c>
      <c r="HV48" t="e">
        <f>AND(Bills!#REF!,"AAAAAHN7/eU=")</f>
        <v>#REF!</v>
      </c>
      <c r="HW48" t="e">
        <f>AND(Bills!#REF!,"AAAAAHN7/eY=")</f>
        <v>#REF!</v>
      </c>
      <c r="HX48" t="e">
        <f>AND(Bills!#REF!,"AAAAAHN7/ec=")</f>
        <v>#REF!</v>
      </c>
      <c r="HY48" t="e">
        <f>AND(Bills!#REF!,"AAAAAHN7/eg=")</f>
        <v>#REF!</v>
      </c>
      <c r="HZ48" t="e">
        <f>AND(Bills!#REF!,"AAAAAHN7/ek=")</f>
        <v>#REF!</v>
      </c>
      <c r="IA48" t="e">
        <f>AND(Bills!#REF!,"AAAAAHN7/eo=")</f>
        <v>#REF!</v>
      </c>
      <c r="IB48" t="e">
        <f>AND(Bills!#REF!,"AAAAAHN7/es=")</f>
        <v>#REF!</v>
      </c>
      <c r="IC48" t="e">
        <f>AND(Bills!#REF!,"AAAAAHN7/ew=")</f>
        <v>#REF!</v>
      </c>
      <c r="ID48" t="e">
        <f>AND(Bills!#REF!,"AAAAAHN7/e0=")</f>
        <v>#REF!</v>
      </c>
      <c r="IE48" t="e">
        <f>AND(Bills!#REF!,"AAAAAHN7/e4=")</f>
        <v>#REF!</v>
      </c>
      <c r="IF48" t="e">
        <f>AND(Bills!#REF!,"AAAAAHN7/e8=")</f>
        <v>#REF!</v>
      </c>
      <c r="IG48" t="e">
        <f>AND(Bills!#REF!,"AAAAAHN7/fA=")</f>
        <v>#REF!</v>
      </c>
      <c r="IH48" t="e">
        <f>AND(Bills!#REF!,"AAAAAHN7/fE=")</f>
        <v>#REF!</v>
      </c>
      <c r="II48" t="e">
        <f>AND(Bills!#REF!,"AAAAAHN7/fI=")</f>
        <v>#REF!</v>
      </c>
      <c r="IJ48" t="e">
        <f>AND(Bills!#REF!,"AAAAAHN7/fM=")</f>
        <v>#REF!</v>
      </c>
      <c r="IK48" t="e">
        <f>AND(Bills!#REF!,"AAAAAHN7/fQ=")</f>
        <v>#REF!</v>
      </c>
      <c r="IL48" t="e">
        <f>AND(Bills!#REF!,"AAAAAHN7/fU=")</f>
        <v>#REF!</v>
      </c>
      <c r="IM48" t="e">
        <f>AND(Bills!#REF!,"AAAAAHN7/fY=")</f>
        <v>#REF!</v>
      </c>
      <c r="IN48" t="e">
        <f>IF(Bills!#REF!,"AAAAAHN7/fc=",0)</f>
        <v>#REF!</v>
      </c>
      <c r="IO48" t="e">
        <f>AND(Bills!#REF!,"AAAAAHN7/fg=")</f>
        <v>#REF!</v>
      </c>
      <c r="IP48" t="e">
        <f>AND(Bills!#REF!,"AAAAAHN7/fk=")</f>
        <v>#REF!</v>
      </c>
      <c r="IQ48" t="e">
        <f>AND(Bills!#REF!,"AAAAAHN7/fo=")</f>
        <v>#REF!</v>
      </c>
      <c r="IR48" t="e">
        <f>AND(Bills!#REF!,"AAAAAHN7/fs=")</f>
        <v>#REF!</v>
      </c>
      <c r="IS48" t="e">
        <f>AND(Bills!#REF!,"AAAAAHN7/fw=")</f>
        <v>#REF!</v>
      </c>
      <c r="IT48" t="e">
        <f>AND(Bills!#REF!,"AAAAAHN7/f0=")</f>
        <v>#REF!</v>
      </c>
      <c r="IU48" t="e">
        <f>AND(Bills!#REF!,"AAAAAHN7/f4=")</f>
        <v>#REF!</v>
      </c>
      <c r="IV48" t="e">
        <f>AND(Bills!#REF!,"AAAAAHN7/f8=")</f>
        <v>#REF!</v>
      </c>
    </row>
    <row r="49" spans="1:256">
      <c r="A49" t="e">
        <f>AND(Bills!#REF!,"AAAAAH+36QA=")</f>
        <v>#REF!</v>
      </c>
      <c r="B49" t="e">
        <f>AND(Bills!#REF!,"AAAAAH+36QE=")</f>
        <v>#REF!</v>
      </c>
      <c r="C49" t="e">
        <f>AND(Bills!#REF!,"AAAAAH+36QI=")</f>
        <v>#REF!</v>
      </c>
      <c r="D49" t="e">
        <f>AND(Bills!#REF!,"AAAAAH+36QM=")</f>
        <v>#REF!</v>
      </c>
      <c r="E49" t="e">
        <f>AND(Bills!#REF!,"AAAAAH+36QQ=")</f>
        <v>#REF!</v>
      </c>
      <c r="F49" t="e">
        <f>AND(Bills!#REF!,"AAAAAH+36QU=")</f>
        <v>#REF!</v>
      </c>
      <c r="G49" t="e">
        <f>AND(Bills!#REF!,"AAAAAH+36QY=")</f>
        <v>#REF!</v>
      </c>
      <c r="H49" t="e">
        <f>AND(Bills!#REF!,"AAAAAH+36Qc=")</f>
        <v>#REF!</v>
      </c>
      <c r="I49" t="e">
        <f>AND(Bills!#REF!,"AAAAAH+36Qg=")</f>
        <v>#REF!</v>
      </c>
      <c r="J49" t="e">
        <f>AND(Bills!#REF!,"AAAAAH+36Qk=")</f>
        <v>#REF!</v>
      </c>
      <c r="K49" t="e">
        <f>AND(Bills!#REF!,"AAAAAH+36Qo=")</f>
        <v>#REF!</v>
      </c>
      <c r="L49" t="e">
        <f>AND(Bills!#REF!,"AAAAAH+36Qs=")</f>
        <v>#REF!</v>
      </c>
      <c r="M49" t="e">
        <f>AND(Bills!#REF!,"AAAAAH+36Qw=")</f>
        <v>#REF!</v>
      </c>
      <c r="N49" t="e">
        <f>AND(Bills!#REF!,"AAAAAH+36Q0=")</f>
        <v>#REF!</v>
      </c>
      <c r="O49" t="e">
        <f>AND(Bills!#REF!,"AAAAAH+36Q4=")</f>
        <v>#REF!</v>
      </c>
      <c r="P49" t="e">
        <f>AND(Bills!#REF!,"AAAAAH+36Q8=")</f>
        <v>#REF!</v>
      </c>
      <c r="Q49" t="e">
        <f>AND(Bills!#REF!,"AAAAAH+36RA=")</f>
        <v>#REF!</v>
      </c>
      <c r="R49" t="e">
        <f>AND(Bills!#REF!,"AAAAAH+36RE=")</f>
        <v>#REF!</v>
      </c>
      <c r="S49" t="e">
        <f>AND(Bills!#REF!,"AAAAAH+36RI=")</f>
        <v>#REF!</v>
      </c>
      <c r="T49" t="e">
        <f>AND(Bills!#REF!,"AAAAAH+36RM=")</f>
        <v>#REF!</v>
      </c>
      <c r="U49" t="e">
        <f>AND(Bills!#REF!,"AAAAAH+36RQ=")</f>
        <v>#REF!</v>
      </c>
      <c r="V49" t="e">
        <f>AND(Bills!#REF!,"AAAAAH+36RU=")</f>
        <v>#REF!</v>
      </c>
      <c r="W49" t="e">
        <f>AND(Bills!#REF!,"AAAAAH+36RY=")</f>
        <v>#REF!</v>
      </c>
      <c r="X49" t="e">
        <f>AND(Bills!#REF!,"AAAAAH+36Rc=")</f>
        <v>#REF!</v>
      </c>
      <c r="Y49" t="e">
        <f>AND(Bills!#REF!,"AAAAAH+36Rg=")</f>
        <v>#REF!</v>
      </c>
      <c r="Z49" t="e">
        <f>AND(Bills!#REF!,"AAAAAH+36Rk=")</f>
        <v>#REF!</v>
      </c>
      <c r="AA49" t="e">
        <f>AND(Bills!#REF!,"AAAAAH+36Ro=")</f>
        <v>#REF!</v>
      </c>
      <c r="AB49" t="e">
        <f>AND(Bills!#REF!,"AAAAAH+36Rs=")</f>
        <v>#REF!</v>
      </c>
      <c r="AC49" t="e">
        <f>AND(Bills!#REF!,"AAAAAH+36Rw=")</f>
        <v>#REF!</v>
      </c>
      <c r="AD49" t="e">
        <f>AND(Bills!#REF!,"AAAAAH+36R0=")</f>
        <v>#REF!</v>
      </c>
      <c r="AE49" t="e">
        <f>AND(Bills!#REF!,"AAAAAH+36R4=")</f>
        <v>#REF!</v>
      </c>
      <c r="AF49" t="e">
        <f>AND(Bills!#REF!,"AAAAAH+36R8=")</f>
        <v>#REF!</v>
      </c>
      <c r="AG49" t="e">
        <f>AND(Bills!#REF!,"AAAAAH+36SA=")</f>
        <v>#REF!</v>
      </c>
      <c r="AH49" t="e">
        <f>AND(Bills!#REF!,"AAAAAH+36SE=")</f>
        <v>#REF!</v>
      </c>
      <c r="AI49" t="e">
        <f>AND(Bills!#REF!,"AAAAAH+36SI=")</f>
        <v>#REF!</v>
      </c>
      <c r="AJ49" t="e">
        <f>AND(Bills!#REF!,"AAAAAH+36SM=")</f>
        <v>#REF!</v>
      </c>
      <c r="AK49" t="e">
        <f>AND(Bills!#REF!,"AAAAAH+36SQ=")</f>
        <v>#REF!</v>
      </c>
      <c r="AL49" t="e">
        <f>AND(Bills!#REF!,"AAAAAH+36SU=")</f>
        <v>#REF!</v>
      </c>
      <c r="AM49" t="e">
        <f>AND(Bills!#REF!,"AAAAAH+36SY=")</f>
        <v>#REF!</v>
      </c>
      <c r="AN49" t="e">
        <f>AND(Bills!#REF!,"AAAAAH+36Sc=")</f>
        <v>#REF!</v>
      </c>
      <c r="AO49" t="e">
        <f>AND(Bills!#REF!,"AAAAAH+36Sg=")</f>
        <v>#REF!</v>
      </c>
      <c r="AP49" t="e">
        <f>AND(Bills!#REF!,"AAAAAH+36Sk=")</f>
        <v>#REF!</v>
      </c>
      <c r="AQ49" t="e">
        <f>IF(Bills!#REF!,"AAAAAH+36So=",0)</f>
        <v>#REF!</v>
      </c>
      <c r="AR49" t="e">
        <f>AND(Bills!#REF!,"AAAAAH+36Ss=")</f>
        <v>#REF!</v>
      </c>
      <c r="AS49" t="e">
        <f>AND(Bills!#REF!,"AAAAAH+36Sw=")</f>
        <v>#REF!</v>
      </c>
      <c r="AT49" t="e">
        <f>AND(Bills!#REF!,"AAAAAH+36S0=")</f>
        <v>#REF!</v>
      </c>
      <c r="AU49" t="e">
        <f>AND(Bills!#REF!,"AAAAAH+36S4=")</f>
        <v>#REF!</v>
      </c>
      <c r="AV49" t="e">
        <f>AND(Bills!#REF!,"AAAAAH+36S8=")</f>
        <v>#REF!</v>
      </c>
      <c r="AW49" t="e">
        <f>AND(Bills!#REF!,"AAAAAH+36TA=")</f>
        <v>#REF!</v>
      </c>
      <c r="AX49" t="e">
        <f>AND(Bills!#REF!,"AAAAAH+36TE=")</f>
        <v>#REF!</v>
      </c>
      <c r="AY49" t="e">
        <f>AND(Bills!#REF!,"AAAAAH+36TI=")</f>
        <v>#REF!</v>
      </c>
      <c r="AZ49" t="e">
        <f>AND(Bills!#REF!,"AAAAAH+36TM=")</f>
        <v>#REF!</v>
      </c>
      <c r="BA49" t="e">
        <f>AND(Bills!#REF!,"AAAAAH+36TQ=")</f>
        <v>#REF!</v>
      </c>
      <c r="BB49" t="e">
        <f>AND(Bills!#REF!,"AAAAAH+36TU=")</f>
        <v>#REF!</v>
      </c>
      <c r="BC49" t="e">
        <f>AND(Bills!#REF!,"AAAAAH+36TY=")</f>
        <v>#REF!</v>
      </c>
      <c r="BD49" t="e">
        <f>AND(Bills!#REF!,"AAAAAH+36Tc=")</f>
        <v>#REF!</v>
      </c>
      <c r="BE49" t="e">
        <f>AND(Bills!#REF!,"AAAAAH+36Tg=")</f>
        <v>#REF!</v>
      </c>
      <c r="BF49" t="e">
        <f>AND(Bills!#REF!,"AAAAAH+36Tk=")</f>
        <v>#REF!</v>
      </c>
      <c r="BG49" t="e">
        <f>AND(Bills!#REF!,"AAAAAH+36To=")</f>
        <v>#REF!</v>
      </c>
      <c r="BH49" t="e">
        <f>AND(Bills!#REF!,"AAAAAH+36Ts=")</f>
        <v>#REF!</v>
      </c>
      <c r="BI49" t="e">
        <f>AND(Bills!#REF!,"AAAAAH+36Tw=")</f>
        <v>#REF!</v>
      </c>
      <c r="BJ49" t="e">
        <f>AND(Bills!#REF!,"AAAAAH+36T0=")</f>
        <v>#REF!</v>
      </c>
      <c r="BK49" t="e">
        <f>AND(Bills!#REF!,"AAAAAH+36T4=")</f>
        <v>#REF!</v>
      </c>
      <c r="BL49" t="e">
        <f>AND(Bills!#REF!,"AAAAAH+36T8=")</f>
        <v>#REF!</v>
      </c>
      <c r="BM49" t="e">
        <f>AND(Bills!#REF!,"AAAAAH+36UA=")</f>
        <v>#REF!</v>
      </c>
      <c r="BN49" t="e">
        <f>AND(Bills!#REF!,"AAAAAH+36UE=")</f>
        <v>#REF!</v>
      </c>
      <c r="BO49" t="e">
        <f>AND(Bills!#REF!,"AAAAAH+36UI=")</f>
        <v>#REF!</v>
      </c>
      <c r="BP49" t="e">
        <f>AND(Bills!#REF!,"AAAAAH+36UM=")</f>
        <v>#REF!</v>
      </c>
      <c r="BQ49" t="e">
        <f>AND(Bills!#REF!,"AAAAAH+36UQ=")</f>
        <v>#REF!</v>
      </c>
      <c r="BR49" t="e">
        <f>AND(Bills!#REF!,"AAAAAH+36UU=")</f>
        <v>#REF!</v>
      </c>
      <c r="BS49" t="e">
        <f>AND(Bills!#REF!,"AAAAAH+36UY=")</f>
        <v>#REF!</v>
      </c>
      <c r="BT49" t="e">
        <f>AND(Bills!#REF!,"AAAAAH+36Uc=")</f>
        <v>#REF!</v>
      </c>
      <c r="BU49" t="e">
        <f>AND(Bills!#REF!,"AAAAAH+36Ug=")</f>
        <v>#REF!</v>
      </c>
      <c r="BV49" t="e">
        <f>AND(Bills!#REF!,"AAAAAH+36Uk=")</f>
        <v>#REF!</v>
      </c>
      <c r="BW49" t="e">
        <f>AND(Bills!#REF!,"AAAAAH+36Uo=")</f>
        <v>#REF!</v>
      </c>
      <c r="BX49" t="e">
        <f>AND(Bills!#REF!,"AAAAAH+36Us=")</f>
        <v>#REF!</v>
      </c>
      <c r="BY49" t="e">
        <f>AND(Bills!#REF!,"AAAAAH+36Uw=")</f>
        <v>#REF!</v>
      </c>
      <c r="BZ49" t="e">
        <f>AND(Bills!#REF!,"AAAAAH+36U0=")</f>
        <v>#REF!</v>
      </c>
      <c r="CA49" t="e">
        <f>AND(Bills!#REF!,"AAAAAH+36U4=")</f>
        <v>#REF!</v>
      </c>
      <c r="CB49" t="e">
        <f>AND(Bills!#REF!,"AAAAAH+36U8=")</f>
        <v>#REF!</v>
      </c>
      <c r="CC49" t="e">
        <f>AND(Bills!#REF!,"AAAAAH+36VA=")</f>
        <v>#REF!</v>
      </c>
      <c r="CD49" t="e">
        <f>AND(Bills!#REF!,"AAAAAH+36VE=")</f>
        <v>#REF!</v>
      </c>
      <c r="CE49" t="e">
        <f>AND(Bills!#REF!,"AAAAAH+36VI=")</f>
        <v>#REF!</v>
      </c>
      <c r="CF49" t="e">
        <f>AND(Bills!#REF!,"AAAAAH+36VM=")</f>
        <v>#REF!</v>
      </c>
      <c r="CG49" t="e">
        <f>AND(Bills!#REF!,"AAAAAH+36VQ=")</f>
        <v>#REF!</v>
      </c>
      <c r="CH49" t="e">
        <f>AND(Bills!#REF!,"AAAAAH+36VU=")</f>
        <v>#REF!</v>
      </c>
      <c r="CI49" t="e">
        <f>AND(Bills!#REF!,"AAAAAH+36VY=")</f>
        <v>#REF!</v>
      </c>
      <c r="CJ49" t="e">
        <f>AND(Bills!#REF!,"AAAAAH+36Vc=")</f>
        <v>#REF!</v>
      </c>
      <c r="CK49" t="e">
        <f>AND(Bills!#REF!,"AAAAAH+36Vg=")</f>
        <v>#REF!</v>
      </c>
      <c r="CL49" t="e">
        <f>AND(Bills!#REF!,"AAAAAH+36Vk=")</f>
        <v>#REF!</v>
      </c>
      <c r="CM49" t="e">
        <f>AND(Bills!#REF!,"AAAAAH+36Vo=")</f>
        <v>#REF!</v>
      </c>
      <c r="CN49" t="e">
        <f>AND(Bills!#REF!,"AAAAAH+36Vs=")</f>
        <v>#REF!</v>
      </c>
      <c r="CO49" t="e">
        <f>AND(Bills!#REF!,"AAAAAH+36Vw=")</f>
        <v>#REF!</v>
      </c>
      <c r="CP49" t="e">
        <f>IF(Bills!#REF!,"AAAAAH+36V0=",0)</f>
        <v>#REF!</v>
      </c>
      <c r="CQ49" t="e">
        <f>AND(Bills!#REF!,"AAAAAH+36V4=")</f>
        <v>#REF!</v>
      </c>
      <c r="CR49" t="e">
        <f>AND(Bills!#REF!,"AAAAAH+36V8=")</f>
        <v>#REF!</v>
      </c>
      <c r="CS49" t="e">
        <f>AND(Bills!#REF!,"AAAAAH+36WA=")</f>
        <v>#REF!</v>
      </c>
      <c r="CT49" t="e">
        <f>AND(Bills!#REF!,"AAAAAH+36WE=")</f>
        <v>#REF!</v>
      </c>
      <c r="CU49" t="e">
        <f>AND(Bills!#REF!,"AAAAAH+36WI=")</f>
        <v>#REF!</v>
      </c>
      <c r="CV49" t="e">
        <f>AND(Bills!#REF!,"AAAAAH+36WM=")</f>
        <v>#REF!</v>
      </c>
      <c r="CW49" t="e">
        <f>AND(Bills!#REF!,"AAAAAH+36WQ=")</f>
        <v>#REF!</v>
      </c>
      <c r="CX49" t="e">
        <f>AND(Bills!#REF!,"AAAAAH+36WU=")</f>
        <v>#REF!</v>
      </c>
      <c r="CY49" t="e">
        <f>AND(Bills!#REF!,"AAAAAH+36WY=")</f>
        <v>#REF!</v>
      </c>
      <c r="CZ49" t="e">
        <f>AND(Bills!#REF!,"AAAAAH+36Wc=")</f>
        <v>#REF!</v>
      </c>
      <c r="DA49" t="e">
        <f>AND(Bills!#REF!,"AAAAAH+36Wg=")</f>
        <v>#REF!</v>
      </c>
      <c r="DB49" t="e">
        <f>AND(Bills!#REF!,"AAAAAH+36Wk=")</f>
        <v>#REF!</v>
      </c>
      <c r="DC49" t="e">
        <f>AND(Bills!#REF!,"AAAAAH+36Wo=")</f>
        <v>#REF!</v>
      </c>
      <c r="DD49" t="e">
        <f>AND(Bills!#REF!,"AAAAAH+36Ws=")</f>
        <v>#REF!</v>
      </c>
      <c r="DE49" t="e">
        <f>AND(Bills!#REF!,"AAAAAH+36Ww=")</f>
        <v>#REF!</v>
      </c>
      <c r="DF49" t="e">
        <f>AND(Bills!#REF!,"AAAAAH+36W0=")</f>
        <v>#REF!</v>
      </c>
      <c r="DG49" t="e">
        <f>AND(Bills!#REF!,"AAAAAH+36W4=")</f>
        <v>#REF!</v>
      </c>
      <c r="DH49" t="e">
        <f>AND(Bills!#REF!,"AAAAAH+36W8=")</f>
        <v>#REF!</v>
      </c>
      <c r="DI49" t="e">
        <f>AND(Bills!#REF!,"AAAAAH+36XA=")</f>
        <v>#REF!</v>
      </c>
      <c r="DJ49" t="e">
        <f>AND(Bills!#REF!,"AAAAAH+36XE=")</f>
        <v>#REF!</v>
      </c>
      <c r="DK49" t="e">
        <f>AND(Bills!#REF!,"AAAAAH+36XI=")</f>
        <v>#REF!</v>
      </c>
      <c r="DL49" t="e">
        <f>AND(Bills!#REF!,"AAAAAH+36XM=")</f>
        <v>#REF!</v>
      </c>
      <c r="DM49" t="e">
        <f>AND(Bills!#REF!,"AAAAAH+36XQ=")</f>
        <v>#REF!</v>
      </c>
      <c r="DN49" t="e">
        <f>AND(Bills!#REF!,"AAAAAH+36XU=")</f>
        <v>#REF!</v>
      </c>
      <c r="DO49" t="e">
        <f>AND(Bills!#REF!,"AAAAAH+36XY=")</f>
        <v>#REF!</v>
      </c>
      <c r="DP49" t="e">
        <f>AND(Bills!#REF!,"AAAAAH+36Xc=")</f>
        <v>#REF!</v>
      </c>
      <c r="DQ49" t="e">
        <f>AND(Bills!#REF!,"AAAAAH+36Xg=")</f>
        <v>#REF!</v>
      </c>
      <c r="DR49" t="e">
        <f>AND(Bills!#REF!,"AAAAAH+36Xk=")</f>
        <v>#REF!</v>
      </c>
      <c r="DS49" t="e">
        <f>AND(Bills!#REF!,"AAAAAH+36Xo=")</f>
        <v>#REF!</v>
      </c>
      <c r="DT49" t="e">
        <f>AND(Bills!#REF!,"AAAAAH+36Xs=")</f>
        <v>#REF!</v>
      </c>
      <c r="DU49" t="e">
        <f>AND(Bills!#REF!,"AAAAAH+36Xw=")</f>
        <v>#REF!</v>
      </c>
      <c r="DV49" t="e">
        <f>AND(Bills!#REF!,"AAAAAH+36X0=")</f>
        <v>#REF!</v>
      </c>
      <c r="DW49" t="e">
        <f>AND(Bills!#REF!,"AAAAAH+36X4=")</f>
        <v>#REF!</v>
      </c>
      <c r="DX49" t="e">
        <f>AND(Bills!#REF!,"AAAAAH+36X8=")</f>
        <v>#REF!</v>
      </c>
      <c r="DY49" t="e">
        <f>AND(Bills!#REF!,"AAAAAH+36YA=")</f>
        <v>#REF!</v>
      </c>
      <c r="DZ49" t="e">
        <f>AND(Bills!#REF!,"AAAAAH+36YE=")</f>
        <v>#REF!</v>
      </c>
      <c r="EA49" t="e">
        <f>AND(Bills!#REF!,"AAAAAH+36YI=")</f>
        <v>#REF!</v>
      </c>
      <c r="EB49" t="e">
        <f>AND(Bills!#REF!,"AAAAAH+36YM=")</f>
        <v>#REF!</v>
      </c>
      <c r="EC49" t="e">
        <f>AND(Bills!#REF!,"AAAAAH+36YQ=")</f>
        <v>#REF!</v>
      </c>
      <c r="ED49" t="e">
        <f>AND(Bills!#REF!,"AAAAAH+36YU=")</f>
        <v>#REF!</v>
      </c>
      <c r="EE49" t="e">
        <f>AND(Bills!#REF!,"AAAAAH+36YY=")</f>
        <v>#REF!</v>
      </c>
      <c r="EF49" t="e">
        <f>AND(Bills!#REF!,"AAAAAH+36Yc=")</f>
        <v>#REF!</v>
      </c>
      <c r="EG49" t="e">
        <f>AND(Bills!#REF!,"AAAAAH+36Yg=")</f>
        <v>#REF!</v>
      </c>
      <c r="EH49" t="e">
        <f>AND(Bills!#REF!,"AAAAAH+36Yk=")</f>
        <v>#REF!</v>
      </c>
      <c r="EI49" t="e">
        <f>AND(Bills!#REF!,"AAAAAH+36Yo=")</f>
        <v>#REF!</v>
      </c>
      <c r="EJ49" t="e">
        <f>AND(Bills!#REF!,"AAAAAH+36Ys=")</f>
        <v>#REF!</v>
      </c>
      <c r="EK49" t="e">
        <f>AND(Bills!#REF!,"AAAAAH+36Yw=")</f>
        <v>#REF!</v>
      </c>
      <c r="EL49" t="e">
        <f>AND(Bills!#REF!,"AAAAAH+36Y0=")</f>
        <v>#REF!</v>
      </c>
      <c r="EM49" t="e">
        <f>AND(Bills!#REF!,"AAAAAH+36Y4=")</f>
        <v>#REF!</v>
      </c>
      <c r="EN49" t="e">
        <f>AND(Bills!#REF!,"AAAAAH+36Y8=")</f>
        <v>#REF!</v>
      </c>
      <c r="EO49" t="e">
        <f>IF(Bills!#REF!,"AAAAAH+36ZA=",0)</f>
        <v>#REF!</v>
      </c>
      <c r="EP49" t="e">
        <f>AND(Bills!#REF!,"AAAAAH+36ZE=")</f>
        <v>#REF!</v>
      </c>
      <c r="EQ49" t="e">
        <f>AND(Bills!#REF!,"AAAAAH+36ZI=")</f>
        <v>#REF!</v>
      </c>
      <c r="ER49" t="e">
        <f>AND(Bills!#REF!,"AAAAAH+36ZM=")</f>
        <v>#REF!</v>
      </c>
      <c r="ES49" t="e">
        <f>AND(Bills!#REF!,"AAAAAH+36ZQ=")</f>
        <v>#REF!</v>
      </c>
      <c r="ET49" t="e">
        <f>AND(Bills!#REF!,"AAAAAH+36ZU=")</f>
        <v>#REF!</v>
      </c>
      <c r="EU49" t="e">
        <f>AND(Bills!#REF!,"AAAAAH+36ZY=")</f>
        <v>#REF!</v>
      </c>
      <c r="EV49" t="e">
        <f>AND(Bills!#REF!,"AAAAAH+36Zc=")</f>
        <v>#REF!</v>
      </c>
      <c r="EW49" t="e">
        <f>AND(Bills!#REF!,"AAAAAH+36Zg=")</f>
        <v>#REF!</v>
      </c>
      <c r="EX49" t="e">
        <f>AND(Bills!#REF!,"AAAAAH+36Zk=")</f>
        <v>#REF!</v>
      </c>
      <c r="EY49" t="e">
        <f>AND(Bills!#REF!,"AAAAAH+36Zo=")</f>
        <v>#REF!</v>
      </c>
      <c r="EZ49" t="e">
        <f>AND(Bills!#REF!,"AAAAAH+36Zs=")</f>
        <v>#REF!</v>
      </c>
      <c r="FA49" t="e">
        <f>AND(Bills!#REF!,"AAAAAH+36Zw=")</f>
        <v>#REF!</v>
      </c>
      <c r="FB49" t="e">
        <f>AND(Bills!#REF!,"AAAAAH+36Z0=")</f>
        <v>#REF!</v>
      </c>
      <c r="FC49" t="e">
        <f>AND(Bills!#REF!,"AAAAAH+36Z4=")</f>
        <v>#REF!</v>
      </c>
      <c r="FD49" t="e">
        <f>AND(Bills!#REF!,"AAAAAH+36Z8=")</f>
        <v>#REF!</v>
      </c>
      <c r="FE49" t="e">
        <f>AND(Bills!#REF!,"AAAAAH+36aA=")</f>
        <v>#REF!</v>
      </c>
      <c r="FF49" t="e">
        <f>AND(Bills!#REF!,"AAAAAH+36aE=")</f>
        <v>#REF!</v>
      </c>
      <c r="FG49" t="e">
        <f>AND(Bills!#REF!,"AAAAAH+36aI=")</f>
        <v>#REF!</v>
      </c>
      <c r="FH49" t="e">
        <f>AND(Bills!#REF!,"AAAAAH+36aM=")</f>
        <v>#REF!</v>
      </c>
      <c r="FI49" t="e">
        <f>AND(Bills!#REF!,"AAAAAH+36aQ=")</f>
        <v>#REF!</v>
      </c>
      <c r="FJ49" t="e">
        <f>AND(Bills!#REF!,"AAAAAH+36aU=")</f>
        <v>#REF!</v>
      </c>
      <c r="FK49" t="e">
        <f>AND(Bills!#REF!,"AAAAAH+36aY=")</f>
        <v>#REF!</v>
      </c>
      <c r="FL49" t="e">
        <f>AND(Bills!#REF!,"AAAAAH+36ac=")</f>
        <v>#REF!</v>
      </c>
      <c r="FM49" t="e">
        <f>AND(Bills!#REF!,"AAAAAH+36ag=")</f>
        <v>#REF!</v>
      </c>
      <c r="FN49" t="e">
        <f>AND(Bills!#REF!,"AAAAAH+36ak=")</f>
        <v>#REF!</v>
      </c>
      <c r="FO49" t="e">
        <f>AND(Bills!#REF!,"AAAAAH+36ao=")</f>
        <v>#REF!</v>
      </c>
      <c r="FP49" t="e">
        <f>AND(Bills!#REF!,"AAAAAH+36as=")</f>
        <v>#REF!</v>
      </c>
      <c r="FQ49" t="e">
        <f>AND(Bills!#REF!,"AAAAAH+36aw=")</f>
        <v>#REF!</v>
      </c>
      <c r="FR49" t="e">
        <f>AND(Bills!#REF!,"AAAAAH+36a0=")</f>
        <v>#REF!</v>
      </c>
      <c r="FS49" t="e">
        <f>AND(Bills!#REF!,"AAAAAH+36a4=")</f>
        <v>#REF!</v>
      </c>
      <c r="FT49" t="e">
        <f>AND(Bills!#REF!,"AAAAAH+36a8=")</f>
        <v>#REF!</v>
      </c>
      <c r="FU49" t="e">
        <f>AND(Bills!#REF!,"AAAAAH+36bA=")</f>
        <v>#REF!</v>
      </c>
      <c r="FV49" t="e">
        <f>AND(Bills!#REF!,"AAAAAH+36bE=")</f>
        <v>#REF!</v>
      </c>
      <c r="FW49" t="e">
        <f>AND(Bills!#REF!,"AAAAAH+36bI=")</f>
        <v>#REF!</v>
      </c>
      <c r="FX49" t="e">
        <f>AND(Bills!#REF!,"AAAAAH+36bM=")</f>
        <v>#REF!</v>
      </c>
      <c r="FY49" t="e">
        <f>AND(Bills!#REF!,"AAAAAH+36bQ=")</f>
        <v>#REF!</v>
      </c>
      <c r="FZ49" t="e">
        <f>AND(Bills!#REF!,"AAAAAH+36bU=")</f>
        <v>#REF!</v>
      </c>
      <c r="GA49" t="e">
        <f>AND(Bills!#REF!,"AAAAAH+36bY=")</f>
        <v>#REF!</v>
      </c>
      <c r="GB49" t="e">
        <f>AND(Bills!#REF!,"AAAAAH+36bc=")</f>
        <v>#REF!</v>
      </c>
      <c r="GC49" t="e">
        <f>AND(Bills!#REF!,"AAAAAH+36bg=")</f>
        <v>#REF!</v>
      </c>
      <c r="GD49" t="e">
        <f>AND(Bills!#REF!,"AAAAAH+36bk=")</f>
        <v>#REF!</v>
      </c>
      <c r="GE49" t="e">
        <f>AND(Bills!#REF!,"AAAAAH+36bo=")</f>
        <v>#REF!</v>
      </c>
      <c r="GF49" t="e">
        <f>AND(Bills!#REF!,"AAAAAH+36bs=")</f>
        <v>#REF!</v>
      </c>
      <c r="GG49" t="e">
        <f>AND(Bills!#REF!,"AAAAAH+36bw=")</f>
        <v>#REF!</v>
      </c>
      <c r="GH49" t="e">
        <f>AND(Bills!#REF!,"AAAAAH+36b0=")</f>
        <v>#REF!</v>
      </c>
      <c r="GI49" t="e">
        <f>AND(Bills!#REF!,"AAAAAH+36b4=")</f>
        <v>#REF!</v>
      </c>
      <c r="GJ49" t="e">
        <f>AND(Bills!#REF!,"AAAAAH+36b8=")</f>
        <v>#REF!</v>
      </c>
      <c r="GK49" t="e">
        <f>AND(Bills!#REF!,"AAAAAH+36cA=")</f>
        <v>#REF!</v>
      </c>
      <c r="GL49" t="e">
        <f>AND(Bills!#REF!,"AAAAAH+36cE=")</f>
        <v>#REF!</v>
      </c>
      <c r="GM49" t="e">
        <f>AND(Bills!#REF!,"AAAAAH+36cI=")</f>
        <v>#REF!</v>
      </c>
      <c r="GN49" t="e">
        <f>IF(Bills!#REF!,"AAAAAH+36cM=",0)</f>
        <v>#REF!</v>
      </c>
      <c r="GO49" t="e">
        <f>AND(Bills!#REF!,"AAAAAH+36cQ=")</f>
        <v>#REF!</v>
      </c>
      <c r="GP49" t="e">
        <f>AND(Bills!#REF!,"AAAAAH+36cU=")</f>
        <v>#REF!</v>
      </c>
      <c r="GQ49" t="e">
        <f>AND(Bills!#REF!,"AAAAAH+36cY=")</f>
        <v>#REF!</v>
      </c>
      <c r="GR49" t="e">
        <f>AND(Bills!#REF!,"AAAAAH+36cc=")</f>
        <v>#REF!</v>
      </c>
      <c r="GS49" t="e">
        <f>AND(Bills!#REF!,"AAAAAH+36cg=")</f>
        <v>#REF!</v>
      </c>
      <c r="GT49" t="e">
        <f>AND(Bills!#REF!,"AAAAAH+36ck=")</f>
        <v>#REF!</v>
      </c>
      <c r="GU49" t="e">
        <f>AND(Bills!#REF!,"AAAAAH+36co=")</f>
        <v>#REF!</v>
      </c>
      <c r="GV49" t="e">
        <f>AND(Bills!#REF!,"AAAAAH+36cs=")</f>
        <v>#REF!</v>
      </c>
      <c r="GW49" t="e">
        <f>AND(Bills!#REF!,"AAAAAH+36cw=")</f>
        <v>#REF!</v>
      </c>
      <c r="GX49" t="e">
        <f>AND(Bills!#REF!,"AAAAAH+36c0=")</f>
        <v>#REF!</v>
      </c>
      <c r="GY49" t="e">
        <f>AND(Bills!#REF!,"AAAAAH+36c4=")</f>
        <v>#REF!</v>
      </c>
      <c r="GZ49" t="e">
        <f>AND(Bills!#REF!,"AAAAAH+36c8=")</f>
        <v>#REF!</v>
      </c>
      <c r="HA49" t="e">
        <f>AND(Bills!#REF!,"AAAAAH+36dA=")</f>
        <v>#REF!</v>
      </c>
      <c r="HB49" t="e">
        <f>AND(Bills!#REF!,"AAAAAH+36dE=")</f>
        <v>#REF!</v>
      </c>
      <c r="HC49" t="e">
        <f>AND(Bills!#REF!,"AAAAAH+36dI=")</f>
        <v>#REF!</v>
      </c>
      <c r="HD49" t="e">
        <f>AND(Bills!#REF!,"AAAAAH+36dM=")</f>
        <v>#REF!</v>
      </c>
      <c r="HE49" t="e">
        <f>AND(Bills!#REF!,"AAAAAH+36dQ=")</f>
        <v>#REF!</v>
      </c>
      <c r="HF49" t="e">
        <f>AND(Bills!#REF!,"AAAAAH+36dU=")</f>
        <v>#REF!</v>
      </c>
      <c r="HG49" t="e">
        <f>AND(Bills!#REF!,"AAAAAH+36dY=")</f>
        <v>#REF!</v>
      </c>
      <c r="HH49" t="e">
        <f>AND(Bills!#REF!,"AAAAAH+36dc=")</f>
        <v>#REF!</v>
      </c>
      <c r="HI49" t="e">
        <f>AND(Bills!#REF!,"AAAAAH+36dg=")</f>
        <v>#REF!</v>
      </c>
      <c r="HJ49" t="e">
        <f>AND(Bills!#REF!,"AAAAAH+36dk=")</f>
        <v>#REF!</v>
      </c>
      <c r="HK49" t="e">
        <f>AND(Bills!#REF!,"AAAAAH+36do=")</f>
        <v>#REF!</v>
      </c>
      <c r="HL49" t="e">
        <f>AND(Bills!#REF!,"AAAAAH+36ds=")</f>
        <v>#REF!</v>
      </c>
      <c r="HM49" t="e">
        <f>AND(Bills!#REF!,"AAAAAH+36dw=")</f>
        <v>#REF!</v>
      </c>
      <c r="HN49" t="e">
        <f>AND(Bills!#REF!,"AAAAAH+36d0=")</f>
        <v>#REF!</v>
      </c>
      <c r="HO49" t="e">
        <f>AND(Bills!#REF!,"AAAAAH+36d4=")</f>
        <v>#REF!</v>
      </c>
      <c r="HP49" t="e">
        <f>AND(Bills!#REF!,"AAAAAH+36d8=")</f>
        <v>#REF!</v>
      </c>
      <c r="HQ49" t="e">
        <f>AND(Bills!#REF!,"AAAAAH+36eA=")</f>
        <v>#REF!</v>
      </c>
      <c r="HR49" t="e">
        <f>AND(Bills!#REF!,"AAAAAH+36eE=")</f>
        <v>#REF!</v>
      </c>
      <c r="HS49" t="e">
        <f>AND(Bills!#REF!,"AAAAAH+36eI=")</f>
        <v>#REF!</v>
      </c>
      <c r="HT49" t="e">
        <f>AND(Bills!#REF!,"AAAAAH+36eM=")</f>
        <v>#REF!</v>
      </c>
      <c r="HU49" t="e">
        <f>AND(Bills!#REF!,"AAAAAH+36eQ=")</f>
        <v>#REF!</v>
      </c>
      <c r="HV49" t="e">
        <f>AND(Bills!#REF!,"AAAAAH+36eU=")</f>
        <v>#REF!</v>
      </c>
      <c r="HW49" t="e">
        <f>AND(Bills!#REF!,"AAAAAH+36eY=")</f>
        <v>#REF!</v>
      </c>
      <c r="HX49" t="e">
        <f>AND(Bills!#REF!,"AAAAAH+36ec=")</f>
        <v>#REF!</v>
      </c>
      <c r="HY49" t="e">
        <f>AND(Bills!#REF!,"AAAAAH+36eg=")</f>
        <v>#REF!</v>
      </c>
      <c r="HZ49" t="e">
        <f>AND(Bills!#REF!,"AAAAAH+36ek=")</f>
        <v>#REF!</v>
      </c>
      <c r="IA49" t="e">
        <f>AND(Bills!#REF!,"AAAAAH+36eo=")</f>
        <v>#REF!</v>
      </c>
      <c r="IB49" t="e">
        <f>AND(Bills!#REF!,"AAAAAH+36es=")</f>
        <v>#REF!</v>
      </c>
      <c r="IC49" t="e">
        <f>AND(Bills!#REF!,"AAAAAH+36ew=")</f>
        <v>#REF!</v>
      </c>
      <c r="ID49" t="e">
        <f>AND(Bills!#REF!,"AAAAAH+36e0=")</f>
        <v>#REF!</v>
      </c>
      <c r="IE49" t="e">
        <f>AND(Bills!#REF!,"AAAAAH+36e4=")</f>
        <v>#REF!</v>
      </c>
      <c r="IF49" t="e">
        <f>AND(Bills!#REF!,"AAAAAH+36e8=")</f>
        <v>#REF!</v>
      </c>
      <c r="IG49" t="e">
        <f>AND(Bills!#REF!,"AAAAAH+36fA=")</f>
        <v>#REF!</v>
      </c>
      <c r="IH49" t="e">
        <f>AND(Bills!#REF!,"AAAAAH+36fE=")</f>
        <v>#REF!</v>
      </c>
      <c r="II49" t="e">
        <f>AND(Bills!#REF!,"AAAAAH+36fI=")</f>
        <v>#REF!</v>
      </c>
      <c r="IJ49" t="e">
        <f>AND(Bills!#REF!,"AAAAAH+36fM=")</f>
        <v>#REF!</v>
      </c>
      <c r="IK49" t="e">
        <f>AND(Bills!#REF!,"AAAAAH+36fQ=")</f>
        <v>#REF!</v>
      </c>
      <c r="IL49" t="e">
        <f>AND(Bills!#REF!,"AAAAAH+36fU=")</f>
        <v>#REF!</v>
      </c>
      <c r="IM49" t="e">
        <f>IF(Bills!#REF!,"AAAAAH+36fY=",0)</f>
        <v>#REF!</v>
      </c>
      <c r="IN49" t="e">
        <f>AND(Bills!#REF!,"AAAAAH+36fc=")</f>
        <v>#REF!</v>
      </c>
      <c r="IO49" t="e">
        <f>AND(Bills!#REF!,"AAAAAH+36fg=")</f>
        <v>#REF!</v>
      </c>
      <c r="IP49" t="e">
        <f>AND(Bills!#REF!,"AAAAAH+36fk=")</f>
        <v>#REF!</v>
      </c>
      <c r="IQ49" t="e">
        <f>AND(Bills!#REF!,"AAAAAH+36fo=")</f>
        <v>#REF!</v>
      </c>
      <c r="IR49" t="e">
        <f>AND(Bills!#REF!,"AAAAAH+36fs=")</f>
        <v>#REF!</v>
      </c>
      <c r="IS49" t="e">
        <f>AND(Bills!#REF!,"AAAAAH+36fw=")</f>
        <v>#REF!</v>
      </c>
      <c r="IT49" t="e">
        <f>AND(Bills!#REF!,"AAAAAH+36f0=")</f>
        <v>#REF!</v>
      </c>
      <c r="IU49" t="e">
        <f>AND(Bills!#REF!,"AAAAAH+36f4=")</f>
        <v>#REF!</v>
      </c>
      <c r="IV49" t="e">
        <f>AND(Bills!#REF!,"AAAAAH+36f8=")</f>
        <v>#REF!</v>
      </c>
    </row>
    <row r="50" spans="1:256">
      <c r="A50" t="e">
        <f>AND(Bills!#REF!,"AAAAAH/7vwA=")</f>
        <v>#REF!</v>
      </c>
      <c r="B50" t="e">
        <f>AND(Bills!#REF!,"AAAAAH/7vwE=")</f>
        <v>#REF!</v>
      </c>
      <c r="C50" t="e">
        <f>AND(Bills!#REF!,"AAAAAH/7vwI=")</f>
        <v>#REF!</v>
      </c>
      <c r="D50" t="e">
        <f>AND(Bills!#REF!,"AAAAAH/7vwM=")</f>
        <v>#REF!</v>
      </c>
      <c r="E50" t="e">
        <f>AND(Bills!#REF!,"AAAAAH/7vwQ=")</f>
        <v>#REF!</v>
      </c>
      <c r="F50" t="e">
        <f>AND(Bills!#REF!,"AAAAAH/7vwU=")</f>
        <v>#REF!</v>
      </c>
      <c r="G50" t="e">
        <f>AND(Bills!#REF!,"AAAAAH/7vwY=")</f>
        <v>#REF!</v>
      </c>
      <c r="H50" t="e">
        <f>AND(Bills!#REF!,"AAAAAH/7vwc=")</f>
        <v>#REF!</v>
      </c>
      <c r="I50" t="e">
        <f>AND(Bills!#REF!,"AAAAAH/7vwg=")</f>
        <v>#REF!</v>
      </c>
      <c r="J50" t="e">
        <f>AND(Bills!#REF!,"AAAAAH/7vwk=")</f>
        <v>#REF!</v>
      </c>
      <c r="K50" t="e">
        <f>AND(Bills!#REF!,"AAAAAH/7vwo=")</f>
        <v>#REF!</v>
      </c>
      <c r="L50" t="e">
        <f>AND(Bills!#REF!,"AAAAAH/7vws=")</f>
        <v>#REF!</v>
      </c>
      <c r="M50" t="e">
        <f>AND(Bills!#REF!,"AAAAAH/7vww=")</f>
        <v>#REF!</v>
      </c>
      <c r="N50" t="e">
        <f>AND(Bills!#REF!,"AAAAAH/7vw0=")</f>
        <v>#REF!</v>
      </c>
      <c r="O50" t="e">
        <f>AND(Bills!#REF!,"AAAAAH/7vw4=")</f>
        <v>#REF!</v>
      </c>
      <c r="P50" t="e">
        <f>AND(Bills!#REF!,"AAAAAH/7vw8=")</f>
        <v>#REF!</v>
      </c>
      <c r="Q50" t="e">
        <f>AND(Bills!#REF!,"AAAAAH/7vxA=")</f>
        <v>#REF!</v>
      </c>
      <c r="R50" t="e">
        <f>AND(Bills!#REF!,"AAAAAH/7vxE=")</f>
        <v>#REF!</v>
      </c>
      <c r="S50" t="e">
        <f>AND(Bills!#REF!,"AAAAAH/7vxI=")</f>
        <v>#REF!</v>
      </c>
      <c r="T50" t="e">
        <f>AND(Bills!#REF!,"AAAAAH/7vxM=")</f>
        <v>#REF!</v>
      </c>
      <c r="U50" t="e">
        <f>AND(Bills!#REF!,"AAAAAH/7vxQ=")</f>
        <v>#REF!</v>
      </c>
      <c r="V50" t="e">
        <f>AND(Bills!#REF!,"AAAAAH/7vxU=")</f>
        <v>#REF!</v>
      </c>
      <c r="W50" t="e">
        <f>AND(Bills!#REF!,"AAAAAH/7vxY=")</f>
        <v>#REF!</v>
      </c>
      <c r="X50" t="e">
        <f>AND(Bills!#REF!,"AAAAAH/7vxc=")</f>
        <v>#REF!</v>
      </c>
      <c r="Y50" t="e">
        <f>AND(Bills!#REF!,"AAAAAH/7vxg=")</f>
        <v>#REF!</v>
      </c>
      <c r="Z50" t="e">
        <f>AND(Bills!#REF!,"AAAAAH/7vxk=")</f>
        <v>#REF!</v>
      </c>
      <c r="AA50" t="e">
        <f>AND(Bills!#REF!,"AAAAAH/7vxo=")</f>
        <v>#REF!</v>
      </c>
      <c r="AB50" t="e">
        <f>AND(Bills!#REF!,"AAAAAH/7vxs=")</f>
        <v>#REF!</v>
      </c>
      <c r="AC50" t="e">
        <f>AND(Bills!#REF!,"AAAAAH/7vxw=")</f>
        <v>#REF!</v>
      </c>
      <c r="AD50" t="e">
        <f>AND(Bills!#REF!,"AAAAAH/7vx0=")</f>
        <v>#REF!</v>
      </c>
      <c r="AE50" t="e">
        <f>AND(Bills!#REF!,"AAAAAH/7vx4=")</f>
        <v>#REF!</v>
      </c>
      <c r="AF50" t="e">
        <f>AND(Bills!#REF!,"AAAAAH/7vx8=")</f>
        <v>#REF!</v>
      </c>
      <c r="AG50" t="e">
        <f>AND(Bills!#REF!,"AAAAAH/7vyA=")</f>
        <v>#REF!</v>
      </c>
      <c r="AH50" t="e">
        <f>AND(Bills!#REF!,"AAAAAH/7vyE=")</f>
        <v>#REF!</v>
      </c>
      <c r="AI50" t="e">
        <f>AND(Bills!#REF!,"AAAAAH/7vyI=")</f>
        <v>#REF!</v>
      </c>
      <c r="AJ50" t="e">
        <f>AND(Bills!#REF!,"AAAAAH/7vyM=")</f>
        <v>#REF!</v>
      </c>
      <c r="AK50" t="e">
        <f>AND(Bills!#REF!,"AAAAAH/7vyQ=")</f>
        <v>#REF!</v>
      </c>
      <c r="AL50" t="e">
        <f>AND(Bills!#REF!,"AAAAAH/7vyU=")</f>
        <v>#REF!</v>
      </c>
      <c r="AM50" t="e">
        <f>AND(Bills!#REF!,"AAAAAH/7vyY=")</f>
        <v>#REF!</v>
      </c>
      <c r="AN50" t="e">
        <f>AND(Bills!#REF!,"AAAAAH/7vyc=")</f>
        <v>#REF!</v>
      </c>
      <c r="AO50" t="e">
        <f>AND(Bills!#REF!,"AAAAAH/7vyg=")</f>
        <v>#REF!</v>
      </c>
      <c r="AP50" t="e">
        <f>IF(Bills!#REF!,"AAAAAH/7vyk=",0)</f>
        <v>#REF!</v>
      </c>
      <c r="AQ50" t="e">
        <f>AND(Bills!#REF!,"AAAAAH/7vyo=")</f>
        <v>#REF!</v>
      </c>
      <c r="AR50" t="e">
        <f>AND(Bills!#REF!,"AAAAAH/7vys=")</f>
        <v>#REF!</v>
      </c>
      <c r="AS50" t="e">
        <f>AND(Bills!#REF!,"AAAAAH/7vyw=")</f>
        <v>#REF!</v>
      </c>
      <c r="AT50" t="e">
        <f>AND(Bills!#REF!,"AAAAAH/7vy0=")</f>
        <v>#REF!</v>
      </c>
      <c r="AU50" t="e">
        <f>AND(Bills!#REF!,"AAAAAH/7vy4=")</f>
        <v>#REF!</v>
      </c>
      <c r="AV50" t="e">
        <f>AND(Bills!#REF!,"AAAAAH/7vy8=")</f>
        <v>#REF!</v>
      </c>
      <c r="AW50" t="e">
        <f>AND(Bills!#REF!,"AAAAAH/7vzA=")</f>
        <v>#REF!</v>
      </c>
      <c r="AX50" t="e">
        <f>AND(Bills!#REF!,"AAAAAH/7vzE=")</f>
        <v>#REF!</v>
      </c>
      <c r="AY50" t="e">
        <f>AND(Bills!#REF!,"AAAAAH/7vzI=")</f>
        <v>#REF!</v>
      </c>
      <c r="AZ50" t="e">
        <f>AND(Bills!#REF!,"AAAAAH/7vzM=")</f>
        <v>#REF!</v>
      </c>
      <c r="BA50" t="e">
        <f>AND(Bills!#REF!,"AAAAAH/7vzQ=")</f>
        <v>#REF!</v>
      </c>
      <c r="BB50" t="e">
        <f>AND(Bills!#REF!,"AAAAAH/7vzU=")</f>
        <v>#REF!</v>
      </c>
      <c r="BC50" t="e">
        <f>AND(Bills!#REF!,"AAAAAH/7vzY=")</f>
        <v>#REF!</v>
      </c>
      <c r="BD50" t="e">
        <f>AND(Bills!#REF!,"AAAAAH/7vzc=")</f>
        <v>#REF!</v>
      </c>
      <c r="BE50" t="e">
        <f>AND(Bills!#REF!,"AAAAAH/7vzg=")</f>
        <v>#REF!</v>
      </c>
      <c r="BF50" t="e">
        <f>AND(Bills!#REF!,"AAAAAH/7vzk=")</f>
        <v>#REF!</v>
      </c>
      <c r="BG50" t="e">
        <f>AND(Bills!#REF!,"AAAAAH/7vzo=")</f>
        <v>#REF!</v>
      </c>
      <c r="BH50" t="e">
        <f>AND(Bills!#REF!,"AAAAAH/7vzs=")</f>
        <v>#REF!</v>
      </c>
      <c r="BI50" t="e">
        <f>AND(Bills!#REF!,"AAAAAH/7vzw=")</f>
        <v>#REF!</v>
      </c>
      <c r="BJ50" t="e">
        <f>AND(Bills!#REF!,"AAAAAH/7vz0=")</f>
        <v>#REF!</v>
      </c>
      <c r="BK50" t="e">
        <f>AND(Bills!#REF!,"AAAAAH/7vz4=")</f>
        <v>#REF!</v>
      </c>
      <c r="BL50" t="e">
        <f>AND(Bills!#REF!,"AAAAAH/7vz8=")</f>
        <v>#REF!</v>
      </c>
      <c r="BM50" t="e">
        <f>AND(Bills!#REF!,"AAAAAH/7v0A=")</f>
        <v>#REF!</v>
      </c>
      <c r="BN50" t="e">
        <f>AND(Bills!#REF!,"AAAAAH/7v0E=")</f>
        <v>#REF!</v>
      </c>
      <c r="BO50" t="e">
        <f>AND(Bills!#REF!,"AAAAAH/7v0I=")</f>
        <v>#REF!</v>
      </c>
      <c r="BP50" t="e">
        <f>AND(Bills!#REF!,"AAAAAH/7v0M=")</f>
        <v>#REF!</v>
      </c>
      <c r="BQ50" t="e">
        <f>AND(Bills!#REF!,"AAAAAH/7v0Q=")</f>
        <v>#REF!</v>
      </c>
      <c r="BR50" t="e">
        <f>AND(Bills!#REF!,"AAAAAH/7v0U=")</f>
        <v>#REF!</v>
      </c>
      <c r="BS50" t="e">
        <f>AND(Bills!#REF!,"AAAAAH/7v0Y=")</f>
        <v>#REF!</v>
      </c>
      <c r="BT50" t="e">
        <f>AND(Bills!#REF!,"AAAAAH/7v0c=")</f>
        <v>#REF!</v>
      </c>
      <c r="BU50" t="e">
        <f>AND(Bills!#REF!,"AAAAAH/7v0g=")</f>
        <v>#REF!</v>
      </c>
      <c r="BV50" t="e">
        <f>AND(Bills!#REF!,"AAAAAH/7v0k=")</f>
        <v>#REF!</v>
      </c>
      <c r="BW50" t="e">
        <f>AND(Bills!#REF!,"AAAAAH/7v0o=")</f>
        <v>#REF!</v>
      </c>
      <c r="BX50" t="e">
        <f>AND(Bills!#REF!,"AAAAAH/7v0s=")</f>
        <v>#REF!</v>
      </c>
      <c r="BY50" t="e">
        <f>AND(Bills!#REF!,"AAAAAH/7v0w=")</f>
        <v>#REF!</v>
      </c>
      <c r="BZ50" t="e">
        <f>AND(Bills!#REF!,"AAAAAH/7v00=")</f>
        <v>#REF!</v>
      </c>
      <c r="CA50" t="e">
        <f>AND(Bills!#REF!,"AAAAAH/7v04=")</f>
        <v>#REF!</v>
      </c>
      <c r="CB50" t="e">
        <f>AND(Bills!#REF!,"AAAAAH/7v08=")</f>
        <v>#REF!</v>
      </c>
      <c r="CC50" t="e">
        <f>AND(Bills!#REF!,"AAAAAH/7v1A=")</f>
        <v>#REF!</v>
      </c>
      <c r="CD50" t="e">
        <f>AND(Bills!#REF!,"AAAAAH/7v1E=")</f>
        <v>#REF!</v>
      </c>
      <c r="CE50" t="e">
        <f>AND(Bills!#REF!,"AAAAAH/7v1I=")</f>
        <v>#REF!</v>
      </c>
      <c r="CF50" t="e">
        <f>AND(Bills!#REF!,"AAAAAH/7v1M=")</f>
        <v>#REF!</v>
      </c>
      <c r="CG50" t="e">
        <f>AND(Bills!#REF!,"AAAAAH/7v1Q=")</f>
        <v>#REF!</v>
      </c>
      <c r="CH50" t="e">
        <f>AND(Bills!#REF!,"AAAAAH/7v1U=")</f>
        <v>#REF!</v>
      </c>
      <c r="CI50" t="e">
        <f>AND(Bills!#REF!,"AAAAAH/7v1Y=")</f>
        <v>#REF!</v>
      </c>
      <c r="CJ50" t="e">
        <f>AND(Bills!#REF!,"AAAAAH/7v1c=")</f>
        <v>#REF!</v>
      </c>
      <c r="CK50" t="e">
        <f>AND(Bills!#REF!,"AAAAAH/7v1g=")</f>
        <v>#REF!</v>
      </c>
      <c r="CL50" t="e">
        <f>AND(Bills!#REF!,"AAAAAH/7v1k=")</f>
        <v>#REF!</v>
      </c>
      <c r="CM50" t="e">
        <f>AND(Bills!#REF!,"AAAAAH/7v1o=")</f>
        <v>#REF!</v>
      </c>
      <c r="CN50" t="e">
        <f>AND(Bills!#REF!,"AAAAAH/7v1s=")</f>
        <v>#REF!</v>
      </c>
      <c r="CO50" t="e">
        <f>IF(Bills!#REF!,"AAAAAH/7v1w=",0)</f>
        <v>#REF!</v>
      </c>
      <c r="CP50" t="e">
        <f>AND(Bills!#REF!,"AAAAAH/7v10=")</f>
        <v>#REF!</v>
      </c>
      <c r="CQ50" t="e">
        <f>AND(Bills!#REF!,"AAAAAH/7v14=")</f>
        <v>#REF!</v>
      </c>
      <c r="CR50" t="e">
        <f>AND(Bills!#REF!,"AAAAAH/7v18=")</f>
        <v>#REF!</v>
      </c>
      <c r="CS50" t="e">
        <f>AND(Bills!#REF!,"AAAAAH/7v2A=")</f>
        <v>#REF!</v>
      </c>
      <c r="CT50" t="e">
        <f>AND(Bills!#REF!,"AAAAAH/7v2E=")</f>
        <v>#REF!</v>
      </c>
      <c r="CU50" t="e">
        <f>AND(Bills!#REF!,"AAAAAH/7v2I=")</f>
        <v>#REF!</v>
      </c>
      <c r="CV50" t="e">
        <f>AND(Bills!#REF!,"AAAAAH/7v2M=")</f>
        <v>#REF!</v>
      </c>
      <c r="CW50" t="e">
        <f>AND(Bills!#REF!,"AAAAAH/7v2Q=")</f>
        <v>#REF!</v>
      </c>
      <c r="CX50" t="e">
        <f>AND(Bills!#REF!,"AAAAAH/7v2U=")</f>
        <v>#REF!</v>
      </c>
      <c r="CY50" t="e">
        <f>AND(Bills!#REF!,"AAAAAH/7v2Y=")</f>
        <v>#REF!</v>
      </c>
      <c r="CZ50" t="e">
        <f>AND(Bills!#REF!,"AAAAAH/7v2c=")</f>
        <v>#REF!</v>
      </c>
      <c r="DA50" t="e">
        <f>AND(Bills!#REF!,"AAAAAH/7v2g=")</f>
        <v>#REF!</v>
      </c>
      <c r="DB50" t="e">
        <f>AND(Bills!#REF!,"AAAAAH/7v2k=")</f>
        <v>#REF!</v>
      </c>
      <c r="DC50" t="e">
        <f>AND(Bills!#REF!,"AAAAAH/7v2o=")</f>
        <v>#REF!</v>
      </c>
      <c r="DD50" t="e">
        <f>AND(Bills!#REF!,"AAAAAH/7v2s=")</f>
        <v>#REF!</v>
      </c>
      <c r="DE50" t="e">
        <f>AND(Bills!#REF!,"AAAAAH/7v2w=")</f>
        <v>#REF!</v>
      </c>
      <c r="DF50" t="e">
        <f>AND(Bills!#REF!,"AAAAAH/7v20=")</f>
        <v>#REF!</v>
      </c>
      <c r="DG50" t="e">
        <f>AND(Bills!#REF!,"AAAAAH/7v24=")</f>
        <v>#REF!</v>
      </c>
      <c r="DH50" t="e">
        <f>AND(Bills!#REF!,"AAAAAH/7v28=")</f>
        <v>#REF!</v>
      </c>
      <c r="DI50" t="e">
        <f>AND(Bills!#REF!,"AAAAAH/7v3A=")</f>
        <v>#REF!</v>
      </c>
      <c r="DJ50" t="e">
        <f>AND(Bills!#REF!,"AAAAAH/7v3E=")</f>
        <v>#REF!</v>
      </c>
      <c r="DK50" t="e">
        <f>AND(Bills!#REF!,"AAAAAH/7v3I=")</f>
        <v>#REF!</v>
      </c>
      <c r="DL50" t="e">
        <f>AND(Bills!#REF!,"AAAAAH/7v3M=")</f>
        <v>#REF!</v>
      </c>
      <c r="DM50" t="e">
        <f>AND(Bills!#REF!,"AAAAAH/7v3Q=")</f>
        <v>#REF!</v>
      </c>
      <c r="DN50" t="e">
        <f>AND(Bills!#REF!,"AAAAAH/7v3U=")</f>
        <v>#REF!</v>
      </c>
      <c r="DO50" t="e">
        <f>AND(Bills!#REF!,"AAAAAH/7v3Y=")</f>
        <v>#REF!</v>
      </c>
      <c r="DP50" t="e">
        <f>AND(Bills!#REF!,"AAAAAH/7v3c=")</f>
        <v>#REF!</v>
      </c>
      <c r="DQ50" t="e">
        <f>AND(Bills!#REF!,"AAAAAH/7v3g=")</f>
        <v>#REF!</v>
      </c>
      <c r="DR50" t="e">
        <f>AND(Bills!#REF!,"AAAAAH/7v3k=")</f>
        <v>#REF!</v>
      </c>
      <c r="DS50" t="e">
        <f>AND(Bills!#REF!,"AAAAAH/7v3o=")</f>
        <v>#REF!</v>
      </c>
      <c r="DT50" t="e">
        <f>AND(Bills!#REF!,"AAAAAH/7v3s=")</f>
        <v>#REF!</v>
      </c>
      <c r="DU50" t="e">
        <f>AND(Bills!#REF!,"AAAAAH/7v3w=")</f>
        <v>#REF!</v>
      </c>
      <c r="DV50" t="e">
        <f>AND(Bills!#REF!,"AAAAAH/7v30=")</f>
        <v>#REF!</v>
      </c>
      <c r="DW50" t="e">
        <f>AND(Bills!#REF!,"AAAAAH/7v34=")</f>
        <v>#REF!</v>
      </c>
      <c r="DX50" t="e">
        <f>AND(Bills!#REF!,"AAAAAH/7v38=")</f>
        <v>#REF!</v>
      </c>
      <c r="DY50" t="e">
        <f>AND(Bills!#REF!,"AAAAAH/7v4A=")</f>
        <v>#REF!</v>
      </c>
      <c r="DZ50" t="e">
        <f>AND(Bills!#REF!,"AAAAAH/7v4E=")</f>
        <v>#REF!</v>
      </c>
      <c r="EA50" t="e">
        <f>AND(Bills!#REF!,"AAAAAH/7v4I=")</f>
        <v>#REF!</v>
      </c>
      <c r="EB50" t="e">
        <f>AND(Bills!#REF!,"AAAAAH/7v4M=")</f>
        <v>#REF!</v>
      </c>
      <c r="EC50" t="e">
        <f>AND(Bills!#REF!,"AAAAAH/7v4Q=")</f>
        <v>#REF!</v>
      </c>
      <c r="ED50" t="e">
        <f>AND(Bills!#REF!,"AAAAAH/7v4U=")</f>
        <v>#REF!</v>
      </c>
      <c r="EE50" t="e">
        <f>AND(Bills!#REF!,"AAAAAH/7v4Y=")</f>
        <v>#REF!</v>
      </c>
      <c r="EF50" t="e">
        <f>AND(Bills!#REF!,"AAAAAH/7v4c=")</f>
        <v>#REF!</v>
      </c>
      <c r="EG50" t="e">
        <f>AND(Bills!#REF!,"AAAAAH/7v4g=")</f>
        <v>#REF!</v>
      </c>
      <c r="EH50" t="e">
        <f>AND(Bills!#REF!,"AAAAAH/7v4k=")</f>
        <v>#REF!</v>
      </c>
      <c r="EI50" t="e">
        <f>AND(Bills!#REF!,"AAAAAH/7v4o=")</f>
        <v>#REF!</v>
      </c>
      <c r="EJ50" t="e">
        <f>AND(Bills!#REF!,"AAAAAH/7v4s=")</f>
        <v>#REF!</v>
      </c>
      <c r="EK50" t="e">
        <f>AND(Bills!#REF!,"AAAAAH/7v4w=")</f>
        <v>#REF!</v>
      </c>
      <c r="EL50" t="e">
        <f>AND(Bills!#REF!,"AAAAAH/7v40=")</f>
        <v>#REF!</v>
      </c>
      <c r="EM50" t="e">
        <f>AND(Bills!#REF!,"AAAAAH/7v44=")</f>
        <v>#REF!</v>
      </c>
      <c r="EN50" t="e">
        <f>IF(Bills!#REF!,"AAAAAH/7v48=",0)</f>
        <v>#REF!</v>
      </c>
      <c r="EO50" t="e">
        <f>AND(Bills!#REF!,"AAAAAH/7v5A=")</f>
        <v>#REF!</v>
      </c>
      <c r="EP50" t="e">
        <f>AND(Bills!#REF!,"AAAAAH/7v5E=")</f>
        <v>#REF!</v>
      </c>
      <c r="EQ50" t="e">
        <f>AND(Bills!#REF!,"AAAAAH/7v5I=")</f>
        <v>#REF!</v>
      </c>
      <c r="ER50" t="e">
        <f>AND(Bills!#REF!,"AAAAAH/7v5M=")</f>
        <v>#REF!</v>
      </c>
      <c r="ES50" t="e">
        <f>AND(Bills!#REF!,"AAAAAH/7v5Q=")</f>
        <v>#REF!</v>
      </c>
      <c r="ET50" t="e">
        <f>AND(Bills!#REF!,"AAAAAH/7v5U=")</f>
        <v>#REF!</v>
      </c>
      <c r="EU50" t="e">
        <f>AND(Bills!#REF!,"AAAAAH/7v5Y=")</f>
        <v>#REF!</v>
      </c>
      <c r="EV50" t="e">
        <f>AND(Bills!#REF!,"AAAAAH/7v5c=")</f>
        <v>#REF!</v>
      </c>
      <c r="EW50" t="e">
        <f>AND(Bills!#REF!,"AAAAAH/7v5g=")</f>
        <v>#REF!</v>
      </c>
      <c r="EX50" t="e">
        <f>AND(Bills!#REF!,"AAAAAH/7v5k=")</f>
        <v>#REF!</v>
      </c>
      <c r="EY50" t="e">
        <f>AND(Bills!#REF!,"AAAAAH/7v5o=")</f>
        <v>#REF!</v>
      </c>
      <c r="EZ50" t="e">
        <f>AND(Bills!#REF!,"AAAAAH/7v5s=")</f>
        <v>#REF!</v>
      </c>
      <c r="FA50" t="e">
        <f>AND(Bills!#REF!,"AAAAAH/7v5w=")</f>
        <v>#REF!</v>
      </c>
      <c r="FB50" t="e">
        <f>AND(Bills!#REF!,"AAAAAH/7v50=")</f>
        <v>#REF!</v>
      </c>
      <c r="FC50" t="e">
        <f>AND(Bills!#REF!,"AAAAAH/7v54=")</f>
        <v>#REF!</v>
      </c>
      <c r="FD50" t="e">
        <f>AND(Bills!#REF!,"AAAAAH/7v58=")</f>
        <v>#REF!</v>
      </c>
      <c r="FE50" t="e">
        <f>AND(Bills!#REF!,"AAAAAH/7v6A=")</f>
        <v>#REF!</v>
      </c>
      <c r="FF50" t="e">
        <f>AND(Bills!#REF!,"AAAAAH/7v6E=")</f>
        <v>#REF!</v>
      </c>
      <c r="FG50" t="e">
        <f>AND(Bills!#REF!,"AAAAAH/7v6I=")</f>
        <v>#REF!</v>
      </c>
      <c r="FH50" t="e">
        <f>AND(Bills!#REF!,"AAAAAH/7v6M=")</f>
        <v>#REF!</v>
      </c>
      <c r="FI50" t="e">
        <f>AND(Bills!#REF!,"AAAAAH/7v6Q=")</f>
        <v>#REF!</v>
      </c>
      <c r="FJ50" t="e">
        <f>AND(Bills!#REF!,"AAAAAH/7v6U=")</f>
        <v>#REF!</v>
      </c>
      <c r="FK50" t="e">
        <f>AND(Bills!#REF!,"AAAAAH/7v6Y=")</f>
        <v>#REF!</v>
      </c>
      <c r="FL50" t="e">
        <f>AND(Bills!#REF!,"AAAAAH/7v6c=")</f>
        <v>#REF!</v>
      </c>
      <c r="FM50" t="e">
        <f>AND(Bills!#REF!,"AAAAAH/7v6g=")</f>
        <v>#REF!</v>
      </c>
      <c r="FN50" t="e">
        <f>AND(Bills!#REF!,"AAAAAH/7v6k=")</f>
        <v>#REF!</v>
      </c>
      <c r="FO50" t="e">
        <f>AND(Bills!#REF!,"AAAAAH/7v6o=")</f>
        <v>#REF!</v>
      </c>
      <c r="FP50" t="e">
        <f>AND(Bills!#REF!,"AAAAAH/7v6s=")</f>
        <v>#REF!</v>
      </c>
      <c r="FQ50" t="e">
        <f>AND(Bills!#REF!,"AAAAAH/7v6w=")</f>
        <v>#REF!</v>
      </c>
      <c r="FR50" t="e">
        <f>AND(Bills!#REF!,"AAAAAH/7v60=")</f>
        <v>#REF!</v>
      </c>
      <c r="FS50" t="e">
        <f>AND(Bills!#REF!,"AAAAAH/7v64=")</f>
        <v>#REF!</v>
      </c>
      <c r="FT50" t="e">
        <f>AND(Bills!#REF!,"AAAAAH/7v68=")</f>
        <v>#REF!</v>
      </c>
      <c r="FU50" t="e">
        <f>AND(Bills!#REF!,"AAAAAH/7v7A=")</f>
        <v>#REF!</v>
      </c>
      <c r="FV50" t="e">
        <f>AND(Bills!#REF!,"AAAAAH/7v7E=")</f>
        <v>#REF!</v>
      </c>
      <c r="FW50" t="e">
        <f>AND(Bills!#REF!,"AAAAAH/7v7I=")</f>
        <v>#REF!</v>
      </c>
      <c r="FX50" t="e">
        <f>AND(Bills!#REF!,"AAAAAH/7v7M=")</f>
        <v>#REF!</v>
      </c>
      <c r="FY50" t="e">
        <f>AND(Bills!#REF!,"AAAAAH/7v7Q=")</f>
        <v>#REF!</v>
      </c>
      <c r="FZ50" t="e">
        <f>AND(Bills!#REF!,"AAAAAH/7v7U=")</f>
        <v>#REF!</v>
      </c>
      <c r="GA50" t="e">
        <f>AND(Bills!#REF!,"AAAAAH/7v7Y=")</f>
        <v>#REF!</v>
      </c>
      <c r="GB50" t="e">
        <f>AND(Bills!#REF!,"AAAAAH/7v7c=")</f>
        <v>#REF!</v>
      </c>
      <c r="GC50" t="e">
        <f>AND(Bills!#REF!,"AAAAAH/7v7g=")</f>
        <v>#REF!</v>
      </c>
      <c r="GD50" t="e">
        <f>AND(Bills!#REF!,"AAAAAH/7v7k=")</f>
        <v>#REF!</v>
      </c>
      <c r="GE50" t="e">
        <f>AND(Bills!#REF!,"AAAAAH/7v7o=")</f>
        <v>#REF!</v>
      </c>
      <c r="GF50" t="e">
        <f>AND(Bills!#REF!,"AAAAAH/7v7s=")</f>
        <v>#REF!</v>
      </c>
      <c r="GG50" t="e">
        <f>AND(Bills!#REF!,"AAAAAH/7v7w=")</f>
        <v>#REF!</v>
      </c>
      <c r="GH50" t="e">
        <f>AND(Bills!#REF!,"AAAAAH/7v70=")</f>
        <v>#REF!</v>
      </c>
      <c r="GI50" t="e">
        <f>AND(Bills!#REF!,"AAAAAH/7v74=")</f>
        <v>#REF!</v>
      </c>
      <c r="GJ50" t="e">
        <f>AND(Bills!#REF!,"AAAAAH/7v78=")</f>
        <v>#REF!</v>
      </c>
      <c r="GK50" t="e">
        <f>AND(Bills!#REF!,"AAAAAH/7v8A=")</f>
        <v>#REF!</v>
      </c>
      <c r="GL50" t="e">
        <f>AND(Bills!#REF!,"AAAAAH/7v8E=")</f>
        <v>#REF!</v>
      </c>
      <c r="GM50" t="e">
        <f>IF(Bills!#REF!,"AAAAAH/7v8I=",0)</f>
        <v>#REF!</v>
      </c>
      <c r="GN50" t="e">
        <f>AND(Bills!#REF!,"AAAAAH/7v8M=")</f>
        <v>#REF!</v>
      </c>
      <c r="GO50" t="e">
        <f>AND(Bills!#REF!,"AAAAAH/7v8Q=")</f>
        <v>#REF!</v>
      </c>
      <c r="GP50" t="e">
        <f>AND(Bills!#REF!,"AAAAAH/7v8U=")</f>
        <v>#REF!</v>
      </c>
      <c r="GQ50" t="e">
        <f>AND(Bills!#REF!,"AAAAAH/7v8Y=")</f>
        <v>#REF!</v>
      </c>
      <c r="GR50" t="e">
        <f>AND(Bills!#REF!,"AAAAAH/7v8c=")</f>
        <v>#REF!</v>
      </c>
      <c r="GS50" t="e">
        <f>AND(Bills!#REF!,"AAAAAH/7v8g=")</f>
        <v>#REF!</v>
      </c>
      <c r="GT50" t="e">
        <f>AND(Bills!#REF!,"AAAAAH/7v8k=")</f>
        <v>#REF!</v>
      </c>
      <c r="GU50" t="e">
        <f>AND(Bills!#REF!,"AAAAAH/7v8o=")</f>
        <v>#REF!</v>
      </c>
      <c r="GV50" t="e">
        <f>AND(Bills!#REF!,"AAAAAH/7v8s=")</f>
        <v>#REF!</v>
      </c>
      <c r="GW50" t="e">
        <f>AND(Bills!#REF!,"AAAAAH/7v8w=")</f>
        <v>#REF!</v>
      </c>
      <c r="GX50" t="e">
        <f>AND(Bills!#REF!,"AAAAAH/7v80=")</f>
        <v>#REF!</v>
      </c>
      <c r="GY50" t="e">
        <f>AND(Bills!#REF!,"AAAAAH/7v84=")</f>
        <v>#REF!</v>
      </c>
      <c r="GZ50" t="e">
        <f>AND(Bills!#REF!,"AAAAAH/7v88=")</f>
        <v>#REF!</v>
      </c>
      <c r="HA50" t="e">
        <f>AND(Bills!#REF!,"AAAAAH/7v9A=")</f>
        <v>#REF!</v>
      </c>
      <c r="HB50" t="e">
        <f>AND(Bills!#REF!,"AAAAAH/7v9E=")</f>
        <v>#REF!</v>
      </c>
      <c r="HC50" t="e">
        <f>AND(Bills!#REF!,"AAAAAH/7v9I=")</f>
        <v>#REF!</v>
      </c>
      <c r="HD50" t="e">
        <f>AND(Bills!#REF!,"AAAAAH/7v9M=")</f>
        <v>#REF!</v>
      </c>
      <c r="HE50" t="e">
        <f>AND(Bills!#REF!,"AAAAAH/7v9Q=")</f>
        <v>#REF!</v>
      </c>
      <c r="HF50" t="e">
        <f>AND(Bills!#REF!,"AAAAAH/7v9U=")</f>
        <v>#REF!</v>
      </c>
      <c r="HG50" t="e">
        <f>AND(Bills!#REF!,"AAAAAH/7v9Y=")</f>
        <v>#REF!</v>
      </c>
      <c r="HH50" t="e">
        <f>AND(Bills!#REF!,"AAAAAH/7v9c=")</f>
        <v>#REF!</v>
      </c>
      <c r="HI50" t="e">
        <f>AND(Bills!#REF!,"AAAAAH/7v9g=")</f>
        <v>#REF!</v>
      </c>
      <c r="HJ50" t="e">
        <f>AND(Bills!#REF!,"AAAAAH/7v9k=")</f>
        <v>#REF!</v>
      </c>
      <c r="HK50" t="e">
        <f>AND(Bills!#REF!,"AAAAAH/7v9o=")</f>
        <v>#REF!</v>
      </c>
      <c r="HL50" t="e">
        <f>AND(Bills!#REF!,"AAAAAH/7v9s=")</f>
        <v>#REF!</v>
      </c>
      <c r="HM50" t="e">
        <f>AND(Bills!#REF!,"AAAAAH/7v9w=")</f>
        <v>#REF!</v>
      </c>
      <c r="HN50" t="e">
        <f>AND(Bills!#REF!,"AAAAAH/7v90=")</f>
        <v>#REF!</v>
      </c>
      <c r="HO50" t="e">
        <f>AND(Bills!#REF!,"AAAAAH/7v94=")</f>
        <v>#REF!</v>
      </c>
      <c r="HP50" t="e">
        <f>AND(Bills!#REF!,"AAAAAH/7v98=")</f>
        <v>#REF!</v>
      </c>
      <c r="HQ50" t="e">
        <f>AND(Bills!#REF!,"AAAAAH/7v+A=")</f>
        <v>#REF!</v>
      </c>
      <c r="HR50" t="e">
        <f>AND(Bills!#REF!,"AAAAAH/7v+E=")</f>
        <v>#REF!</v>
      </c>
      <c r="HS50" t="e">
        <f>AND(Bills!#REF!,"AAAAAH/7v+I=")</f>
        <v>#REF!</v>
      </c>
      <c r="HT50" t="e">
        <f>AND(Bills!#REF!,"AAAAAH/7v+M=")</f>
        <v>#REF!</v>
      </c>
      <c r="HU50" t="e">
        <f>AND(Bills!#REF!,"AAAAAH/7v+Q=")</f>
        <v>#REF!</v>
      </c>
      <c r="HV50" t="e">
        <f>AND(Bills!#REF!,"AAAAAH/7v+U=")</f>
        <v>#REF!</v>
      </c>
      <c r="HW50" t="e">
        <f>AND(Bills!#REF!,"AAAAAH/7v+Y=")</f>
        <v>#REF!</v>
      </c>
      <c r="HX50" t="e">
        <f>AND(Bills!#REF!,"AAAAAH/7v+c=")</f>
        <v>#REF!</v>
      </c>
      <c r="HY50" t="e">
        <f>AND(Bills!#REF!,"AAAAAH/7v+g=")</f>
        <v>#REF!</v>
      </c>
      <c r="HZ50" t="e">
        <f>AND(Bills!#REF!,"AAAAAH/7v+k=")</f>
        <v>#REF!</v>
      </c>
      <c r="IA50" t="e">
        <f>AND(Bills!#REF!,"AAAAAH/7v+o=")</f>
        <v>#REF!</v>
      </c>
      <c r="IB50" t="e">
        <f>AND(Bills!#REF!,"AAAAAH/7v+s=")</f>
        <v>#REF!</v>
      </c>
      <c r="IC50" t="e">
        <f>AND(Bills!#REF!,"AAAAAH/7v+w=")</f>
        <v>#REF!</v>
      </c>
      <c r="ID50" t="e">
        <f>AND(Bills!#REF!,"AAAAAH/7v+0=")</f>
        <v>#REF!</v>
      </c>
      <c r="IE50" t="e">
        <f>AND(Bills!#REF!,"AAAAAH/7v+4=")</f>
        <v>#REF!</v>
      </c>
      <c r="IF50" t="e">
        <f>AND(Bills!#REF!,"AAAAAH/7v+8=")</f>
        <v>#REF!</v>
      </c>
      <c r="IG50" t="e">
        <f>AND(Bills!#REF!,"AAAAAH/7v/A=")</f>
        <v>#REF!</v>
      </c>
      <c r="IH50" t="e">
        <f>AND(Bills!#REF!,"AAAAAH/7v/E=")</f>
        <v>#REF!</v>
      </c>
      <c r="II50" t="e">
        <f>AND(Bills!#REF!,"AAAAAH/7v/I=")</f>
        <v>#REF!</v>
      </c>
      <c r="IJ50" t="e">
        <f>AND(Bills!#REF!,"AAAAAH/7v/M=")</f>
        <v>#REF!</v>
      </c>
      <c r="IK50" t="e">
        <f>AND(Bills!#REF!,"AAAAAH/7v/Q=")</f>
        <v>#REF!</v>
      </c>
      <c r="IL50" t="e">
        <f>IF(Bills!#REF!,"AAAAAH/7v/U=",0)</f>
        <v>#REF!</v>
      </c>
      <c r="IM50" t="e">
        <f>AND(Bills!#REF!,"AAAAAH/7v/Y=")</f>
        <v>#REF!</v>
      </c>
      <c r="IN50" t="e">
        <f>AND(Bills!#REF!,"AAAAAH/7v/c=")</f>
        <v>#REF!</v>
      </c>
      <c r="IO50" t="e">
        <f>AND(Bills!#REF!,"AAAAAH/7v/g=")</f>
        <v>#REF!</v>
      </c>
      <c r="IP50" t="e">
        <f>AND(Bills!#REF!,"AAAAAH/7v/k=")</f>
        <v>#REF!</v>
      </c>
      <c r="IQ50" t="e">
        <f>AND(Bills!#REF!,"AAAAAH/7v/o=")</f>
        <v>#REF!</v>
      </c>
      <c r="IR50" t="e">
        <f>AND(Bills!#REF!,"AAAAAH/7v/s=")</f>
        <v>#REF!</v>
      </c>
      <c r="IS50" t="e">
        <f>AND(Bills!#REF!,"AAAAAH/7v/w=")</f>
        <v>#REF!</v>
      </c>
      <c r="IT50" t="e">
        <f>AND(Bills!#REF!,"AAAAAH/7v/0=")</f>
        <v>#REF!</v>
      </c>
      <c r="IU50" t="e">
        <f>AND(Bills!#REF!,"AAAAAH/7v/4=")</f>
        <v>#REF!</v>
      </c>
      <c r="IV50" t="e">
        <f>AND(Bills!#REF!,"AAAAAH/7v/8=")</f>
        <v>#REF!</v>
      </c>
    </row>
    <row r="51" spans="1:256">
      <c r="A51" t="e">
        <f>AND(Bills!#REF!,"AAAAAF/7ywA=")</f>
        <v>#REF!</v>
      </c>
      <c r="B51" t="e">
        <f>AND(Bills!#REF!,"AAAAAF/7ywE=")</f>
        <v>#REF!</v>
      </c>
      <c r="C51" t="e">
        <f>AND(Bills!#REF!,"AAAAAF/7ywI=")</f>
        <v>#REF!</v>
      </c>
      <c r="D51" t="e">
        <f>AND(Bills!#REF!,"AAAAAF/7ywM=")</f>
        <v>#REF!</v>
      </c>
      <c r="E51" t="e">
        <f>AND(Bills!#REF!,"AAAAAF/7ywQ=")</f>
        <v>#REF!</v>
      </c>
      <c r="F51" t="e">
        <f>AND(Bills!#REF!,"AAAAAF/7ywU=")</f>
        <v>#REF!</v>
      </c>
      <c r="G51" t="e">
        <f>AND(Bills!#REF!,"AAAAAF/7ywY=")</f>
        <v>#REF!</v>
      </c>
      <c r="H51" t="e">
        <f>AND(Bills!#REF!,"AAAAAF/7ywc=")</f>
        <v>#REF!</v>
      </c>
      <c r="I51" t="e">
        <f>AND(Bills!#REF!,"AAAAAF/7ywg=")</f>
        <v>#REF!</v>
      </c>
      <c r="J51" t="e">
        <f>AND(Bills!#REF!,"AAAAAF/7ywk=")</f>
        <v>#REF!</v>
      </c>
      <c r="K51" t="e">
        <f>AND(Bills!#REF!,"AAAAAF/7ywo=")</f>
        <v>#REF!</v>
      </c>
      <c r="L51" t="e">
        <f>AND(Bills!#REF!,"AAAAAF/7yws=")</f>
        <v>#REF!</v>
      </c>
      <c r="M51" t="e">
        <f>AND(Bills!#REF!,"AAAAAF/7yww=")</f>
        <v>#REF!</v>
      </c>
      <c r="N51" t="e">
        <f>AND(Bills!#REF!,"AAAAAF/7yw0=")</f>
        <v>#REF!</v>
      </c>
      <c r="O51" t="e">
        <f>AND(Bills!#REF!,"AAAAAF/7yw4=")</f>
        <v>#REF!</v>
      </c>
      <c r="P51" t="e">
        <f>AND(Bills!#REF!,"AAAAAF/7yw8=")</f>
        <v>#REF!</v>
      </c>
      <c r="Q51" t="e">
        <f>AND(Bills!#REF!,"AAAAAF/7yxA=")</f>
        <v>#REF!</v>
      </c>
      <c r="R51" t="e">
        <f>AND(Bills!#REF!,"AAAAAF/7yxE=")</f>
        <v>#REF!</v>
      </c>
      <c r="S51" t="e">
        <f>AND(Bills!#REF!,"AAAAAF/7yxI=")</f>
        <v>#REF!</v>
      </c>
      <c r="T51" t="e">
        <f>AND(Bills!#REF!,"AAAAAF/7yxM=")</f>
        <v>#REF!</v>
      </c>
      <c r="U51" t="e">
        <f>AND(Bills!#REF!,"AAAAAF/7yxQ=")</f>
        <v>#REF!</v>
      </c>
      <c r="V51" t="e">
        <f>AND(Bills!#REF!,"AAAAAF/7yxU=")</f>
        <v>#REF!</v>
      </c>
      <c r="W51" t="e">
        <f>AND(Bills!#REF!,"AAAAAF/7yxY=")</f>
        <v>#REF!</v>
      </c>
      <c r="X51" t="e">
        <f>AND(Bills!#REF!,"AAAAAF/7yxc=")</f>
        <v>#REF!</v>
      </c>
      <c r="Y51" t="e">
        <f>AND(Bills!#REF!,"AAAAAF/7yxg=")</f>
        <v>#REF!</v>
      </c>
      <c r="Z51" t="e">
        <f>AND(Bills!#REF!,"AAAAAF/7yxk=")</f>
        <v>#REF!</v>
      </c>
      <c r="AA51" t="e">
        <f>AND(Bills!#REF!,"AAAAAF/7yxo=")</f>
        <v>#REF!</v>
      </c>
      <c r="AB51" t="e">
        <f>AND(Bills!#REF!,"AAAAAF/7yxs=")</f>
        <v>#REF!</v>
      </c>
      <c r="AC51" t="e">
        <f>AND(Bills!#REF!,"AAAAAF/7yxw=")</f>
        <v>#REF!</v>
      </c>
      <c r="AD51" t="e">
        <f>AND(Bills!#REF!,"AAAAAF/7yx0=")</f>
        <v>#REF!</v>
      </c>
      <c r="AE51" t="e">
        <f>AND(Bills!#REF!,"AAAAAF/7yx4=")</f>
        <v>#REF!</v>
      </c>
      <c r="AF51" t="e">
        <f>AND(Bills!#REF!,"AAAAAF/7yx8=")</f>
        <v>#REF!</v>
      </c>
      <c r="AG51" t="e">
        <f>AND(Bills!#REF!,"AAAAAF/7yyA=")</f>
        <v>#REF!</v>
      </c>
      <c r="AH51" t="e">
        <f>AND(Bills!#REF!,"AAAAAF/7yyE=")</f>
        <v>#REF!</v>
      </c>
      <c r="AI51" t="e">
        <f>AND(Bills!#REF!,"AAAAAF/7yyI=")</f>
        <v>#REF!</v>
      </c>
      <c r="AJ51" t="e">
        <f>AND(Bills!#REF!,"AAAAAF/7yyM=")</f>
        <v>#REF!</v>
      </c>
      <c r="AK51" t="e">
        <f>AND(Bills!#REF!,"AAAAAF/7yyQ=")</f>
        <v>#REF!</v>
      </c>
      <c r="AL51" t="e">
        <f>AND(Bills!#REF!,"AAAAAF/7yyU=")</f>
        <v>#REF!</v>
      </c>
      <c r="AM51" t="e">
        <f>AND(Bills!#REF!,"AAAAAF/7yyY=")</f>
        <v>#REF!</v>
      </c>
      <c r="AN51" t="e">
        <f>AND(Bills!#REF!,"AAAAAF/7yyc=")</f>
        <v>#REF!</v>
      </c>
      <c r="AO51" t="e">
        <f>IF(Bills!#REF!,"AAAAAF/7yyg=",0)</f>
        <v>#REF!</v>
      </c>
      <c r="AP51" t="e">
        <f>AND(Bills!#REF!,"AAAAAF/7yyk=")</f>
        <v>#REF!</v>
      </c>
      <c r="AQ51" t="e">
        <f>AND(Bills!#REF!,"AAAAAF/7yyo=")</f>
        <v>#REF!</v>
      </c>
      <c r="AR51" t="e">
        <f>AND(Bills!#REF!,"AAAAAF/7yys=")</f>
        <v>#REF!</v>
      </c>
      <c r="AS51" t="e">
        <f>AND(Bills!#REF!,"AAAAAF/7yyw=")</f>
        <v>#REF!</v>
      </c>
      <c r="AT51" t="e">
        <f>AND(Bills!#REF!,"AAAAAF/7yy0=")</f>
        <v>#REF!</v>
      </c>
      <c r="AU51" t="e">
        <f>AND(Bills!#REF!,"AAAAAF/7yy4=")</f>
        <v>#REF!</v>
      </c>
      <c r="AV51" t="e">
        <f>AND(Bills!#REF!,"AAAAAF/7yy8=")</f>
        <v>#REF!</v>
      </c>
      <c r="AW51" t="e">
        <f>AND(Bills!#REF!,"AAAAAF/7yzA=")</f>
        <v>#REF!</v>
      </c>
      <c r="AX51" t="e">
        <f>AND(Bills!#REF!,"AAAAAF/7yzE=")</f>
        <v>#REF!</v>
      </c>
      <c r="AY51" t="e">
        <f>AND(Bills!#REF!,"AAAAAF/7yzI=")</f>
        <v>#REF!</v>
      </c>
      <c r="AZ51" t="e">
        <f>AND(Bills!#REF!,"AAAAAF/7yzM=")</f>
        <v>#REF!</v>
      </c>
      <c r="BA51" t="e">
        <f>AND(Bills!#REF!,"AAAAAF/7yzQ=")</f>
        <v>#REF!</v>
      </c>
      <c r="BB51" t="e">
        <f>AND(Bills!#REF!,"AAAAAF/7yzU=")</f>
        <v>#REF!</v>
      </c>
      <c r="BC51" t="e">
        <f>AND(Bills!#REF!,"AAAAAF/7yzY=")</f>
        <v>#REF!</v>
      </c>
      <c r="BD51" t="e">
        <f>AND(Bills!#REF!,"AAAAAF/7yzc=")</f>
        <v>#REF!</v>
      </c>
      <c r="BE51" t="e">
        <f>AND(Bills!#REF!,"AAAAAF/7yzg=")</f>
        <v>#REF!</v>
      </c>
      <c r="BF51" t="e">
        <f>AND(Bills!#REF!,"AAAAAF/7yzk=")</f>
        <v>#REF!</v>
      </c>
      <c r="BG51" t="e">
        <f>AND(Bills!#REF!,"AAAAAF/7yzo=")</f>
        <v>#REF!</v>
      </c>
      <c r="BH51" t="e">
        <f>AND(Bills!#REF!,"AAAAAF/7yzs=")</f>
        <v>#REF!</v>
      </c>
      <c r="BI51" t="e">
        <f>AND(Bills!#REF!,"AAAAAF/7yzw=")</f>
        <v>#REF!</v>
      </c>
      <c r="BJ51" t="e">
        <f>AND(Bills!#REF!,"AAAAAF/7yz0=")</f>
        <v>#REF!</v>
      </c>
      <c r="BK51" t="e">
        <f>AND(Bills!#REF!,"AAAAAF/7yz4=")</f>
        <v>#REF!</v>
      </c>
      <c r="BL51" t="e">
        <f>AND(Bills!#REF!,"AAAAAF/7yz8=")</f>
        <v>#REF!</v>
      </c>
      <c r="BM51" t="e">
        <f>AND(Bills!#REF!,"AAAAAF/7y0A=")</f>
        <v>#REF!</v>
      </c>
      <c r="BN51" t="e">
        <f>AND(Bills!#REF!,"AAAAAF/7y0E=")</f>
        <v>#REF!</v>
      </c>
      <c r="BO51" t="e">
        <f>AND(Bills!#REF!,"AAAAAF/7y0I=")</f>
        <v>#REF!</v>
      </c>
      <c r="BP51" t="e">
        <f>AND(Bills!#REF!,"AAAAAF/7y0M=")</f>
        <v>#REF!</v>
      </c>
      <c r="BQ51" t="e">
        <f>AND(Bills!#REF!,"AAAAAF/7y0Q=")</f>
        <v>#REF!</v>
      </c>
      <c r="BR51" t="e">
        <f>AND(Bills!#REF!,"AAAAAF/7y0U=")</f>
        <v>#REF!</v>
      </c>
      <c r="BS51" t="e">
        <f>AND(Bills!#REF!,"AAAAAF/7y0Y=")</f>
        <v>#REF!</v>
      </c>
      <c r="BT51" t="e">
        <f>AND(Bills!#REF!,"AAAAAF/7y0c=")</f>
        <v>#REF!</v>
      </c>
      <c r="BU51" t="e">
        <f>AND(Bills!#REF!,"AAAAAF/7y0g=")</f>
        <v>#REF!</v>
      </c>
      <c r="BV51" t="e">
        <f>AND(Bills!#REF!,"AAAAAF/7y0k=")</f>
        <v>#REF!</v>
      </c>
      <c r="BW51" t="e">
        <f>AND(Bills!#REF!,"AAAAAF/7y0o=")</f>
        <v>#REF!</v>
      </c>
      <c r="BX51" t="e">
        <f>AND(Bills!#REF!,"AAAAAF/7y0s=")</f>
        <v>#REF!</v>
      </c>
      <c r="BY51" t="e">
        <f>AND(Bills!#REF!,"AAAAAF/7y0w=")</f>
        <v>#REF!</v>
      </c>
      <c r="BZ51" t="e">
        <f>AND(Bills!#REF!,"AAAAAF/7y00=")</f>
        <v>#REF!</v>
      </c>
      <c r="CA51" t="e">
        <f>AND(Bills!#REF!,"AAAAAF/7y04=")</f>
        <v>#REF!</v>
      </c>
      <c r="CB51" t="e">
        <f>AND(Bills!#REF!,"AAAAAF/7y08=")</f>
        <v>#REF!</v>
      </c>
      <c r="CC51" t="e">
        <f>AND(Bills!#REF!,"AAAAAF/7y1A=")</f>
        <v>#REF!</v>
      </c>
      <c r="CD51" t="e">
        <f>AND(Bills!#REF!,"AAAAAF/7y1E=")</f>
        <v>#REF!</v>
      </c>
      <c r="CE51" t="e">
        <f>AND(Bills!#REF!,"AAAAAF/7y1I=")</f>
        <v>#REF!</v>
      </c>
      <c r="CF51" t="e">
        <f>AND(Bills!#REF!,"AAAAAF/7y1M=")</f>
        <v>#REF!</v>
      </c>
      <c r="CG51" t="e">
        <f>AND(Bills!#REF!,"AAAAAF/7y1Q=")</f>
        <v>#REF!</v>
      </c>
      <c r="CH51" t="e">
        <f>AND(Bills!#REF!,"AAAAAF/7y1U=")</f>
        <v>#REF!</v>
      </c>
      <c r="CI51" t="e">
        <f>AND(Bills!#REF!,"AAAAAF/7y1Y=")</f>
        <v>#REF!</v>
      </c>
      <c r="CJ51" t="e">
        <f>AND(Bills!#REF!,"AAAAAF/7y1c=")</f>
        <v>#REF!</v>
      </c>
      <c r="CK51" t="e">
        <f>AND(Bills!#REF!,"AAAAAF/7y1g=")</f>
        <v>#REF!</v>
      </c>
      <c r="CL51" t="e">
        <f>AND(Bills!#REF!,"AAAAAF/7y1k=")</f>
        <v>#REF!</v>
      </c>
      <c r="CM51" t="e">
        <f>AND(Bills!#REF!,"AAAAAF/7y1o=")</f>
        <v>#REF!</v>
      </c>
      <c r="CN51" t="e">
        <f>IF(Bills!#REF!,"AAAAAF/7y1s=",0)</f>
        <v>#REF!</v>
      </c>
      <c r="CO51" t="e">
        <f>AND(Bills!#REF!,"AAAAAF/7y1w=")</f>
        <v>#REF!</v>
      </c>
      <c r="CP51" t="e">
        <f>AND(Bills!#REF!,"AAAAAF/7y10=")</f>
        <v>#REF!</v>
      </c>
      <c r="CQ51" t="e">
        <f>AND(Bills!#REF!,"AAAAAF/7y14=")</f>
        <v>#REF!</v>
      </c>
      <c r="CR51" t="e">
        <f>AND(Bills!#REF!,"AAAAAF/7y18=")</f>
        <v>#REF!</v>
      </c>
      <c r="CS51" t="e">
        <f>AND(Bills!#REF!,"AAAAAF/7y2A=")</f>
        <v>#REF!</v>
      </c>
      <c r="CT51" t="e">
        <f>AND(Bills!#REF!,"AAAAAF/7y2E=")</f>
        <v>#REF!</v>
      </c>
      <c r="CU51" t="e">
        <f>AND(Bills!#REF!,"AAAAAF/7y2I=")</f>
        <v>#REF!</v>
      </c>
      <c r="CV51" t="e">
        <f>AND(Bills!#REF!,"AAAAAF/7y2M=")</f>
        <v>#REF!</v>
      </c>
      <c r="CW51" t="e">
        <f>AND(Bills!#REF!,"AAAAAF/7y2Q=")</f>
        <v>#REF!</v>
      </c>
      <c r="CX51" t="e">
        <f>AND(Bills!#REF!,"AAAAAF/7y2U=")</f>
        <v>#REF!</v>
      </c>
      <c r="CY51" t="e">
        <f>AND(Bills!#REF!,"AAAAAF/7y2Y=")</f>
        <v>#REF!</v>
      </c>
      <c r="CZ51" t="e">
        <f>AND(Bills!#REF!,"AAAAAF/7y2c=")</f>
        <v>#REF!</v>
      </c>
      <c r="DA51" t="e">
        <f>AND(Bills!#REF!,"AAAAAF/7y2g=")</f>
        <v>#REF!</v>
      </c>
      <c r="DB51" t="e">
        <f>AND(Bills!#REF!,"AAAAAF/7y2k=")</f>
        <v>#REF!</v>
      </c>
      <c r="DC51" t="e">
        <f>AND(Bills!#REF!,"AAAAAF/7y2o=")</f>
        <v>#REF!</v>
      </c>
      <c r="DD51" t="e">
        <f>AND(Bills!#REF!,"AAAAAF/7y2s=")</f>
        <v>#REF!</v>
      </c>
      <c r="DE51" t="e">
        <f>AND(Bills!#REF!,"AAAAAF/7y2w=")</f>
        <v>#REF!</v>
      </c>
      <c r="DF51" t="e">
        <f>AND(Bills!#REF!,"AAAAAF/7y20=")</f>
        <v>#REF!</v>
      </c>
      <c r="DG51" t="e">
        <f>AND(Bills!#REF!,"AAAAAF/7y24=")</f>
        <v>#REF!</v>
      </c>
      <c r="DH51" t="e">
        <f>AND(Bills!#REF!,"AAAAAF/7y28=")</f>
        <v>#REF!</v>
      </c>
      <c r="DI51" t="e">
        <f>AND(Bills!#REF!,"AAAAAF/7y3A=")</f>
        <v>#REF!</v>
      </c>
      <c r="DJ51" t="e">
        <f>AND(Bills!#REF!,"AAAAAF/7y3E=")</f>
        <v>#REF!</v>
      </c>
      <c r="DK51" t="e">
        <f>AND(Bills!#REF!,"AAAAAF/7y3I=")</f>
        <v>#REF!</v>
      </c>
      <c r="DL51" t="e">
        <f>AND(Bills!#REF!,"AAAAAF/7y3M=")</f>
        <v>#REF!</v>
      </c>
      <c r="DM51" t="e">
        <f>AND(Bills!#REF!,"AAAAAF/7y3Q=")</f>
        <v>#REF!</v>
      </c>
      <c r="DN51" t="e">
        <f>AND(Bills!#REF!,"AAAAAF/7y3U=")</f>
        <v>#REF!</v>
      </c>
      <c r="DO51" t="e">
        <f>AND(Bills!#REF!,"AAAAAF/7y3Y=")</f>
        <v>#REF!</v>
      </c>
      <c r="DP51" t="e">
        <f>AND(Bills!#REF!,"AAAAAF/7y3c=")</f>
        <v>#REF!</v>
      </c>
      <c r="DQ51" t="e">
        <f>AND(Bills!#REF!,"AAAAAF/7y3g=")</f>
        <v>#REF!</v>
      </c>
      <c r="DR51" t="e">
        <f>AND(Bills!#REF!,"AAAAAF/7y3k=")</f>
        <v>#REF!</v>
      </c>
      <c r="DS51" t="e">
        <f>AND(Bills!#REF!,"AAAAAF/7y3o=")</f>
        <v>#REF!</v>
      </c>
      <c r="DT51" t="e">
        <f>AND(Bills!#REF!,"AAAAAF/7y3s=")</f>
        <v>#REF!</v>
      </c>
      <c r="DU51" t="e">
        <f>AND(Bills!#REF!,"AAAAAF/7y3w=")</f>
        <v>#REF!</v>
      </c>
      <c r="DV51" t="e">
        <f>AND(Bills!#REF!,"AAAAAF/7y30=")</f>
        <v>#REF!</v>
      </c>
      <c r="DW51" t="e">
        <f>AND(Bills!#REF!,"AAAAAF/7y34=")</f>
        <v>#REF!</v>
      </c>
      <c r="DX51" t="e">
        <f>AND(Bills!#REF!,"AAAAAF/7y38=")</f>
        <v>#REF!</v>
      </c>
      <c r="DY51" t="e">
        <f>AND(Bills!#REF!,"AAAAAF/7y4A=")</f>
        <v>#REF!</v>
      </c>
      <c r="DZ51" t="e">
        <f>AND(Bills!#REF!,"AAAAAF/7y4E=")</f>
        <v>#REF!</v>
      </c>
      <c r="EA51" t="e">
        <f>AND(Bills!#REF!,"AAAAAF/7y4I=")</f>
        <v>#REF!</v>
      </c>
      <c r="EB51" t="e">
        <f>AND(Bills!#REF!,"AAAAAF/7y4M=")</f>
        <v>#REF!</v>
      </c>
      <c r="EC51" t="e">
        <f>AND(Bills!#REF!,"AAAAAF/7y4Q=")</f>
        <v>#REF!</v>
      </c>
      <c r="ED51" t="e">
        <f>AND(Bills!#REF!,"AAAAAF/7y4U=")</f>
        <v>#REF!</v>
      </c>
      <c r="EE51" t="e">
        <f>AND(Bills!#REF!,"AAAAAF/7y4Y=")</f>
        <v>#REF!</v>
      </c>
      <c r="EF51" t="e">
        <f>AND(Bills!#REF!,"AAAAAF/7y4c=")</f>
        <v>#REF!</v>
      </c>
      <c r="EG51" t="e">
        <f>AND(Bills!#REF!,"AAAAAF/7y4g=")</f>
        <v>#REF!</v>
      </c>
      <c r="EH51" t="e">
        <f>AND(Bills!#REF!,"AAAAAF/7y4k=")</f>
        <v>#REF!</v>
      </c>
      <c r="EI51" t="e">
        <f>AND(Bills!#REF!,"AAAAAF/7y4o=")</f>
        <v>#REF!</v>
      </c>
      <c r="EJ51" t="e">
        <f>AND(Bills!#REF!,"AAAAAF/7y4s=")</f>
        <v>#REF!</v>
      </c>
      <c r="EK51" t="e">
        <f>AND(Bills!#REF!,"AAAAAF/7y4w=")</f>
        <v>#REF!</v>
      </c>
      <c r="EL51" t="e">
        <f>AND(Bills!#REF!,"AAAAAF/7y40=")</f>
        <v>#REF!</v>
      </c>
      <c r="EM51" t="e">
        <f>IF(Bills!#REF!,"AAAAAF/7y44=",0)</f>
        <v>#REF!</v>
      </c>
      <c r="EN51" t="e">
        <f>AND(Bills!#REF!,"AAAAAF/7y48=")</f>
        <v>#REF!</v>
      </c>
      <c r="EO51" t="e">
        <f>AND(Bills!#REF!,"AAAAAF/7y5A=")</f>
        <v>#REF!</v>
      </c>
      <c r="EP51" t="e">
        <f>AND(Bills!#REF!,"AAAAAF/7y5E=")</f>
        <v>#REF!</v>
      </c>
      <c r="EQ51" t="e">
        <f>AND(Bills!#REF!,"AAAAAF/7y5I=")</f>
        <v>#REF!</v>
      </c>
      <c r="ER51" t="e">
        <f>AND(Bills!#REF!,"AAAAAF/7y5M=")</f>
        <v>#REF!</v>
      </c>
      <c r="ES51" t="e">
        <f>AND(Bills!#REF!,"AAAAAF/7y5Q=")</f>
        <v>#REF!</v>
      </c>
      <c r="ET51" t="e">
        <f>AND(Bills!#REF!,"AAAAAF/7y5U=")</f>
        <v>#REF!</v>
      </c>
      <c r="EU51" t="e">
        <f>AND(Bills!#REF!,"AAAAAF/7y5Y=")</f>
        <v>#REF!</v>
      </c>
      <c r="EV51" t="e">
        <f>AND(Bills!#REF!,"AAAAAF/7y5c=")</f>
        <v>#REF!</v>
      </c>
      <c r="EW51" t="e">
        <f>AND(Bills!#REF!,"AAAAAF/7y5g=")</f>
        <v>#REF!</v>
      </c>
      <c r="EX51" t="e">
        <f>AND(Bills!#REF!,"AAAAAF/7y5k=")</f>
        <v>#REF!</v>
      </c>
      <c r="EY51" t="e">
        <f>AND(Bills!#REF!,"AAAAAF/7y5o=")</f>
        <v>#REF!</v>
      </c>
      <c r="EZ51" t="e">
        <f>AND(Bills!#REF!,"AAAAAF/7y5s=")</f>
        <v>#REF!</v>
      </c>
      <c r="FA51" t="e">
        <f>AND(Bills!#REF!,"AAAAAF/7y5w=")</f>
        <v>#REF!</v>
      </c>
      <c r="FB51" t="e">
        <f>AND(Bills!#REF!,"AAAAAF/7y50=")</f>
        <v>#REF!</v>
      </c>
      <c r="FC51" t="e">
        <f>AND(Bills!#REF!,"AAAAAF/7y54=")</f>
        <v>#REF!</v>
      </c>
      <c r="FD51" t="e">
        <f>AND(Bills!#REF!,"AAAAAF/7y58=")</f>
        <v>#REF!</v>
      </c>
      <c r="FE51" t="e">
        <f>AND(Bills!#REF!,"AAAAAF/7y6A=")</f>
        <v>#REF!</v>
      </c>
      <c r="FF51" t="e">
        <f>AND(Bills!#REF!,"AAAAAF/7y6E=")</f>
        <v>#REF!</v>
      </c>
      <c r="FG51" t="e">
        <f>AND(Bills!#REF!,"AAAAAF/7y6I=")</f>
        <v>#REF!</v>
      </c>
      <c r="FH51" t="e">
        <f>AND(Bills!#REF!,"AAAAAF/7y6M=")</f>
        <v>#REF!</v>
      </c>
      <c r="FI51" t="e">
        <f>AND(Bills!#REF!,"AAAAAF/7y6Q=")</f>
        <v>#REF!</v>
      </c>
      <c r="FJ51" t="e">
        <f>AND(Bills!#REF!,"AAAAAF/7y6U=")</f>
        <v>#REF!</v>
      </c>
      <c r="FK51" t="e">
        <f>AND(Bills!#REF!,"AAAAAF/7y6Y=")</f>
        <v>#REF!</v>
      </c>
      <c r="FL51" t="e">
        <f>AND(Bills!#REF!,"AAAAAF/7y6c=")</f>
        <v>#REF!</v>
      </c>
      <c r="FM51" t="e">
        <f>AND(Bills!#REF!,"AAAAAF/7y6g=")</f>
        <v>#REF!</v>
      </c>
      <c r="FN51" t="e">
        <f>AND(Bills!#REF!,"AAAAAF/7y6k=")</f>
        <v>#REF!</v>
      </c>
      <c r="FO51" t="e">
        <f>AND(Bills!#REF!,"AAAAAF/7y6o=")</f>
        <v>#REF!</v>
      </c>
      <c r="FP51" t="e">
        <f>AND(Bills!#REF!,"AAAAAF/7y6s=")</f>
        <v>#REF!</v>
      </c>
      <c r="FQ51" t="e">
        <f>AND(Bills!#REF!,"AAAAAF/7y6w=")</f>
        <v>#REF!</v>
      </c>
      <c r="FR51" t="e">
        <f>AND(Bills!#REF!,"AAAAAF/7y60=")</f>
        <v>#REF!</v>
      </c>
      <c r="FS51" t="e">
        <f>AND(Bills!#REF!,"AAAAAF/7y64=")</f>
        <v>#REF!</v>
      </c>
      <c r="FT51" t="e">
        <f>AND(Bills!#REF!,"AAAAAF/7y68=")</f>
        <v>#REF!</v>
      </c>
      <c r="FU51" t="e">
        <f>AND(Bills!#REF!,"AAAAAF/7y7A=")</f>
        <v>#REF!</v>
      </c>
      <c r="FV51" t="e">
        <f>AND(Bills!#REF!,"AAAAAF/7y7E=")</f>
        <v>#REF!</v>
      </c>
      <c r="FW51" t="e">
        <f>AND(Bills!#REF!,"AAAAAF/7y7I=")</f>
        <v>#REF!</v>
      </c>
      <c r="FX51" t="e">
        <f>AND(Bills!#REF!,"AAAAAF/7y7M=")</f>
        <v>#REF!</v>
      </c>
      <c r="FY51" t="e">
        <f>AND(Bills!#REF!,"AAAAAF/7y7Q=")</f>
        <v>#REF!</v>
      </c>
      <c r="FZ51" t="e">
        <f>AND(Bills!#REF!,"AAAAAF/7y7U=")</f>
        <v>#REF!</v>
      </c>
      <c r="GA51" t="e">
        <f>AND(Bills!#REF!,"AAAAAF/7y7Y=")</f>
        <v>#REF!</v>
      </c>
      <c r="GB51" t="e">
        <f>AND(Bills!#REF!,"AAAAAF/7y7c=")</f>
        <v>#REF!</v>
      </c>
      <c r="GC51" t="e">
        <f>AND(Bills!#REF!,"AAAAAF/7y7g=")</f>
        <v>#REF!</v>
      </c>
      <c r="GD51" t="e">
        <f>AND(Bills!#REF!,"AAAAAF/7y7k=")</f>
        <v>#REF!</v>
      </c>
      <c r="GE51" t="e">
        <f>AND(Bills!#REF!,"AAAAAF/7y7o=")</f>
        <v>#REF!</v>
      </c>
      <c r="GF51" t="e">
        <f>AND(Bills!#REF!,"AAAAAF/7y7s=")</f>
        <v>#REF!</v>
      </c>
      <c r="GG51" t="e">
        <f>AND(Bills!#REF!,"AAAAAF/7y7w=")</f>
        <v>#REF!</v>
      </c>
      <c r="GH51" t="e">
        <f>AND(Bills!#REF!,"AAAAAF/7y70=")</f>
        <v>#REF!</v>
      </c>
      <c r="GI51" t="e">
        <f>AND(Bills!#REF!,"AAAAAF/7y74=")</f>
        <v>#REF!</v>
      </c>
      <c r="GJ51" t="e">
        <f>AND(Bills!#REF!,"AAAAAF/7y78=")</f>
        <v>#REF!</v>
      </c>
      <c r="GK51" t="e">
        <f>AND(Bills!#REF!,"AAAAAF/7y8A=")</f>
        <v>#REF!</v>
      </c>
      <c r="GL51" t="e">
        <f>IF(Bills!#REF!,"AAAAAF/7y8E=",0)</f>
        <v>#REF!</v>
      </c>
      <c r="GM51" t="e">
        <f>AND(Bills!#REF!,"AAAAAF/7y8I=")</f>
        <v>#REF!</v>
      </c>
      <c r="GN51" t="e">
        <f>AND(Bills!#REF!,"AAAAAF/7y8M=")</f>
        <v>#REF!</v>
      </c>
      <c r="GO51" t="e">
        <f>AND(Bills!#REF!,"AAAAAF/7y8Q=")</f>
        <v>#REF!</v>
      </c>
      <c r="GP51" t="e">
        <f>AND(Bills!#REF!,"AAAAAF/7y8U=")</f>
        <v>#REF!</v>
      </c>
      <c r="GQ51" t="e">
        <f>AND(Bills!#REF!,"AAAAAF/7y8Y=")</f>
        <v>#REF!</v>
      </c>
      <c r="GR51" t="e">
        <f>AND(Bills!#REF!,"AAAAAF/7y8c=")</f>
        <v>#REF!</v>
      </c>
      <c r="GS51" t="e">
        <f>AND(Bills!#REF!,"AAAAAF/7y8g=")</f>
        <v>#REF!</v>
      </c>
      <c r="GT51" t="e">
        <f>AND(Bills!#REF!,"AAAAAF/7y8k=")</f>
        <v>#REF!</v>
      </c>
      <c r="GU51" t="e">
        <f>AND(Bills!#REF!,"AAAAAF/7y8o=")</f>
        <v>#REF!</v>
      </c>
      <c r="GV51" t="e">
        <f>AND(Bills!#REF!,"AAAAAF/7y8s=")</f>
        <v>#REF!</v>
      </c>
      <c r="GW51" t="e">
        <f>AND(Bills!#REF!,"AAAAAF/7y8w=")</f>
        <v>#REF!</v>
      </c>
      <c r="GX51" t="e">
        <f>AND(Bills!#REF!,"AAAAAF/7y80=")</f>
        <v>#REF!</v>
      </c>
      <c r="GY51" t="e">
        <f>AND(Bills!#REF!,"AAAAAF/7y84=")</f>
        <v>#REF!</v>
      </c>
      <c r="GZ51" t="e">
        <f>AND(Bills!#REF!,"AAAAAF/7y88=")</f>
        <v>#REF!</v>
      </c>
      <c r="HA51" t="e">
        <f>AND(Bills!#REF!,"AAAAAF/7y9A=")</f>
        <v>#REF!</v>
      </c>
      <c r="HB51" t="e">
        <f>AND(Bills!#REF!,"AAAAAF/7y9E=")</f>
        <v>#REF!</v>
      </c>
      <c r="HC51" t="e">
        <f>AND(Bills!#REF!,"AAAAAF/7y9I=")</f>
        <v>#REF!</v>
      </c>
      <c r="HD51" t="e">
        <f>AND(Bills!#REF!,"AAAAAF/7y9M=")</f>
        <v>#REF!</v>
      </c>
      <c r="HE51" t="e">
        <f>AND(Bills!#REF!,"AAAAAF/7y9Q=")</f>
        <v>#REF!</v>
      </c>
      <c r="HF51" t="e">
        <f>AND(Bills!#REF!,"AAAAAF/7y9U=")</f>
        <v>#REF!</v>
      </c>
      <c r="HG51" t="e">
        <f>AND(Bills!#REF!,"AAAAAF/7y9Y=")</f>
        <v>#REF!</v>
      </c>
      <c r="HH51" t="e">
        <f>AND(Bills!#REF!,"AAAAAF/7y9c=")</f>
        <v>#REF!</v>
      </c>
      <c r="HI51" t="e">
        <f>AND(Bills!#REF!,"AAAAAF/7y9g=")</f>
        <v>#REF!</v>
      </c>
      <c r="HJ51" t="e">
        <f>AND(Bills!#REF!,"AAAAAF/7y9k=")</f>
        <v>#REF!</v>
      </c>
      <c r="HK51" t="e">
        <f>AND(Bills!#REF!,"AAAAAF/7y9o=")</f>
        <v>#REF!</v>
      </c>
      <c r="HL51" t="e">
        <f>AND(Bills!#REF!,"AAAAAF/7y9s=")</f>
        <v>#REF!</v>
      </c>
      <c r="HM51" t="e">
        <f>AND(Bills!#REF!,"AAAAAF/7y9w=")</f>
        <v>#REF!</v>
      </c>
      <c r="HN51" t="e">
        <f>AND(Bills!#REF!,"AAAAAF/7y90=")</f>
        <v>#REF!</v>
      </c>
      <c r="HO51" t="e">
        <f>AND(Bills!#REF!,"AAAAAF/7y94=")</f>
        <v>#REF!</v>
      </c>
      <c r="HP51" t="e">
        <f>AND(Bills!#REF!,"AAAAAF/7y98=")</f>
        <v>#REF!</v>
      </c>
      <c r="HQ51" t="e">
        <f>AND(Bills!#REF!,"AAAAAF/7y+A=")</f>
        <v>#REF!</v>
      </c>
      <c r="HR51" t="e">
        <f>AND(Bills!#REF!,"AAAAAF/7y+E=")</f>
        <v>#REF!</v>
      </c>
      <c r="HS51" t="e">
        <f>AND(Bills!#REF!,"AAAAAF/7y+I=")</f>
        <v>#REF!</v>
      </c>
      <c r="HT51" t="e">
        <f>AND(Bills!#REF!,"AAAAAF/7y+M=")</f>
        <v>#REF!</v>
      </c>
      <c r="HU51" t="e">
        <f>AND(Bills!#REF!,"AAAAAF/7y+Q=")</f>
        <v>#REF!</v>
      </c>
      <c r="HV51" t="e">
        <f>AND(Bills!#REF!,"AAAAAF/7y+U=")</f>
        <v>#REF!</v>
      </c>
      <c r="HW51" t="e">
        <f>AND(Bills!#REF!,"AAAAAF/7y+Y=")</f>
        <v>#REF!</v>
      </c>
      <c r="HX51" t="e">
        <f>AND(Bills!#REF!,"AAAAAF/7y+c=")</f>
        <v>#REF!</v>
      </c>
      <c r="HY51" t="e">
        <f>AND(Bills!#REF!,"AAAAAF/7y+g=")</f>
        <v>#REF!</v>
      </c>
      <c r="HZ51" t="e">
        <f>AND(Bills!#REF!,"AAAAAF/7y+k=")</f>
        <v>#REF!</v>
      </c>
      <c r="IA51" t="e">
        <f>AND(Bills!#REF!,"AAAAAF/7y+o=")</f>
        <v>#REF!</v>
      </c>
      <c r="IB51" t="e">
        <f>AND(Bills!#REF!,"AAAAAF/7y+s=")</f>
        <v>#REF!</v>
      </c>
      <c r="IC51" t="e">
        <f>AND(Bills!#REF!,"AAAAAF/7y+w=")</f>
        <v>#REF!</v>
      </c>
      <c r="ID51" t="e">
        <f>AND(Bills!#REF!,"AAAAAF/7y+0=")</f>
        <v>#REF!</v>
      </c>
      <c r="IE51" t="e">
        <f>AND(Bills!#REF!,"AAAAAF/7y+4=")</f>
        <v>#REF!</v>
      </c>
      <c r="IF51" t="e">
        <f>AND(Bills!#REF!,"AAAAAF/7y+8=")</f>
        <v>#REF!</v>
      </c>
      <c r="IG51" t="e">
        <f>AND(Bills!#REF!,"AAAAAF/7y/A=")</f>
        <v>#REF!</v>
      </c>
      <c r="IH51" t="e">
        <f>AND(Bills!#REF!,"AAAAAF/7y/E=")</f>
        <v>#REF!</v>
      </c>
      <c r="II51" t="e">
        <f>AND(Bills!#REF!,"AAAAAF/7y/I=")</f>
        <v>#REF!</v>
      </c>
      <c r="IJ51" t="e">
        <f>AND(Bills!#REF!,"AAAAAF/7y/M=")</f>
        <v>#REF!</v>
      </c>
      <c r="IK51" t="e">
        <f>IF(Bills!#REF!,"AAAAAF/7y/Q=",0)</f>
        <v>#REF!</v>
      </c>
      <c r="IL51" t="e">
        <f>AND(Bills!#REF!,"AAAAAF/7y/U=")</f>
        <v>#REF!</v>
      </c>
      <c r="IM51" t="e">
        <f>AND(Bills!#REF!,"AAAAAF/7y/Y=")</f>
        <v>#REF!</v>
      </c>
      <c r="IN51" t="e">
        <f>AND(Bills!#REF!,"AAAAAF/7y/c=")</f>
        <v>#REF!</v>
      </c>
      <c r="IO51" t="e">
        <f>AND(Bills!#REF!,"AAAAAF/7y/g=")</f>
        <v>#REF!</v>
      </c>
      <c r="IP51" t="e">
        <f>AND(Bills!#REF!,"AAAAAF/7y/k=")</f>
        <v>#REF!</v>
      </c>
      <c r="IQ51" t="e">
        <f>AND(Bills!#REF!,"AAAAAF/7y/o=")</f>
        <v>#REF!</v>
      </c>
      <c r="IR51" t="e">
        <f>AND(Bills!#REF!,"AAAAAF/7y/s=")</f>
        <v>#REF!</v>
      </c>
      <c r="IS51" t="e">
        <f>AND(Bills!#REF!,"AAAAAF/7y/w=")</f>
        <v>#REF!</v>
      </c>
      <c r="IT51" t="e">
        <f>AND(Bills!#REF!,"AAAAAF/7y/0=")</f>
        <v>#REF!</v>
      </c>
      <c r="IU51" t="e">
        <f>AND(Bills!#REF!,"AAAAAF/7y/4=")</f>
        <v>#REF!</v>
      </c>
      <c r="IV51" t="e">
        <f>AND(Bills!#REF!,"AAAAAF/7y/8=")</f>
        <v>#REF!</v>
      </c>
    </row>
    <row r="52" spans="1:256">
      <c r="A52" t="e">
        <f>AND(Bills!#REF!,"AAAAAH/7XAA=")</f>
        <v>#REF!</v>
      </c>
      <c r="B52" t="e">
        <f>AND(Bills!#REF!,"AAAAAH/7XAE=")</f>
        <v>#REF!</v>
      </c>
      <c r="C52" t="e">
        <f>AND(Bills!#REF!,"AAAAAH/7XAI=")</f>
        <v>#REF!</v>
      </c>
      <c r="D52" t="e">
        <f>AND(Bills!#REF!,"AAAAAH/7XAM=")</f>
        <v>#REF!</v>
      </c>
      <c r="E52" t="e">
        <f>AND(Bills!#REF!,"AAAAAH/7XAQ=")</f>
        <v>#REF!</v>
      </c>
      <c r="F52" t="e">
        <f>AND(Bills!#REF!,"AAAAAH/7XAU=")</f>
        <v>#REF!</v>
      </c>
      <c r="G52" t="e">
        <f>AND(Bills!#REF!,"AAAAAH/7XAY=")</f>
        <v>#REF!</v>
      </c>
      <c r="H52" t="e">
        <f>AND(Bills!#REF!,"AAAAAH/7XAc=")</f>
        <v>#REF!</v>
      </c>
      <c r="I52" t="e">
        <f>AND(Bills!#REF!,"AAAAAH/7XAg=")</f>
        <v>#REF!</v>
      </c>
      <c r="J52" t="e">
        <f>AND(Bills!#REF!,"AAAAAH/7XAk=")</f>
        <v>#REF!</v>
      </c>
      <c r="K52" t="e">
        <f>AND(Bills!#REF!,"AAAAAH/7XAo=")</f>
        <v>#REF!</v>
      </c>
      <c r="L52" t="e">
        <f>AND(Bills!#REF!,"AAAAAH/7XAs=")</f>
        <v>#REF!</v>
      </c>
      <c r="M52" t="e">
        <f>AND(Bills!#REF!,"AAAAAH/7XAw=")</f>
        <v>#REF!</v>
      </c>
      <c r="N52" t="e">
        <f>AND(Bills!#REF!,"AAAAAH/7XA0=")</f>
        <v>#REF!</v>
      </c>
      <c r="O52" t="e">
        <f>AND(Bills!#REF!,"AAAAAH/7XA4=")</f>
        <v>#REF!</v>
      </c>
      <c r="P52" t="e">
        <f>AND(Bills!#REF!,"AAAAAH/7XA8=")</f>
        <v>#REF!</v>
      </c>
      <c r="Q52" t="e">
        <f>AND(Bills!#REF!,"AAAAAH/7XBA=")</f>
        <v>#REF!</v>
      </c>
      <c r="R52" t="e">
        <f>AND(Bills!#REF!,"AAAAAH/7XBE=")</f>
        <v>#REF!</v>
      </c>
      <c r="S52" t="e">
        <f>AND(Bills!#REF!,"AAAAAH/7XBI=")</f>
        <v>#REF!</v>
      </c>
      <c r="T52" t="e">
        <f>AND(Bills!#REF!,"AAAAAH/7XBM=")</f>
        <v>#REF!</v>
      </c>
      <c r="U52" t="e">
        <f>AND(Bills!#REF!,"AAAAAH/7XBQ=")</f>
        <v>#REF!</v>
      </c>
      <c r="V52" t="e">
        <f>AND(Bills!#REF!,"AAAAAH/7XBU=")</f>
        <v>#REF!</v>
      </c>
      <c r="W52" t="e">
        <f>AND(Bills!#REF!,"AAAAAH/7XBY=")</f>
        <v>#REF!</v>
      </c>
      <c r="X52" t="e">
        <f>AND(Bills!#REF!,"AAAAAH/7XBc=")</f>
        <v>#REF!</v>
      </c>
      <c r="Y52" t="e">
        <f>AND(Bills!#REF!,"AAAAAH/7XBg=")</f>
        <v>#REF!</v>
      </c>
      <c r="Z52" t="e">
        <f>AND(Bills!#REF!,"AAAAAH/7XBk=")</f>
        <v>#REF!</v>
      </c>
      <c r="AA52" t="e">
        <f>AND(Bills!#REF!,"AAAAAH/7XBo=")</f>
        <v>#REF!</v>
      </c>
      <c r="AB52" t="e">
        <f>AND(Bills!#REF!,"AAAAAH/7XBs=")</f>
        <v>#REF!</v>
      </c>
      <c r="AC52" t="e">
        <f>AND(Bills!#REF!,"AAAAAH/7XBw=")</f>
        <v>#REF!</v>
      </c>
      <c r="AD52" t="e">
        <f>AND(Bills!#REF!,"AAAAAH/7XB0=")</f>
        <v>#REF!</v>
      </c>
      <c r="AE52" t="e">
        <f>AND(Bills!#REF!,"AAAAAH/7XB4=")</f>
        <v>#REF!</v>
      </c>
      <c r="AF52" t="e">
        <f>AND(Bills!#REF!,"AAAAAH/7XB8=")</f>
        <v>#REF!</v>
      </c>
      <c r="AG52" t="e">
        <f>AND(Bills!#REF!,"AAAAAH/7XCA=")</f>
        <v>#REF!</v>
      </c>
      <c r="AH52" t="e">
        <f>AND(Bills!#REF!,"AAAAAH/7XCE=")</f>
        <v>#REF!</v>
      </c>
      <c r="AI52" t="e">
        <f>AND(Bills!#REF!,"AAAAAH/7XCI=")</f>
        <v>#REF!</v>
      </c>
      <c r="AJ52" t="e">
        <f>AND(Bills!#REF!,"AAAAAH/7XCM=")</f>
        <v>#REF!</v>
      </c>
      <c r="AK52" t="e">
        <f>AND(Bills!#REF!,"AAAAAH/7XCQ=")</f>
        <v>#REF!</v>
      </c>
      <c r="AL52" t="e">
        <f>AND(Bills!#REF!,"AAAAAH/7XCU=")</f>
        <v>#REF!</v>
      </c>
      <c r="AM52" t="e">
        <f>AND(Bills!#REF!,"AAAAAH/7XCY=")</f>
        <v>#REF!</v>
      </c>
      <c r="AN52" t="e">
        <f>IF(Bills!#REF!,"AAAAAH/7XCc=",0)</f>
        <v>#REF!</v>
      </c>
      <c r="AO52" t="e">
        <f>AND(Bills!#REF!,"AAAAAH/7XCg=")</f>
        <v>#REF!</v>
      </c>
      <c r="AP52" t="e">
        <f>AND(Bills!#REF!,"AAAAAH/7XCk=")</f>
        <v>#REF!</v>
      </c>
      <c r="AQ52" t="e">
        <f>AND(Bills!#REF!,"AAAAAH/7XCo=")</f>
        <v>#REF!</v>
      </c>
      <c r="AR52" t="e">
        <f>AND(Bills!#REF!,"AAAAAH/7XCs=")</f>
        <v>#REF!</v>
      </c>
      <c r="AS52" t="e">
        <f>AND(Bills!#REF!,"AAAAAH/7XCw=")</f>
        <v>#REF!</v>
      </c>
      <c r="AT52" t="e">
        <f>AND(Bills!#REF!,"AAAAAH/7XC0=")</f>
        <v>#REF!</v>
      </c>
      <c r="AU52" t="e">
        <f>AND(Bills!#REF!,"AAAAAH/7XC4=")</f>
        <v>#REF!</v>
      </c>
      <c r="AV52" t="e">
        <f>AND(Bills!#REF!,"AAAAAH/7XC8=")</f>
        <v>#REF!</v>
      </c>
      <c r="AW52" t="e">
        <f>AND(Bills!#REF!,"AAAAAH/7XDA=")</f>
        <v>#REF!</v>
      </c>
      <c r="AX52" t="e">
        <f>AND(Bills!#REF!,"AAAAAH/7XDE=")</f>
        <v>#REF!</v>
      </c>
      <c r="AY52" t="e">
        <f>AND(Bills!#REF!,"AAAAAH/7XDI=")</f>
        <v>#REF!</v>
      </c>
      <c r="AZ52" t="e">
        <f>AND(Bills!#REF!,"AAAAAH/7XDM=")</f>
        <v>#REF!</v>
      </c>
      <c r="BA52" t="e">
        <f>AND(Bills!#REF!,"AAAAAH/7XDQ=")</f>
        <v>#REF!</v>
      </c>
      <c r="BB52" t="e">
        <f>AND(Bills!#REF!,"AAAAAH/7XDU=")</f>
        <v>#REF!</v>
      </c>
      <c r="BC52" t="e">
        <f>AND(Bills!#REF!,"AAAAAH/7XDY=")</f>
        <v>#REF!</v>
      </c>
      <c r="BD52" t="e">
        <f>AND(Bills!#REF!,"AAAAAH/7XDc=")</f>
        <v>#REF!</v>
      </c>
      <c r="BE52" t="e">
        <f>AND(Bills!#REF!,"AAAAAH/7XDg=")</f>
        <v>#REF!</v>
      </c>
      <c r="BF52" t="e">
        <f>AND(Bills!#REF!,"AAAAAH/7XDk=")</f>
        <v>#REF!</v>
      </c>
      <c r="BG52" t="e">
        <f>AND(Bills!#REF!,"AAAAAH/7XDo=")</f>
        <v>#REF!</v>
      </c>
      <c r="BH52" t="e">
        <f>AND(Bills!#REF!,"AAAAAH/7XDs=")</f>
        <v>#REF!</v>
      </c>
      <c r="BI52" t="e">
        <f>AND(Bills!#REF!,"AAAAAH/7XDw=")</f>
        <v>#REF!</v>
      </c>
      <c r="BJ52" t="e">
        <f>AND(Bills!#REF!,"AAAAAH/7XD0=")</f>
        <v>#REF!</v>
      </c>
      <c r="BK52" t="e">
        <f>AND(Bills!#REF!,"AAAAAH/7XD4=")</f>
        <v>#REF!</v>
      </c>
      <c r="BL52" t="e">
        <f>AND(Bills!#REF!,"AAAAAH/7XD8=")</f>
        <v>#REF!</v>
      </c>
      <c r="BM52" t="e">
        <f>AND(Bills!#REF!,"AAAAAH/7XEA=")</f>
        <v>#REF!</v>
      </c>
      <c r="BN52" t="e">
        <f>AND(Bills!#REF!,"AAAAAH/7XEE=")</f>
        <v>#REF!</v>
      </c>
      <c r="BO52" t="e">
        <f>AND(Bills!#REF!,"AAAAAH/7XEI=")</f>
        <v>#REF!</v>
      </c>
      <c r="BP52" t="e">
        <f>AND(Bills!#REF!,"AAAAAH/7XEM=")</f>
        <v>#REF!</v>
      </c>
      <c r="BQ52" t="e">
        <f>AND(Bills!#REF!,"AAAAAH/7XEQ=")</f>
        <v>#REF!</v>
      </c>
      <c r="BR52" t="e">
        <f>AND(Bills!#REF!,"AAAAAH/7XEU=")</f>
        <v>#REF!</v>
      </c>
      <c r="BS52" t="e">
        <f>AND(Bills!#REF!,"AAAAAH/7XEY=")</f>
        <v>#REF!</v>
      </c>
      <c r="BT52" t="e">
        <f>AND(Bills!#REF!,"AAAAAH/7XEc=")</f>
        <v>#REF!</v>
      </c>
      <c r="BU52" t="e">
        <f>AND(Bills!#REF!,"AAAAAH/7XEg=")</f>
        <v>#REF!</v>
      </c>
      <c r="BV52" t="e">
        <f>AND(Bills!#REF!,"AAAAAH/7XEk=")</f>
        <v>#REF!</v>
      </c>
      <c r="BW52" t="e">
        <f>AND(Bills!#REF!,"AAAAAH/7XEo=")</f>
        <v>#REF!</v>
      </c>
      <c r="BX52" t="e">
        <f>AND(Bills!#REF!,"AAAAAH/7XEs=")</f>
        <v>#REF!</v>
      </c>
      <c r="BY52" t="e">
        <f>AND(Bills!#REF!,"AAAAAH/7XEw=")</f>
        <v>#REF!</v>
      </c>
      <c r="BZ52" t="e">
        <f>AND(Bills!#REF!,"AAAAAH/7XE0=")</f>
        <v>#REF!</v>
      </c>
      <c r="CA52" t="e">
        <f>AND(Bills!#REF!,"AAAAAH/7XE4=")</f>
        <v>#REF!</v>
      </c>
      <c r="CB52" t="e">
        <f>AND(Bills!#REF!,"AAAAAH/7XE8=")</f>
        <v>#REF!</v>
      </c>
      <c r="CC52" t="e">
        <f>AND(Bills!#REF!,"AAAAAH/7XFA=")</f>
        <v>#REF!</v>
      </c>
      <c r="CD52" t="e">
        <f>AND(Bills!#REF!,"AAAAAH/7XFE=")</f>
        <v>#REF!</v>
      </c>
      <c r="CE52" t="e">
        <f>AND(Bills!#REF!,"AAAAAH/7XFI=")</f>
        <v>#REF!</v>
      </c>
      <c r="CF52" t="e">
        <f>AND(Bills!#REF!,"AAAAAH/7XFM=")</f>
        <v>#REF!</v>
      </c>
      <c r="CG52" t="e">
        <f>AND(Bills!#REF!,"AAAAAH/7XFQ=")</f>
        <v>#REF!</v>
      </c>
      <c r="CH52" t="e">
        <f>AND(Bills!#REF!,"AAAAAH/7XFU=")</f>
        <v>#REF!</v>
      </c>
      <c r="CI52" t="e">
        <f>AND(Bills!#REF!,"AAAAAH/7XFY=")</f>
        <v>#REF!</v>
      </c>
      <c r="CJ52" t="e">
        <f>AND(Bills!#REF!,"AAAAAH/7XFc=")</f>
        <v>#REF!</v>
      </c>
      <c r="CK52" t="e">
        <f>AND(Bills!#REF!,"AAAAAH/7XFg=")</f>
        <v>#REF!</v>
      </c>
      <c r="CL52" t="e">
        <f>AND(Bills!#REF!,"AAAAAH/7XFk=")</f>
        <v>#REF!</v>
      </c>
      <c r="CM52" t="e">
        <f>IF(Bills!#REF!,"AAAAAH/7XFo=",0)</f>
        <v>#REF!</v>
      </c>
      <c r="CN52" t="e">
        <f>AND(Bills!#REF!,"AAAAAH/7XFs=")</f>
        <v>#REF!</v>
      </c>
      <c r="CO52" t="e">
        <f>AND(Bills!#REF!,"AAAAAH/7XFw=")</f>
        <v>#REF!</v>
      </c>
      <c r="CP52" t="e">
        <f>AND(Bills!#REF!,"AAAAAH/7XF0=")</f>
        <v>#REF!</v>
      </c>
      <c r="CQ52" t="e">
        <f>AND(Bills!#REF!,"AAAAAH/7XF4=")</f>
        <v>#REF!</v>
      </c>
      <c r="CR52" t="e">
        <f>AND(Bills!#REF!,"AAAAAH/7XF8=")</f>
        <v>#REF!</v>
      </c>
      <c r="CS52" t="e">
        <f>AND(Bills!#REF!,"AAAAAH/7XGA=")</f>
        <v>#REF!</v>
      </c>
      <c r="CT52" t="e">
        <f>AND(Bills!#REF!,"AAAAAH/7XGE=")</f>
        <v>#REF!</v>
      </c>
      <c r="CU52" t="e">
        <f>AND(Bills!#REF!,"AAAAAH/7XGI=")</f>
        <v>#REF!</v>
      </c>
      <c r="CV52" t="e">
        <f>AND(Bills!#REF!,"AAAAAH/7XGM=")</f>
        <v>#REF!</v>
      </c>
      <c r="CW52" t="e">
        <f>AND(Bills!#REF!,"AAAAAH/7XGQ=")</f>
        <v>#REF!</v>
      </c>
      <c r="CX52" t="e">
        <f>AND(Bills!#REF!,"AAAAAH/7XGU=")</f>
        <v>#REF!</v>
      </c>
      <c r="CY52" t="e">
        <f>AND(Bills!#REF!,"AAAAAH/7XGY=")</f>
        <v>#REF!</v>
      </c>
      <c r="CZ52" t="e">
        <f>AND(Bills!#REF!,"AAAAAH/7XGc=")</f>
        <v>#REF!</v>
      </c>
      <c r="DA52" t="e">
        <f>AND(Bills!#REF!,"AAAAAH/7XGg=")</f>
        <v>#REF!</v>
      </c>
      <c r="DB52" t="e">
        <f>AND(Bills!#REF!,"AAAAAH/7XGk=")</f>
        <v>#REF!</v>
      </c>
      <c r="DC52" t="e">
        <f>AND(Bills!#REF!,"AAAAAH/7XGo=")</f>
        <v>#REF!</v>
      </c>
      <c r="DD52" t="e">
        <f>AND(Bills!#REF!,"AAAAAH/7XGs=")</f>
        <v>#REF!</v>
      </c>
      <c r="DE52" t="e">
        <f>AND(Bills!#REF!,"AAAAAH/7XGw=")</f>
        <v>#REF!</v>
      </c>
      <c r="DF52" t="e">
        <f>AND(Bills!#REF!,"AAAAAH/7XG0=")</f>
        <v>#REF!</v>
      </c>
      <c r="DG52" t="e">
        <f>AND(Bills!#REF!,"AAAAAH/7XG4=")</f>
        <v>#REF!</v>
      </c>
      <c r="DH52" t="e">
        <f>AND(Bills!#REF!,"AAAAAH/7XG8=")</f>
        <v>#REF!</v>
      </c>
      <c r="DI52" t="e">
        <f>AND(Bills!#REF!,"AAAAAH/7XHA=")</f>
        <v>#REF!</v>
      </c>
      <c r="DJ52" t="e">
        <f>AND(Bills!#REF!,"AAAAAH/7XHE=")</f>
        <v>#REF!</v>
      </c>
      <c r="DK52" t="e">
        <f>AND(Bills!#REF!,"AAAAAH/7XHI=")</f>
        <v>#REF!</v>
      </c>
      <c r="DL52" t="e">
        <f>AND(Bills!#REF!,"AAAAAH/7XHM=")</f>
        <v>#REF!</v>
      </c>
      <c r="DM52" t="e">
        <f>AND(Bills!#REF!,"AAAAAH/7XHQ=")</f>
        <v>#REF!</v>
      </c>
      <c r="DN52" t="e">
        <f>AND(Bills!#REF!,"AAAAAH/7XHU=")</f>
        <v>#REF!</v>
      </c>
      <c r="DO52" t="e">
        <f>AND(Bills!#REF!,"AAAAAH/7XHY=")</f>
        <v>#REF!</v>
      </c>
      <c r="DP52" t="e">
        <f>AND(Bills!#REF!,"AAAAAH/7XHc=")</f>
        <v>#REF!</v>
      </c>
      <c r="DQ52" t="e">
        <f>AND(Bills!#REF!,"AAAAAH/7XHg=")</f>
        <v>#REF!</v>
      </c>
      <c r="DR52" t="e">
        <f>AND(Bills!#REF!,"AAAAAH/7XHk=")</f>
        <v>#REF!</v>
      </c>
      <c r="DS52" t="e">
        <f>AND(Bills!#REF!,"AAAAAH/7XHo=")</f>
        <v>#REF!</v>
      </c>
      <c r="DT52" t="e">
        <f>AND(Bills!#REF!,"AAAAAH/7XHs=")</f>
        <v>#REF!</v>
      </c>
      <c r="DU52" t="e">
        <f>AND(Bills!#REF!,"AAAAAH/7XHw=")</f>
        <v>#REF!</v>
      </c>
      <c r="DV52" t="e">
        <f>AND(Bills!#REF!,"AAAAAH/7XH0=")</f>
        <v>#REF!</v>
      </c>
      <c r="DW52" t="e">
        <f>AND(Bills!#REF!,"AAAAAH/7XH4=")</f>
        <v>#REF!</v>
      </c>
      <c r="DX52" t="e">
        <f>AND(Bills!#REF!,"AAAAAH/7XH8=")</f>
        <v>#REF!</v>
      </c>
      <c r="DY52" t="e">
        <f>AND(Bills!#REF!,"AAAAAH/7XIA=")</f>
        <v>#REF!</v>
      </c>
      <c r="DZ52" t="e">
        <f>AND(Bills!#REF!,"AAAAAH/7XIE=")</f>
        <v>#REF!</v>
      </c>
      <c r="EA52" t="e">
        <f>AND(Bills!#REF!,"AAAAAH/7XII=")</f>
        <v>#REF!</v>
      </c>
      <c r="EB52" t="e">
        <f>AND(Bills!#REF!,"AAAAAH/7XIM=")</f>
        <v>#REF!</v>
      </c>
      <c r="EC52" t="e">
        <f>AND(Bills!#REF!,"AAAAAH/7XIQ=")</f>
        <v>#REF!</v>
      </c>
      <c r="ED52" t="e">
        <f>AND(Bills!#REF!,"AAAAAH/7XIU=")</f>
        <v>#REF!</v>
      </c>
      <c r="EE52" t="e">
        <f>AND(Bills!#REF!,"AAAAAH/7XIY=")</f>
        <v>#REF!</v>
      </c>
      <c r="EF52" t="e">
        <f>AND(Bills!#REF!,"AAAAAH/7XIc=")</f>
        <v>#REF!</v>
      </c>
      <c r="EG52" t="e">
        <f>AND(Bills!#REF!,"AAAAAH/7XIg=")</f>
        <v>#REF!</v>
      </c>
      <c r="EH52" t="e">
        <f>AND(Bills!#REF!,"AAAAAH/7XIk=")</f>
        <v>#REF!</v>
      </c>
      <c r="EI52" t="e">
        <f>AND(Bills!#REF!,"AAAAAH/7XIo=")</f>
        <v>#REF!</v>
      </c>
      <c r="EJ52" t="e">
        <f>AND(Bills!#REF!,"AAAAAH/7XIs=")</f>
        <v>#REF!</v>
      </c>
      <c r="EK52" t="e">
        <f>AND(Bills!#REF!,"AAAAAH/7XIw=")</f>
        <v>#REF!</v>
      </c>
      <c r="EL52" t="e">
        <f>IF(Bills!#REF!,"AAAAAH/7XI0=",0)</f>
        <v>#REF!</v>
      </c>
      <c r="EM52" t="e">
        <f>AND(Bills!#REF!,"AAAAAH/7XI4=")</f>
        <v>#REF!</v>
      </c>
      <c r="EN52" t="e">
        <f>AND(Bills!#REF!,"AAAAAH/7XI8=")</f>
        <v>#REF!</v>
      </c>
      <c r="EO52" t="e">
        <f>AND(Bills!#REF!,"AAAAAH/7XJA=")</f>
        <v>#REF!</v>
      </c>
      <c r="EP52" t="e">
        <f>AND(Bills!#REF!,"AAAAAH/7XJE=")</f>
        <v>#REF!</v>
      </c>
      <c r="EQ52" t="e">
        <f>AND(Bills!#REF!,"AAAAAH/7XJI=")</f>
        <v>#REF!</v>
      </c>
      <c r="ER52" t="e">
        <f>AND(Bills!#REF!,"AAAAAH/7XJM=")</f>
        <v>#REF!</v>
      </c>
      <c r="ES52" t="e">
        <f>AND(Bills!#REF!,"AAAAAH/7XJQ=")</f>
        <v>#REF!</v>
      </c>
      <c r="ET52" t="e">
        <f>AND(Bills!#REF!,"AAAAAH/7XJU=")</f>
        <v>#REF!</v>
      </c>
      <c r="EU52" t="e">
        <f>AND(Bills!#REF!,"AAAAAH/7XJY=")</f>
        <v>#REF!</v>
      </c>
      <c r="EV52" t="e">
        <f>AND(Bills!#REF!,"AAAAAH/7XJc=")</f>
        <v>#REF!</v>
      </c>
      <c r="EW52" t="e">
        <f>AND(Bills!#REF!,"AAAAAH/7XJg=")</f>
        <v>#REF!</v>
      </c>
      <c r="EX52" t="e">
        <f>AND(Bills!#REF!,"AAAAAH/7XJk=")</f>
        <v>#REF!</v>
      </c>
      <c r="EY52" t="e">
        <f>AND(Bills!#REF!,"AAAAAH/7XJo=")</f>
        <v>#REF!</v>
      </c>
      <c r="EZ52" t="e">
        <f>AND(Bills!#REF!,"AAAAAH/7XJs=")</f>
        <v>#REF!</v>
      </c>
      <c r="FA52" t="e">
        <f>AND(Bills!#REF!,"AAAAAH/7XJw=")</f>
        <v>#REF!</v>
      </c>
      <c r="FB52" t="e">
        <f>AND(Bills!#REF!,"AAAAAH/7XJ0=")</f>
        <v>#REF!</v>
      </c>
      <c r="FC52" t="e">
        <f>AND(Bills!#REF!,"AAAAAH/7XJ4=")</f>
        <v>#REF!</v>
      </c>
      <c r="FD52" t="e">
        <f>AND(Bills!#REF!,"AAAAAH/7XJ8=")</f>
        <v>#REF!</v>
      </c>
      <c r="FE52" t="e">
        <f>AND(Bills!#REF!,"AAAAAH/7XKA=")</f>
        <v>#REF!</v>
      </c>
      <c r="FF52" t="e">
        <f>AND(Bills!#REF!,"AAAAAH/7XKE=")</f>
        <v>#REF!</v>
      </c>
      <c r="FG52" t="e">
        <f>AND(Bills!#REF!,"AAAAAH/7XKI=")</f>
        <v>#REF!</v>
      </c>
      <c r="FH52" t="e">
        <f>AND(Bills!#REF!,"AAAAAH/7XKM=")</f>
        <v>#REF!</v>
      </c>
      <c r="FI52" t="e">
        <f>AND(Bills!#REF!,"AAAAAH/7XKQ=")</f>
        <v>#REF!</v>
      </c>
      <c r="FJ52" t="e">
        <f>AND(Bills!#REF!,"AAAAAH/7XKU=")</f>
        <v>#REF!</v>
      </c>
      <c r="FK52" t="e">
        <f>AND(Bills!#REF!,"AAAAAH/7XKY=")</f>
        <v>#REF!</v>
      </c>
      <c r="FL52" t="e">
        <f>AND(Bills!#REF!,"AAAAAH/7XKc=")</f>
        <v>#REF!</v>
      </c>
      <c r="FM52" t="e">
        <f>AND(Bills!#REF!,"AAAAAH/7XKg=")</f>
        <v>#REF!</v>
      </c>
      <c r="FN52" t="e">
        <f>AND(Bills!#REF!,"AAAAAH/7XKk=")</f>
        <v>#REF!</v>
      </c>
      <c r="FO52" t="e">
        <f>AND(Bills!#REF!,"AAAAAH/7XKo=")</f>
        <v>#REF!</v>
      </c>
      <c r="FP52" t="e">
        <f>AND(Bills!#REF!,"AAAAAH/7XKs=")</f>
        <v>#REF!</v>
      </c>
      <c r="FQ52" t="e">
        <f>AND(Bills!#REF!,"AAAAAH/7XKw=")</f>
        <v>#REF!</v>
      </c>
      <c r="FR52" t="e">
        <f>AND(Bills!#REF!,"AAAAAH/7XK0=")</f>
        <v>#REF!</v>
      </c>
      <c r="FS52" t="e">
        <f>AND(Bills!#REF!,"AAAAAH/7XK4=")</f>
        <v>#REF!</v>
      </c>
      <c r="FT52" t="e">
        <f>AND(Bills!#REF!,"AAAAAH/7XK8=")</f>
        <v>#REF!</v>
      </c>
      <c r="FU52" t="e">
        <f>AND(Bills!#REF!,"AAAAAH/7XLA=")</f>
        <v>#REF!</v>
      </c>
      <c r="FV52" t="e">
        <f>AND(Bills!#REF!,"AAAAAH/7XLE=")</f>
        <v>#REF!</v>
      </c>
      <c r="FW52" t="e">
        <f>AND(Bills!#REF!,"AAAAAH/7XLI=")</f>
        <v>#REF!</v>
      </c>
      <c r="FX52" t="e">
        <f>AND(Bills!#REF!,"AAAAAH/7XLM=")</f>
        <v>#REF!</v>
      </c>
      <c r="FY52" t="e">
        <f>AND(Bills!#REF!,"AAAAAH/7XLQ=")</f>
        <v>#REF!</v>
      </c>
      <c r="FZ52" t="e">
        <f>AND(Bills!#REF!,"AAAAAH/7XLU=")</f>
        <v>#REF!</v>
      </c>
      <c r="GA52" t="e">
        <f>AND(Bills!#REF!,"AAAAAH/7XLY=")</f>
        <v>#REF!</v>
      </c>
      <c r="GB52" t="e">
        <f>AND(Bills!#REF!,"AAAAAH/7XLc=")</f>
        <v>#REF!</v>
      </c>
      <c r="GC52" t="e">
        <f>AND(Bills!#REF!,"AAAAAH/7XLg=")</f>
        <v>#REF!</v>
      </c>
      <c r="GD52" t="e">
        <f>AND(Bills!#REF!,"AAAAAH/7XLk=")</f>
        <v>#REF!</v>
      </c>
      <c r="GE52" t="e">
        <f>AND(Bills!#REF!,"AAAAAH/7XLo=")</f>
        <v>#REF!</v>
      </c>
      <c r="GF52" t="e">
        <f>AND(Bills!#REF!,"AAAAAH/7XLs=")</f>
        <v>#REF!</v>
      </c>
      <c r="GG52" t="e">
        <f>AND(Bills!#REF!,"AAAAAH/7XLw=")</f>
        <v>#REF!</v>
      </c>
      <c r="GH52" t="e">
        <f>AND(Bills!#REF!,"AAAAAH/7XL0=")</f>
        <v>#REF!</v>
      </c>
      <c r="GI52" t="e">
        <f>AND(Bills!#REF!,"AAAAAH/7XL4=")</f>
        <v>#REF!</v>
      </c>
      <c r="GJ52" t="e">
        <f>AND(Bills!#REF!,"AAAAAH/7XL8=")</f>
        <v>#REF!</v>
      </c>
      <c r="GK52" t="e">
        <f>IF(Bills!#REF!,"AAAAAH/7XMA=",0)</f>
        <v>#REF!</v>
      </c>
      <c r="GL52" t="e">
        <f>AND(Bills!#REF!,"AAAAAH/7XME=")</f>
        <v>#REF!</v>
      </c>
      <c r="GM52" t="e">
        <f>AND(Bills!#REF!,"AAAAAH/7XMI=")</f>
        <v>#REF!</v>
      </c>
      <c r="GN52" t="e">
        <f>AND(Bills!#REF!,"AAAAAH/7XMM=")</f>
        <v>#REF!</v>
      </c>
      <c r="GO52" t="e">
        <f>AND(Bills!#REF!,"AAAAAH/7XMQ=")</f>
        <v>#REF!</v>
      </c>
      <c r="GP52" t="e">
        <f>AND(Bills!#REF!,"AAAAAH/7XMU=")</f>
        <v>#REF!</v>
      </c>
      <c r="GQ52" t="e">
        <f>AND(Bills!#REF!,"AAAAAH/7XMY=")</f>
        <v>#REF!</v>
      </c>
      <c r="GR52" t="e">
        <f>AND(Bills!#REF!,"AAAAAH/7XMc=")</f>
        <v>#REF!</v>
      </c>
      <c r="GS52" t="e">
        <f>AND(Bills!#REF!,"AAAAAH/7XMg=")</f>
        <v>#REF!</v>
      </c>
      <c r="GT52" t="e">
        <f>AND(Bills!#REF!,"AAAAAH/7XMk=")</f>
        <v>#REF!</v>
      </c>
      <c r="GU52" t="e">
        <f>AND(Bills!#REF!,"AAAAAH/7XMo=")</f>
        <v>#REF!</v>
      </c>
      <c r="GV52" t="e">
        <f>AND(Bills!#REF!,"AAAAAH/7XMs=")</f>
        <v>#REF!</v>
      </c>
      <c r="GW52" t="e">
        <f>AND(Bills!#REF!,"AAAAAH/7XMw=")</f>
        <v>#REF!</v>
      </c>
      <c r="GX52" t="e">
        <f>AND(Bills!#REF!,"AAAAAH/7XM0=")</f>
        <v>#REF!</v>
      </c>
      <c r="GY52" t="e">
        <f>AND(Bills!#REF!,"AAAAAH/7XM4=")</f>
        <v>#REF!</v>
      </c>
      <c r="GZ52" t="e">
        <f>AND(Bills!#REF!,"AAAAAH/7XM8=")</f>
        <v>#REF!</v>
      </c>
      <c r="HA52" t="e">
        <f>AND(Bills!#REF!,"AAAAAH/7XNA=")</f>
        <v>#REF!</v>
      </c>
      <c r="HB52" t="e">
        <f>AND(Bills!#REF!,"AAAAAH/7XNE=")</f>
        <v>#REF!</v>
      </c>
      <c r="HC52" t="e">
        <f>AND(Bills!#REF!,"AAAAAH/7XNI=")</f>
        <v>#REF!</v>
      </c>
      <c r="HD52" t="e">
        <f>AND(Bills!#REF!,"AAAAAH/7XNM=")</f>
        <v>#REF!</v>
      </c>
      <c r="HE52" t="e">
        <f>AND(Bills!#REF!,"AAAAAH/7XNQ=")</f>
        <v>#REF!</v>
      </c>
      <c r="HF52" t="e">
        <f>AND(Bills!#REF!,"AAAAAH/7XNU=")</f>
        <v>#REF!</v>
      </c>
      <c r="HG52" t="e">
        <f>AND(Bills!#REF!,"AAAAAH/7XNY=")</f>
        <v>#REF!</v>
      </c>
      <c r="HH52" t="e">
        <f>AND(Bills!#REF!,"AAAAAH/7XNc=")</f>
        <v>#REF!</v>
      </c>
      <c r="HI52" t="e">
        <f>AND(Bills!#REF!,"AAAAAH/7XNg=")</f>
        <v>#REF!</v>
      </c>
      <c r="HJ52" t="e">
        <f>AND(Bills!#REF!,"AAAAAH/7XNk=")</f>
        <v>#REF!</v>
      </c>
      <c r="HK52" t="e">
        <f>AND(Bills!#REF!,"AAAAAH/7XNo=")</f>
        <v>#REF!</v>
      </c>
      <c r="HL52" t="e">
        <f>AND(Bills!#REF!,"AAAAAH/7XNs=")</f>
        <v>#REF!</v>
      </c>
      <c r="HM52" t="e">
        <f>AND(Bills!#REF!,"AAAAAH/7XNw=")</f>
        <v>#REF!</v>
      </c>
      <c r="HN52" t="e">
        <f>AND(Bills!#REF!,"AAAAAH/7XN0=")</f>
        <v>#REF!</v>
      </c>
      <c r="HO52" t="e">
        <f>AND(Bills!#REF!,"AAAAAH/7XN4=")</f>
        <v>#REF!</v>
      </c>
      <c r="HP52" t="e">
        <f>AND(Bills!#REF!,"AAAAAH/7XN8=")</f>
        <v>#REF!</v>
      </c>
      <c r="HQ52" t="e">
        <f>AND(Bills!#REF!,"AAAAAH/7XOA=")</f>
        <v>#REF!</v>
      </c>
      <c r="HR52" t="e">
        <f>AND(Bills!#REF!,"AAAAAH/7XOE=")</f>
        <v>#REF!</v>
      </c>
      <c r="HS52" t="e">
        <f>AND(Bills!#REF!,"AAAAAH/7XOI=")</f>
        <v>#REF!</v>
      </c>
      <c r="HT52" t="e">
        <f>AND(Bills!#REF!,"AAAAAH/7XOM=")</f>
        <v>#REF!</v>
      </c>
      <c r="HU52" t="e">
        <f>AND(Bills!#REF!,"AAAAAH/7XOQ=")</f>
        <v>#REF!</v>
      </c>
      <c r="HV52" t="e">
        <f>AND(Bills!#REF!,"AAAAAH/7XOU=")</f>
        <v>#REF!</v>
      </c>
      <c r="HW52" t="e">
        <f>AND(Bills!#REF!,"AAAAAH/7XOY=")</f>
        <v>#REF!</v>
      </c>
      <c r="HX52" t="e">
        <f>AND(Bills!#REF!,"AAAAAH/7XOc=")</f>
        <v>#REF!</v>
      </c>
      <c r="HY52" t="e">
        <f>AND(Bills!#REF!,"AAAAAH/7XOg=")</f>
        <v>#REF!</v>
      </c>
      <c r="HZ52" t="e">
        <f>AND(Bills!#REF!,"AAAAAH/7XOk=")</f>
        <v>#REF!</v>
      </c>
      <c r="IA52" t="e">
        <f>AND(Bills!#REF!,"AAAAAH/7XOo=")</f>
        <v>#REF!</v>
      </c>
      <c r="IB52" t="e">
        <f>AND(Bills!#REF!,"AAAAAH/7XOs=")</f>
        <v>#REF!</v>
      </c>
      <c r="IC52" t="e">
        <f>AND(Bills!#REF!,"AAAAAH/7XOw=")</f>
        <v>#REF!</v>
      </c>
      <c r="ID52" t="e">
        <f>AND(Bills!#REF!,"AAAAAH/7XO0=")</f>
        <v>#REF!</v>
      </c>
      <c r="IE52" t="e">
        <f>AND(Bills!#REF!,"AAAAAH/7XO4=")</f>
        <v>#REF!</v>
      </c>
      <c r="IF52" t="e">
        <f>AND(Bills!#REF!,"AAAAAH/7XO8=")</f>
        <v>#REF!</v>
      </c>
      <c r="IG52" t="e">
        <f>AND(Bills!#REF!,"AAAAAH/7XPA=")</f>
        <v>#REF!</v>
      </c>
      <c r="IH52" t="e">
        <f>AND(Bills!#REF!,"AAAAAH/7XPE=")</f>
        <v>#REF!</v>
      </c>
      <c r="II52" t="e">
        <f>AND(Bills!#REF!,"AAAAAH/7XPI=")</f>
        <v>#REF!</v>
      </c>
      <c r="IJ52" t="e">
        <f>IF(Bills!#REF!,"AAAAAH/7XPM=",0)</f>
        <v>#REF!</v>
      </c>
      <c r="IK52" t="e">
        <f>AND(Bills!#REF!,"AAAAAH/7XPQ=")</f>
        <v>#REF!</v>
      </c>
      <c r="IL52" t="e">
        <f>AND(Bills!#REF!,"AAAAAH/7XPU=")</f>
        <v>#REF!</v>
      </c>
      <c r="IM52" t="e">
        <f>AND(Bills!#REF!,"AAAAAH/7XPY=")</f>
        <v>#REF!</v>
      </c>
      <c r="IN52" t="e">
        <f>AND(Bills!#REF!,"AAAAAH/7XPc=")</f>
        <v>#REF!</v>
      </c>
      <c r="IO52" t="e">
        <f>AND(Bills!#REF!,"AAAAAH/7XPg=")</f>
        <v>#REF!</v>
      </c>
      <c r="IP52" t="e">
        <f>AND(Bills!#REF!,"AAAAAH/7XPk=")</f>
        <v>#REF!</v>
      </c>
      <c r="IQ52" t="e">
        <f>AND(Bills!#REF!,"AAAAAH/7XPo=")</f>
        <v>#REF!</v>
      </c>
      <c r="IR52" t="e">
        <f>AND(Bills!#REF!,"AAAAAH/7XPs=")</f>
        <v>#REF!</v>
      </c>
      <c r="IS52" t="e">
        <f>AND(Bills!#REF!,"AAAAAH/7XPw=")</f>
        <v>#REF!</v>
      </c>
      <c r="IT52" t="e">
        <f>AND(Bills!#REF!,"AAAAAH/7XP0=")</f>
        <v>#REF!</v>
      </c>
      <c r="IU52" t="e">
        <f>AND(Bills!#REF!,"AAAAAH/7XP4=")</f>
        <v>#REF!</v>
      </c>
      <c r="IV52" t="e">
        <f>AND(Bills!#REF!,"AAAAAH/7XP8=")</f>
        <v>#REF!</v>
      </c>
    </row>
    <row r="53" spans="1:256">
      <c r="A53" t="e">
        <f>AND(Bills!#REF!,"AAAAAG/eiwA=")</f>
        <v>#REF!</v>
      </c>
      <c r="B53" t="e">
        <f>AND(Bills!#REF!,"AAAAAG/eiwE=")</f>
        <v>#REF!</v>
      </c>
      <c r="C53" t="e">
        <f>AND(Bills!#REF!,"AAAAAG/eiwI=")</f>
        <v>#REF!</v>
      </c>
      <c r="D53" t="e">
        <f>AND(Bills!#REF!,"AAAAAG/eiwM=")</f>
        <v>#REF!</v>
      </c>
      <c r="E53" t="e">
        <f>AND(Bills!#REF!,"AAAAAG/eiwQ=")</f>
        <v>#REF!</v>
      </c>
      <c r="F53" t="e">
        <f>AND(Bills!#REF!,"AAAAAG/eiwU=")</f>
        <v>#REF!</v>
      </c>
      <c r="G53" t="e">
        <f>AND(Bills!#REF!,"AAAAAG/eiwY=")</f>
        <v>#REF!</v>
      </c>
      <c r="H53" t="e">
        <f>AND(Bills!#REF!,"AAAAAG/eiwc=")</f>
        <v>#REF!</v>
      </c>
      <c r="I53" t="e">
        <f>AND(Bills!#REF!,"AAAAAG/eiwg=")</f>
        <v>#REF!</v>
      </c>
      <c r="J53" t="e">
        <f>AND(Bills!#REF!,"AAAAAG/eiwk=")</f>
        <v>#REF!</v>
      </c>
      <c r="K53" t="e">
        <f>AND(Bills!#REF!,"AAAAAG/eiwo=")</f>
        <v>#REF!</v>
      </c>
      <c r="L53" t="e">
        <f>AND(Bills!#REF!,"AAAAAG/eiws=")</f>
        <v>#REF!</v>
      </c>
      <c r="M53" t="e">
        <f>AND(Bills!#REF!,"AAAAAG/eiww=")</f>
        <v>#REF!</v>
      </c>
      <c r="N53" t="e">
        <f>AND(Bills!#REF!,"AAAAAG/eiw0=")</f>
        <v>#REF!</v>
      </c>
      <c r="O53" t="e">
        <f>AND(Bills!#REF!,"AAAAAG/eiw4=")</f>
        <v>#REF!</v>
      </c>
      <c r="P53" t="e">
        <f>AND(Bills!#REF!,"AAAAAG/eiw8=")</f>
        <v>#REF!</v>
      </c>
      <c r="Q53" t="e">
        <f>AND(Bills!#REF!,"AAAAAG/eixA=")</f>
        <v>#REF!</v>
      </c>
      <c r="R53" t="e">
        <f>AND(Bills!#REF!,"AAAAAG/eixE=")</f>
        <v>#REF!</v>
      </c>
      <c r="S53" t="e">
        <f>AND(Bills!#REF!,"AAAAAG/eixI=")</f>
        <v>#REF!</v>
      </c>
      <c r="T53" t="e">
        <f>AND(Bills!#REF!,"AAAAAG/eixM=")</f>
        <v>#REF!</v>
      </c>
      <c r="U53" t="e">
        <f>AND(Bills!#REF!,"AAAAAG/eixQ=")</f>
        <v>#REF!</v>
      </c>
      <c r="V53" t="e">
        <f>AND(Bills!#REF!,"AAAAAG/eixU=")</f>
        <v>#REF!</v>
      </c>
      <c r="W53" t="e">
        <f>AND(Bills!#REF!,"AAAAAG/eixY=")</f>
        <v>#REF!</v>
      </c>
      <c r="X53" t="e">
        <f>AND(Bills!#REF!,"AAAAAG/eixc=")</f>
        <v>#REF!</v>
      </c>
      <c r="Y53" t="e">
        <f>AND(Bills!#REF!,"AAAAAG/eixg=")</f>
        <v>#REF!</v>
      </c>
      <c r="Z53" t="e">
        <f>AND(Bills!#REF!,"AAAAAG/eixk=")</f>
        <v>#REF!</v>
      </c>
      <c r="AA53" t="e">
        <f>AND(Bills!#REF!,"AAAAAG/eixo=")</f>
        <v>#REF!</v>
      </c>
      <c r="AB53" t="e">
        <f>AND(Bills!#REF!,"AAAAAG/eixs=")</f>
        <v>#REF!</v>
      </c>
      <c r="AC53" t="e">
        <f>AND(Bills!#REF!,"AAAAAG/eixw=")</f>
        <v>#REF!</v>
      </c>
      <c r="AD53" t="e">
        <f>AND(Bills!#REF!,"AAAAAG/eix0=")</f>
        <v>#REF!</v>
      </c>
      <c r="AE53" t="e">
        <f>AND(Bills!#REF!,"AAAAAG/eix4=")</f>
        <v>#REF!</v>
      </c>
      <c r="AF53" t="e">
        <f>AND(Bills!#REF!,"AAAAAG/eix8=")</f>
        <v>#REF!</v>
      </c>
      <c r="AG53" t="e">
        <f>AND(Bills!#REF!,"AAAAAG/eiyA=")</f>
        <v>#REF!</v>
      </c>
      <c r="AH53" t="e">
        <f>AND(Bills!#REF!,"AAAAAG/eiyE=")</f>
        <v>#REF!</v>
      </c>
      <c r="AI53" t="e">
        <f>AND(Bills!#REF!,"AAAAAG/eiyI=")</f>
        <v>#REF!</v>
      </c>
      <c r="AJ53" t="e">
        <f>AND(Bills!#REF!,"AAAAAG/eiyM=")</f>
        <v>#REF!</v>
      </c>
      <c r="AK53" t="e">
        <f>AND(Bills!#REF!,"AAAAAG/eiyQ=")</f>
        <v>#REF!</v>
      </c>
      <c r="AL53" t="e">
        <f>AND(Bills!#REF!,"AAAAAG/eiyU=")</f>
        <v>#REF!</v>
      </c>
      <c r="AM53" t="e">
        <f>IF(Bills!#REF!,"AAAAAG/eiyY=",0)</f>
        <v>#REF!</v>
      </c>
      <c r="AN53" t="e">
        <f>AND(Bills!#REF!,"AAAAAG/eiyc=")</f>
        <v>#REF!</v>
      </c>
      <c r="AO53" t="e">
        <f>AND(Bills!#REF!,"AAAAAG/eiyg=")</f>
        <v>#REF!</v>
      </c>
      <c r="AP53" t="e">
        <f>AND(Bills!#REF!,"AAAAAG/eiyk=")</f>
        <v>#REF!</v>
      </c>
      <c r="AQ53" t="e">
        <f>AND(Bills!#REF!,"AAAAAG/eiyo=")</f>
        <v>#REF!</v>
      </c>
      <c r="AR53" t="e">
        <f>AND(Bills!#REF!,"AAAAAG/eiys=")</f>
        <v>#REF!</v>
      </c>
      <c r="AS53" t="e">
        <f>AND(Bills!#REF!,"AAAAAG/eiyw=")</f>
        <v>#REF!</v>
      </c>
      <c r="AT53" t="e">
        <f>AND(Bills!#REF!,"AAAAAG/eiy0=")</f>
        <v>#REF!</v>
      </c>
      <c r="AU53" t="e">
        <f>AND(Bills!#REF!,"AAAAAG/eiy4=")</f>
        <v>#REF!</v>
      </c>
      <c r="AV53" t="e">
        <f>AND(Bills!#REF!,"AAAAAG/eiy8=")</f>
        <v>#REF!</v>
      </c>
      <c r="AW53" t="e">
        <f>AND(Bills!#REF!,"AAAAAG/eizA=")</f>
        <v>#REF!</v>
      </c>
      <c r="AX53" t="e">
        <f>AND(Bills!#REF!,"AAAAAG/eizE=")</f>
        <v>#REF!</v>
      </c>
      <c r="AY53" t="e">
        <f>AND(Bills!#REF!,"AAAAAG/eizI=")</f>
        <v>#REF!</v>
      </c>
      <c r="AZ53" t="e">
        <f>AND(Bills!#REF!,"AAAAAG/eizM=")</f>
        <v>#REF!</v>
      </c>
      <c r="BA53" t="e">
        <f>AND(Bills!#REF!,"AAAAAG/eizQ=")</f>
        <v>#REF!</v>
      </c>
      <c r="BB53" t="e">
        <f>AND(Bills!#REF!,"AAAAAG/eizU=")</f>
        <v>#REF!</v>
      </c>
      <c r="BC53" t="e">
        <f>AND(Bills!#REF!,"AAAAAG/eizY=")</f>
        <v>#REF!</v>
      </c>
      <c r="BD53" t="e">
        <f>AND(Bills!#REF!,"AAAAAG/eizc=")</f>
        <v>#REF!</v>
      </c>
      <c r="BE53" t="e">
        <f>AND(Bills!#REF!,"AAAAAG/eizg=")</f>
        <v>#REF!</v>
      </c>
      <c r="BF53" t="e">
        <f>AND(Bills!#REF!,"AAAAAG/eizk=")</f>
        <v>#REF!</v>
      </c>
      <c r="BG53" t="e">
        <f>AND(Bills!#REF!,"AAAAAG/eizo=")</f>
        <v>#REF!</v>
      </c>
      <c r="BH53" t="e">
        <f>AND(Bills!#REF!,"AAAAAG/eizs=")</f>
        <v>#REF!</v>
      </c>
      <c r="BI53" t="e">
        <f>AND(Bills!#REF!,"AAAAAG/eizw=")</f>
        <v>#REF!</v>
      </c>
      <c r="BJ53" t="e">
        <f>AND(Bills!#REF!,"AAAAAG/eiz0=")</f>
        <v>#REF!</v>
      </c>
      <c r="BK53" t="e">
        <f>AND(Bills!#REF!,"AAAAAG/eiz4=")</f>
        <v>#REF!</v>
      </c>
      <c r="BL53" t="e">
        <f>AND(Bills!#REF!,"AAAAAG/eiz8=")</f>
        <v>#REF!</v>
      </c>
      <c r="BM53" t="e">
        <f>AND(Bills!#REF!,"AAAAAG/ei0A=")</f>
        <v>#REF!</v>
      </c>
      <c r="BN53" t="e">
        <f>AND(Bills!#REF!,"AAAAAG/ei0E=")</f>
        <v>#REF!</v>
      </c>
      <c r="BO53" t="e">
        <f>AND(Bills!#REF!,"AAAAAG/ei0I=")</f>
        <v>#REF!</v>
      </c>
      <c r="BP53" t="e">
        <f>AND(Bills!#REF!,"AAAAAG/ei0M=")</f>
        <v>#REF!</v>
      </c>
      <c r="BQ53" t="e">
        <f>AND(Bills!#REF!,"AAAAAG/ei0Q=")</f>
        <v>#REF!</v>
      </c>
      <c r="BR53" t="e">
        <f>AND(Bills!#REF!,"AAAAAG/ei0U=")</f>
        <v>#REF!</v>
      </c>
      <c r="BS53" t="e">
        <f>AND(Bills!#REF!,"AAAAAG/ei0Y=")</f>
        <v>#REF!</v>
      </c>
      <c r="BT53" t="e">
        <f>AND(Bills!#REF!,"AAAAAG/ei0c=")</f>
        <v>#REF!</v>
      </c>
      <c r="BU53" t="e">
        <f>AND(Bills!#REF!,"AAAAAG/ei0g=")</f>
        <v>#REF!</v>
      </c>
      <c r="BV53" t="e">
        <f>AND(Bills!#REF!,"AAAAAG/ei0k=")</f>
        <v>#REF!</v>
      </c>
      <c r="BW53" t="e">
        <f>AND(Bills!#REF!,"AAAAAG/ei0o=")</f>
        <v>#REF!</v>
      </c>
      <c r="BX53" t="e">
        <f>AND(Bills!#REF!,"AAAAAG/ei0s=")</f>
        <v>#REF!</v>
      </c>
      <c r="BY53" t="e">
        <f>AND(Bills!#REF!,"AAAAAG/ei0w=")</f>
        <v>#REF!</v>
      </c>
      <c r="BZ53" t="e">
        <f>AND(Bills!#REF!,"AAAAAG/ei00=")</f>
        <v>#REF!</v>
      </c>
      <c r="CA53" t="e">
        <f>AND(Bills!#REF!,"AAAAAG/ei04=")</f>
        <v>#REF!</v>
      </c>
      <c r="CB53" t="e">
        <f>AND(Bills!#REF!,"AAAAAG/ei08=")</f>
        <v>#REF!</v>
      </c>
      <c r="CC53" t="e">
        <f>AND(Bills!#REF!,"AAAAAG/ei1A=")</f>
        <v>#REF!</v>
      </c>
      <c r="CD53" t="e">
        <f>AND(Bills!#REF!,"AAAAAG/ei1E=")</f>
        <v>#REF!</v>
      </c>
      <c r="CE53" t="e">
        <f>AND(Bills!#REF!,"AAAAAG/ei1I=")</f>
        <v>#REF!</v>
      </c>
      <c r="CF53" t="e">
        <f>AND(Bills!#REF!,"AAAAAG/ei1M=")</f>
        <v>#REF!</v>
      </c>
      <c r="CG53" t="e">
        <f>AND(Bills!#REF!,"AAAAAG/ei1Q=")</f>
        <v>#REF!</v>
      </c>
      <c r="CH53" t="e">
        <f>AND(Bills!#REF!,"AAAAAG/ei1U=")</f>
        <v>#REF!</v>
      </c>
      <c r="CI53" t="e">
        <f>AND(Bills!#REF!,"AAAAAG/ei1Y=")</f>
        <v>#REF!</v>
      </c>
      <c r="CJ53" t="e">
        <f>AND(Bills!#REF!,"AAAAAG/ei1c=")</f>
        <v>#REF!</v>
      </c>
      <c r="CK53" t="e">
        <f>AND(Bills!#REF!,"AAAAAG/ei1g=")</f>
        <v>#REF!</v>
      </c>
      <c r="CL53" t="e">
        <f>IF(Bills!#REF!,"AAAAAG/ei1k=",0)</f>
        <v>#REF!</v>
      </c>
      <c r="CM53" t="e">
        <f>AND(Bills!#REF!,"AAAAAG/ei1o=")</f>
        <v>#REF!</v>
      </c>
      <c r="CN53" t="e">
        <f>AND(Bills!#REF!,"AAAAAG/ei1s=")</f>
        <v>#REF!</v>
      </c>
      <c r="CO53" t="e">
        <f>AND(Bills!#REF!,"AAAAAG/ei1w=")</f>
        <v>#REF!</v>
      </c>
      <c r="CP53" t="e">
        <f>AND(Bills!#REF!,"AAAAAG/ei10=")</f>
        <v>#REF!</v>
      </c>
      <c r="CQ53" t="e">
        <f>AND(Bills!#REF!,"AAAAAG/ei14=")</f>
        <v>#REF!</v>
      </c>
      <c r="CR53" t="e">
        <f>AND(Bills!#REF!,"AAAAAG/ei18=")</f>
        <v>#REF!</v>
      </c>
      <c r="CS53" t="e">
        <f>AND(Bills!#REF!,"AAAAAG/ei2A=")</f>
        <v>#REF!</v>
      </c>
      <c r="CT53" t="e">
        <f>AND(Bills!#REF!,"AAAAAG/ei2E=")</f>
        <v>#REF!</v>
      </c>
      <c r="CU53" t="e">
        <f>AND(Bills!#REF!,"AAAAAG/ei2I=")</f>
        <v>#REF!</v>
      </c>
      <c r="CV53" t="e">
        <f>AND(Bills!#REF!,"AAAAAG/ei2M=")</f>
        <v>#REF!</v>
      </c>
      <c r="CW53" t="e">
        <f>AND(Bills!#REF!,"AAAAAG/ei2Q=")</f>
        <v>#REF!</v>
      </c>
      <c r="CX53" t="e">
        <f>AND(Bills!#REF!,"AAAAAG/ei2U=")</f>
        <v>#REF!</v>
      </c>
      <c r="CY53" t="e">
        <f>AND(Bills!#REF!,"AAAAAG/ei2Y=")</f>
        <v>#REF!</v>
      </c>
      <c r="CZ53" t="e">
        <f>AND(Bills!#REF!,"AAAAAG/ei2c=")</f>
        <v>#REF!</v>
      </c>
      <c r="DA53" t="e">
        <f>AND(Bills!#REF!,"AAAAAG/ei2g=")</f>
        <v>#REF!</v>
      </c>
      <c r="DB53" t="e">
        <f>AND(Bills!#REF!,"AAAAAG/ei2k=")</f>
        <v>#REF!</v>
      </c>
      <c r="DC53" t="e">
        <f>AND(Bills!#REF!,"AAAAAG/ei2o=")</f>
        <v>#REF!</v>
      </c>
      <c r="DD53" t="e">
        <f>AND(Bills!#REF!,"AAAAAG/ei2s=")</f>
        <v>#REF!</v>
      </c>
      <c r="DE53" t="e">
        <f>AND(Bills!#REF!,"AAAAAG/ei2w=")</f>
        <v>#REF!</v>
      </c>
      <c r="DF53" t="e">
        <f>AND(Bills!#REF!,"AAAAAG/ei20=")</f>
        <v>#REF!</v>
      </c>
      <c r="DG53" t="e">
        <f>AND(Bills!#REF!,"AAAAAG/ei24=")</f>
        <v>#REF!</v>
      </c>
      <c r="DH53" t="e">
        <f>AND(Bills!#REF!,"AAAAAG/ei28=")</f>
        <v>#REF!</v>
      </c>
      <c r="DI53" t="e">
        <f>AND(Bills!#REF!,"AAAAAG/ei3A=")</f>
        <v>#REF!</v>
      </c>
      <c r="DJ53" t="e">
        <f>AND(Bills!#REF!,"AAAAAG/ei3E=")</f>
        <v>#REF!</v>
      </c>
      <c r="DK53" t="e">
        <f>AND(Bills!#REF!,"AAAAAG/ei3I=")</f>
        <v>#REF!</v>
      </c>
      <c r="DL53" t="e">
        <f>AND(Bills!#REF!,"AAAAAG/ei3M=")</f>
        <v>#REF!</v>
      </c>
      <c r="DM53" t="e">
        <f>AND(Bills!#REF!,"AAAAAG/ei3Q=")</f>
        <v>#REF!</v>
      </c>
      <c r="DN53" t="e">
        <f>AND(Bills!#REF!,"AAAAAG/ei3U=")</f>
        <v>#REF!</v>
      </c>
      <c r="DO53" t="e">
        <f>AND(Bills!#REF!,"AAAAAG/ei3Y=")</f>
        <v>#REF!</v>
      </c>
      <c r="DP53" t="e">
        <f>AND(Bills!#REF!,"AAAAAG/ei3c=")</f>
        <v>#REF!</v>
      </c>
      <c r="DQ53" t="e">
        <f>AND(Bills!#REF!,"AAAAAG/ei3g=")</f>
        <v>#REF!</v>
      </c>
      <c r="DR53" t="e">
        <f>AND(Bills!#REF!,"AAAAAG/ei3k=")</f>
        <v>#REF!</v>
      </c>
      <c r="DS53" t="e">
        <f>AND(Bills!#REF!,"AAAAAG/ei3o=")</f>
        <v>#REF!</v>
      </c>
      <c r="DT53" t="e">
        <f>AND(Bills!#REF!,"AAAAAG/ei3s=")</f>
        <v>#REF!</v>
      </c>
      <c r="DU53" t="e">
        <f>AND(Bills!#REF!,"AAAAAG/ei3w=")</f>
        <v>#REF!</v>
      </c>
      <c r="DV53" t="e">
        <f>AND(Bills!#REF!,"AAAAAG/ei30=")</f>
        <v>#REF!</v>
      </c>
      <c r="DW53" t="e">
        <f>AND(Bills!#REF!,"AAAAAG/ei34=")</f>
        <v>#REF!</v>
      </c>
      <c r="DX53" t="e">
        <f>AND(Bills!#REF!,"AAAAAG/ei38=")</f>
        <v>#REF!</v>
      </c>
      <c r="DY53" t="e">
        <f>AND(Bills!#REF!,"AAAAAG/ei4A=")</f>
        <v>#REF!</v>
      </c>
      <c r="DZ53" t="e">
        <f>AND(Bills!#REF!,"AAAAAG/ei4E=")</f>
        <v>#REF!</v>
      </c>
      <c r="EA53" t="e">
        <f>AND(Bills!#REF!,"AAAAAG/ei4I=")</f>
        <v>#REF!</v>
      </c>
      <c r="EB53" t="e">
        <f>AND(Bills!#REF!,"AAAAAG/ei4M=")</f>
        <v>#REF!</v>
      </c>
      <c r="EC53" t="e">
        <f>AND(Bills!#REF!,"AAAAAG/ei4Q=")</f>
        <v>#REF!</v>
      </c>
      <c r="ED53" t="e">
        <f>AND(Bills!#REF!,"AAAAAG/ei4U=")</f>
        <v>#REF!</v>
      </c>
      <c r="EE53" t="e">
        <f>AND(Bills!#REF!,"AAAAAG/ei4Y=")</f>
        <v>#REF!</v>
      </c>
      <c r="EF53" t="e">
        <f>AND(Bills!#REF!,"AAAAAG/ei4c=")</f>
        <v>#REF!</v>
      </c>
      <c r="EG53" t="e">
        <f>AND(Bills!#REF!,"AAAAAG/ei4g=")</f>
        <v>#REF!</v>
      </c>
      <c r="EH53" t="e">
        <f>AND(Bills!#REF!,"AAAAAG/ei4k=")</f>
        <v>#REF!</v>
      </c>
      <c r="EI53" t="e">
        <f>AND(Bills!#REF!,"AAAAAG/ei4o=")</f>
        <v>#REF!</v>
      </c>
      <c r="EJ53" t="e">
        <f>AND(Bills!#REF!,"AAAAAG/ei4s=")</f>
        <v>#REF!</v>
      </c>
      <c r="EK53" t="e">
        <f>IF(Bills!#REF!,"AAAAAG/ei4w=",0)</f>
        <v>#REF!</v>
      </c>
      <c r="EL53" t="e">
        <f>AND(Bills!#REF!,"AAAAAG/ei40=")</f>
        <v>#REF!</v>
      </c>
      <c r="EM53" t="e">
        <f>AND(Bills!#REF!,"AAAAAG/ei44=")</f>
        <v>#REF!</v>
      </c>
      <c r="EN53" t="e">
        <f>AND(Bills!#REF!,"AAAAAG/ei48=")</f>
        <v>#REF!</v>
      </c>
      <c r="EO53" t="e">
        <f>AND(Bills!#REF!,"AAAAAG/ei5A=")</f>
        <v>#REF!</v>
      </c>
      <c r="EP53" t="e">
        <f>AND(Bills!#REF!,"AAAAAG/ei5E=")</f>
        <v>#REF!</v>
      </c>
      <c r="EQ53" t="e">
        <f>AND(Bills!#REF!,"AAAAAG/ei5I=")</f>
        <v>#REF!</v>
      </c>
      <c r="ER53" t="e">
        <f>AND(Bills!#REF!,"AAAAAG/ei5M=")</f>
        <v>#REF!</v>
      </c>
      <c r="ES53" t="e">
        <f>AND(Bills!#REF!,"AAAAAG/ei5Q=")</f>
        <v>#REF!</v>
      </c>
      <c r="ET53" t="e">
        <f>AND(Bills!#REF!,"AAAAAG/ei5U=")</f>
        <v>#REF!</v>
      </c>
      <c r="EU53" t="e">
        <f>AND(Bills!#REF!,"AAAAAG/ei5Y=")</f>
        <v>#REF!</v>
      </c>
      <c r="EV53" t="e">
        <f>AND(Bills!#REF!,"AAAAAG/ei5c=")</f>
        <v>#REF!</v>
      </c>
      <c r="EW53" t="e">
        <f>AND(Bills!#REF!,"AAAAAG/ei5g=")</f>
        <v>#REF!</v>
      </c>
      <c r="EX53" t="e">
        <f>AND(Bills!#REF!,"AAAAAG/ei5k=")</f>
        <v>#REF!</v>
      </c>
      <c r="EY53" t="e">
        <f>AND(Bills!#REF!,"AAAAAG/ei5o=")</f>
        <v>#REF!</v>
      </c>
      <c r="EZ53" t="e">
        <f>AND(Bills!#REF!,"AAAAAG/ei5s=")</f>
        <v>#REF!</v>
      </c>
      <c r="FA53" t="e">
        <f>AND(Bills!#REF!,"AAAAAG/ei5w=")</f>
        <v>#REF!</v>
      </c>
      <c r="FB53" t="e">
        <f>AND(Bills!#REF!,"AAAAAG/ei50=")</f>
        <v>#REF!</v>
      </c>
      <c r="FC53" t="e">
        <f>AND(Bills!#REF!,"AAAAAG/ei54=")</f>
        <v>#REF!</v>
      </c>
      <c r="FD53" t="e">
        <f>AND(Bills!#REF!,"AAAAAG/ei58=")</f>
        <v>#REF!</v>
      </c>
      <c r="FE53" t="e">
        <f>AND(Bills!#REF!,"AAAAAG/ei6A=")</f>
        <v>#REF!</v>
      </c>
      <c r="FF53" t="e">
        <f>AND(Bills!#REF!,"AAAAAG/ei6E=")</f>
        <v>#REF!</v>
      </c>
      <c r="FG53" t="e">
        <f>AND(Bills!#REF!,"AAAAAG/ei6I=")</f>
        <v>#REF!</v>
      </c>
      <c r="FH53" t="e">
        <f>AND(Bills!#REF!,"AAAAAG/ei6M=")</f>
        <v>#REF!</v>
      </c>
      <c r="FI53" t="e">
        <f>AND(Bills!#REF!,"AAAAAG/ei6Q=")</f>
        <v>#REF!</v>
      </c>
      <c r="FJ53" t="e">
        <f>AND(Bills!#REF!,"AAAAAG/ei6U=")</f>
        <v>#REF!</v>
      </c>
      <c r="FK53" t="e">
        <f>AND(Bills!#REF!,"AAAAAG/ei6Y=")</f>
        <v>#REF!</v>
      </c>
      <c r="FL53" t="e">
        <f>AND(Bills!#REF!,"AAAAAG/ei6c=")</f>
        <v>#REF!</v>
      </c>
      <c r="FM53" t="e">
        <f>AND(Bills!#REF!,"AAAAAG/ei6g=")</f>
        <v>#REF!</v>
      </c>
      <c r="FN53" t="e">
        <f>AND(Bills!#REF!,"AAAAAG/ei6k=")</f>
        <v>#REF!</v>
      </c>
      <c r="FO53" t="e">
        <f>AND(Bills!#REF!,"AAAAAG/ei6o=")</f>
        <v>#REF!</v>
      </c>
      <c r="FP53" t="e">
        <f>AND(Bills!#REF!,"AAAAAG/ei6s=")</f>
        <v>#REF!</v>
      </c>
      <c r="FQ53" t="e">
        <f>AND(Bills!#REF!,"AAAAAG/ei6w=")</f>
        <v>#REF!</v>
      </c>
      <c r="FR53" t="e">
        <f>AND(Bills!#REF!,"AAAAAG/ei60=")</f>
        <v>#REF!</v>
      </c>
      <c r="FS53" t="e">
        <f>AND(Bills!#REF!,"AAAAAG/ei64=")</f>
        <v>#REF!</v>
      </c>
      <c r="FT53" t="e">
        <f>AND(Bills!#REF!,"AAAAAG/ei68=")</f>
        <v>#REF!</v>
      </c>
      <c r="FU53" t="e">
        <f>AND(Bills!#REF!,"AAAAAG/ei7A=")</f>
        <v>#REF!</v>
      </c>
      <c r="FV53" t="e">
        <f>AND(Bills!#REF!,"AAAAAG/ei7E=")</f>
        <v>#REF!</v>
      </c>
      <c r="FW53" t="e">
        <f>AND(Bills!#REF!,"AAAAAG/ei7I=")</f>
        <v>#REF!</v>
      </c>
      <c r="FX53" t="e">
        <f>AND(Bills!#REF!,"AAAAAG/ei7M=")</f>
        <v>#REF!</v>
      </c>
      <c r="FY53" t="e">
        <f>AND(Bills!#REF!,"AAAAAG/ei7Q=")</f>
        <v>#REF!</v>
      </c>
      <c r="FZ53" t="e">
        <f>AND(Bills!#REF!,"AAAAAG/ei7U=")</f>
        <v>#REF!</v>
      </c>
      <c r="GA53" t="e">
        <f>AND(Bills!#REF!,"AAAAAG/ei7Y=")</f>
        <v>#REF!</v>
      </c>
      <c r="GB53" t="e">
        <f>AND(Bills!#REF!,"AAAAAG/ei7c=")</f>
        <v>#REF!</v>
      </c>
      <c r="GC53" t="e">
        <f>AND(Bills!#REF!,"AAAAAG/ei7g=")</f>
        <v>#REF!</v>
      </c>
      <c r="GD53" t="e">
        <f>AND(Bills!#REF!,"AAAAAG/ei7k=")</f>
        <v>#REF!</v>
      </c>
      <c r="GE53" t="e">
        <f>AND(Bills!#REF!,"AAAAAG/ei7o=")</f>
        <v>#REF!</v>
      </c>
      <c r="GF53" t="e">
        <f>AND(Bills!#REF!,"AAAAAG/ei7s=")</f>
        <v>#REF!</v>
      </c>
      <c r="GG53" t="e">
        <f>AND(Bills!#REF!,"AAAAAG/ei7w=")</f>
        <v>#REF!</v>
      </c>
      <c r="GH53" t="e">
        <f>AND(Bills!#REF!,"AAAAAG/ei70=")</f>
        <v>#REF!</v>
      </c>
      <c r="GI53" t="e">
        <f>AND(Bills!#REF!,"AAAAAG/ei74=")</f>
        <v>#REF!</v>
      </c>
      <c r="GJ53" t="e">
        <f>IF(Bills!#REF!,"AAAAAG/ei78=",0)</f>
        <v>#REF!</v>
      </c>
      <c r="GK53" t="e">
        <f>AND(Bills!#REF!,"AAAAAG/ei8A=")</f>
        <v>#REF!</v>
      </c>
      <c r="GL53" t="e">
        <f>AND(Bills!#REF!,"AAAAAG/ei8E=")</f>
        <v>#REF!</v>
      </c>
      <c r="GM53" t="e">
        <f>AND(Bills!#REF!,"AAAAAG/ei8I=")</f>
        <v>#REF!</v>
      </c>
      <c r="GN53" t="e">
        <f>AND(Bills!#REF!,"AAAAAG/ei8M=")</f>
        <v>#REF!</v>
      </c>
      <c r="GO53" t="e">
        <f>AND(Bills!#REF!,"AAAAAG/ei8Q=")</f>
        <v>#REF!</v>
      </c>
      <c r="GP53" t="e">
        <f>AND(Bills!#REF!,"AAAAAG/ei8U=")</f>
        <v>#REF!</v>
      </c>
      <c r="GQ53" t="e">
        <f>AND(Bills!#REF!,"AAAAAG/ei8Y=")</f>
        <v>#REF!</v>
      </c>
      <c r="GR53" t="e">
        <f>AND(Bills!#REF!,"AAAAAG/ei8c=")</f>
        <v>#REF!</v>
      </c>
      <c r="GS53" t="e">
        <f>AND(Bills!#REF!,"AAAAAG/ei8g=")</f>
        <v>#REF!</v>
      </c>
      <c r="GT53" t="e">
        <f>AND(Bills!#REF!,"AAAAAG/ei8k=")</f>
        <v>#REF!</v>
      </c>
      <c r="GU53" t="e">
        <f>AND(Bills!#REF!,"AAAAAG/ei8o=")</f>
        <v>#REF!</v>
      </c>
      <c r="GV53" t="e">
        <f>AND(Bills!#REF!,"AAAAAG/ei8s=")</f>
        <v>#REF!</v>
      </c>
      <c r="GW53" t="e">
        <f>AND(Bills!#REF!,"AAAAAG/ei8w=")</f>
        <v>#REF!</v>
      </c>
      <c r="GX53" t="e">
        <f>AND(Bills!#REF!,"AAAAAG/ei80=")</f>
        <v>#REF!</v>
      </c>
      <c r="GY53" t="e">
        <f>AND(Bills!#REF!,"AAAAAG/ei84=")</f>
        <v>#REF!</v>
      </c>
      <c r="GZ53" t="e">
        <f>AND(Bills!#REF!,"AAAAAG/ei88=")</f>
        <v>#REF!</v>
      </c>
      <c r="HA53" t="e">
        <f>AND(Bills!#REF!,"AAAAAG/ei9A=")</f>
        <v>#REF!</v>
      </c>
      <c r="HB53" t="e">
        <f>AND(Bills!#REF!,"AAAAAG/ei9E=")</f>
        <v>#REF!</v>
      </c>
      <c r="HC53" t="e">
        <f>AND(Bills!#REF!,"AAAAAG/ei9I=")</f>
        <v>#REF!</v>
      </c>
      <c r="HD53" t="e">
        <f>AND(Bills!#REF!,"AAAAAG/ei9M=")</f>
        <v>#REF!</v>
      </c>
      <c r="HE53" t="e">
        <f>AND(Bills!#REF!,"AAAAAG/ei9Q=")</f>
        <v>#REF!</v>
      </c>
      <c r="HF53" t="e">
        <f>AND(Bills!#REF!,"AAAAAG/ei9U=")</f>
        <v>#REF!</v>
      </c>
      <c r="HG53" t="e">
        <f>AND(Bills!#REF!,"AAAAAG/ei9Y=")</f>
        <v>#REF!</v>
      </c>
      <c r="HH53" t="e">
        <f>AND(Bills!#REF!,"AAAAAG/ei9c=")</f>
        <v>#REF!</v>
      </c>
      <c r="HI53" t="e">
        <f>AND(Bills!#REF!,"AAAAAG/ei9g=")</f>
        <v>#REF!</v>
      </c>
      <c r="HJ53" t="e">
        <f>AND(Bills!#REF!,"AAAAAG/ei9k=")</f>
        <v>#REF!</v>
      </c>
      <c r="HK53" t="e">
        <f>AND(Bills!#REF!,"AAAAAG/ei9o=")</f>
        <v>#REF!</v>
      </c>
      <c r="HL53" t="e">
        <f>AND(Bills!#REF!,"AAAAAG/ei9s=")</f>
        <v>#REF!</v>
      </c>
      <c r="HM53" t="e">
        <f>AND(Bills!#REF!,"AAAAAG/ei9w=")</f>
        <v>#REF!</v>
      </c>
      <c r="HN53" t="e">
        <f>AND(Bills!#REF!,"AAAAAG/ei90=")</f>
        <v>#REF!</v>
      </c>
      <c r="HO53" t="e">
        <f>AND(Bills!#REF!,"AAAAAG/ei94=")</f>
        <v>#REF!</v>
      </c>
      <c r="HP53" t="e">
        <f>AND(Bills!#REF!,"AAAAAG/ei98=")</f>
        <v>#REF!</v>
      </c>
      <c r="HQ53" t="e">
        <f>AND(Bills!#REF!,"AAAAAG/ei+A=")</f>
        <v>#REF!</v>
      </c>
      <c r="HR53" t="e">
        <f>AND(Bills!#REF!,"AAAAAG/ei+E=")</f>
        <v>#REF!</v>
      </c>
      <c r="HS53" t="e">
        <f>AND(Bills!#REF!,"AAAAAG/ei+I=")</f>
        <v>#REF!</v>
      </c>
      <c r="HT53" t="e">
        <f>AND(Bills!#REF!,"AAAAAG/ei+M=")</f>
        <v>#REF!</v>
      </c>
      <c r="HU53" t="e">
        <f>AND(Bills!#REF!,"AAAAAG/ei+Q=")</f>
        <v>#REF!</v>
      </c>
      <c r="HV53" t="e">
        <f>AND(Bills!#REF!,"AAAAAG/ei+U=")</f>
        <v>#REF!</v>
      </c>
      <c r="HW53" t="e">
        <f>AND(Bills!#REF!,"AAAAAG/ei+Y=")</f>
        <v>#REF!</v>
      </c>
      <c r="HX53" t="e">
        <f>AND(Bills!#REF!,"AAAAAG/ei+c=")</f>
        <v>#REF!</v>
      </c>
      <c r="HY53" t="e">
        <f>AND(Bills!#REF!,"AAAAAG/ei+g=")</f>
        <v>#REF!</v>
      </c>
      <c r="HZ53" t="e">
        <f>AND(Bills!#REF!,"AAAAAG/ei+k=")</f>
        <v>#REF!</v>
      </c>
      <c r="IA53" t="e">
        <f>AND(Bills!#REF!,"AAAAAG/ei+o=")</f>
        <v>#REF!</v>
      </c>
      <c r="IB53" t="e">
        <f>AND(Bills!#REF!,"AAAAAG/ei+s=")</f>
        <v>#REF!</v>
      </c>
      <c r="IC53" t="e">
        <f>AND(Bills!#REF!,"AAAAAG/ei+w=")</f>
        <v>#REF!</v>
      </c>
      <c r="ID53" t="e">
        <f>AND(Bills!#REF!,"AAAAAG/ei+0=")</f>
        <v>#REF!</v>
      </c>
      <c r="IE53" t="e">
        <f>AND(Bills!#REF!,"AAAAAG/ei+4=")</f>
        <v>#REF!</v>
      </c>
      <c r="IF53" t="e">
        <f>AND(Bills!#REF!,"AAAAAG/ei+8=")</f>
        <v>#REF!</v>
      </c>
      <c r="IG53" t="e">
        <f>AND(Bills!#REF!,"AAAAAG/ei/A=")</f>
        <v>#REF!</v>
      </c>
      <c r="IH53" t="e">
        <f>AND(Bills!#REF!,"AAAAAG/ei/E=")</f>
        <v>#REF!</v>
      </c>
      <c r="II53" t="e">
        <f>IF(Bills!#REF!,"AAAAAG/ei/I=",0)</f>
        <v>#REF!</v>
      </c>
      <c r="IJ53" t="e">
        <f>AND(Bills!#REF!,"AAAAAG/ei/M=")</f>
        <v>#REF!</v>
      </c>
      <c r="IK53" t="e">
        <f>AND(Bills!#REF!,"AAAAAG/ei/Q=")</f>
        <v>#REF!</v>
      </c>
      <c r="IL53" t="e">
        <f>AND(Bills!#REF!,"AAAAAG/ei/U=")</f>
        <v>#REF!</v>
      </c>
      <c r="IM53" t="e">
        <f>AND(Bills!#REF!,"AAAAAG/ei/Y=")</f>
        <v>#REF!</v>
      </c>
      <c r="IN53" t="e">
        <f>AND(Bills!#REF!,"AAAAAG/ei/c=")</f>
        <v>#REF!</v>
      </c>
      <c r="IO53" t="e">
        <f>AND(Bills!#REF!,"AAAAAG/ei/g=")</f>
        <v>#REF!</v>
      </c>
      <c r="IP53" t="e">
        <f>AND(Bills!#REF!,"AAAAAG/ei/k=")</f>
        <v>#REF!</v>
      </c>
      <c r="IQ53" t="e">
        <f>AND(Bills!#REF!,"AAAAAG/ei/o=")</f>
        <v>#REF!</v>
      </c>
      <c r="IR53" t="e">
        <f>AND(Bills!#REF!,"AAAAAG/ei/s=")</f>
        <v>#REF!</v>
      </c>
      <c r="IS53" t="e">
        <f>AND(Bills!#REF!,"AAAAAG/ei/w=")</f>
        <v>#REF!</v>
      </c>
      <c r="IT53" t="e">
        <f>AND(Bills!#REF!,"AAAAAG/ei/0=")</f>
        <v>#REF!</v>
      </c>
      <c r="IU53" t="e">
        <f>AND(Bills!#REF!,"AAAAAG/ei/4=")</f>
        <v>#REF!</v>
      </c>
      <c r="IV53" t="e">
        <f>AND(Bills!#REF!,"AAAAAG/ei/8=")</f>
        <v>#REF!</v>
      </c>
    </row>
    <row r="54" spans="1:256">
      <c r="A54" t="e">
        <f>AND(Bills!#REF!,"AAAAAH8v2gA=")</f>
        <v>#REF!</v>
      </c>
      <c r="B54" t="e">
        <f>AND(Bills!#REF!,"AAAAAH8v2gE=")</f>
        <v>#REF!</v>
      </c>
      <c r="C54" t="e">
        <f>AND(Bills!#REF!,"AAAAAH8v2gI=")</f>
        <v>#REF!</v>
      </c>
      <c r="D54" t="e">
        <f>AND(Bills!#REF!,"AAAAAH8v2gM=")</f>
        <v>#REF!</v>
      </c>
      <c r="E54" t="e">
        <f>AND(Bills!#REF!,"AAAAAH8v2gQ=")</f>
        <v>#REF!</v>
      </c>
      <c r="F54" t="e">
        <f>AND(Bills!#REF!,"AAAAAH8v2gU=")</f>
        <v>#REF!</v>
      </c>
      <c r="G54" t="e">
        <f>AND(Bills!#REF!,"AAAAAH8v2gY=")</f>
        <v>#REF!</v>
      </c>
      <c r="H54" t="e">
        <f>AND(Bills!#REF!,"AAAAAH8v2gc=")</f>
        <v>#REF!</v>
      </c>
      <c r="I54" t="e">
        <f>AND(Bills!#REF!,"AAAAAH8v2gg=")</f>
        <v>#REF!</v>
      </c>
      <c r="J54" t="e">
        <f>AND(Bills!#REF!,"AAAAAH8v2gk=")</f>
        <v>#REF!</v>
      </c>
      <c r="K54" t="e">
        <f>AND(Bills!#REF!,"AAAAAH8v2go=")</f>
        <v>#REF!</v>
      </c>
      <c r="L54" t="e">
        <f>AND(Bills!#REF!,"AAAAAH8v2gs=")</f>
        <v>#REF!</v>
      </c>
      <c r="M54" t="e">
        <f>AND(Bills!#REF!,"AAAAAH8v2gw=")</f>
        <v>#REF!</v>
      </c>
      <c r="N54" t="e">
        <f>AND(Bills!#REF!,"AAAAAH8v2g0=")</f>
        <v>#REF!</v>
      </c>
      <c r="O54" t="e">
        <f>AND(Bills!#REF!,"AAAAAH8v2g4=")</f>
        <v>#REF!</v>
      </c>
      <c r="P54" t="e">
        <f>AND(Bills!#REF!,"AAAAAH8v2g8=")</f>
        <v>#REF!</v>
      </c>
      <c r="Q54" t="e">
        <f>AND(Bills!#REF!,"AAAAAH8v2hA=")</f>
        <v>#REF!</v>
      </c>
      <c r="R54" t="e">
        <f>AND(Bills!#REF!,"AAAAAH8v2hE=")</f>
        <v>#REF!</v>
      </c>
      <c r="S54" t="e">
        <f>AND(Bills!#REF!,"AAAAAH8v2hI=")</f>
        <v>#REF!</v>
      </c>
      <c r="T54" t="e">
        <f>AND(Bills!#REF!,"AAAAAH8v2hM=")</f>
        <v>#REF!</v>
      </c>
      <c r="U54" t="e">
        <f>AND(Bills!#REF!,"AAAAAH8v2hQ=")</f>
        <v>#REF!</v>
      </c>
      <c r="V54" t="e">
        <f>AND(Bills!#REF!,"AAAAAH8v2hU=")</f>
        <v>#REF!</v>
      </c>
      <c r="W54" t="e">
        <f>AND(Bills!#REF!,"AAAAAH8v2hY=")</f>
        <v>#REF!</v>
      </c>
      <c r="X54" t="e">
        <f>AND(Bills!#REF!,"AAAAAH8v2hc=")</f>
        <v>#REF!</v>
      </c>
      <c r="Y54" t="e">
        <f>AND(Bills!#REF!,"AAAAAH8v2hg=")</f>
        <v>#REF!</v>
      </c>
      <c r="Z54" t="e">
        <f>AND(Bills!#REF!,"AAAAAH8v2hk=")</f>
        <v>#REF!</v>
      </c>
      <c r="AA54" t="e">
        <f>AND(Bills!#REF!,"AAAAAH8v2ho=")</f>
        <v>#REF!</v>
      </c>
      <c r="AB54" t="e">
        <f>AND(Bills!#REF!,"AAAAAH8v2hs=")</f>
        <v>#REF!</v>
      </c>
      <c r="AC54" t="e">
        <f>AND(Bills!#REF!,"AAAAAH8v2hw=")</f>
        <v>#REF!</v>
      </c>
      <c r="AD54" t="e">
        <f>AND(Bills!#REF!,"AAAAAH8v2h0=")</f>
        <v>#REF!</v>
      </c>
      <c r="AE54" t="e">
        <f>AND(Bills!#REF!,"AAAAAH8v2h4=")</f>
        <v>#REF!</v>
      </c>
      <c r="AF54" t="e">
        <f>AND(Bills!#REF!,"AAAAAH8v2h8=")</f>
        <v>#REF!</v>
      </c>
      <c r="AG54" t="e">
        <f>AND(Bills!#REF!,"AAAAAH8v2iA=")</f>
        <v>#REF!</v>
      </c>
      <c r="AH54" t="e">
        <f>AND(Bills!#REF!,"AAAAAH8v2iE=")</f>
        <v>#REF!</v>
      </c>
      <c r="AI54" t="e">
        <f>AND(Bills!#REF!,"AAAAAH8v2iI=")</f>
        <v>#REF!</v>
      </c>
      <c r="AJ54" t="e">
        <f>AND(Bills!#REF!,"AAAAAH8v2iM=")</f>
        <v>#REF!</v>
      </c>
      <c r="AK54" t="e">
        <f>AND(Bills!#REF!,"AAAAAH8v2iQ=")</f>
        <v>#REF!</v>
      </c>
      <c r="AL54" t="e">
        <f>IF(Bills!#REF!,"AAAAAH8v2iU=",0)</f>
        <v>#REF!</v>
      </c>
      <c r="AM54" t="e">
        <f>AND(Bills!#REF!,"AAAAAH8v2iY=")</f>
        <v>#REF!</v>
      </c>
      <c r="AN54" t="e">
        <f>AND(Bills!#REF!,"AAAAAH8v2ic=")</f>
        <v>#REF!</v>
      </c>
      <c r="AO54" t="e">
        <f>AND(Bills!#REF!,"AAAAAH8v2ig=")</f>
        <v>#REF!</v>
      </c>
      <c r="AP54" t="e">
        <f>AND(Bills!#REF!,"AAAAAH8v2ik=")</f>
        <v>#REF!</v>
      </c>
      <c r="AQ54" t="e">
        <f>AND(Bills!#REF!,"AAAAAH8v2io=")</f>
        <v>#REF!</v>
      </c>
      <c r="AR54" t="e">
        <f>AND(Bills!#REF!,"AAAAAH8v2is=")</f>
        <v>#REF!</v>
      </c>
      <c r="AS54" t="e">
        <f>AND(Bills!#REF!,"AAAAAH8v2iw=")</f>
        <v>#REF!</v>
      </c>
      <c r="AT54" t="e">
        <f>AND(Bills!#REF!,"AAAAAH8v2i0=")</f>
        <v>#REF!</v>
      </c>
      <c r="AU54" t="e">
        <f>AND(Bills!#REF!,"AAAAAH8v2i4=")</f>
        <v>#REF!</v>
      </c>
      <c r="AV54" t="e">
        <f>AND(Bills!#REF!,"AAAAAH8v2i8=")</f>
        <v>#REF!</v>
      </c>
      <c r="AW54" t="e">
        <f>AND(Bills!#REF!,"AAAAAH8v2jA=")</f>
        <v>#REF!</v>
      </c>
      <c r="AX54" t="e">
        <f>AND(Bills!#REF!,"AAAAAH8v2jE=")</f>
        <v>#REF!</v>
      </c>
      <c r="AY54" t="e">
        <f>AND(Bills!#REF!,"AAAAAH8v2jI=")</f>
        <v>#REF!</v>
      </c>
      <c r="AZ54" t="e">
        <f>AND(Bills!#REF!,"AAAAAH8v2jM=")</f>
        <v>#REF!</v>
      </c>
      <c r="BA54" t="e">
        <f>AND(Bills!#REF!,"AAAAAH8v2jQ=")</f>
        <v>#REF!</v>
      </c>
      <c r="BB54" t="e">
        <f>AND(Bills!#REF!,"AAAAAH8v2jU=")</f>
        <v>#REF!</v>
      </c>
      <c r="BC54" t="e">
        <f>AND(Bills!#REF!,"AAAAAH8v2jY=")</f>
        <v>#REF!</v>
      </c>
      <c r="BD54" t="e">
        <f>AND(Bills!#REF!,"AAAAAH8v2jc=")</f>
        <v>#REF!</v>
      </c>
      <c r="BE54" t="e">
        <f>AND(Bills!#REF!,"AAAAAH8v2jg=")</f>
        <v>#REF!</v>
      </c>
      <c r="BF54" t="e">
        <f>AND(Bills!#REF!,"AAAAAH8v2jk=")</f>
        <v>#REF!</v>
      </c>
      <c r="BG54" t="e">
        <f>AND(Bills!#REF!,"AAAAAH8v2jo=")</f>
        <v>#REF!</v>
      </c>
      <c r="BH54" t="e">
        <f>AND(Bills!#REF!,"AAAAAH8v2js=")</f>
        <v>#REF!</v>
      </c>
      <c r="BI54" t="e">
        <f>AND(Bills!#REF!,"AAAAAH8v2jw=")</f>
        <v>#REF!</v>
      </c>
      <c r="BJ54" t="e">
        <f>AND(Bills!#REF!,"AAAAAH8v2j0=")</f>
        <v>#REF!</v>
      </c>
      <c r="BK54" t="e">
        <f>AND(Bills!#REF!,"AAAAAH8v2j4=")</f>
        <v>#REF!</v>
      </c>
      <c r="BL54" t="e">
        <f>AND(Bills!#REF!,"AAAAAH8v2j8=")</f>
        <v>#REF!</v>
      </c>
      <c r="BM54" t="e">
        <f>AND(Bills!#REF!,"AAAAAH8v2kA=")</f>
        <v>#REF!</v>
      </c>
      <c r="BN54" t="e">
        <f>AND(Bills!#REF!,"AAAAAH8v2kE=")</f>
        <v>#REF!</v>
      </c>
      <c r="BO54" t="e">
        <f>AND(Bills!#REF!,"AAAAAH8v2kI=")</f>
        <v>#REF!</v>
      </c>
      <c r="BP54" t="e">
        <f>AND(Bills!#REF!,"AAAAAH8v2kM=")</f>
        <v>#REF!</v>
      </c>
      <c r="BQ54" t="e">
        <f>AND(Bills!#REF!,"AAAAAH8v2kQ=")</f>
        <v>#REF!</v>
      </c>
      <c r="BR54" t="e">
        <f>AND(Bills!#REF!,"AAAAAH8v2kU=")</f>
        <v>#REF!</v>
      </c>
      <c r="BS54" t="e">
        <f>AND(Bills!#REF!,"AAAAAH8v2kY=")</f>
        <v>#REF!</v>
      </c>
      <c r="BT54" t="e">
        <f>AND(Bills!#REF!,"AAAAAH8v2kc=")</f>
        <v>#REF!</v>
      </c>
      <c r="BU54" t="e">
        <f>AND(Bills!#REF!,"AAAAAH8v2kg=")</f>
        <v>#REF!</v>
      </c>
      <c r="BV54" t="e">
        <f>AND(Bills!#REF!,"AAAAAH8v2kk=")</f>
        <v>#REF!</v>
      </c>
      <c r="BW54" t="e">
        <f>AND(Bills!#REF!,"AAAAAH8v2ko=")</f>
        <v>#REF!</v>
      </c>
      <c r="BX54" t="e">
        <f>AND(Bills!#REF!,"AAAAAH8v2ks=")</f>
        <v>#REF!</v>
      </c>
      <c r="BY54" t="e">
        <f>AND(Bills!#REF!,"AAAAAH8v2kw=")</f>
        <v>#REF!</v>
      </c>
      <c r="BZ54" t="e">
        <f>AND(Bills!#REF!,"AAAAAH8v2k0=")</f>
        <v>#REF!</v>
      </c>
      <c r="CA54" t="e">
        <f>AND(Bills!#REF!,"AAAAAH8v2k4=")</f>
        <v>#REF!</v>
      </c>
      <c r="CB54" t="e">
        <f>AND(Bills!#REF!,"AAAAAH8v2k8=")</f>
        <v>#REF!</v>
      </c>
      <c r="CC54" t="e">
        <f>AND(Bills!#REF!,"AAAAAH8v2lA=")</f>
        <v>#REF!</v>
      </c>
      <c r="CD54" t="e">
        <f>AND(Bills!#REF!,"AAAAAH8v2lE=")</f>
        <v>#REF!</v>
      </c>
      <c r="CE54" t="e">
        <f>AND(Bills!#REF!,"AAAAAH8v2lI=")</f>
        <v>#REF!</v>
      </c>
      <c r="CF54" t="e">
        <f>AND(Bills!#REF!,"AAAAAH8v2lM=")</f>
        <v>#REF!</v>
      </c>
      <c r="CG54" t="e">
        <f>AND(Bills!#REF!,"AAAAAH8v2lQ=")</f>
        <v>#REF!</v>
      </c>
      <c r="CH54" t="e">
        <f>AND(Bills!#REF!,"AAAAAH8v2lU=")</f>
        <v>#REF!</v>
      </c>
      <c r="CI54" t="e">
        <f>AND(Bills!#REF!,"AAAAAH8v2lY=")</f>
        <v>#REF!</v>
      </c>
      <c r="CJ54" t="e">
        <f>AND(Bills!#REF!,"AAAAAH8v2lc=")</f>
        <v>#REF!</v>
      </c>
      <c r="CK54" t="e">
        <f>IF(Bills!#REF!,"AAAAAH8v2lg=",0)</f>
        <v>#REF!</v>
      </c>
      <c r="CL54" t="e">
        <f>AND(Bills!#REF!,"AAAAAH8v2lk=")</f>
        <v>#REF!</v>
      </c>
      <c r="CM54" t="e">
        <f>AND(Bills!#REF!,"AAAAAH8v2lo=")</f>
        <v>#REF!</v>
      </c>
      <c r="CN54" t="e">
        <f>AND(Bills!#REF!,"AAAAAH8v2ls=")</f>
        <v>#REF!</v>
      </c>
      <c r="CO54" t="e">
        <f>AND(Bills!#REF!,"AAAAAH8v2lw=")</f>
        <v>#REF!</v>
      </c>
      <c r="CP54" t="e">
        <f>AND(Bills!#REF!,"AAAAAH8v2l0=")</f>
        <v>#REF!</v>
      </c>
      <c r="CQ54" t="e">
        <f>AND(Bills!#REF!,"AAAAAH8v2l4=")</f>
        <v>#REF!</v>
      </c>
      <c r="CR54" t="e">
        <f>AND(Bills!#REF!,"AAAAAH8v2l8=")</f>
        <v>#REF!</v>
      </c>
      <c r="CS54" t="e">
        <f>AND(Bills!#REF!,"AAAAAH8v2mA=")</f>
        <v>#REF!</v>
      </c>
      <c r="CT54" t="e">
        <f>AND(Bills!#REF!,"AAAAAH8v2mE=")</f>
        <v>#REF!</v>
      </c>
      <c r="CU54" t="e">
        <f>AND(Bills!#REF!,"AAAAAH8v2mI=")</f>
        <v>#REF!</v>
      </c>
      <c r="CV54" t="e">
        <f>AND(Bills!#REF!,"AAAAAH8v2mM=")</f>
        <v>#REF!</v>
      </c>
      <c r="CW54" t="e">
        <f>AND(Bills!#REF!,"AAAAAH8v2mQ=")</f>
        <v>#REF!</v>
      </c>
      <c r="CX54" t="e">
        <f>AND(Bills!#REF!,"AAAAAH8v2mU=")</f>
        <v>#REF!</v>
      </c>
      <c r="CY54" t="e">
        <f>AND(Bills!#REF!,"AAAAAH8v2mY=")</f>
        <v>#REF!</v>
      </c>
      <c r="CZ54" t="e">
        <f>AND(Bills!#REF!,"AAAAAH8v2mc=")</f>
        <v>#REF!</v>
      </c>
      <c r="DA54" t="e">
        <f>AND(Bills!#REF!,"AAAAAH8v2mg=")</f>
        <v>#REF!</v>
      </c>
      <c r="DB54" t="e">
        <f>AND(Bills!#REF!,"AAAAAH8v2mk=")</f>
        <v>#REF!</v>
      </c>
      <c r="DC54" t="e">
        <f>AND(Bills!#REF!,"AAAAAH8v2mo=")</f>
        <v>#REF!</v>
      </c>
      <c r="DD54" t="e">
        <f>AND(Bills!#REF!,"AAAAAH8v2ms=")</f>
        <v>#REF!</v>
      </c>
      <c r="DE54" t="e">
        <f>AND(Bills!#REF!,"AAAAAH8v2mw=")</f>
        <v>#REF!</v>
      </c>
      <c r="DF54" t="e">
        <f>AND(Bills!#REF!,"AAAAAH8v2m0=")</f>
        <v>#REF!</v>
      </c>
      <c r="DG54" t="e">
        <f>AND(Bills!#REF!,"AAAAAH8v2m4=")</f>
        <v>#REF!</v>
      </c>
      <c r="DH54" t="e">
        <f>AND(Bills!#REF!,"AAAAAH8v2m8=")</f>
        <v>#REF!</v>
      </c>
      <c r="DI54" t="e">
        <f>AND(Bills!#REF!,"AAAAAH8v2nA=")</f>
        <v>#REF!</v>
      </c>
      <c r="DJ54" t="e">
        <f>AND(Bills!#REF!,"AAAAAH8v2nE=")</f>
        <v>#REF!</v>
      </c>
      <c r="DK54" t="e">
        <f>AND(Bills!#REF!,"AAAAAH8v2nI=")</f>
        <v>#REF!</v>
      </c>
      <c r="DL54" t="e">
        <f>AND(Bills!#REF!,"AAAAAH8v2nM=")</f>
        <v>#REF!</v>
      </c>
      <c r="DM54" t="e">
        <f>AND(Bills!#REF!,"AAAAAH8v2nQ=")</f>
        <v>#REF!</v>
      </c>
      <c r="DN54" t="e">
        <f>AND(Bills!#REF!,"AAAAAH8v2nU=")</f>
        <v>#REF!</v>
      </c>
      <c r="DO54" t="e">
        <f>AND(Bills!#REF!,"AAAAAH8v2nY=")</f>
        <v>#REF!</v>
      </c>
      <c r="DP54" t="e">
        <f>AND(Bills!#REF!,"AAAAAH8v2nc=")</f>
        <v>#REF!</v>
      </c>
      <c r="DQ54" t="e">
        <f>AND(Bills!#REF!,"AAAAAH8v2ng=")</f>
        <v>#REF!</v>
      </c>
      <c r="DR54" t="e">
        <f>AND(Bills!#REF!,"AAAAAH8v2nk=")</f>
        <v>#REF!</v>
      </c>
      <c r="DS54" t="e">
        <f>AND(Bills!#REF!,"AAAAAH8v2no=")</f>
        <v>#REF!</v>
      </c>
      <c r="DT54" t="e">
        <f>AND(Bills!#REF!,"AAAAAH8v2ns=")</f>
        <v>#REF!</v>
      </c>
      <c r="DU54" t="e">
        <f>AND(Bills!#REF!,"AAAAAH8v2nw=")</f>
        <v>#REF!</v>
      </c>
      <c r="DV54" t="e">
        <f>AND(Bills!#REF!,"AAAAAH8v2n0=")</f>
        <v>#REF!</v>
      </c>
      <c r="DW54" t="e">
        <f>AND(Bills!#REF!,"AAAAAH8v2n4=")</f>
        <v>#REF!</v>
      </c>
      <c r="DX54" t="e">
        <f>AND(Bills!#REF!,"AAAAAH8v2n8=")</f>
        <v>#REF!</v>
      </c>
      <c r="DY54" t="e">
        <f>AND(Bills!#REF!,"AAAAAH8v2oA=")</f>
        <v>#REF!</v>
      </c>
      <c r="DZ54" t="e">
        <f>AND(Bills!#REF!,"AAAAAH8v2oE=")</f>
        <v>#REF!</v>
      </c>
      <c r="EA54" t="e">
        <f>AND(Bills!#REF!,"AAAAAH8v2oI=")</f>
        <v>#REF!</v>
      </c>
      <c r="EB54" t="e">
        <f>AND(Bills!#REF!,"AAAAAH8v2oM=")</f>
        <v>#REF!</v>
      </c>
      <c r="EC54" t="e">
        <f>AND(Bills!#REF!,"AAAAAH8v2oQ=")</f>
        <v>#REF!</v>
      </c>
      <c r="ED54" t="e">
        <f>AND(Bills!#REF!,"AAAAAH8v2oU=")</f>
        <v>#REF!</v>
      </c>
      <c r="EE54" t="e">
        <f>AND(Bills!#REF!,"AAAAAH8v2oY=")</f>
        <v>#REF!</v>
      </c>
      <c r="EF54" t="e">
        <f>AND(Bills!#REF!,"AAAAAH8v2oc=")</f>
        <v>#REF!</v>
      </c>
      <c r="EG54" t="e">
        <f>AND(Bills!#REF!,"AAAAAH8v2og=")</f>
        <v>#REF!</v>
      </c>
      <c r="EH54" t="e">
        <f>AND(Bills!#REF!,"AAAAAH8v2ok=")</f>
        <v>#REF!</v>
      </c>
      <c r="EI54" t="e">
        <f>AND(Bills!#REF!,"AAAAAH8v2oo=")</f>
        <v>#REF!</v>
      </c>
      <c r="EJ54" t="e">
        <f>IF(Bills!#REF!,"AAAAAH8v2os=",0)</f>
        <v>#REF!</v>
      </c>
      <c r="EK54" t="e">
        <f>AND(Bills!#REF!,"AAAAAH8v2ow=")</f>
        <v>#REF!</v>
      </c>
      <c r="EL54" t="e">
        <f>AND(Bills!#REF!,"AAAAAH8v2o0=")</f>
        <v>#REF!</v>
      </c>
      <c r="EM54" t="e">
        <f>AND(Bills!#REF!,"AAAAAH8v2o4=")</f>
        <v>#REF!</v>
      </c>
      <c r="EN54" t="e">
        <f>AND(Bills!#REF!,"AAAAAH8v2o8=")</f>
        <v>#REF!</v>
      </c>
      <c r="EO54" t="e">
        <f>AND(Bills!#REF!,"AAAAAH8v2pA=")</f>
        <v>#REF!</v>
      </c>
      <c r="EP54" t="e">
        <f>AND(Bills!#REF!,"AAAAAH8v2pE=")</f>
        <v>#REF!</v>
      </c>
      <c r="EQ54" t="e">
        <f>AND(Bills!#REF!,"AAAAAH8v2pI=")</f>
        <v>#REF!</v>
      </c>
      <c r="ER54" t="e">
        <f>AND(Bills!#REF!,"AAAAAH8v2pM=")</f>
        <v>#REF!</v>
      </c>
      <c r="ES54" t="e">
        <f>AND(Bills!#REF!,"AAAAAH8v2pQ=")</f>
        <v>#REF!</v>
      </c>
      <c r="ET54" t="e">
        <f>AND(Bills!#REF!,"AAAAAH8v2pU=")</f>
        <v>#REF!</v>
      </c>
      <c r="EU54" t="e">
        <f>AND(Bills!#REF!,"AAAAAH8v2pY=")</f>
        <v>#REF!</v>
      </c>
      <c r="EV54" t="e">
        <f>AND(Bills!#REF!,"AAAAAH8v2pc=")</f>
        <v>#REF!</v>
      </c>
      <c r="EW54" t="e">
        <f>AND(Bills!#REF!,"AAAAAH8v2pg=")</f>
        <v>#REF!</v>
      </c>
      <c r="EX54" t="e">
        <f>AND(Bills!#REF!,"AAAAAH8v2pk=")</f>
        <v>#REF!</v>
      </c>
      <c r="EY54" t="e">
        <f>AND(Bills!#REF!,"AAAAAH8v2po=")</f>
        <v>#REF!</v>
      </c>
      <c r="EZ54" t="e">
        <f>AND(Bills!#REF!,"AAAAAH8v2ps=")</f>
        <v>#REF!</v>
      </c>
      <c r="FA54" t="e">
        <f>AND(Bills!#REF!,"AAAAAH8v2pw=")</f>
        <v>#REF!</v>
      </c>
      <c r="FB54" t="e">
        <f>AND(Bills!#REF!,"AAAAAH8v2p0=")</f>
        <v>#REF!</v>
      </c>
      <c r="FC54" t="e">
        <f>AND(Bills!#REF!,"AAAAAH8v2p4=")</f>
        <v>#REF!</v>
      </c>
      <c r="FD54" t="e">
        <f>AND(Bills!#REF!,"AAAAAH8v2p8=")</f>
        <v>#REF!</v>
      </c>
      <c r="FE54" t="e">
        <f>AND(Bills!#REF!,"AAAAAH8v2qA=")</f>
        <v>#REF!</v>
      </c>
      <c r="FF54" t="e">
        <f>AND(Bills!#REF!,"AAAAAH8v2qE=")</f>
        <v>#REF!</v>
      </c>
      <c r="FG54" t="e">
        <f>AND(Bills!#REF!,"AAAAAH8v2qI=")</f>
        <v>#REF!</v>
      </c>
      <c r="FH54" t="e">
        <f>AND(Bills!#REF!,"AAAAAH8v2qM=")</f>
        <v>#REF!</v>
      </c>
      <c r="FI54" t="e">
        <f>AND(Bills!#REF!,"AAAAAH8v2qQ=")</f>
        <v>#REF!</v>
      </c>
      <c r="FJ54" t="e">
        <f>AND(Bills!#REF!,"AAAAAH8v2qU=")</f>
        <v>#REF!</v>
      </c>
      <c r="FK54" t="e">
        <f>AND(Bills!#REF!,"AAAAAH8v2qY=")</f>
        <v>#REF!</v>
      </c>
      <c r="FL54" t="e">
        <f>AND(Bills!#REF!,"AAAAAH8v2qc=")</f>
        <v>#REF!</v>
      </c>
      <c r="FM54" t="e">
        <f>AND(Bills!#REF!,"AAAAAH8v2qg=")</f>
        <v>#REF!</v>
      </c>
      <c r="FN54" t="e">
        <f>AND(Bills!#REF!,"AAAAAH8v2qk=")</f>
        <v>#REF!</v>
      </c>
      <c r="FO54" t="e">
        <f>AND(Bills!#REF!,"AAAAAH8v2qo=")</f>
        <v>#REF!</v>
      </c>
      <c r="FP54" t="e">
        <f>AND(Bills!#REF!,"AAAAAH8v2qs=")</f>
        <v>#REF!</v>
      </c>
      <c r="FQ54" t="e">
        <f>AND(Bills!#REF!,"AAAAAH8v2qw=")</f>
        <v>#REF!</v>
      </c>
      <c r="FR54" t="e">
        <f>AND(Bills!#REF!,"AAAAAH8v2q0=")</f>
        <v>#REF!</v>
      </c>
      <c r="FS54" t="e">
        <f>AND(Bills!#REF!,"AAAAAH8v2q4=")</f>
        <v>#REF!</v>
      </c>
      <c r="FT54" t="e">
        <f>AND(Bills!#REF!,"AAAAAH8v2q8=")</f>
        <v>#REF!</v>
      </c>
      <c r="FU54" t="e">
        <f>AND(Bills!#REF!,"AAAAAH8v2rA=")</f>
        <v>#REF!</v>
      </c>
      <c r="FV54" t="e">
        <f>AND(Bills!#REF!,"AAAAAH8v2rE=")</f>
        <v>#REF!</v>
      </c>
      <c r="FW54" t="e">
        <f>AND(Bills!#REF!,"AAAAAH8v2rI=")</f>
        <v>#REF!</v>
      </c>
      <c r="FX54" t="e">
        <f>AND(Bills!#REF!,"AAAAAH8v2rM=")</f>
        <v>#REF!</v>
      </c>
      <c r="FY54" t="e">
        <f>AND(Bills!#REF!,"AAAAAH8v2rQ=")</f>
        <v>#REF!</v>
      </c>
      <c r="FZ54" t="e">
        <f>AND(Bills!#REF!,"AAAAAH8v2rU=")</f>
        <v>#REF!</v>
      </c>
      <c r="GA54" t="e">
        <f>AND(Bills!#REF!,"AAAAAH8v2rY=")</f>
        <v>#REF!</v>
      </c>
      <c r="GB54" t="e">
        <f>AND(Bills!#REF!,"AAAAAH8v2rc=")</f>
        <v>#REF!</v>
      </c>
      <c r="GC54" t="e">
        <f>AND(Bills!#REF!,"AAAAAH8v2rg=")</f>
        <v>#REF!</v>
      </c>
      <c r="GD54" t="e">
        <f>AND(Bills!#REF!,"AAAAAH8v2rk=")</f>
        <v>#REF!</v>
      </c>
      <c r="GE54" t="e">
        <f>AND(Bills!#REF!,"AAAAAH8v2ro=")</f>
        <v>#REF!</v>
      </c>
      <c r="GF54" t="e">
        <f>AND(Bills!#REF!,"AAAAAH8v2rs=")</f>
        <v>#REF!</v>
      </c>
      <c r="GG54" t="e">
        <f>AND(Bills!#REF!,"AAAAAH8v2rw=")</f>
        <v>#REF!</v>
      </c>
      <c r="GH54" t="e">
        <f>AND(Bills!#REF!,"AAAAAH8v2r0=")</f>
        <v>#REF!</v>
      </c>
      <c r="GI54" t="e">
        <f>IF(Bills!#REF!,"AAAAAH8v2r4=",0)</f>
        <v>#REF!</v>
      </c>
      <c r="GJ54" t="e">
        <f>AND(Bills!#REF!,"AAAAAH8v2r8=")</f>
        <v>#REF!</v>
      </c>
      <c r="GK54" t="e">
        <f>AND(Bills!#REF!,"AAAAAH8v2sA=")</f>
        <v>#REF!</v>
      </c>
      <c r="GL54" t="e">
        <f>AND(Bills!#REF!,"AAAAAH8v2sE=")</f>
        <v>#REF!</v>
      </c>
      <c r="GM54" t="e">
        <f>AND(Bills!#REF!,"AAAAAH8v2sI=")</f>
        <v>#REF!</v>
      </c>
      <c r="GN54" t="e">
        <f>AND(Bills!#REF!,"AAAAAH8v2sM=")</f>
        <v>#REF!</v>
      </c>
      <c r="GO54" t="e">
        <f>AND(Bills!#REF!,"AAAAAH8v2sQ=")</f>
        <v>#REF!</v>
      </c>
      <c r="GP54" t="e">
        <f>AND(Bills!#REF!,"AAAAAH8v2sU=")</f>
        <v>#REF!</v>
      </c>
      <c r="GQ54" t="e">
        <f>AND(Bills!#REF!,"AAAAAH8v2sY=")</f>
        <v>#REF!</v>
      </c>
      <c r="GR54" t="e">
        <f>AND(Bills!#REF!,"AAAAAH8v2sc=")</f>
        <v>#REF!</v>
      </c>
      <c r="GS54" t="e">
        <f>AND(Bills!#REF!,"AAAAAH8v2sg=")</f>
        <v>#REF!</v>
      </c>
      <c r="GT54" t="e">
        <f>AND(Bills!#REF!,"AAAAAH8v2sk=")</f>
        <v>#REF!</v>
      </c>
      <c r="GU54" t="e">
        <f>AND(Bills!#REF!,"AAAAAH8v2so=")</f>
        <v>#REF!</v>
      </c>
      <c r="GV54" t="e">
        <f>AND(Bills!#REF!,"AAAAAH8v2ss=")</f>
        <v>#REF!</v>
      </c>
      <c r="GW54" t="e">
        <f>AND(Bills!#REF!,"AAAAAH8v2sw=")</f>
        <v>#REF!</v>
      </c>
      <c r="GX54" t="e">
        <f>AND(Bills!#REF!,"AAAAAH8v2s0=")</f>
        <v>#REF!</v>
      </c>
      <c r="GY54" t="e">
        <f>AND(Bills!#REF!,"AAAAAH8v2s4=")</f>
        <v>#REF!</v>
      </c>
      <c r="GZ54" t="e">
        <f>AND(Bills!#REF!,"AAAAAH8v2s8=")</f>
        <v>#REF!</v>
      </c>
      <c r="HA54" t="e">
        <f>AND(Bills!#REF!,"AAAAAH8v2tA=")</f>
        <v>#REF!</v>
      </c>
      <c r="HB54" t="e">
        <f>AND(Bills!#REF!,"AAAAAH8v2tE=")</f>
        <v>#REF!</v>
      </c>
      <c r="HC54" t="e">
        <f>AND(Bills!#REF!,"AAAAAH8v2tI=")</f>
        <v>#REF!</v>
      </c>
      <c r="HD54" t="e">
        <f>AND(Bills!#REF!,"AAAAAH8v2tM=")</f>
        <v>#REF!</v>
      </c>
      <c r="HE54" t="e">
        <f>AND(Bills!#REF!,"AAAAAH8v2tQ=")</f>
        <v>#REF!</v>
      </c>
      <c r="HF54" t="e">
        <f>AND(Bills!#REF!,"AAAAAH8v2tU=")</f>
        <v>#REF!</v>
      </c>
      <c r="HG54" t="e">
        <f>AND(Bills!#REF!,"AAAAAH8v2tY=")</f>
        <v>#REF!</v>
      </c>
      <c r="HH54" t="e">
        <f>AND(Bills!#REF!,"AAAAAH8v2tc=")</f>
        <v>#REF!</v>
      </c>
      <c r="HI54" t="e">
        <f>AND(Bills!#REF!,"AAAAAH8v2tg=")</f>
        <v>#REF!</v>
      </c>
      <c r="HJ54" t="e">
        <f>AND(Bills!#REF!,"AAAAAH8v2tk=")</f>
        <v>#REF!</v>
      </c>
      <c r="HK54" t="e">
        <f>AND(Bills!#REF!,"AAAAAH8v2to=")</f>
        <v>#REF!</v>
      </c>
      <c r="HL54" t="e">
        <f>AND(Bills!#REF!,"AAAAAH8v2ts=")</f>
        <v>#REF!</v>
      </c>
      <c r="HM54" t="e">
        <f>AND(Bills!#REF!,"AAAAAH8v2tw=")</f>
        <v>#REF!</v>
      </c>
      <c r="HN54" t="e">
        <f>AND(Bills!#REF!,"AAAAAH8v2t0=")</f>
        <v>#REF!</v>
      </c>
      <c r="HO54" t="e">
        <f>AND(Bills!#REF!,"AAAAAH8v2t4=")</f>
        <v>#REF!</v>
      </c>
      <c r="HP54" t="e">
        <f>AND(Bills!#REF!,"AAAAAH8v2t8=")</f>
        <v>#REF!</v>
      </c>
      <c r="HQ54" t="e">
        <f>AND(Bills!#REF!,"AAAAAH8v2uA=")</f>
        <v>#REF!</v>
      </c>
      <c r="HR54" t="e">
        <f>AND(Bills!#REF!,"AAAAAH8v2uE=")</f>
        <v>#REF!</v>
      </c>
      <c r="HS54" t="e">
        <f>AND(Bills!#REF!,"AAAAAH8v2uI=")</f>
        <v>#REF!</v>
      </c>
      <c r="HT54" t="e">
        <f>AND(Bills!#REF!,"AAAAAH8v2uM=")</f>
        <v>#REF!</v>
      </c>
      <c r="HU54" t="e">
        <f>AND(Bills!#REF!,"AAAAAH8v2uQ=")</f>
        <v>#REF!</v>
      </c>
      <c r="HV54" t="e">
        <f>AND(Bills!#REF!,"AAAAAH8v2uU=")</f>
        <v>#REF!</v>
      </c>
      <c r="HW54" t="e">
        <f>AND(Bills!#REF!,"AAAAAH8v2uY=")</f>
        <v>#REF!</v>
      </c>
      <c r="HX54" t="e">
        <f>AND(Bills!#REF!,"AAAAAH8v2uc=")</f>
        <v>#REF!</v>
      </c>
      <c r="HY54" t="e">
        <f>AND(Bills!#REF!,"AAAAAH8v2ug=")</f>
        <v>#REF!</v>
      </c>
      <c r="HZ54" t="e">
        <f>AND(Bills!#REF!,"AAAAAH8v2uk=")</f>
        <v>#REF!</v>
      </c>
      <c r="IA54" t="e">
        <f>AND(Bills!#REF!,"AAAAAH8v2uo=")</f>
        <v>#REF!</v>
      </c>
      <c r="IB54" t="e">
        <f>AND(Bills!#REF!,"AAAAAH8v2us=")</f>
        <v>#REF!</v>
      </c>
      <c r="IC54" t="e">
        <f>AND(Bills!#REF!,"AAAAAH8v2uw=")</f>
        <v>#REF!</v>
      </c>
      <c r="ID54" t="e">
        <f>AND(Bills!#REF!,"AAAAAH8v2u0=")</f>
        <v>#REF!</v>
      </c>
      <c r="IE54" t="e">
        <f>AND(Bills!#REF!,"AAAAAH8v2u4=")</f>
        <v>#REF!</v>
      </c>
      <c r="IF54" t="e">
        <f>AND(Bills!#REF!,"AAAAAH8v2u8=")</f>
        <v>#REF!</v>
      </c>
      <c r="IG54" t="e">
        <f>AND(Bills!#REF!,"AAAAAH8v2vA=")</f>
        <v>#REF!</v>
      </c>
      <c r="IH54" t="e">
        <f>IF(Bills!#REF!,"AAAAAH8v2vE=",0)</f>
        <v>#REF!</v>
      </c>
      <c r="II54" t="e">
        <f>AND(Bills!#REF!,"AAAAAH8v2vI=")</f>
        <v>#REF!</v>
      </c>
      <c r="IJ54" t="e">
        <f>AND(Bills!#REF!,"AAAAAH8v2vM=")</f>
        <v>#REF!</v>
      </c>
      <c r="IK54" t="e">
        <f>AND(Bills!#REF!,"AAAAAH8v2vQ=")</f>
        <v>#REF!</v>
      </c>
      <c r="IL54" t="e">
        <f>AND(Bills!#REF!,"AAAAAH8v2vU=")</f>
        <v>#REF!</v>
      </c>
      <c r="IM54" t="e">
        <f>AND(Bills!#REF!,"AAAAAH8v2vY=")</f>
        <v>#REF!</v>
      </c>
      <c r="IN54" t="e">
        <f>AND(Bills!#REF!,"AAAAAH8v2vc=")</f>
        <v>#REF!</v>
      </c>
      <c r="IO54" t="e">
        <f>AND(Bills!#REF!,"AAAAAH8v2vg=")</f>
        <v>#REF!</v>
      </c>
      <c r="IP54" t="e">
        <f>AND(Bills!#REF!,"AAAAAH8v2vk=")</f>
        <v>#REF!</v>
      </c>
      <c r="IQ54" t="e">
        <f>AND(Bills!#REF!,"AAAAAH8v2vo=")</f>
        <v>#REF!</v>
      </c>
      <c r="IR54" t="e">
        <f>AND(Bills!#REF!,"AAAAAH8v2vs=")</f>
        <v>#REF!</v>
      </c>
      <c r="IS54" t="e">
        <f>AND(Bills!#REF!,"AAAAAH8v2vw=")</f>
        <v>#REF!</v>
      </c>
      <c r="IT54" t="e">
        <f>AND(Bills!#REF!,"AAAAAH8v2v0=")</f>
        <v>#REF!</v>
      </c>
      <c r="IU54" t="e">
        <f>AND(Bills!#REF!,"AAAAAH8v2v4=")</f>
        <v>#REF!</v>
      </c>
      <c r="IV54" t="e">
        <f>AND(Bills!#REF!,"AAAAAH8v2v8=")</f>
        <v>#REF!</v>
      </c>
    </row>
    <row r="55" spans="1:256">
      <c r="A55" t="e">
        <f>AND(Bills!#REF!,"AAAAAF/d8wA=")</f>
        <v>#REF!</v>
      </c>
      <c r="B55" t="e">
        <f>AND(Bills!#REF!,"AAAAAF/d8wE=")</f>
        <v>#REF!</v>
      </c>
      <c r="C55" t="e">
        <f>AND(Bills!#REF!,"AAAAAF/d8wI=")</f>
        <v>#REF!</v>
      </c>
      <c r="D55" t="e">
        <f>AND(Bills!#REF!,"AAAAAF/d8wM=")</f>
        <v>#REF!</v>
      </c>
      <c r="E55" t="e">
        <f>AND(Bills!#REF!,"AAAAAF/d8wQ=")</f>
        <v>#REF!</v>
      </c>
      <c r="F55" t="e">
        <f>AND(Bills!#REF!,"AAAAAF/d8wU=")</f>
        <v>#REF!</v>
      </c>
      <c r="G55" t="e">
        <f>AND(Bills!#REF!,"AAAAAF/d8wY=")</f>
        <v>#REF!</v>
      </c>
      <c r="H55" t="e">
        <f>AND(Bills!#REF!,"AAAAAF/d8wc=")</f>
        <v>#REF!</v>
      </c>
      <c r="I55" t="e">
        <f>AND(Bills!#REF!,"AAAAAF/d8wg=")</f>
        <v>#REF!</v>
      </c>
      <c r="J55" t="e">
        <f>AND(Bills!#REF!,"AAAAAF/d8wk=")</f>
        <v>#REF!</v>
      </c>
      <c r="K55" t="e">
        <f>AND(Bills!#REF!,"AAAAAF/d8wo=")</f>
        <v>#REF!</v>
      </c>
      <c r="L55" t="e">
        <f>AND(Bills!#REF!,"AAAAAF/d8ws=")</f>
        <v>#REF!</v>
      </c>
      <c r="M55" t="e">
        <f>AND(Bills!#REF!,"AAAAAF/d8ww=")</f>
        <v>#REF!</v>
      </c>
      <c r="N55" t="e">
        <f>AND(Bills!#REF!,"AAAAAF/d8w0=")</f>
        <v>#REF!</v>
      </c>
      <c r="O55" t="e">
        <f>AND(Bills!#REF!,"AAAAAF/d8w4=")</f>
        <v>#REF!</v>
      </c>
      <c r="P55" t="e">
        <f>AND(Bills!#REF!,"AAAAAF/d8w8=")</f>
        <v>#REF!</v>
      </c>
      <c r="Q55" t="e">
        <f>AND(Bills!#REF!,"AAAAAF/d8xA=")</f>
        <v>#REF!</v>
      </c>
      <c r="R55" t="e">
        <f>AND(Bills!#REF!,"AAAAAF/d8xE=")</f>
        <v>#REF!</v>
      </c>
      <c r="S55" t="e">
        <f>AND(Bills!#REF!,"AAAAAF/d8xI=")</f>
        <v>#REF!</v>
      </c>
      <c r="T55" t="e">
        <f>AND(Bills!#REF!,"AAAAAF/d8xM=")</f>
        <v>#REF!</v>
      </c>
      <c r="U55" t="e">
        <f>AND(Bills!#REF!,"AAAAAF/d8xQ=")</f>
        <v>#REF!</v>
      </c>
      <c r="V55" t="e">
        <f>AND(Bills!#REF!,"AAAAAF/d8xU=")</f>
        <v>#REF!</v>
      </c>
      <c r="W55" t="e">
        <f>AND(Bills!#REF!,"AAAAAF/d8xY=")</f>
        <v>#REF!</v>
      </c>
      <c r="X55" t="e">
        <f>AND(Bills!#REF!,"AAAAAF/d8xc=")</f>
        <v>#REF!</v>
      </c>
      <c r="Y55" t="e">
        <f>AND(Bills!#REF!,"AAAAAF/d8xg=")</f>
        <v>#REF!</v>
      </c>
      <c r="Z55" t="e">
        <f>AND(Bills!#REF!,"AAAAAF/d8xk=")</f>
        <v>#REF!</v>
      </c>
      <c r="AA55" t="e">
        <f>AND(Bills!#REF!,"AAAAAF/d8xo=")</f>
        <v>#REF!</v>
      </c>
      <c r="AB55" t="e">
        <f>AND(Bills!#REF!,"AAAAAF/d8xs=")</f>
        <v>#REF!</v>
      </c>
      <c r="AC55" t="e">
        <f>AND(Bills!#REF!,"AAAAAF/d8xw=")</f>
        <v>#REF!</v>
      </c>
      <c r="AD55" t="e">
        <f>AND(Bills!#REF!,"AAAAAF/d8x0=")</f>
        <v>#REF!</v>
      </c>
      <c r="AE55" t="e">
        <f>AND(Bills!#REF!,"AAAAAF/d8x4=")</f>
        <v>#REF!</v>
      </c>
      <c r="AF55" t="e">
        <f>AND(Bills!#REF!,"AAAAAF/d8x8=")</f>
        <v>#REF!</v>
      </c>
      <c r="AG55" t="e">
        <f>AND(Bills!#REF!,"AAAAAF/d8yA=")</f>
        <v>#REF!</v>
      </c>
      <c r="AH55" t="e">
        <f>AND(Bills!#REF!,"AAAAAF/d8yE=")</f>
        <v>#REF!</v>
      </c>
      <c r="AI55" t="e">
        <f>AND(Bills!#REF!,"AAAAAF/d8yI=")</f>
        <v>#REF!</v>
      </c>
      <c r="AJ55" t="e">
        <f>AND(Bills!#REF!,"AAAAAF/d8yM=")</f>
        <v>#REF!</v>
      </c>
      <c r="AK55" t="e">
        <f>IF(Bills!#REF!,"AAAAAF/d8yQ=",0)</f>
        <v>#REF!</v>
      </c>
      <c r="AL55" t="e">
        <f>AND(Bills!#REF!,"AAAAAF/d8yU=")</f>
        <v>#REF!</v>
      </c>
      <c r="AM55" t="e">
        <f>AND(Bills!#REF!,"AAAAAF/d8yY=")</f>
        <v>#REF!</v>
      </c>
      <c r="AN55" t="e">
        <f>AND(Bills!#REF!,"AAAAAF/d8yc=")</f>
        <v>#REF!</v>
      </c>
      <c r="AO55" t="e">
        <f>AND(Bills!#REF!,"AAAAAF/d8yg=")</f>
        <v>#REF!</v>
      </c>
      <c r="AP55" t="e">
        <f>AND(Bills!#REF!,"AAAAAF/d8yk=")</f>
        <v>#REF!</v>
      </c>
      <c r="AQ55" t="e">
        <f>AND(Bills!#REF!,"AAAAAF/d8yo=")</f>
        <v>#REF!</v>
      </c>
      <c r="AR55" t="e">
        <f>AND(Bills!#REF!,"AAAAAF/d8ys=")</f>
        <v>#REF!</v>
      </c>
      <c r="AS55" t="e">
        <f>AND(Bills!#REF!,"AAAAAF/d8yw=")</f>
        <v>#REF!</v>
      </c>
      <c r="AT55" t="e">
        <f>AND(Bills!#REF!,"AAAAAF/d8y0=")</f>
        <v>#REF!</v>
      </c>
      <c r="AU55" t="e">
        <f>AND(Bills!#REF!,"AAAAAF/d8y4=")</f>
        <v>#REF!</v>
      </c>
      <c r="AV55" t="e">
        <f>AND(Bills!#REF!,"AAAAAF/d8y8=")</f>
        <v>#REF!</v>
      </c>
      <c r="AW55" t="e">
        <f>AND(Bills!#REF!,"AAAAAF/d8zA=")</f>
        <v>#REF!</v>
      </c>
      <c r="AX55" t="e">
        <f>AND(Bills!#REF!,"AAAAAF/d8zE=")</f>
        <v>#REF!</v>
      </c>
      <c r="AY55" t="e">
        <f>AND(Bills!#REF!,"AAAAAF/d8zI=")</f>
        <v>#REF!</v>
      </c>
      <c r="AZ55" t="e">
        <f>AND(Bills!#REF!,"AAAAAF/d8zM=")</f>
        <v>#REF!</v>
      </c>
      <c r="BA55" t="e">
        <f>AND(Bills!#REF!,"AAAAAF/d8zQ=")</f>
        <v>#REF!</v>
      </c>
      <c r="BB55" t="e">
        <f>AND(Bills!#REF!,"AAAAAF/d8zU=")</f>
        <v>#REF!</v>
      </c>
      <c r="BC55" t="e">
        <f>AND(Bills!#REF!,"AAAAAF/d8zY=")</f>
        <v>#REF!</v>
      </c>
      <c r="BD55" t="e">
        <f>AND(Bills!#REF!,"AAAAAF/d8zc=")</f>
        <v>#REF!</v>
      </c>
      <c r="BE55" t="e">
        <f>AND(Bills!#REF!,"AAAAAF/d8zg=")</f>
        <v>#REF!</v>
      </c>
      <c r="BF55" t="e">
        <f>AND(Bills!#REF!,"AAAAAF/d8zk=")</f>
        <v>#REF!</v>
      </c>
      <c r="BG55" t="e">
        <f>AND(Bills!#REF!,"AAAAAF/d8zo=")</f>
        <v>#REF!</v>
      </c>
      <c r="BH55" t="e">
        <f>AND(Bills!#REF!,"AAAAAF/d8zs=")</f>
        <v>#REF!</v>
      </c>
      <c r="BI55" t="e">
        <f>AND(Bills!#REF!,"AAAAAF/d8zw=")</f>
        <v>#REF!</v>
      </c>
      <c r="BJ55" t="e">
        <f>AND(Bills!#REF!,"AAAAAF/d8z0=")</f>
        <v>#REF!</v>
      </c>
      <c r="BK55" t="e">
        <f>AND(Bills!#REF!,"AAAAAF/d8z4=")</f>
        <v>#REF!</v>
      </c>
      <c r="BL55" t="e">
        <f>AND(Bills!#REF!,"AAAAAF/d8z8=")</f>
        <v>#REF!</v>
      </c>
      <c r="BM55" t="e">
        <f>AND(Bills!#REF!,"AAAAAF/d80A=")</f>
        <v>#REF!</v>
      </c>
      <c r="BN55" t="e">
        <f>AND(Bills!#REF!,"AAAAAF/d80E=")</f>
        <v>#REF!</v>
      </c>
      <c r="BO55" t="e">
        <f>AND(Bills!#REF!,"AAAAAF/d80I=")</f>
        <v>#REF!</v>
      </c>
      <c r="BP55" t="e">
        <f>AND(Bills!#REF!,"AAAAAF/d80M=")</f>
        <v>#REF!</v>
      </c>
      <c r="BQ55" t="e">
        <f>AND(Bills!#REF!,"AAAAAF/d80Q=")</f>
        <v>#REF!</v>
      </c>
      <c r="BR55" t="e">
        <f>AND(Bills!#REF!,"AAAAAF/d80U=")</f>
        <v>#REF!</v>
      </c>
      <c r="BS55" t="e">
        <f>AND(Bills!#REF!,"AAAAAF/d80Y=")</f>
        <v>#REF!</v>
      </c>
      <c r="BT55" t="e">
        <f>AND(Bills!#REF!,"AAAAAF/d80c=")</f>
        <v>#REF!</v>
      </c>
      <c r="BU55" t="e">
        <f>AND(Bills!#REF!,"AAAAAF/d80g=")</f>
        <v>#REF!</v>
      </c>
      <c r="BV55" t="e">
        <f>AND(Bills!#REF!,"AAAAAF/d80k=")</f>
        <v>#REF!</v>
      </c>
      <c r="BW55" t="e">
        <f>AND(Bills!#REF!,"AAAAAF/d80o=")</f>
        <v>#REF!</v>
      </c>
      <c r="BX55" t="e">
        <f>AND(Bills!#REF!,"AAAAAF/d80s=")</f>
        <v>#REF!</v>
      </c>
      <c r="BY55" t="e">
        <f>AND(Bills!#REF!,"AAAAAF/d80w=")</f>
        <v>#REF!</v>
      </c>
      <c r="BZ55" t="e">
        <f>AND(Bills!#REF!,"AAAAAF/d800=")</f>
        <v>#REF!</v>
      </c>
      <c r="CA55" t="e">
        <f>AND(Bills!#REF!,"AAAAAF/d804=")</f>
        <v>#REF!</v>
      </c>
      <c r="CB55" t="e">
        <f>AND(Bills!#REF!,"AAAAAF/d808=")</f>
        <v>#REF!</v>
      </c>
      <c r="CC55" t="e">
        <f>AND(Bills!#REF!,"AAAAAF/d81A=")</f>
        <v>#REF!</v>
      </c>
      <c r="CD55" t="e">
        <f>AND(Bills!#REF!,"AAAAAF/d81E=")</f>
        <v>#REF!</v>
      </c>
      <c r="CE55" t="e">
        <f>AND(Bills!#REF!,"AAAAAF/d81I=")</f>
        <v>#REF!</v>
      </c>
      <c r="CF55" t="e">
        <f>AND(Bills!#REF!,"AAAAAF/d81M=")</f>
        <v>#REF!</v>
      </c>
      <c r="CG55" t="e">
        <f>AND(Bills!#REF!,"AAAAAF/d81Q=")</f>
        <v>#REF!</v>
      </c>
      <c r="CH55" t="e">
        <f>AND(Bills!#REF!,"AAAAAF/d81U=")</f>
        <v>#REF!</v>
      </c>
      <c r="CI55" t="e">
        <f>AND(Bills!#REF!,"AAAAAF/d81Y=")</f>
        <v>#REF!</v>
      </c>
      <c r="CJ55">
        <f>IF(Bills!44:44,"AAAAAF/d81c=",0)</f>
        <v>0</v>
      </c>
      <c r="CK55" t="e">
        <f>AND(Bills!B44,"AAAAAF/d81g=")</f>
        <v>#VALUE!</v>
      </c>
      <c r="CL55" t="e">
        <f>AND(Bills!#REF!,"AAAAAF/d81k=")</f>
        <v>#REF!</v>
      </c>
      <c r="CM55" t="e">
        <f>AND(Bills!C44,"AAAAAF/d81o=")</f>
        <v>#VALUE!</v>
      </c>
      <c r="CN55" t="e">
        <f>AND(Bills!#REF!,"AAAAAF/d81s=")</f>
        <v>#REF!</v>
      </c>
      <c r="CO55" t="e">
        <f>AND(Bills!#REF!,"AAAAAF/d81w=")</f>
        <v>#REF!</v>
      </c>
      <c r="CP55" t="e">
        <f>AND(Bills!#REF!,"AAAAAF/d810=")</f>
        <v>#REF!</v>
      </c>
      <c r="CQ55" t="e">
        <f>AND(Bills!#REF!,"AAAAAF/d814=")</f>
        <v>#REF!</v>
      </c>
      <c r="CR55" t="e">
        <f>AND(Bills!#REF!,"AAAAAF/d818=")</f>
        <v>#REF!</v>
      </c>
      <c r="CS55" t="e">
        <f>AND(Bills!D44,"AAAAAF/d82A=")</f>
        <v>#VALUE!</v>
      </c>
      <c r="CT55" t="e">
        <f>AND(Bills!#REF!,"AAAAAF/d82E=")</f>
        <v>#REF!</v>
      </c>
      <c r="CU55" t="e">
        <f>AND(Bills!E44,"AAAAAF/d82I=")</f>
        <v>#VALUE!</v>
      </c>
      <c r="CV55" t="e">
        <f>AND(Bills!F44,"AAAAAF/d82M=")</f>
        <v>#VALUE!</v>
      </c>
      <c r="CW55" t="e">
        <f>AND(Bills!G44,"AAAAAF/d82Q=")</f>
        <v>#VALUE!</v>
      </c>
      <c r="CX55" t="e">
        <f>AND(Bills!H44,"AAAAAF/d82U=")</f>
        <v>#VALUE!</v>
      </c>
      <c r="CY55" t="e">
        <f>AND(Bills!I44,"AAAAAF/d82Y=")</f>
        <v>#VALUE!</v>
      </c>
      <c r="CZ55" t="e">
        <f>AND(Bills!J44,"AAAAAF/d82c=")</f>
        <v>#VALUE!</v>
      </c>
      <c r="DA55" t="e">
        <f>AND(Bills!#REF!,"AAAAAF/d82g=")</f>
        <v>#REF!</v>
      </c>
      <c r="DB55" t="e">
        <f>AND(Bills!K44,"AAAAAF/d82k=")</f>
        <v>#VALUE!</v>
      </c>
      <c r="DC55" t="e">
        <f>AND(Bills!L44,"AAAAAF/d82o=")</f>
        <v>#VALUE!</v>
      </c>
      <c r="DD55" t="e">
        <f>AND(Bills!M44,"AAAAAF/d82s=")</f>
        <v>#VALUE!</v>
      </c>
      <c r="DE55" t="e">
        <f>AND(Bills!N44,"AAAAAF/d82w=")</f>
        <v>#VALUE!</v>
      </c>
      <c r="DF55" t="e">
        <f>AND(Bills!O44,"AAAAAF/d820=")</f>
        <v>#VALUE!</v>
      </c>
      <c r="DG55" t="e">
        <f>AND(Bills!P44,"AAAAAF/d824=")</f>
        <v>#VALUE!</v>
      </c>
      <c r="DH55" t="e">
        <f>AND(Bills!Q44,"AAAAAF/d828=")</f>
        <v>#VALUE!</v>
      </c>
      <c r="DI55" t="e">
        <f>AND(Bills!R44,"AAAAAF/d83A=")</f>
        <v>#VALUE!</v>
      </c>
      <c r="DJ55" t="e">
        <f>AND(Bills!#REF!,"AAAAAF/d83E=")</f>
        <v>#REF!</v>
      </c>
      <c r="DK55" t="e">
        <f>AND(Bills!S44,"AAAAAF/d83I=")</f>
        <v>#VALUE!</v>
      </c>
      <c r="DL55" t="e">
        <f>AND(Bills!T44,"AAAAAF/d83M=")</f>
        <v>#VALUE!</v>
      </c>
      <c r="DM55" t="e">
        <f>AND(Bills!U44,"AAAAAF/d83Q=")</f>
        <v>#VALUE!</v>
      </c>
      <c r="DN55" t="e">
        <f>AND(Bills!#REF!,"AAAAAF/d83U=")</f>
        <v>#REF!</v>
      </c>
      <c r="DO55" t="e">
        <f>AND(Bills!#REF!,"AAAAAF/d83Y=")</f>
        <v>#REF!</v>
      </c>
      <c r="DP55" t="e">
        <f>AND(Bills!W44,"AAAAAF/d83c=")</f>
        <v>#VALUE!</v>
      </c>
      <c r="DQ55" t="e">
        <f>AND(Bills!X44,"AAAAAF/d83g=")</f>
        <v>#VALUE!</v>
      </c>
      <c r="DR55" t="e">
        <f>AND(Bills!#REF!,"AAAAAF/d83k=")</f>
        <v>#REF!</v>
      </c>
      <c r="DS55" t="e">
        <f>AND(Bills!#REF!,"AAAAAF/d83o=")</f>
        <v>#REF!</v>
      </c>
      <c r="DT55" t="e">
        <f>AND(Bills!#REF!,"AAAAAF/d83s=")</f>
        <v>#REF!</v>
      </c>
      <c r="DU55" t="e">
        <f>AND(Bills!#REF!,"AAAAAF/d83w=")</f>
        <v>#REF!</v>
      </c>
      <c r="DV55" t="e">
        <f>AND(Bills!#REF!,"AAAAAF/d830=")</f>
        <v>#REF!</v>
      </c>
      <c r="DW55" t="e">
        <f>AND(Bills!#REF!,"AAAAAF/d834=")</f>
        <v>#REF!</v>
      </c>
      <c r="DX55" t="e">
        <f>AND(Bills!#REF!,"AAAAAF/d838=")</f>
        <v>#REF!</v>
      </c>
      <c r="DY55" t="e">
        <f>AND(Bills!#REF!,"AAAAAF/d84A=")</f>
        <v>#REF!</v>
      </c>
      <c r="DZ55" t="e">
        <f>AND(Bills!#REF!,"AAAAAF/d84E=")</f>
        <v>#REF!</v>
      </c>
      <c r="EA55" t="e">
        <f>AND(Bills!Y44,"AAAAAF/d84I=")</f>
        <v>#VALUE!</v>
      </c>
      <c r="EB55" t="e">
        <f>AND(Bills!Z44,"AAAAAF/d84M=")</f>
        <v>#VALUE!</v>
      </c>
      <c r="EC55" t="e">
        <f>AND(Bills!#REF!,"AAAAAF/d84Q=")</f>
        <v>#REF!</v>
      </c>
      <c r="ED55" t="e">
        <f>AND(Bills!#REF!,"AAAAAF/d84U=")</f>
        <v>#REF!</v>
      </c>
      <c r="EE55" t="e">
        <f>AND(Bills!#REF!,"AAAAAF/d84Y=")</f>
        <v>#REF!</v>
      </c>
      <c r="EF55" t="e">
        <f>AND(Bills!AA44,"AAAAAF/d84c=")</f>
        <v>#VALUE!</v>
      </c>
      <c r="EG55" t="e">
        <f>AND(Bills!AB44,"AAAAAF/d84g=")</f>
        <v>#VALUE!</v>
      </c>
      <c r="EH55" t="e">
        <f>AND(Bills!#REF!,"AAAAAF/d84k=")</f>
        <v>#REF!</v>
      </c>
      <c r="EI55">
        <f>IF(Bills!45:45,"AAAAAF/d84o=",0)</f>
        <v>0</v>
      </c>
      <c r="EJ55" t="e">
        <f>AND(Bills!B45,"AAAAAF/d84s=")</f>
        <v>#VALUE!</v>
      </c>
      <c r="EK55" t="e">
        <f>AND(Bills!#REF!,"AAAAAF/d84w=")</f>
        <v>#REF!</v>
      </c>
      <c r="EL55" t="e">
        <f>AND(Bills!C45,"AAAAAF/d840=")</f>
        <v>#VALUE!</v>
      </c>
      <c r="EM55" t="e">
        <f>AND(Bills!#REF!,"AAAAAF/d844=")</f>
        <v>#REF!</v>
      </c>
      <c r="EN55" t="e">
        <f>AND(Bills!#REF!,"AAAAAF/d848=")</f>
        <v>#REF!</v>
      </c>
      <c r="EO55" t="e">
        <f>AND(Bills!#REF!,"AAAAAF/d85A=")</f>
        <v>#REF!</v>
      </c>
      <c r="EP55" t="e">
        <f>AND(Bills!#REF!,"AAAAAF/d85E=")</f>
        <v>#REF!</v>
      </c>
      <c r="EQ55" t="e">
        <f>AND(Bills!#REF!,"AAAAAF/d85I=")</f>
        <v>#REF!</v>
      </c>
      <c r="ER55" t="e">
        <f>AND(Bills!D45,"AAAAAF/d85M=")</f>
        <v>#VALUE!</v>
      </c>
      <c r="ES55" t="e">
        <f>AND(Bills!#REF!,"AAAAAF/d85Q=")</f>
        <v>#REF!</v>
      </c>
      <c r="ET55" t="e">
        <f>AND(Bills!E45,"AAAAAF/d85U=")</f>
        <v>#VALUE!</v>
      </c>
      <c r="EU55" t="e">
        <f>AND(Bills!F45,"AAAAAF/d85Y=")</f>
        <v>#VALUE!</v>
      </c>
      <c r="EV55" t="e">
        <f>AND(Bills!G45,"AAAAAF/d85c=")</f>
        <v>#VALUE!</v>
      </c>
      <c r="EW55" t="e">
        <f>AND(Bills!H45,"AAAAAF/d85g=")</f>
        <v>#VALUE!</v>
      </c>
      <c r="EX55" t="e">
        <f>AND(Bills!I45,"AAAAAF/d85k=")</f>
        <v>#VALUE!</v>
      </c>
      <c r="EY55" t="e">
        <f>AND(Bills!J45,"AAAAAF/d85o=")</f>
        <v>#VALUE!</v>
      </c>
      <c r="EZ55" t="e">
        <f>AND(Bills!#REF!,"AAAAAF/d85s=")</f>
        <v>#REF!</v>
      </c>
      <c r="FA55" t="e">
        <f>AND(Bills!K45,"AAAAAF/d85w=")</f>
        <v>#VALUE!</v>
      </c>
      <c r="FB55" t="e">
        <f>AND(Bills!L45,"AAAAAF/d850=")</f>
        <v>#VALUE!</v>
      </c>
      <c r="FC55" t="e">
        <f>AND(Bills!M45,"AAAAAF/d854=")</f>
        <v>#VALUE!</v>
      </c>
      <c r="FD55" t="e">
        <f>AND(Bills!N45,"AAAAAF/d858=")</f>
        <v>#VALUE!</v>
      </c>
      <c r="FE55" t="e">
        <f>AND(Bills!O45,"AAAAAF/d86A=")</f>
        <v>#VALUE!</v>
      </c>
      <c r="FF55" t="e">
        <f>AND(Bills!P45,"AAAAAF/d86E=")</f>
        <v>#VALUE!</v>
      </c>
      <c r="FG55" t="e">
        <f>AND(Bills!Q45,"AAAAAF/d86I=")</f>
        <v>#VALUE!</v>
      </c>
      <c r="FH55" t="e">
        <f>AND(Bills!R45,"AAAAAF/d86M=")</f>
        <v>#VALUE!</v>
      </c>
      <c r="FI55" t="e">
        <f>AND(Bills!#REF!,"AAAAAF/d86Q=")</f>
        <v>#REF!</v>
      </c>
      <c r="FJ55" t="e">
        <f>AND(Bills!S45,"AAAAAF/d86U=")</f>
        <v>#VALUE!</v>
      </c>
      <c r="FK55" t="e">
        <f>AND(Bills!T45,"AAAAAF/d86Y=")</f>
        <v>#VALUE!</v>
      </c>
      <c r="FL55" t="e">
        <f>AND(Bills!U45,"AAAAAF/d86c=")</f>
        <v>#VALUE!</v>
      </c>
      <c r="FM55" t="e">
        <f>AND(Bills!#REF!,"AAAAAF/d86g=")</f>
        <v>#REF!</v>
      </c>
      <c r="FN55" t="e">
        <f>AND(Bills!#REF!,"AAAAAF/d86k=")</f>
        <v>#REF!</v>
      </c>
      <c r="FO55" t="e">
        <f>AND(Bills!W45,"AAAAAF/d86o=")</f>
        <v>#VALUE!</v>
      </c>
      <c r="FP55" t="e">
        <f>AND(Bills!X45,"AAAAAF/d86s=")</f>
        <v>#VALUE!</v>
      </c>
      <c r="FQ55" t="e">
        <f>AND(Bills!#REF!,"AAAAAF/d86w=")</f>
        <v>#REF!</v>
      </c>
      <c r="FR55" t="e">
        <f>AND(Bills!#REF!,"AAAAAF/d860=")</f>
        <v>#REF!</v>
      </c>
      <c r="FS55" t="e">
        <f>AND(Bills!#REF!,"AAAAAF/d864=")</f>
        <v>#REF!</v>
      </c>
      <c r="FT55" t="e">
        <f>AND(Bills!#REF!,"AAAAAF/d868=")</f>
        <v>#REF!</v>
      </c>
      <c r="FU55" t="e">
        <f>AND(Bills!#REF!,"AAAAAF/d87A=")</f>
        <v>#REF!</v>
      </c>
      <c r="FV55" t="e">
        <f>AND(Bills!#REF!,"AAAAAF/d87E=")</f>
        <v>#REF!</v>
      </c>
      <c r="FW55" t="e">
        <f>AND(Bills!#REF!,"AAAAAF/d87I=")</f>
        <v>#REF!</v>
      </c>
      <c r="FX55" t="e">
        <f>AND(Bills!#REF!,"AAAAAF/d87M=")</f>
        <v>#REF!</v>
      </c>
      <c r="FY55" t="e">
        <f>AND(Bills!#REF!,"AAAAAF/d87Q=")</f>
        <v>#REF!</v>
      </c>
      <c r="FZ55" t="e">
        <f>AND(Bills!Y45,"AAAAAF/d87U=")</f>
        <v>#VALUE!</v>
      </c>
      <c r="GA55" t="e">
        <f>AND(Bills!Z45,"AAAAAF/d87Y=")</f>
        <v>#VALUE!</v>
      </c>
      <c r="GB55" t="e">
        <f>AND(Bills!#REF!,"AAAAAF/d87c=")</f>
        <v>#REF!</v>
      </c>
      <c r="GC55" t="e">
        <f>AND(Bills!#REF!,"AAAAAF/d87g=")</f>
        <v>#REF!</v>
      </c>
      <c r="GD55" t="e">
        <f>AND(Bills!#REF!,"AAAAAF/d87k=")</f>
        <v>#REF!</v>
      </c>
      <c r="GE55" t="e">
        <f>AND(Bills!AA45,"AAAAAF/d87o=")</f>
        <v>#VALUE!</v>
      </c>
      <c r="GF55" t="e">
        <f>AND(Bills!AB45,"AAAAAF/d87s=")</f>
        <v>#VALUE!</v>
      </c>
      <c r="GG55" t="e">
        <f>AND(Bills!#REF!,"AAAAAF/d87w=")</f>
        <v>#REF!</v>
      </c>
      <c r="GH55">
        <f>IF(Bills!46:46,"AAAAAF/d870=",0)</f>
        <v>0</v>
      </c>
      <c r="GI55" t="e">
        <f>AND(Bills!B46,"AAAAAF/d874=")</f>
        <v>#VALUE!</v>
      </c>
      <c r="GJ55" t="e">
        <f>AND(Bills!#REF!,"AAAAAF/d878=")</f>
        <v>#REF!</v>
      </c>
      <c r="GK55" t="e">
        <f>AND(Bills!C46,"AAAAAF/d88A=")</f>
        <v>#VALUE!</v>
      </c>
      <c r="GL55" t="e">
        <f>AND(Bills!#REF!,"AAAAAF/d88E=")</f>
        <v>#REF!</v>
      </c>
      <c r="GM55" t="e">
        <f>AND(Bills!#REF!,"AAAAAF/d88I=")</f>
        <v>#REF!</v>
      </c>
      <c r="GN55" t="e">
        <f>AND(Bills!#REF!,"AAAAAF/d88M=")</f>
        <v>#REF!</v>
      </c>
      <c r="GO55" t="e">
        <f>AND(Bills!#REF!,"AAAAAF/d88Q=")</f>
        <v>#REF!</v>
      </c>
      <c r="GP55" t="e">
        <f>AND(Bills!#REF!,"AAAAAF/d88U=")</f>
        <v>#REF!</v>
      </c>
      <c r="GQ55" t="e">
        <f>AND(Bills!D46,"AAAAAF/d88Y=")</f>
        <v>#VALUE!</v>
      </c>
      <c r="GR55" t="e">
        <f>AND(Bills!#REF!,"AAAAAF/d88c=")</f>
        <v>#REF!</v>
      </c>
      <c r="GS55" t="e">
        <f>AND(Bills!E46,"AAAAAF/d88g=")</f>
        <v>#VALUE!</v>
      </c>
      <c r="GT55" t="e">
        <f>AND(Bills!F46,"AAAAAF/d88k=")</f>
        <v>#VALUE!</v>
      </c>
      <c r="GU55" t="e">
        <f>AND(Bills!G46,"AAAAAF/d88o=")</f>
        <v>#VALUE!</v>
      </c>
      <c r="GV55" t="e">
        <f>AND(Bills!H46,"AAAAAF/d88s=")</f>
        <v>#VALUE!</v>
      </c>
      <c r="GW55" t="e">
        <f>AND(Bills!I46,"AAAAAF/d88w=")</f>
        <v>#VALUE!</v>
      </c>
      <c r="GX55" t="e">
        <f>AND(Bills!J46,"AAAAAF/d880=")</f>
        <v>#VALUE!</v>
      </c>
      <c r="GY55" t="e">
        <f>AND(Bills!#REF!,"AAAAAF/d884=")</f>
        <v>#REF!</v>
      </c>
      <c r="GZ55" t="e">
        <f>AND(Bills!K46,"AAAAAF/d888=")</f>
        <v>#VALUE!</v>
      </c>
      <c r="HA55" t="e">
        <f>AND(Bills!L46,"AAAAAF/d89A=")</f>
        <v>#VALUE!</v>
      </c>
      <c r="HB55" t="e">
        <f>AND(Bills!M46,"AAAAAF/d89E=")</f>
        <v>#VALUE!</v>
      </c>
      <c r="HC55" t="e">
        <f>AND(Bills!N46,"AAAAAF/d89I=")</f>
        <v>#VALUE!</v>
      </c>
      <c r="HD55" t="e">
        <f>AND(Bills!O46,"AAAAAF/d89M=")</f>
        <v>#VALUE!</v>
      </c>
      <c r="HE55" t="e">
        <f>AND(Bills!P46,"AAAAAF/d89Q=")</f>
        <v>#VALUE!</v>
      </c>
      <c r="HF55" t="e">
        <f>AND(Bills!Q46,"AAAAAF/d89U=")</f>
        <v>#VALUE!</v>
      </c>
      <c r="HG55" t="e">
        <f>AND(Bills!R46,"AAAAAF/d89Y=")</f>
        <v>#VALUE!</v>
      </c>
      <c r="HH55" t="e">
        <f>AND(Bills!#REF!,"AAAAAF/d89c=")</f>
        <v>#REF!</v>
      </c>
      <c r="HI55" t="e">
        <f>AND(Bills!S46,"AAAAAF/d89g=")</f>
        <v>#VALUE!</v>
      </c>
      <c r="HJ55" t="e">
        <f>AND(Bills!T46,"AAAAAF/d89k=")</f>
        <v>#VALUE!</v>
      </c>
      <c r="HK55" t="e">
        <f>AND(Bills!U46,"AAAAAF/d89o=")</f>
        <v>#VALUE!</v>
      </c>
      <c r="HL55" t="e">
        <f>AND(Bills!#REF!,"AAAAAF/d89s=")</f>
        <v>#REF!</v>
      </c>
      <c r="HM55" t="e">
        <f>AND(Bills!#REF!,"AAAAAF/d89w=")</f>
        <v>#REF!</v>
      </c>
      <c r="HN55" t="e">
        <f>AND(Bills!W46,"AAAAAF/d890=")</f>
        <v>#VALUE!</v>
      </c>
      <c r="HO55" t="e">
        <f>AND(Bills!X46,"AAAAAF/d894=")</f>
        <v>#VALUE!</v>
      </c>
      <c r="HP55" t="e">
        <f>AND(Bills!#REF!,"AAAAAF/d898=")</f>
        <v>#REF!</v>
      </c>
      <c r="HQ55" t="e">
        <f>AND(Bills!#REF!,"AAAAAF/d8+A=")</f>
        <v>#REF!</v>
      </c>
      <c r="HR55" t="e">
        <f>AND(Bills!#REF!,"AAAAAF/d8+E=")</f>
        <v>#REF!</v>
      </c>
      <c r="HS55" t="e">
        <f>AND(Bills!#REF!,"AAAAAF/d8+I=")</f>
        <v>#REF!</v>
      </c>
      <c r="HT55" t="e">
        <f>AND(Bills!#REF!,"AAAAAF/d8+M=")</f>
        <v>#REF!</v>
      </c>
      <c r="HU55" t="e">
        <f>AND(Bills!#REF!,"AAAAAF/d8+Q=")</f>
        <v>#REF!</v>
      </c>
      <c r="HV55" t="e">
        <f>AND(Bills!#REF!,"AAAAAF/d8+U=")</f>
        <v>#REF!</v>
      </c>
      <c r="HW55" t="e">
        <f>AND(Bills!#REF!,"AAAAAF/d8+Y=")</f>
        <v>#REF!</v>
      </c>
      <c r="HX55" t="e">
        <f>AND(Bills!#REF!,"AAAAAF/d8+c=")</f>
        <v>#REF!</v>
      </c>
      <c r="HY55" t="e">
        <f>AND(Bills!Y46,"AAAAAF/d8+g=")</f>
        <v>#VALUE!</v>
      </c>
      <c r="HZ55" t="e">
        <f>AND(Bills!Z46,"AAAAAF/d8+k=")</f>
        <v>#VALUE!</v>
      </c>
      <c r="IA55" t="e">
        <f>AND(Bills!#REF!,"AAAAAF/d8+o=")</f>
        <v>#REF!</v>
      </c>
      <c r="IB55" t="e">
        <f>AND(Bills!#REF!,"AAAAAF/d8+s=")</f>
        <v>#REF!</v>
      </c>
      <c r="IC55" t="e">
        <f>AND(Bills!#REF!,"AAAAAF/d8+w=")</f>
        <v>#REF!</v>
      </c>
      <c r="ID55" t="e">
        <f>AND(Bills!AA46,"AAAAAF/d8+0=")</f>
        <v>#VALUE!</v>
      </c>
      <c r="IE55" t="e">
        <f>AND(Bills!AB46,"AAAAAF/d8+4=")</f>
        <v>#VALUE!</v>
      </c>
      <c r="IF55" t="e">
        <f>AND(Bills!#REF!,"AAAAAF/d8+8=")</f>
        <v>#REF!</v>
      </c>
      <c r="IG55">
        <f>IF(Bills!47:47,"AAAAAF/d8/A=",0)</f>
        <v>0</v>
      </c>
      <c r="IH55" t="e">
        <f>AND(Bills!B47,"AAAAAF/d8/E=")</f>
        <v>#VALUE!</v>
      </c>
      <c r="II55" t="e">
        <f>AND(Bills!#REF!,"AAAAAF/d8/I=")</f>
        <v>#REF!</v>
      </c>
      <c r="IJ55" t="e">
        <f>AND(Bills!C47,"AAAAAF/d8/M=")</f>
        <v>#VALUE!</v>
      </c>
      <c r="IK55" t="e">
        <f>AND(Bills!#REF!,"AAAAAF/d8/Q=")</f>
        <v>#REF!</v>
      </c>
      <c r="IL55" t="e">
        <f>AND(Bills!#REF!,"AAAAAF/d8/U=")</f>
        <v>#REF!</v>
      </c>
      <c r="IM55" t="e">
        <f>AND(Bills!#REF!,"AAAAAF/d8/Y=")</f>
        <v>#REF!</v>
      </c>
      <c r="IN55" t="e">
        <f>AND(Bills!#REF!,"AAAAAF/d8/c=")</f>
        <v>#REF!</v>
      </c>
      <c r="IO55" t="e">
        <f>AND(Bills!#REF!,"AAAAAF/d8/g=")</f>
        <v>#REF!</v>
      </c>
      <c r="IP55" t="e">
        <f>AND(Bills!D47,"AAAAAF/d8/k=")</f>
        <v>#VALUE!</v>
      </c>
      <c r="IQ55" t="e">
        <f>AND(Bills!#REF!,"AAAAAF/d8/o=")</f>
        <v>#REF!</v>
      </c>
      <c r="IR55" t="e">
        <f>AND(Bills!E47,"AAAAAF/d8/s=")</f>
        <v>#VALUE!</v>
      </c>
      <c r="IS55" t="e">
        <f>AND(Bills!F47,"AAAAAF/d8/w=")</f>
        <v>#VALUE!</v>
      </c>
      <c r="IT55" t="e">
        <f>AND(Bills!G47,"AAAAAF/d8/0=")</f>
        <v>#VALUE!</v>
      </c>
      <c r="IU55" t="e">
        <f>AND(Bills!H47,"AAAAAF/d8/4=")</f>
        <v>#VALUE!</v>
      </c>
      <c r="IV55" t="e">
        <f>AND(Bills!I47,"AAAAAF/d8/8=")</f>
        <v>#VALUE!</v>
      </c>
    </row>
    <row r="56" spans="1:256">
      <c r="A56" t="e">
        <f>AND(Bills!J47,"AAAAAFfvNQA=")</f>
        <v>#VALUE!</v>
      </c>
      <c r="B56" t="e">
        <f>AND(Bills!#REF!,"AAAAAFfvNQE=")</f>
        <v>#REF!</v>
      </c>
      <c r="C56" t="e">
        <f>AND(Bills!K47,"AAAAAFfvNQI=")</f>
        <v>#VALUE!</v>
      </c>
      <c r="D56" t="e">
        <f>AND(Bills!L47,"AAAAAFfvNQM=")</f>
        <v>#VALUE!</v>
      </c>
      <c r="E56" t="e">
        <f>AND(Bills!M47,"AAAAAFfvNQQ=")</f>
        <v>#VALUE!</v>
      </c>
      <c r="F56" t="e">
        <f>AND(Bills!N47,"AAAAAFfvNQU=")</f>
        <v>#VALUE!</v>
      </c>
      <c r="G56" t="e">
        <f>AND(Bills!O47,"AAAAAFfvNQY=")</f>
        <v>#VALUE!</v>
      </c>
      <c r="H56" t="e">
        <f>AND(Bills!P47,"AAAAAFfvNQc=")</f>
        <v>#VALUE!</v>
      </c>
      <c r="I56" t="e">
        <f>AND(Bills!Q47,"AAAAAFfvNQg=")</f>
        <v>#VALUE!</v>
      </c>
      <c r="J56" t="e">
        <f>AND(Bills!R47,"AAAAAFfvNQk=")</f>
        <v>#VALUE!</v>
      </c>
      <c r="K56" t="e">
        <f>AND(Bills!#REF!,"AAAAAFfvNQo=")</f>
        <v>#REF!</v>
      </c>
      <c r="L56" t="e">
        <f>AND(Bills!S47,"AAAAAFfvNQs=")</f>
        <v>#VALUE!</v>
      </c>
      <c r="M56" t="e">
        <f>AND(Bills!T47,"AAAAAFfvNQw=")</f>
        <v>#VALUE!</v>
      </c>
      <c r="N56" t="e">
        <f>AND(Bills!U47,"AAAAAFfvNQ0=")</f>
        <v>#VALUE!</v>
      </c>
      <c r="O56" t="e">
        <f>AND(Bills!#REF!,"AAAAAFfvNQ4=")</f>
        <v>#REF!</v>
      </c>
      <c r="P56" t="e">
        <f>AND(Bills!#REF!,"AAAAAFfvNQ8=")</f>
        <v>#REF!</v>
      </c>
      <c r="Q56" t="e">
        <f>AND(Bills!W47,"AAAAAFfvNRA=")</f>
        <v>#VALUE!</v>
      </c>
      <c r="R56" t="e">
        <f>AND(Bills!X47,"AAAAAFfvNRE=")</f>
        <v>#VALUE!</v>
      </c>
      <c r="S56" t="e">
        <f>AND(Bills!#REF!,"AAAAAFfvNRI=")</f>
        <v>#REF!</v>
      </c>
      <c r="T56" t="e">
        <f>AND(Bills!#REF!,"AAAAAFfvNRM=")</f>
        <v>#REF!</v>
      </c>
      <c r="U56" t="e">
        <f>AND(Bills!#REF!,"AAAAAFfvNRQ=")</f>
        <v>#REF!</v>
      </c>
      <c r="V56" t="e">
        <f>AND(Bills!#REF!,"AAAAAFfvNRU=")</f>
        <v>#REF!</v>
      </c>
      <c r="W56" t="e">
        <f>AND(Bills!#REF!,"AAAAAFfvNRY=")</f>
        <v>#REF!</v>
      </c>
      <c r="X56" t="e">
        <f>AND(Bills!#REF!,"AAAAAFfvNRc=")</f>
        <v>#REF!</v>
      </c>
      <c r="Y56" t="e">
        <f>AND(Bills!#REF!,"AAAAAFfvNRg=")</f>
        <v>#REF!</v>
      </c>
      <c r="Z56" t="e">
        <f>AND(Bills!#REF!,"AAAAAFfvNRk=")</f>
        <v>#REF!</v>
      </c>
      <c r="AA56" t="e">
        <f>AND(Bills!#REF!,"AAAAAFfvNRo=")</f>
        <v>#REF!</v>
      </c>
      <c r="AB56" t="e">
        <f>AND(Bills!Y47,"AAAAAFfvNRs=")</f>
        <v>#VALUE!</v>
      </c>
      <c r="AC56" t="e">
        <f>AND(Bills!Z47,"AAAAAFfvNRw=")</f>
        <v>#VALUE!</v>
      </c>
      <c r="AD56" t="e">
        <f>AND(Bills!#REF!,"AAAAAFfvNR0=")</f>
        <v>#REF!</v>
      </c>
      <c r="AE56" t="e">
        <f>AND(Bills!#REF!,"AAAAAFfvNR4=")</f>
        <v>#REF!</v>
      </c>
      <c r="AF56" t="e">
        <f>AND(Bills!#REF!,"AAAAAFfvNR8=")</f>
        <v>#REF!</v>
      </c>
      <c r="AG56" t="e">
        <f>AND(Bills!AA47,"AAAAAFfvNSA=")</f>
        <v>#VALUE!</v>
      </c>
      <c r="AH56" t="e">
        <f>AND(Bills!AB47,"AAAAAFfvNSE=")</f>
        <v>#VALUE!</v>
      </c>
      <c r="AI56" t="e">
        <f>AND(Bills!#REF!,"AAAAAFfvNSI=")</f>
        <v>#REF!</v>
      </c>
      <c r="AJ56">
        <f>IF(Bills!48:48,"AAAAAFfvNSM=",0)</f>
        <v>0</v>
      </c>
      <c r="AK56" t="e">
        <f>AND(Bills!B48,"AAAAAFfvNSQ=")</f>
        <v>#VALUE!</v>
      </c>
      <c r="AL56" t="e">
        <f>AND(Bills!#REF!,"AAAAAFfvNSU=")</f>
        <v>#REF!</v>
      </c>
      <c r="AM56" t="e">
        <f>AND(Bills!C48,"AAAAAFfvNSY=")</f>
        <v>#VALUE!</v>
      </c>
      <c r="AN56" t="e">
        <f>AND(Bills!#REF!,"AAAAAFfvNSc=")</f>
        <v>#REF!</v>
      </c>
      <c r="AO56" t="e">
        <f>AND(Bills!#REF!,"AAAAAFfvNSg=")</f>
        <v>#REF!</v>
      </c>
      <c r="AP56" t="e">
        <f>AND(Bills!#REF!,"AAAAAFfvNSk=")</f>
        <v>#REF!</v>
      </c>
      <c r="AQ56" t="e">
        <f>AND(Bills!#REF!,"AAAAAFfvNSo=")</f>
        <v>#REF!</v>
      </c>
      <c r="AR56" t="e">
        <f>AND(Bills!#REF!,"AAAAAFfvNSs=")</f>
        <v>#REF!</v>
      </c>
      <c r="AS56" t="e">
        <f>AND(Bills!D48,"AAAAAFfvNSw=")</f>
        <v>#VALUE!</v>
      </c>
      <c r="AT56" t="e">
        <f>AND(Bills!#REF!,"AAAAAFfvNS0=")</f>
        <v>#REF!</v>
      </c>
      <c r="AU56" t="e">
        <f>AND(Bills!E48,"AAAAAFfvNS4=")</f>
        <v>#VALUE!</v>
      </c>
      <c r="AV56" t="e">
        <f>AND(Bills!F48,"AAAAAFfvNS8=")</f>
        <v>#VALUE!</v>
      </c>
      <c r="AW56" t="e">
        <f>AND(Bills!G48,"AAAAAFfvNTA=")</f>
        <v>#VALUE!</v>
      </c>
      <c r="AX56" t="e">
        <f>AND(Bills!H48,"AAAAAFfvNTE=")</f>
        <v>#VALUE!</v>
      </c>
      <c r="AY56" t="e">
        <f>AND(Bills!I48,"AAAAAFfvNTI=")</f>
        <v>#VALUE!</v>
      </c>
      <c r="AZ56" t="e">
        <f>AND(Bills!J48,"AAAAAFfvNTM=")</f>
        <v>#VALUE!</v>
      </c>
      <c r="BA56" t="e">
        <f>AND(Bills!#REF!,"AAAAAFfvNTQ=")</f>
        <v>#REF!</v>
      </c>
      <c r="BB56" t="e">
        <f>AND(Bills!K48,"AAAAAFfvNTU=")</f>
        <v>#VALUE!</v>
      </c>
      <c r="BC56" t="e">
        <f>AND(Bills!L48,"AAAAAFfvNTY=")</f>
        <v>#VALUE!</v>
      </c>
      <c r="BD56" t="e">
        <f>AND(Bills!M48,"AAAAAFfvNTc=")</f>
        <v>#VALUE!</v>
      </c>
      <c r="BE56" t="e">
        <f>AND(Bills!N48,"AAAAAFfvNTg=")</f>
        <v>#VALUE!</v>
      </c>
      <c r="BF56" t="e">
        <f>AND(Bills!O48,"AAAAAFfvNTk=")</f>
        <v>#VALUE!</v>
      </c>
      <c r="BG56" t="e">
        <f>AND(Bills!P48,"AAAAAFfvNTo=")</f>
        <v>#VALUE!</v>
      </c>
      <c r="BH56" t="e">
        <f>AND(Bills!Q48,"AAAAAFfvNTs=")</f>
        <v>#VALUE!</v>
      </c>
      <c r="BI56" t="e">
        <f>AND(Bills!R48,"AAAAAFfvNTw=")</f>
        <v>#VALUE!</v>
      </c>
      <c r="BJ56" t="e">
        <f>AND(Bills!#REF!,"AAAAAFfvNT0=")</f>
        <v>#REF!</v>
      </c>
      <c r="BK56" t="e">
        <f>AND(Bills!S48,"AAAAAFfvNT4=")</f>
        <v>#VALUE!</v>
      </c>
      <c r="BL56" t="e">
        <f>AND(Bills!T48,"AAAAAFfvNT8=")</f>
        <v>#VALUE!</v>
      </c>
      <c r="BM56" t="e">
        <f>AND(Bills!U48,"AAAAAFfvNUA=")</f>
        <v>#VALUE!</v>
      </c>
      <c r="BN56" t="e">
        <f>AND(Bills!#REF!,"AAAAAFfvNUE=")</f>
        <v>#REF!</v>
      </c>
      <c r="BO56" t="e">
        <f>AND(Bills!#REF!,"AAAAAFfvNUI=")</f>
        <v>#REF!</v>
      </c>
      <c r="BP56" t="e">
        <f>AND(Bills!W48,"AAAAAFfvNUM=")</f>
        <v>#VALUE!</v>
      </c>
      <c r="BQ56" t="e">
        <f>AND(Bills!X48,"AAAAAFfvNUQ=")</f>
        <v>#VALUE!</v>
      </c>
      <c r="BR56" t="e">
        <f>AND(Bills!#REF!,"AAAAAFfvNUU=")</f>
        <v>#REF!</v>
      </c>
      <c r="BS56" t="e">
        <f>AND(Bills!#REF!,"AAAAAFfvNUY=")</f>
        <v>#REF!</v>
      </c>
      <c r="BT56" t="e">
        <f>AND(Bills!#REF!,"AAAAAFfvNUc=")</f>
        <v>#REF!</v>
      </c>
      <c r="BU56" t="e">
        <f>AND(Bills!#REF!,"AAAAAFfvNUg=")</f>
        <v>#REF!</v>
      </c>
      <c r="BV56" t="e">
        <f>AND(Bills!#REF!,"AAAAAFfvNUk=")</f>
        <v>#REF!</v>
      </c>
      <c r="BW56" t="e">
        <f>AND(Bills!#REF!,"AAAAAFfvNUo=")</f>
        <v>#REF!</v>
      </c>
      <c r="BX56" t="e">
        <f>AND(Bills!#REF!,"AAAAAFfvNUs=")</f>
        <v>#REF!</v>
      </c>
      <c r="BY56" t="e">
        <f>AND(Bills!#REF!,"AAAAAFfvNUw=")</f>
        <v>#REF!</v>
      </c>
      <c r="BZ56" t="e">
        <f>AND(Bills!#REF!,"AAAAAFfvNU0=")</f>
        <v>#REF!</v>
      </c>
      <c r="CA56" t="e">
        <f>AND(Bills!Y48,"AAAAAFfvNU4=")</f>
        <v>#VALUE!</v>
      </c>
      <c r="CB56" t="e">
        <f>AND(Bills!Z48,"AAAAAFfvNU8=")</f>
        <v>#VALUE!</v>
      </c>
      <c r="CC56" t="e">
        <f>AND(Bills!#REF!,"AAAAAFfvNVA=")</f>
        <v>#REF!</v>
      </c>
      <c r="CD56" t="e">
        <f>AND(Bills!#REF!,"AAAAAFfvNVE=")</f>
        <v>#REF!</v>
      </c>
      <c r="CE56" t="e">
        <f>AND(Bills!#REF!,"AAAAAFfvNVI=")</f>
        <v>#REF!</v>
      </c>
      <c r="CF56" t="e">
        <f>AND(Bills!AA48,"AAAAAFfvNVM=")</f>
        <v>#VALUE!</v>
      </c>
      <c r="CG56" t="e">
        <f>AND(Bills!AB48,"AAAAAFfvNVQ=")</f>
        <v>#VALUE!</v>
      </c>
      <c r="CH56" t="e">
        <f>AND(Bills!#REF!,"AAAAAFfvNVU=")</f>
        <v>#REF!</v>
      </c>
      <c r="CI56">
        <f>IF(Bills!49:49,"AAAAAFfvNVY=",0)</f>
        <v>0</v>
      </c>
      <c r="CJ56" t="e">
        <f>AND(Bills!B49,"AAAAAFfvNVc=")</f>
        <v>#VALUE!</v>
      </c>
      <c r="CK56" t="e">
        <f>AND(Bills!#REF!,"AAAAAFfvNVg=")</f>
        <v>#REF!</v>
      </c>
      <c r="CL56" t="e">
        <f>AND(Bills!C49,"AAAAAFfvNVk=")</f>
        <v>#VALUE!</v>
      </c>
      <c r="CM56" t="e">
        <f>AND(Bills!#REF!,"AAAAAFfvNVo=")</f>
        <v>#REF!</v>
      </c>
      <c r="CN56" t="e">
        <f>AND(Bills!#REF!,"AAAAAFfvNVs=")</f>
        <v>#REF!</v>
      </c>
      <c r="CO56" t="e">
        <f>AND(Bills!#REF!,"AAAAAFfvNVw=")</f>
        <v>#REF!</v>
      </c>
      <c r="CP56" t="e">
        <f>AND(Bills!#REF!,"AAAAAFfvNV0=")</f>
        <v>#REF!</v>
      </c>
      <c r="CQ56" t="e">
        <f>AND(Bills!#REF!,"AAAAAFfvNV4=")</f>
        <v>#REF!</v>
      </c>
      <c r="CR56" t="e">
        <f>AND(Bills!D49,"AAAAAFfvNV8=")</f>
        <v>#VALUE!</v>
      </c>
      <c r="CS56" t="e">
        <f>AND(Bills!#REF!,"AAAAAFfvNWA=")</f>
        <v>#REF!</v>
      </c>
      <c r="CT56" t="e">
        <f>AND(Bills!E49,"AAAAAFfvNWE=")</f>
        <v>#VALUE!</v>
      </c>
      <c r="CU56" t="e">
        <f>AND(Bills!F49,"AAAAAFfvNWI=")</f>
        <v>#VALUE!</v>
      </c>
      <c r="CV56" t="e">
        <f>AND(Bills!G49,"AAAAAFfvNWM=")</f>
        <v>#VALUE!</v>
      </c>
      <c r="CW56" t="e">
        <f>AND(Bills!H49,"AAAAAFfvNWQ=")</f>
        <v>#VALUE!</v>
      </c>
      <c r="CX56" t="e">
        <f>AND(Bills!I49,"AAAAAFfvNWU=")</f>
        <v>#VALUE!</v>
      </c>
      <c r="CY56" t="e">
        <f>AND(Bills!J49,"AAAAAFfvNWY=")</f>
        <v>#VALUE!</v>
      </c>
      <c r="CZ56" t="e">
        <f>AND(Bills!#REF!,"AAAAAFfvNWc=")</f>
        <v>#REF!</v>
      </c>
      <c r="DA56" t="e">
        <f>AND(Bills!K49,"AAAAAFfvNWg=")</f>
        <v>#VALUE!</v>
      </c>
      <c r="DB56" t="e">
        <f>AND(Bills!L49,"AAAAAFfvNWk=")</f>
        <v>#VALUE!</v>
      </c>
      <c r="DC56" t="e">
        <f>AND(Bills!M49,"AAAAAFfvNWo=")</f>
        <v>#VALUE!</v>
      </c>
      <c r="DD56" t="e">
        <f>AND(Bills!N49,"AAAAAFfvNWs=")</f>
        <v>#VALUE!</v>
      </c>
      <c r="DE56" t="e">
        <f>AND(Bills!O49,"AAAAAFfvNWw=")</f>
        <v>#VALUE!</v>
      </c>
      <c r="DF56" t="e">
        <f>AND(Bills!P49,"AAAAAFfvNW0=")</f>
        <v>#VALUE!</v>
      </c>
      <c r="DG56" t="e">
        <f>AND(Bills!Q49,"AAAAAFfvNW4=")</f>
        <v>#VALUE!</v>
      </c>
      <c r="DH56" t="e">
        <f>AND(Bills!R49,"AAAAAFfvNW8=")</f>
        <v>#VALUE!</v>
      </c>
      <c r="DI56" t="e">
        <f>AND(Bills!#REF!,"AAAAAFfvNXA=")</f>
        <v>#REF!</v>
      </c>
      <c r="DJ56" t="e">
        <f>AND(Bills!S49,"AAAAAFfvNXE=")</f>
        <v>#VALUE!</v>
      </c>
      <c r="DK56" t="e">
        <f>AND(Bills!T49,"AAAAAFfvNXI=")</f>
        <v>#VALUE!</v>
      </c>
      <c r="DL56" t="e">
        <f>AND(Bills!U49,"AAAAAFfvNXM=")</f>
        <v>#VALUE!</v>
      </c>
      <c r="DM56" t="e">
        <f>AND(Bills!#REF!,"AAAAAFfvNXQ=")</f>
        <v>#REF!</v>
      </c>
      <c r="DN56" t="e">
        <f>AND(Bills!#REF!,"AAAAAFfvNXU=")</f>
        <v>#REF!</v>
      </c>
      <c r="DO56" t="e">
        <f>AND(Bills!W49,"AAAAAFfvNXY=")</f>
        <v>#VALUE!</v>
      </c>
      <c r="DP56" t="e">
        <f>AND(Bills!X49,"AAAAAFfvNXc=")</f>
        <v>#VALUE!</v>
      </c>
      <c r="DQ56" t="e">
        <f>AND(Bills!#REF!,"AAAAAFfvNXg=")</f>
        <v>#REF!</v>
      </c>
      <c r="DR56" t="e">
        <f>AND(Bills!#REF!,"AAAAAFfvNXk=")</f>
        <v>#REF!</v>
      </c>
      <c r="DS56" t="e">
        <f>AND(Bills!#REF!,"AAAAAFfvNXo=")</f>
        <v>#REF!</v>
      </c>
      <c r="DT56" t="e">
        <f>AND(Bills!#REF!,"AAAAAFfvNXs=")</f>
        <v>#REF!</v>
      </c>
      <c r="DU56" t="e">
        <f>AND(Bills!#REF!,"AAAAAFfvNXw=")</f>
        <v>#REF!</v>
      </c>
      <c r="DV56" t="e">
        <f>AND(Bills!#REF!,"AAAAAFfvNX0=")</f>
        <v>#REF!</v>
      </c>
      <c r="DW56" t="e">
        <f>AND(Bills!#REF!,"AAAAAFfvNX4=")</f>
        <v>#REF!</v>
      </c>
      <c r="DX56" t="e">
        <f>AND(Bills!#REF!,"AAAAAFfvNX8=")</f>
        <v>#REF!</v>
      </c>
      <c r="DY56" t="e">
        <f>AND(Bills!#REF!,"AAAAAFfvNYA=")</f>
        <v>#REF!</v>
      </c>
      <c r="DZ56" t="e">
        <f>AND(Bills!Y49,"AAAAAFfvNYE=")</f>
        <v>#VALUE!</v>
      </c>
      <c r="EA56" t="e">
        <f>AND(Bills!Z49,"AAAAAFfvNYI=")</f>
        <v>#VALUE!</v>
      </c>
      <c r="EB56" t="e">
        <f>AND(Bills!#REF!,"AAAAAFfvNYM=")</f>
        <v>#REF!</v>
      </c>
      <c r="EC56" t="e">
        <f>AND(Bills!#REF!,"AAAAAFfvNYQ=")</f>
        <v>#REF!</v>
      </c>
      <c r="ED56" t="e">
        <f>AND(Bills!#REF!,"AAAAAFfvNYU=")</f>
        <v>#REF!</v>
      </c>
      <c r="EE56" t="e">
        <f>AND(Bills!AA49,"AAAAAFfvNYY=")</f>
        <v>#VALUE!</v>
      </c>
      <c r="EF56" t="e">
        <f>AND(Bills!AB49,"AAAAAFfvNYc=")</f>
        <v>#VALUE!</v>
      </c>
      <c r="EG56" t="e">
        <f>AND(Bills!#REF!,"AAAAAFfvNYg=")</f>
        <v>#REF!</v>
      </c>
      <c r="EH56">
        <f>IF(Bills!50:50,"AAAAAFfvNYk=",0)</f>
        <v>0</v>
      </c>
      <c r="EI56" t="e">
        <f>AND(Bills!B50,"AAAAAFfvNYo=")</f>
        <v>#VALUE!</v>
      </c>
      <c r="EJ56" t="e">
        <f>AND(Bills!#REF!,"AAAAAFfvNYs=")</f>
        <v>#REF!</v>
      </c>
      <c r="EK56" t="e">
        <f>AND(Bills!C50,"AAAAAFfvNYw=")</f>
        <v>#VALUE!</v>
      </c>
      <c r="EL56" t="e">
        <f>AND(Bills!#REF!,"AAAAAFfvNY0=")</f>
        <v>#REF!</v>
      </c>
      <c r="EM56" t="e">
        <f>AND(Bills!#REF!,"AAAAAFfvNY4=")</f>
        <v>#REF!</v>
      </c>
      <c r="EN56" t="e">
        <f>AND(Bills!#REF!,"AAAAAFfvNY8=")</f>
        <v>#REF!</v>
      </c>
      <c r="EO56" t="e">
        <f>AND(Bills!#REF!,"AAAAAFfvNZA=")</f>
        <v>#REF!</v>
      </c>
      <c r="EP56" t="e">
        <f>AND(Bills!#REF!,"AAAAAFfvNZE=")</f>
        <v>#REF!</v>
      </c>
      <c r="EQ56" t="e">
        <f>AND(Bills!D50,"AAAAAFfvNZI=")</f>
        <v>#VALUE!</v>
      </c>
      <c r="ER56" t="e">
        <f>AND(Bills!#REF!,"AAAAAFfvNZM=")</f>
        <v>#REF!</v>
      </c>
      <c r="ES56" t="e">
        <f>AND(Bills!E50,"AAAAAFfvNZQ=")</f>
        <v>#VALUE!</v>
      </c>
      <c r="ET56" t="e">
        <f>AND(Bills!F50,"AAAAAFfvNZU=")</f>
        <v>#VALUE!</v>
      </c>
      <c r="EU56" t="e">
        <f>AND(Bills!G50,"AAAAAFfvNZY=")</f>
        <v>#VALUE!</v>
      </c>
      <c r="EV56" t="e">
        <f>AND(Bills!H50,"AAAAAFfvNZc=")</f>
        <v>#VALUE!</v>
      </c>
      <c r="EW56" t="e">
        <f>AND(Bills!I50,"AAAAAFfvNZg=")</f>
        <v>#VALUE!</v>
      </c>
      <c r="EX56" t="e">
        <f>AND(Bills!J50,"AAAAAFfvNZk=")</f>
        <v>#VALUE!</v>
      </c>
      <c r="EY56" t="e">
        <f>AND(Bills!#REF!,"AAAAAFfvNZo=")</f>
        <v>#REF!</v>
      </c>
      <c r="EZ56" t="e">
        <f>AND(Bills!K50,"AAAAAFfvNZs=")</f>
        <v>#VALUE!</v>
      </c>
      <c r="FA56" t="e">
        <f>AND(Bills!L50,"AAAAAFfvNZw=")</f>
        <v>#VALUE!</v>
      </c>
      <c r="FB56" t="e">
        <f>AND(Bills!M50,"AAAAAFfvNZ0=")</f>
        <v>#VALUE!</v>
      </c>
      <c r="FC56" t="e">
        <f>AND(Bills!N50,"AAAAAFfvNZ4=")</f>
        <v>#VALUE!</v>
      </c>
      <c r="FD56" t="e">
        <f>AND(Bills!O50,"AAAAAFfvNZ8=")</f>
        <v>#VALUE!</v>
      </c>
      <c r="FE56" t="e">
        <f>AND(Bills!P50,"AAAAAFfvNaA=")</f>
        <v>#VALUE!</v>
      </c>
      <c r="FF56" t="e">
        <f>AND(Bills!Q50,"AAAAAFfvNaE=")</f>
        <v>#VALUE!</v>
      </c>
      <c r="FG56" t="e">
        <f>AND(Bills!R50,"AAAAAFfvNaI=")</f>
        <v>#VALUE!</v>
      </c>
      <c r="FH56" t="e">
        <f>AND(Bills!#REF!,"AAAAAFfvNaM=")</f>
        <v>#REF!</v>
      </c>
      <c r="FI56" t="e">
        <f>AND(Bills!S50,"AAAAAFfvNaQ=")</f>
        <v>#VALUE!</v>
      </c>
      <c r="FJ56" t="e">
        <f>AND(Bills!T50,"AAAAAFfvNaU=")</f>
        <v>#VALUE!</v>
      </c>
      <c r="FK56" t="e">
        <f>AND(Bills!U50,"AAAAAFfvNaY=")</f>
        <v>#VALUE!</v>
      </c>
      <c r="FL56" t="e">
        <f>AND(Bills!#REF!,"AAAAAFfvNac=")</f>
        <v>#REF!</v>
      </c>
      <c r="FM56" t="e">
        <f>AND(Bills!#REF!,"AAAAAFfvNag=")</f>
        <v>#REF!</v>
      </c>
      <c r="FN56" t="e">
        <f>AND(Bills!W50,"AAAAAFfvNak=")</f>
        <v>#VALUE!</v>
      </c>
      <c r="FO56" t="e">
        <f>AND(Bills!X50,"AAAAAFfvNao=")</f>
        <v>#VALUE!</v>
      </c>
      <c r="FP56" t="e">
        <f>AND(Bills!#REF!,"AAAAAFfvNas=")</f>
        <v>#REF!</v>
      </c>
      <c r="FQ56" t="e">
        <f>AND(Bills!#REF!,"AAAAAFfvNaw=")</f>
        <v>#REF!</v>
      </c>
      <c r="FR56" t="e">
        <f>AND(Bills!#REF!,"AAAAAFfvNa0=")</f>
        <v>#REF!</v>
      </c>
      <c r="FS56" t="e">
        <f>AND(Bills!#REF!,"AAAAAFfvNa4=")</f>
        <v>#REF!</v>
      </c>
      <c r="FT56" t="e">
        <f>AND(Bills!#REF!,"AAAAAFfvNa8=")</f>
        <v>#REF!</v>
      </c>
      <c r="FU56" t="e">
        <f>AND(Bills!#REF!,"AAAAAFfvNbA=")</f>
        <v>#REF!</v>
      </c>
      <c r="FV56" t="e">
        <f>AND(Bills!#REF!,"AAAAAFfvNbE=")</f>
        <v>#REF!</v>
      </c>
      <c r="FW56" t="e">
        <f>AND(Bills!#REF!,"AAAAAFfvNbI=")</f>
        <v>#REF!</v>
      </c>
      <c r="FX56" t="e">
        <f>AND(Bills!#REF!,"AAAAAFfvNbM=")</f>
        <v>#REF!</v>
      </c>
      <c r="FY56" t="e">
        <f>AND(Bills!Y50,"AAAAAFfvNbQ=")</f>
        <v>#VALUE!</v>
      </c>
      <c r="FZ56" t="e">
        <f>AND(Bills!Z50,"AAAAAFfvNbU=")</f>
        <v>#VALUE!</v>
      </c>
      <c r="GA56" t="e">
        <f>AND(Bills!#REF!,"AAAAAFfvNbY=")</f>
        <v>#REF!</v>
      </c>
      <c r="GB56" t="e">
        <f>AND(Bills!#REF!,"AAAAAFfvNbc=")</f>
        <v>#REF!</v>
      </c>
      <c r="GC56" t="e">
        <f>AND(Bills!#REF!,"AAAAAFfvNbg=")</f>
        <v>#REF!</v>
      </c>
      <c r="GD56" t="e">
        <f>AND(Bills!AA50,"AAAAAFfvNbk=")</f>
        <v>#VALUE!</v>
      </c>
      <c r="GE56" t="e">
        <f>AND(Bills!AB50,"AAAAAFfvNbo=")</f>
        <v>#VALUE!</v>
      </c>
      <c r="GF56" t="e">
        <f>AND(Bills!#REF!,"AAAAAFfvNbs=")</f>
        <v>#REF!</v>
      </c>
      <c r="GG56">
        <f>IF(Bills!51:51,"AAAAAFfvNbw=",0)</f>
        <v>0</v>
      </c>
      <c r="GH56" t="e">
        <f>AND(Bills!B51,"AAAAAFfvNb0=")</f>
        <v>#VALUE!</v>
      </c>
      <c r="GI56" t="e">
        <f>AND(Bills!#REF!,"AAAAAFfvNb4=")</f>
        <v>#REF!</v>
      </c>
      <c r="GJ56" t="e">
        <f>AND(Bills!C51,"AAAAAFfvNb8=")</f>
        <v>#VALUE!</v>
      </c>
      <c r="GK56" t="e">
        <f>AND(Bills!#REF!,"AAAAAFfvNcA=")</f>
        <v>#REF!</v>
      </c>
      <c r="GL56" t="e">
        <f>AND(Bills!#REF!,"AAAAAFfvNcE=")</f>
        <v>#REF!</v>
      </c>
      <c r="GM56" t="e">
        <f>AND(Bills!#REF!,"AAAAAFfvNcI=")</f>
        <v>#REF!</v>
      </c>
      <c r="GN56" t="e">
        <f>AND(Bills!#REF!,"AAAAAFfvNcM=")</f>
        <v>#REF!</v>
      </c>
      <c r="GO56" t="e">
        <f>AND(Bills!#REF!,"AAAAAFfvNcQ=")</f>
        <v>#REF!</v>
      </c>
      <c r="GP56" t="e">
        <f>AND(Bills!D51,"AAAAAFfvNcU=")</f>
        <v>#VALUE!</v>
      </c>
      <c r="GQ56" t="e">
        <f>AND(Bills!#REF!,"AAAAAFfvNcY=")</f>
        <v>#REF!</v>
      </c>
      <c r="GR56" t="e">
        <f>AND(Bills!E51,"AAAAAFfvNcc=")</f>
        <v>#VALUE!</v>
      </c>
      <c r="GS56" t="e">
        <f>AND(Bills!F51,"AAAAAFfvNcg=")</f>
        <v>#VALUE!</v>
      </c>
      <c r="GT56" t="e">
        <f>AND(Bills!G51,"AAAAAFfvNck=")</f>
        <v>#VALUE!</v>
      </c>
      <c r="GU56" t="e">
        <f>AND(Bills!H51,"AAAAAFfvNco=")</f>
        <v>#VALUE!</v>
      </c>
      <c r="GV56" t="e">
        <f>AND(Bills!I51,"AAAAAFfvNcs=")</f>
        <v>#VALUE!</v>
      </c>
      <c r="GW56" t="e">
        <f>AND(Bills!J51,"AAAAAFfvNcw=")</f>
        <v>#VALUE!</v>
      </c>
      <c r="GX56" t="e">
        <f>AND(Bills!#REF!,"AAAAAFfvNc0=")</f>
        <v>#REF!</v>
      </c>
      <c r="GY56" t="e">
        <f>AND(Bills!K51,"AAAAAFfvNc4=")</f>
        <v>#VALUE!</v>
      </c>
      <c r="GZ56" t="e">
        <f>AND(Bills!L51,"AAAAAFfvNc8=")</f>
        <v>#VALUE!</v>
      </c>
      <c r="HA56" t="e">
        <f>AND(Bills!M51,"AAAAAFfvNdA=")</f>
        <v>#VALUE!</v>
      </c>
      <c r="HB56" t="e">
        <f>AND(Bills!N51,"AAAAAFfvNdE=")</f>
        <v>#VALUE!</v>
      </c>
      <c r="HC56" t="e">
        <f>AND(Bills!O51,"AAAAAFfvNdI=")</f>
        <v>#VALUE!</v>
      </c>
      <c r="HD56" t="e">
        <f>AND(Bills!P51,"AAAAAFfvNdM=")</f>
        <v>#VALUE!</v>
      </c>
      <c r="HE56" t="e">
        <f>AND(Bills!Q51,"AAAAAFfvNdQ=")</f>
        <v>#VALUE!</v>
      </c>
      <c r="HF56" t="e">
        <f>AND(Bills!R51,"AAAAAFfvNdU=")</f>
        <v>#VALUE!</v>
      </c>
      <c r="HG56" t="e">
        <f>AND(Bills!#REF!,"AAAAAFfvNdY=")</f>
        <v>#REF!</v>
      </c>
      <c r="HH56" t="e">
        <f>AND(Bills!S51,"AAAAAFfvNdc=")</f>
        <v>#VALUE!</v>
      </c>
      <c r="HI56" t="e">
        <f>AND(Bills!T51,"AAAAAFfvNdg=")</f>
        <v>#VALUE!</v>
      </c>
      <c r="HJ56" t="e">
        <f>AND(Bills!U51,"AAAAAFfvNdk=")</f>
        <v>#VALUE!</v>
      </c>
      <c r="HK56" t="e">
        <f>AND(Bills!#REF!,"AAAAAFfvNdo=")</f>
        <v>#REF!</v>
      </c>
      <c r="HL56" t="e">
        <f>AND(Bills!#REF!,"AAAAAFfvNds=")</f>
        <v>#REF!</v>
      </c>
      <c r="HM56" t="e">
        <f>AND(Bills!W51,"AAAAAFfvNdw=")</f>
        <v>#VALUE!</v>
      </c>
      <c r="HN56" t="e">
        <f>AND(Bills!X51,"AAAAAFfvNd0=")</f>
        <v>#VALUE!</v>
      </c>
      <c r="HO56" t="e">
        <f>AND(Bills!#REF!,"AAAAAFfvNd4=")</f>
        <v>#REF!</v>
      </c>
      <c r="HP56" t="e">
        <f>AND(Bills!#REF!,"AAAAAFfvNd8=")</f>
        <v>#REF!</v>
      </c>
      <c r="HQ56" t="e">
        <f>AND(Bills!#REF!,"AAAAAFfvNeA=")</f>
        <v>#REF!</v>
      </c>
      <c r="HR56" t="e">
        <f>AND(Bills!#REF!,"AAAAAFfvNeE=")</f>
        <v>#REF!</v>
      </c>
      <c r="HS56" t="e">
        <f>AND(Bills!#REF!,"AAAAAFfvNeI=")</f>
        <v>#REF!</v>
      </c>
      <c r="HT56" t="e">
        <f>AND(Bills!#REF!,"AAAAAFfvNeM=")</f>
        <v>#REF!</v>
      </c>
      <c r="HU56" t="e">
        <f>AND(Bills!#REF!,"AAAAAFfvNeQ=")</f>
        <v>#REF!</v>
      </c>
      <c r="HV56" t="e">
        <f>AND(Bills!#REF!,"AAAAAFfvNeU=")</f>
        <v>#REF!</v>
      </c>
      <c r="HW56" t="e">
        <f>AND(Bills!#REF!,"AAAAAFfvNeY=")</f>
        <v>#REF!</v>
      </c>
      <c r="HX56" t="e">
        <f>AND(Bills!Y51,"AAAAAFfvNec=")</f>
        <v>#VALUE!</v>
      </c>
      <c r="HY56" t="e">
        <f>AND(Bills!Z51,"AAAAAFfvNeg=")</f>
        <v>#VALUE!</v>
      </c>
      <c r="HZ56" t="e">
        <f>AND(Bills!#REF!,"AAAAAFfvNek=")</f>
        <v>#REF!</v>
      </c>
      <c r="IA56" t="e">
        <f>AND(Bills!#REF!,"AAAAAFfvNeo=")</f>
        <v>#REF!</v>
      </c>
      <c r="IB56" t="e">
        <f>AND(Bills!#REF!,"AAAAAFfvNes=")</f>
        <v>#REF!</v>
      </c>
      <c r="IC56" t="e">
        <f>AND(Bills!AA51,"AAAAAFfvNew=")</f>
        <v>#VALUE!</v>
      </c>
      <c r="ID56" t="e">
        <f>AND(Bills!AB51,"AAAAAFfvNe0=")</f>
        <v>#VALUE!</v>
      </c>
      <c r="IE56" t="e">
        <f>AND(Bills!#REF!,"AAAAAFfvNe4=")</f>
        <v>#REF!</v>
      </c>
      <c r="IF56">
        <f>IF(Bills!52:52,"AAAAAFfvNe8=",0)</f>
        <v>0</v>
      </c>
      <c r="IG56" t="e">
        <f>AND(Bills!B52,"AAAAAFfvNfA=")</f>
        <v>#VALUE!</v>
      </c>
      <c r="IH56" t="e">
        <f>AND(Bills!#REF!,"AAAAAFfvNfE=")</f>
        <v>#REF!</v>
      </c>
      <c r="II56" t="e">
        <f>AND(Bills!C52,"AAAAAFfvNfI=")</f>
        <v>#VALUE!</v>
      </c>
      <c r="IJ56" t="e">
        <f>AND(Bills!#REF!,"AAAAAFfvNfM=")</f>
        <v>#REF!</v>
      </c>
      <c r="IK56" t="e">
        <f>AND(Bills!#REF!,"AAAAAFfvNfQ=")</f>
        <v>#REF!</v>
      </c>
      <c r="IL56" t="e">
        <f>AND(Bills!#REF!,"AAAAAFfvNfU=")</f>
        <v>#REF!</v>
      </c>
      <c r="IM56" t="e">
        <f>AND(Bills!#REF!,"AAAAAFfvNfY=")</f>
        <v>#REF!</v>
      </c>
      <c r="IN56" t="e">
        <f>AND(Bills!#REF!,"AAAAAFfvNfc=")</f>
        <v>#REF!</v>
      </c>
      <c r="IO56" t="e">
        <f>AND(Bills!D52,"AAAAAFfvNfg=")</f>
        <v>#VALUE!</v>
      </c>
      <c r="IP56" t="e">
        <f>AND(Bills!#REF!,"AAAAAFfvNfk=")</f>
        <v>#REF!</v>
      </c>
      <c r="IQ56" t="e">
        <f>AND(Bills!E52,"AAAAAFfvNfo=")</f>
        <v>#VALUE!</v>
      </c>
      <c r="IR56" t="e">
        <f>AND(Bills!F52,"AAAAAFfvNfs=")</f>
        <v>#VALUE!</v>
      </c>
      <c r="IS56" t="e">
        <f>AND(Bills!G52,"AAAAAFfvNfw=")</f>
        <v>#VALUE!</v>
      </c>
      <c r="IT56" t="e">
        <f>AND(Bills!H52,"AAAAAFfvNf0=")</f>
        <v>#VALUE!</v>
      </c>
      <c r="IU56" t="e">
        <f>AND(Bills!I52,"AAAAAFfvNf4=")</f>
        <v>#VALUE!</v>
      </c>
      <c r="IV56" t="e">
        <f>AND(Bills!J52,"AAAAAFfvNf8=")</f>
        <v>#VALUE!</v>
      </c>
    </row>
    <row r="57" spans="1:256">
      <c r="A57" t="e">
        <f>AND(Bills!#REF!,"AAAAAF1/2gA=")</f>
        <v>#REF!</v>
      </c>
      <c r="B57" t="e">
        <f>AND(Bills!K52,"AAAAAF1/2gE=")</f>
        <v>#VALUE!</v>
      </c>
      <c r="C57" t="e">
        <f>AND(Bills!L52,"AAAAAF1/2gI=")</f>
        <v>#VALUE!</v>
      </c>
      <c r="D57" t="e">
        <f>AND(Bills!M52,"AAAAAF1/2gM=")</f>
        <v>#VALUE!</v>
      </c>
      <c r="E57" t="e">
        <f>AND(Bills!N52,"AAAAAF1/2gQ=")</f>
        <v>#VALUE!</v>
      </c>
      <c r="F57" t="e">
        <f>AND(Bills!O52,"AAAAAF1/2gU=")</f>
        <v>#VALUE!</v>
      </c>
      <c r="G57" t="e">
        <f>AND(Bills!P52,"AAAAAF1/2gY=")</f>
        <v>#VALUE!</v>
      </c>
      <c r="H57" t="e">
        <f>AND(Bills!Q52,"AAAAAF1/2gc=")</f>
        <v>#VALUE!</v>
      </c>
      <c r="I57" t="e">
        <f>AND(Bills!R52,"AAAAAF1/2gg=")</f>
        <v>#VALUE!</v>
      </c>
      <c r="J57" t="e">
        <f>AND(Bills!#REF!,"AAAAAF1/2gk=")</f>
        <v>#REF!</v>
      </c>
      <c r="K57" t="e">
        <f>AND(Bills!S52,"AAAAAF1/2go=")</f>
        <v>#VALUE!</v>
      </c>
      <c r="L57" t="e">
        <f>AND(Bills!T52,"AAAAAF1/2gs=")</f>
        <v>#VALUE!</v>
      </c>
      <c r="M57" t="e">
        <f>AND(Bills!U52,"AAAAAF1/2gw=")</f>
        <v>#VALUE!</v>
      </c>
      <c r="N57" t="e">
        <f>AND(Bills!#REF!,"AAAAAF1/2g0=")</f>
        <v>#REF!</v>
      </c>
      <c r="O57" t="e">
        <f>AND(Bills!#REF!,"AAAAAF1/2g4=")</f>
        <v>#REF!</v>
      </c>
      <c r="P57" t="e">
        <f>AND(Bills!W52,"AAAAAF1/2g8=")</f>
        <v>#VALUE!</v>
      </c>
      <c r="Q57" t="e">
        <f>AND(Bills!X52,"AAAAAF1/2hA=")</f>
        <v>#VALUE!</v>
      </c>
      <c r="R57" t="e">
        <f>AND(Bills!#REF!,"AAAAAF1/2hE=")</f>
        <v>#REF!</v>
      </c>
      <c r="S57" t="e">
        <f>AND(Bills!#REF!,"AAAAAF1/2hI=")</f>
        <v>#REF!</v>
      </c>
      <c r="T57" t="e">
        <f>AND(Bills!#REF!,"AAAAAF1/2hM=")</f>
        <v>#REF!</v>
      </c>
      <c r="U57" t="e">
        <f>AND(Bills!#REF!,"AAAAAF1/2hQ=")</f>
        <v>#REF!</v>
      </c>
      <c r="V57" t="e">
        <f>AND(Bills!#REF!,"AAAAAF1/2hU=")</f>
        <v>#REF!</v>
      </c>
      <c r="W57" t="e">
        <f>AND(Bills!#REF!,"AAAAAF1/2hY=")</f>
        <v>#REF!</v>
      </c>
      <c r="X57" t="e">
        <f>AND(Bills!#REF!,"AAAAAF1/2hc=")</f>
        <v>#REF!</v>
      </c>
      <c r="Y57" t="e">
        <f>AND(Bills!#REF!,"AAAAAF1/2hg=")</f>
        <v>#REF!</v>
      </c>
      <c r="Z57" t="e">
        <f>AND(Bills!#REF!,"AAAAAF1/2hk=")</f>
        <v>#REF!</v>
      </c>
      <c r="AA57" t="e">
        <f>AND(Bills!Y52,"AAAAAF1/2ho=")</f>
        <v>#VALUE!</v>
      </c>
      <c r="AB57" t="e">
        <f>AND(Bills!Z52,"AAAAAF1/2hs=")</f>
        <v>#VALUE!</v>
      </c>
      <c r="AC57" t="e">
        <f>AND(Bills!#REF!,"AAAAAF1/2hw=")</f>
        <v>#REF!</v>
      </c>
      <c r="AD57" t="e">
        <f>AND(Bills!#REF!,"AAAAAF1/2h0=")</f>
        <v>#REF!</v>
      </c>
      <c r="AE57" t="e">
        <f>AND(Bills!#REF!,"AAAAAF1/2h4=")</f>
        <v>#REF!</v>
      </c>
      <c r="AF57" t="e">
        <f>AND(Bills!AA52,"AAAAAF1/2h8=")</f>
        <v>#VALUE!</v>
      </c>
      <c r="AG57" t="e">
        <f>AND(Bills!AB52,"AAAAAF1/2iA=")</f>
        <v>#VALUE!</v>
      </c>
      <c r="AH57" t="e">
        <f>AND(Bills!#REF!,"AAAAAF1/2iE=")</f>
        <v>#REF!</v>
      </c>
      <c r="AI57">
        <f>IF(Bills!53:53,"AAAAAF1/2iI=",0)</f>
        <v>0</v>
      </c>
      <c r="AJ57" t="e">
        <f>AND(Bills!B53,"AAAAAF1/2iM=")</f>
        <v>#VALUE!</v>
      </c>
      <c r="AK57" t="e">
        <f>AND(Bills!#REF!,"AAAAAF1/2iQ=")</f>
        <v>#REF!</v>
      </c>
      <c r="AL57" t="e">
        <f>AND(Bills!C53,"AAAAAF1/2iU=")</f>
        <v>#VALUE!</v>
      </c>
      <c r="AM57" t="e">
        <f>AND(Bills!#REF!,"AAAAAF1/2iY=")</f>
        <v>#REF!</v>
      </c>
      <c r="AN57" t="e">
        <f>AND(Bills!#REF!,"AAAAAF1/2ic=")</f>
        <v>#REF!</v>
      </c>
      <c r="AO57" t="e">
        <f>AND(Bills!#REF!,"AAAAAF1/2ig=")</f>
        <v>#REF!</v>
      </c>
      <c r="AP57" t="e">
        <f>AND(Bills!#REF!,"AAAAAF1/2ik=")</f>
        <v>#REF!</v>
      </c>
      <c r="AQ57" t="e">
        <f>AND(Bills!#REF!,"AAAAAF1/2io=")</f>
        <v>#REF!</v>
      </c>
      <c r="AR57" t="e">
        <f>AND(Bills!D53,"AAAAAF1/2is=")</f>
        <v>#VALUE!</v>
      </c>
      <c r="AS57" t="e">
        <f>AND(Bills!#REF!,"AAAAAF1/2iw=")</f>
        <v>#REF!</v>
      </c>
      <c r="AT57" t="e">
        <f>AND(Bills!E53,"AAAAAF1/2i0=")</f>
        <v>#VALUE!</v>
      </c>
      <c r="AU57" t="e">
        <f>AND(Bills!F53,"AAAAAF1/2i4=")</f>
        <v>#VALUE!</v>
      </c>
      <c r="AV57" t="e">
        <f>AND(Bills!G53,"AAAAAF1/2i8=")</f>
        <v>#VALUE!</v>
      </c>
      <c r="AW57" t="e">
        <f>AND(Bills!H53,"AAAAAF1/2jA=")</f>
        <v>#VALUE!</v>
      </c>
      <c r="AX57" t="e">
        <f>AND(Bills!I53,"AAAAAF1/2jE=")</f>
        <v>#VALUE!</v>
      </c>
      <c r="AY57" t="e">
        <f>AND(Bills!J53,"AAAAAF1/2jI=")</f>
        <v>#VALUE!</v>
      </c>
      <c r="AZ57" t="e">
        <f>AND(Bills!#REF!,"AAAAAF1/2jM=")</f>
        <v>#REF!</v>
      </c>
      <c r="BA57" t="e">
        <f>AND(Bills!K53,"AAAAAF1/2jQ=")</f>
        <v>#VALUE!</v>
      </c>
      <c r="BB57" t="e">
        <f>AND(Bills!L53,"AAAAAF1/2jU=")</f>
        <v>#VALUE!</v>
      </c>
      <c r="BC57" t="e">
        <f>AND(Bills!M53,"AAAAAF1/2jY=")</f>
        <v>#VALUE!</v>
      </c>
      <c r="BD57" t="e">
        <f>AND(Bills!N53,"AAAAAF1/2jc=")</f>
        <v>#VALUE!</v>
      </c>
      <c r="BE57" t="e">
        <f>AND(Bills!O53,"AAAAAF1/2jg=")</f>
        <v>#VALUE!</v>
      </c>
      <c r="BF57" t="e">
        <f>AND(Bills!P53,"AAAAAF1/2jk=")</f>
        <v>#VALUE!</v>
      </c>
      <c r="BG57" t="e">
        <f>AND(Bills!Q53,"AAAAAF1/2jo=")</f>
        <v>#VALUE!</v>
      </c>
      <c r="BH57" t="e">
        <f>AND(Bills!R53,"AAAAAF1/2js=")</f>
        <v>#VALUE!</v>
      </c>
      <c r="BI57" t="e">
        <f>AND(Bills!#REF!,"AAAAAF1/2jw=")</f>
        <v>#REF!</v>
      </c>
      <c r="BJ57" t="e">
        <f>AND(Bills!S53,"AAAAAF1/2j0=")</f>
        <v>#VALUE!</v>
      </c>
      <c r="BK57" t="e">
        <f>AND(Bills!T53,"AAAAAF1/2j4=")</f>
        <v>#VALUE!</v>
      </c>
      <c r="BL57" t="e">
        <f>AND(Bills!U53,"AAAAAF1/2j8=")</f>
        <v>#VALUE!</v>
      </c>
      <c r="BM57" t="e">
        <f>AND(Bills!#REF!,"AAAAAF1/2kA=")</f>
        <v>#REF!</v>
      </c>
      <c r="BN57" t="e">
        <f>AND(Bills!#REF!,"AAAAAF1/2kE=")</f>
        <v>#REF!</v>
      </c>
      <c r="BO57" t="e">
        <f>AND(Bills!W53,"AAAAAF1/2kI=")</f>
        <v>#VALUE!</v>
      </c>
      <c r="BP57" t="e">
        <f>AND(Bills!X53,"AAAAAF1/2kM=")</f>
        <v>#VALUE!</v>
      </c>
      <c r="BQ57" t="e">
        <f>AND(Bills!#REF!,"AAAAAF1/2kQ=")</f>
        <v>#REF!</v>
      </c>
      <c r="BR57" t="e">
        <f>AND(Bills!#REF!,"AAAAAF1/2kU=")</f>
        <v>#REF!</v>
      </c>
      <c r="BS57" t="e">
        <f>AND(Bills!#REF!,"AAAAAF1/2kY=")</f>
        <v>#REF!</v>
      </c>
      <c r="BT57" t="e">
        <f>AND(Bills!#REF!,"AAAAAF1/2kc=")</f>
        <v>#REF!</v>
      </c>
      <c r="BU57" t="e">
        <f>AND(Bills!#REF!,"AAAAAF1/2kg=")</f>
        <v>#REF!</v>
      </c>
      <c r="BV57" t="e">
        <f>AND(Bills!#REF!,"AAAAAF1/2kk=")</f>
        <v>#REF!</v>
      </c>
      <c r="BW57" t="e">
        <f>AND(Bills!#REF!,"AAAAAF1/2ko=")</f>
        <v>#REF!</v>
      </c>
      <c r="BX57" t="e">
        <f>AND(Bills!#REF!,"AAAAAF1/2ks=")</f>
        <v>#REF!</v>
      </c>
      <c r="BY57" t="e">
        <f>AND(Bills!#REF!,"AAAAAF1/2kw=")</f>
        <v>#REF!</v>
      </c>
      <c r="BZ57" t="e">
        <f>AND(Bills!Y53,"AAAAAF1/2k0=")</f>
        <v>#VALUE!</v>
      </c>
      <c r="CA57" t="e">
        <f>AND(Bills!Z53,"AAAAAF1/2k4=")</f>
        <v>#VALUE!</v>
      </c>
      <c r="CB57" t="e">
        <f>AND(Bills!#REF!,"AAAAAF1/2k8=")</f>
        <v>#REF!</v>
      </c>
      <c r="CC57" t="e">
        <f>AND(Bills!#REF!,"AAAAAF1/2lA=")</f>
        <v>#REF!</v>
      </c>
      <c r="CD57" t="e">
        <f>AND(Bills!#REF!,"AAAAAF1/2lE=")</f>
        <v>#REF!</v>
      </c>
      <c r="CE57" t="e">
        <f>AND(Bills!AA53,"AAAAAF1/2lI=")</f>
        <v>#VALUE!</v>
      </c>
      <c r="CF57" t="e">
        <f>AND(Bills!AB53,"AAAAAF1/2lM=")</f>
        <v>#VALUE!</v>
      </c>
      <c r="CG57" t="e">
        <f>AND(Bills!#REF!,"AAAAAF1/2lQ=")</f>
        <v>#REF!</v>
      </c>
      <c r="CH57">
        <f>IF(Bills!54:54,"AAAAAF1/2lU=",0)</f>
        <v>0</v>
      </c>
      <c r="CI57" t="e">
        <f>AND(Bills!B54,"AAAAAF1/2lY=")</f>
        <v>#VALUE!</v>
      </c>
      <c r="CJ57" t="e">
        <f>AND(Bills!#REF!,"AAAAAF1/2lc=")</f>
        <v>#REF!</v>
      </c>
      <c r="CK57" t="e">
        <f>AND(Bills!C54,"AAAAAF1/2lg=")</f>
        <v>#VALUE!</v>
      </c>
      <c r="CL57" t="e">
        <f>AND(Bills!#REF!,"AAAAAF1/2lk=")</f>
        <v>#REF!</v>
      </c>
      <c r="CM57" t="e">
        <f>AND(Bills!#REF!,"AAAAAF1/2lo=")</f>
        <v>#REF!</v>
      </c>
      <c r="CN57" t="e">
        <f>AND(Bills!#REF!,"AAAAAF1/2ls=")</f>
        <v>#REF!</v>
      </c>
      <c r="CO57" t="e">
        <f>AND(Bills!#REF!,"AAAAAF1/2lw=")</f>
        <v>#REF!</v>
      </c>
      <c r="CP57" t="e">
        <f>AND(Bills!#REF!,"AAAAAF1/2l0=")</f>
        <v>#REF!</v>
      </c>
      <c r="CQ57" t="e">
        <f>AND(Bills!D54,"AAAAAF1/2l4=")</f>
        <v>#VALUE!</v>
      </c>
      <c r="CR57" t="e">
        <f>AND(Bills!#REF!,"AAAAAF1/2l8=")</f>
        <v>#REF!</v>
      </c>
      <c r="CS57" t="e">
        <f>AND(Bills!E54,"AAAAAF1/2mA=")</f>
        <v>#VALUE!</v>
      </c>
      <c r="CT57" t="e">
        <f>AND(Bills!F54,"AAAAAF1/2mE=")</f>
        <v>#VALUE!</v>
      </c>
      <c r="CU57" t="e">
        <f>AND(Bills!G54,"AAAAAF1/2mI=")</f>
        <v>#VALUE!</v>
      </c>
      <c r="CV57" t="e">
        <f>AND(Bills!H54,"AAAAAF1/2mM=")</f>
        <v>#VALUE!</v>
      </c>
      <c r="CW57" t="e">
        <f>AND(Bills!I54,"AAAAAF1/2mQ=")</f>
        <v>#VALUE!</v>
      </c>
      <c r="CX57" t="e">
        <f>AND(Bills!J54,"AAAAAF1/2mU=")</f>
        <v>#VALUE!</v>
      </c>
      <c r="CY57" t="e">
        <f>AND(Bills!#REF!,"AAAAAF1/2mY=")</f>
        <v>#REF!</v>
      </c>
      <c r="CZ57" t="e">
        <f>AND(Bills!K54,"AAAAAF1/2mc=")</f>
        <v>#VALUE!</v>
      </c>
      <c r="DA57" t="e">
        <f>AND(Bills!L54,"AAAAAF1/2mg=")</f>
        <v>#VALUE!</v>
      </c>
      <c r="DB57" t="e">
        <f>AND(Bills!M54,"AAAAAF1/2mk=")</f>
        <v>#VALUE!</v>
      </c>
      <c r="DC57" t="e">
        <f>AND(Bills!N54,"AAAAAF1/2mo=")</f>
        <v>#VALUE!</v>
      </c>
      <c r="DD57" t="e">
        <f>AND(Bills!O54,"AAAAAF1/2ms=")</f>
        <v>#VALUE!</v>
      </c>
      <c r="DE57" t="e">
        <f>AND(Bills!P54,"AAAAAF1/2mw=")</f>
        <v>#VALUE!</v>
      </c>
      <c r="DF57" t="e">
        <f>AND(Bills!Q54,"AAAAAF1/2m0=")</f>
        <v>#VALUE!</v>
      </c>
      <c r="DG57" t="e">
        <f>AND(Bills!R54,"AAAAAF1/2m4=")</f>
        <v>#VALUE!</v>
      </c>
      <c r="DH57" t="e">
        <f>AND(Bills!#REF!,"AAAAAF1/2m8=")</f>
        <v>#REF!</v>
      </c>
      <c r="DI57" t="e">
        <f>AND(Bills!S54,"AAAAAF1/2nA=")</f>
        <v>#VALUE!</v>
      </c>
      <c r="DJ57" t="e">
        <f>AND(Bills!T54,"AAAAAF1/2nE=")</f>
        <v>#VALUE!</v>
      </c>
      <c r="DK57" t="e">
        <f>AND(Bills!U54,"AAAAAF1/2nI=")</f>
        <v>#VALUE!</v>
      </c>
      <c r="DL57" t="e">
        <f>AND(Bills!#REF!,"AAAAAF1/2nM=")</f>
        <v>#REF!</v>
      </c>
      <c r="DM57" t="e">
        <f>AND(Bills!#REF!,"AAAAAF1/2nQ=")</f>
        <v>#REF!</v>
      </c>
      <c r="DN57" t="e">
        <f>AND(Bills!W54,"AAAAAF1/2nU=")</f>
        <v>#VALUE!</v>
      </c>
      <c r="DO57" t="e">
        <f>AND(Bills!X54,"AAAAAF1/2nY=")</f>
        <v>#VALUE!</v>
      </c>
      <c r="DP57" t="e">
        <f>AND(Bills!#REF!,"AAAAAF1/2nc=")</f>
        <v>#REF!</v>
      </c>
      <c r="DQ57" t="e">
        <f>AND(Bills!#REF!,"AAAAAF1/2ng=")</f>
        <v>#REF!</v>
      </c>
      <c r="DR57" t="e">
        <f>AND(Bills!#REF!,"AAAAAF1/2nk=")</f>
        <v>#REF!</v>
      </c>
      <c r="DS57" t="e">
        <f>AND(Bills!#REF!,"AAAAAF1/2no=")</f>
        <v>#REF!</v>
      </c>
      <c r="DT57" t="e">
        <f>AND(Bills!#REF!,"AAAAAF1/2ns=")</f>
        <v>#REF!</v>
      </c>
      <c r="DU57" t="e">
        <f>AND(Bills!#REF!,"AAAAAF1/2nw=")</f>
        <v>#REF!</v>
      </c>
      <c r="DV57" t="e">
        <f>AND(Bills!#REF!,"AAAAAF1/2n0=")</f>
        <v>#REF!</v>
      </c>
      <c r="DW57" t="e">
        <f>AND(Bills!#REF!,"AAAAAF1/2n4=")</f>
        <v>#REF!</v>
      </c>
      <c r="DX57" t="e">
        <f>AND(Bills!#REF!,"AAAAAF1/2n8=")</f>
        <v>#REF!</v>
      </c>
      <c r="DY57" t="e">
        <f>AND(Bills!Y54,"AAAAAF1/2oA=")</f>
        <v>#VALUE!</v>
      </c>
      <c r="DZ57" t="e">
        <f>AND(Bills!Z54,"AAAAAF1/2oE=")</f>
        <v>#VALUE!</v>
      </c>
      <c r="EA57" t="e">
        <f>AND(Bills!#REF!,"AAAAAF1/2oI=")</f>
        <v>#REF!</v>
      </c>
      <c r="EB57" t="e">
        <f>AND(Bills!#REF!,"AAAAAF1/2oM=")</f>
        <v>#REF!</v>
      </c>
      <c r="EC57" t="e">
        <f>AND(Bills!#REF!,"AAAAAF1/2oQ=")</f>
        <v>#REF!</v>
      </c>
      <c r="ED57" t="e">
        <f>AND(Bills!AA54,"AAAAAF1/2oU=")</f>
        <v>#VALUE!</v>
      </c>
      <c r="EE57" t="e">
        <f>AND(Bills!AB54,"AAAAAF1/2oY=")</f>
        <v>#VALUE!</v>
      </c>
      <c r="EF57" t="e">
        <f>AND(Bills!#REF!,"AAAAAF1/2oc=")</f>
        <v>#REF!</v>
      </c>
      <c r="EG57">
        <f>IF(Bills!55:55,"AAAAAF1/2og=",0)</f>
        <v>0</v>
      </c>
      <c r="EH57" t="e">
        <f>AND(Bills!B55,"AAAAAF1/2ok=")</f>
        <v>#VALUE!</v>
      </c>
      <c r="EI57" t="e">
        <f>AND(Bills!#REF!,"AAAAAF1/2oo=")</f>
        <v>#REF!</v>
      </c>
      <c r="EJ57" t="e">
        <f>AND(Bills!C55,"AAAAAF1/2os=")</f>
        <v>#VALUE!</v>
      </c>
      <c r="EK57" t="e">
        <f>AND(Bills!#REF!,"AAAAAF1/2ow=")</f>
        <v>#REF!</v>
      </c>
      <c r="EL57" t="e">
        <f>AND(Bills!#REF!,"AAAAAF1/2o0=")</f>
        <v>#REF!</v>
      </c>
      <c r="EM57" t="e">
        <f>AND(Bills!#REF!,"AAAAAF1/2o4=")</f>
        <v>#REF!</v>
      </c>
      <c r="EN57" t="e">
        <f>AND(Bills!#REF!,"AAAAAF1/2o8=")</f>
        <v>#REF!</v>
      </c>
      <c r="EO57" t="e">
        <f>AND(Bills!#REF!,"AAAAAF1/2pA=")</f>
        <v>#REF!</v>
      </c>
      <c r="EP57" t="e">
        <f>AND(Bills!D55,"AAAAAF1/2pE=")</f>
        <v>#VALUE!</v>
      </c>
      <c r="EQ57" t="e">
        <f>AND(Bills!#REF!,"AAAAAF1/2pI=")</f>
        <v>#REF!</v>
      </c>
      <c r="ER57" t="e">
        <f>AND(Bills!E55,"AAAAAF1/2pM=")</f>
        <v>#VALUE!</v>
      </c>
      <c r="ES57" t="e">
        <f>AND(Bills!F55,"AAAAAF1/2pQ=")</f>
        <v>#VALUE!</v>
      </c>
      <c r="ET57" t="e">
        <f>AND(Bills!G55,"AAAAAF1/2pU=")</f>
        <v>#VALUE!</v>
      </c>
      <c r="EU57" t="e">
        <f>AND(Bills!H55,"AAAAAF1/2pY=")</f>
        <v>#VALUE!</v>
      </c>
      <c r="EV57" t="e">
        <f>AND(Bills!I55,"AAAAAF1/2pc=")</f>
        <v>#VALUE!</v>
      </c>
      <c r="EW57" t="e">
        <f>AND(Bills!J55,"AAAAAF1/2pg=")</f>
        <v>#VALUE!</v>
      </c>
      <c r="EX57" t="e">
        <f>AND(Bills!#REF!,"AAAAAF1/2pk=")</f>
        <v>#REF!</v>
      </c>
      <c r="EY57" t="e">
        <f>AND(Bills!K55,"AAAAAF1/2po=")</f>
        <v>#VALUE!</v>
      </c>
      <c r="EZ57" t="e">
        <f>AND(Bills!L55,"AAAAAF1/2ps=")</f>
        <v>#VALUE!</v>
      </c>
      <c r="FA57" t="e">
        <f>AND(Bills!M55,"AAAAAF1/2pw=")</f>
        <v>#VALUE!</v>
      </c>
      <c r="FB57" t="e">
        <f>AND(Bills!N55,"AAAAAF1/2p0=")</f>
        <v>#VALUE!</v>
      </c>
      <c r="FC57" t="e">
        <f>AND(Bills!O55,"AAAAAF1/2p4=")</f>
        <v>#VALUE!</v>
      </c>
      <c r="FD57" t="e">
        <f>AND(Bills!P55,"AAAAAF1/2p8=")</f>
        <v>#VALUE!</v>
      </c>
      <c r="FE57" t="e">
        <f>AND(Bills!Q55,"AAAAAF1/2qA=")</f>
        <v>#VALUE!</v>
      </c>
      <c r="FF57" t="e">
        <f>AND(Bills!R55,"AAAAAF1/2qE=")</f>
        <v>#VALUE!</v>
      </c>
      <c r="FG57" t="e">
        <f>AND(Bills!#REF!,"AAAAAF1/2qI=")</f>
        <v>#REF!</v>
      </c>
      <c r="FH57" t="e">
        <f>AND(Bills!S55,"AAAAAF1/2qM=")</f>
        <v>#VALUE!</v>
      </c>
      <c r="FI57" t="e">
        <f>AND(Bills!T55,"AAAAAF1/2qQ=")</f>
        <v>#VALUE!</v>
      </c>
      <c r="FJ57" t="e">
        <f>AND(Bills!U55,"AAAAAF1/2qU=")</f>
        <v>#VALUE!</v>
      </c>
      <c r="FK57" t="e">
        <f>AND(Bills!#REF!,"AAAAAF1/2qY=")</f>
        <v>#REF!</v>
      </c>
      <c r="FL57" t="e">
        <f>AND(Bills!#REF!,"AAAAAF1/2qc=")</f>
        <v>#REF!</v>
      </c>
      <c r="FM57" t="e">
        <f>AND(Bills!W55,"AAAAAF1/2qg=")</f>
        <v>#VALUE!</v>
      </c>
      <c r="FN57" t="e">
        <f>AND(Bills!X55,"AAAAAF1/2qk=")</f>
        <v>#VALUE!</v>
      </c>
      <c r="FO57" t="e">
        <f>AND(Bills!#REF!,"AAAAAF1/2qo=")</f>
        <v>#REF!</v>
      </c>
      <c r="FP57" t="e">
        <f>AND(Bills!#REF!,"AAAAAF1/2qs=")</f>
        <v>#REF!</v>
      </c>
      <c r="FQ57" t="e">
        <f>AND(Bills!#REF!,"AAAAAF1/2qw=")</f>
        <v>#REF!</v>
      </c>
      <c r="FR57" t="e">
        <f>AND(Bills!#REF!,"AAAAAF1/2q0=")</f>
        <v>#REF!</v>
      </c>
      <c r="FS57" t="e">
        <f>AND(Bills!#REF!,"AAAAAF1/2q4=")</f>
        <v>#REF!</v>
      </c>
      <c r="FT57" t="e">
        <f>AND(Bills!#REF!,"AAAAAF1/2q8=")</f>
        <v>#REF!</v>
      </c>
      <c r="FU57" t="e">
        <f>AND(Bills!#REF!,"AAAAAF1/2rA=")</f>
        <v>#REF!</v>
      </c>
      <c r="FV57" t="e">
        <f>AND(Bills!#REF!,"AAAAAF1/2rE=")</f>
        <v>#REF!</v>
      </c>
      <c r="FW57" t="e">
        <f>AND(Bills!#REF!,"AAAAAF1/2rI=")</f>
        <v>#REF!</v>
      </c>
      <c r="FX57" t="e">
        <f>AND(Bills!Y55,"AAAAAF1/2rM=")</f>
        <v>#VALUE!</v>
      </c>
      <c r="FY57" t="e">
        <f>AND(Bills!Z55,"AAAAAF1/2rQ=")</f>
        <v>#VALUE!</v>
      </c>
      <c r="FZ57" t="e">
        <f>AND(Bills!#REF!,"AAAAAF1/2rU=")</f>
        <v>#REF!</v>
      </c>
      <c r="GA57" t="e">
        <f>AND(Bills!#REF!,"AAAAAF1/2rY=")</f>
        <v>#REF!</v>
      </c>
      <c r="GB57" t="e">
        <f>AND(Bills!#REF!,"AAAAAF1/2rc=")</f>
        <v>#REF!</v>
      </c>
      <c r="GC57" t="e">
        <f>AND(Bills!AA55,"AAAAAF1/2rg=")</f>
        <v>#VALUE!</v>
      </c>
      <c r="GD57" t="e">
        <f>AND(Bills!AB55,"AAAAAF1/2rk=")</f>
        <v>#VALUE!</v>
      </c>
      <c r="GE57" t="e">
        <f>AND(Bills!#REF!,"AAAAAF1/2ro=")</f>
        <v>#REF!</v>
      </c>
      <c r="GF57">
        <f>IF(Bills!56:56,"AAAAAF1/2rs=",0)</f>
        <v>0</v>
      </c>
      <c r="GG57" t="e">
        <f>AND(Bills!B56,"AAAAAF1/2rw=")</f>
        <v>#VALUE!</v>
      </c>
      <c r="GH57" t="e">
        <f>AND(Bills!#REF!,"AAAAAF1/2r0=")</f>
        <v>#REF!</v>
      </c>
      <c r="GI57" t="e">
        <f>AND(Bills!C56,"AAAAAF1/2r4=")</f>
        <v>#VALUE!</v>
      </c>
      <c r="GJ57" t="e">
        <f>AND(Bills!#REF!,"AAAAAF1/2r8=")</f>
        <v>#REF!</v>
      </c>
      <c r="GK57" t="e">
        <f>AND(Bills!#REF!,"AAAAAF1/2sA=")</f>
        <v>#REF!</v>
      </c>
      <c r="GL57" t="e">
        <f>AND(Bills!#REF!,"AAAAAF1/2sE=")</f>
        <v>#REF!</v>
      </c>
      <c r="GM57" t="e">
        <f>AND(Bills!#REF!,"AAAAAF1/2sI=")</f>
        <v>#REF!</v>
      </c>
      <c r="GN57" t="e">
        <f>AND(Bills!#REF!,"AAAAAF1/2sM=")</f>
        <v>#REF!</v>
      </c>
      <c r="GO57" t="e">
        <f>AND(Bills!D56,"AAAAAF1/2sQ=")</f>
        <v>#VALUE!</v>
      </c>
      <c r="GP57" t="e">
        <f>AND(Bills!#REF!,"AAAAAF1/2sU=")</f>
        <v>#REF!</v>
      </c>
      <c r="GQ57" t="e">
        <f>AND(Bills!E56,"AAAAAF1/2sY=")</f>
        <v>#VALUE!</v>
      </c>
      <c r="GR57" t="e">
        <f>AND(Bills!F56,"AAAAAF1/2sc=")</f>
        <v>#VALUE!</v>
      </c>
      <c r="GS57" t="e">
        <f>AND(Bills!G56,"AAAAAF1/2sg=")</f>
        <v>#VALUE!</v>
      </c>
      <c r="GT57" t="e">
        <f>AND(Bills!H56,"AAAAAF1/2sk=")</f>
        <v>#VALUE!</v>
      </c>
      <c r="GU57" t="e">
        <f>AND(Bills!I56,"AAAAAF1/2so=")</f>
        <v>#VALUE!</v>
      </c>
      <c r="GV57" t="e">
        <f>AND(Bills!J56,"AAAAAF1/2ss=")</f>
        <v>#VALUE!</v>
      </c>
      <c r="GW57" t="e">
        <f>AND(Bills!#REF!,"AAAAAF1/2sw=")</f>
        <v>#REF!</v>
      </c>
      <c r="GX57" t="e">
        <f>AND(Bills!K56,"AAAAAF1/2s0=")</f>
        <v>#VALUE!</v>
      </c>
      <c r="GY57" t="e">
        <f>AND(Bills!L56,"AAAAAF1/2s4=")</f>
        <v>#VALUE!</v>
      </c>
      <c r="GZ57" t="e">
        <f>AND(Bills!M56,"AAAAAF1/2s8=")</f>
        <v>#VALUE!</v>
      </c>
      <c r="HA57" t="e">
        <f>AND(Bills!N56,"AAAAAF1/2tA=")</f>
        <v>#VALUE!</v>
      </c>
      <c r="HB57" t="e">
        <f>AND(Bills!O56,"AAAAAF1/2tE=")</f>
        <v>#VALUE!</v>
      </c>
      <c r="HC57" t="e">
        <f>AND(Bills!P56,"AAAAAF1/2tI=")</f>
        <v>#VALUE!</v>
      </c>
      <c r="HD57" t="e">
        <f>AND(Bills!Q56,"AAAAAF1/2tM=")</f>
        <v>#VALUE!</v>
      </c>
      <c r="HE57" t="e">
        <f>AND(Bills!R56,"AAAAAF1/2tQ=")</f>
        <v>#VALUE!</v>
      </c>
      <c r="HF57" t="e">
        <f>AND(Bills!#REF!,"AAAAAF1/2tU=")</f>
        <v>#REF!</v>
      </c>
      <c r="HG57" t="e">
        <f>AND(Bills!S56,"AAAAAF1/2tY=")</f>
        <v>#VALUE!</v>
      </c>
      <c r="HH57" t="e">
        <f>AND(Bills!T56,"AAAAAF1/2tc=")</f>
        <v>#VALUE!</v>
      </c>
      <c r="HI57" t="e">
        <f>AND(Bills!U56,"AAAAAF1/2tg=")</f>
        <v>#VALUE!</v>
      </c>
      <c r="HJ57" t="e">
        <f>AND(Bills!#REF!,"AAAAAF1/2tk=")</f>
        <v>#REF!</v>
      </c>
      <c r="HK57" t="e">
        <f>AND(Bills!#REF!,"AAAAAF1/2to=")</f>
        <v>#REF!</v>
      </c>
      <c r="HL57" t="e">
        <f>AND(Bills!W56,"AAAAAF1/2ts=")</f>
        <v>#VALUE!</v>
      </c>
      <c r="HM57" t="e">
        <f>AND(Bills!X56,"AAAAAF1/2tw=")</f>
        <v>#VALUE!</v>
      </c>
      <c r="HN57" t="e">
        <f>AND(Bills!#REF!,"AAAAAF1/2t0=")</f>
        <v>#REF!</v>
      </c>
      <c r="HO57" t="e">
        <f>AND(Bills!#REF!,"AAAAAF1/2t4=")</f>
        <v>#REF!</v>
      </c>
      <c r="HP57" t="e">
        <f>AND(Bills!#REF!,"AAAAAF1/2t8=")</f>
        <v>#REF!</v>
      </c>
      <c r="HQ57" t="e">
        <f>AND(Bills!#REF!,"AAAAAF1/2uA=")</f>
        <v>#REF!</v>
      </c>
      <c r="HR57" t="e">
        <f>AND(Bills!#REF!,"AAAAAF1/2uE=")</f>
        <v>#REF!</v>
      </c>
      <c r="HS57" t="e">
        <f>AND(Bills!#REF!,"AAAAAF1/2uI=")</f>
        <v>#REF!</v>
      </c>
      <c r="HT57" t="e">
        <f>AND(Bills!#REF!,"AAAAAF1/2uM=")</f>
        <v>#REF!</v>
      </c>
      <c r="HU57" t="e">
        <f>AND(Bills!#REF!,"AAAAAF1/2uQ=")</f>
        <v>#REF!</v>
      </c>
      <c r="HV57" t="e">
        <f>AND(Bills!#REF!,"AAAAAF1/2uU=")</f>
        <v>#REF!</v>
      </c>
      <c r="HW57" t="e">
        <f>AND(Bills!Y56,"AAAAAF1/2uY=")</f>
        <v>#VALUE!</v>
      </c>
      <c r="HX57" t="e">
        <f>AND(Bills!Z56,"AAAAAF1/2uc=")</f>
        <v>#VALUE!</v>
      </c>
      <c r="HY57" t="e">
        <f>AND(Bills!#REF!,"AAAAAF1/2ug=")</f>
        <v>#REF!</v>
      </c>
      <c r="HZ57" t="e">
        <f>AND(Bills!#REF!,"AAAAAF1/2uk=")</f>
        <v>#REF!</v>
      </c>
      <c r="IA57" t="e">
        <f>AND(Bills!#REF!,"AAAAAF1/2uo=")</f>
        <v>#REF!</v>
      </c>
      <c r="IB57" t="e">
        <f>AND(Bills!AA56,"AAAAAF1/2us=")</f>
        <v>#VALUE!</v>
      </c>
      <c r="IC57" t="e">
        <f>AND(Bills!AB56,"AAAAAF1/2uw=")</f>
        <v>#VALUE!</v>
      </c>
      <c r="ID57" t="e">
        <f>AND(Bills!#REF!,"AAAAAF1/2u0=")</f>
        <v>#REF!</v>
      </c>
      <c r="IE57">
        <f>IF(Bills!57:57,"AAAAAF1/2u4=",0)</f>
        <v>0</v>
      </c>
      <c r="IF57" t="e">
        <f>AND(Bills!B57,"AAAAAF1/2u8=")</f>
        <v>#VALUE!</v>
      </c>
      <c r="IG57" t="e">
        <f>AND(Bills!#REF!,"AAAAAF1/2vA=")</f>
        <v>#REF!</v>
      </c>
      <c r="IH57" t="e">
        <f>AND(Bills!C57,"AAAAAF1/2vE=")</f>
        <v>#VALUE!</v>
      </c>
      <c r="II57" t="e">
        <f>AND(Bills!#REF!,"AAAAAF1/2vI=")</f>
        <v>#REF!</v>
      </c>
      <c r="IJ57" t="e">
        <f>AND(Bills!#REF!,"AAAAAF1/2vM=")</f>
        <v>#REF!</v>
      </c>
      <c r="IK57" t="e">
        <f>AND(Bills!#REF!,"AAAAAF1/2vQ=")</f>
        <v>#REF!</v>
      </c>
      <c r="IL57" t="e">
        <f>AND(Bills!#REF!,"AAAAAF1/2vU=")</f>
        <v>#REF!</v>
      </c>
      <c r="IM57" t="e">
        <f>AND(Bills!#REF!,"AAAAAF1/2vY=")</f>
        <v>#REF!</v>
      </c>
      <c r="IN57" t="e">
        <f>AND(Bills!D57,"AAAAAF1/2vc=")</f>
        <v>#VALUE!</v>
      </c>
      <c r="IO57" t="e">
        <f>AND(Bills!#REF!,"AAAAAF1/2vg=")</f>
        <v>#REF!</v>
      </c>
      <c r="IP57" t="e">
        <f>AND(Bills!E57,"AAAAAF1/2vk=")</f>
        <v>#VALUE!</v>
      </c>
      <c r="IQ57" t="e">
        <f>AND(Bills!F57,"AAAAAF1/2vo=")</f>
        <v>#VALUE!</v>
      </c>
      <c r="IR57" t="e">
        <f>AND(Bills!G57,"AAAAAF1/2vs=")</f>
        <v>#VALUE!</v>
      </c>
      <c r="IS57" t="e">
        <f>AND(Bills!H57,"AAAAAF1/2vw=")</f>
        <v>#VALUE!</v>
      </c>
      <c r="IT57" t="e">
        <f>AND(Bills!I57,"AAAAAF1/2v0=")</f>
        <v>#VALUE!</v>
      </c>
      <c r="IU57" t="e">
        <f>AND(Bills!J57,"AAAAAF1/2v4=")</f>
        <v>#VALUE!</v>
      </c>
      <c r="IV57" t="e">
        <f>AND(Bills!#REF!,"AAAAAF1/2v8=")</f>
        <v>#REF!</v>
      </c>
    </row>
    <row r="58" spans="1:256">
      <c r="A58" t="e">
        <f>AND(Bills!K57,"AAAAAB3n4QA=")</f>
        <v>#VALUE!</v>
      </c>
      <c r="B58" t="e">
        <f>AND(Bills!L57,"AAAAAB3n4QE=")</f>
        <v>#VALUE!</v>
      </c>
      <c r="C58" t="e">
        <f>AND(Bills!M57,"AAAAAB3n4QI=")</f>
        <v>#VALUE!</v>
      </c>
      <c r="D58" t="e">
        <f>AND(Bills!N57,"AAAAAB3n4QM=")</f>
        <v>#VALUE!</v>
      </c>
      <c r="E58" t="e">
        <f>AND(Bills!O57,"AAAAAB3n4QQ=")</f>
        <v>#VALUE!</v>
      </c>
      <c r="F58" t="e">
        <f>AND(Bills!P57,"AAAAAB3n4QU=")</f>
        <v>#VALUE!</v>
      </c>
      <c r="G58" t="e">
        <f>AND(Bills!Q57,"AAAAAB3n4QY=")</f>
        <v>#VALUE!</v>
      </c>
      <c r="H58" t="e">
        <f>AND(Bills!R57,"AAAAAB3n4Qc=")</f>
        <v>#VALUE!</v>
      </c>
      <c r="I58" t="e">
        <f>AND(Bills!#REF!,"AAAAAB3n4Qg=")</f>
        <v>#REF!</v>
      </c>
      <c r="J58" t="e">
        <f>AND(Bills!S57,"AAAAAB3n4Qk=")</f>
        <v>#VALUE!</v>
      </c>
      <c r="K58" t="e">
        <f>AND(Bills!T57,"AAAAAB3n4Qo=")</f>
        <v>#VALUE!</v>
      </c>
      <c r="L58" t="e">
        <f>AND(Bills!U57,"AAAAAB3n4Qs=")</f>
        <v>#VALUE!</v>
      </c>
      <c r="M58" t="e">
        <f>AND(Bills!#REF!,"AAAAAB3n4Qw=")</f>
        <v>#REF!</v>
      </c>
      <c r="N58" t="e">
        <f>AND(Bills!#REF!,"AAAAAB3n4Q0=")</f>
        <v>#REF!</v>
      </c>
      <c r="O58" t="e">
        <f>AND(Bills!W57,"AAAAAB3n4Q4=")</f>
        <v>#VALUE!</v>
      </c>
      <c r="P58" t="e">
        <f>AND(Bills!X57,"AAAAAB3n4Q8=")</f>
        <v>#VALUE!</v>
      </c>
      <c r="Q58" t="e">
        <f>AND(Bills!#REF!,"AAAAAB3n4RA=")</f>
        <v>#REF!</v>
      </c>
      <c r="R58" t="e">
        <f>AND(Bills!#REF!,"AAAAAB3n4RE=")</f>
        <v>#REF!</v>
      </c>
      <c r="S58" t="e">
        <f>AND(Bills!#REF!,"AAAAAB3n4RI=")</f>
        <v>#REF!</v>
      </c>
      <c r="T58" t="e">
        <f>AND(Bills!#REF!,"AAAAAB3n4RM=")</f>
        <v>#REF!</v>
      </c>
      <c r="U58" t="e">
        <f>AND(Bills!#REF!,"AAAAAB3n4RQ=")</f>
        <v>#REF!</v>
      </c>
      <c r="V58" t="e">
        <f>AND(Bills!#REF!,"AAAAAB3n4RU=")</f>
        <v>#REF!</v>
      </c>
      <c r="W58" t="e">
        <f>AND(Bills!#REF!,"AAAAAB3n4RY=")</f>
        <v>#REF!</v>
      </c>
      <c r="X58" t="e">
        <f>AND(Bills!#REF!,"AAAAAB3n4Rc=")</f>
        <v>#REF!</v>
      </c>
      <c r="Y58" t="e">
        <f>AND(Bills!#REF!,"AAAAAB3n4Rg=")</f>
        <v>#REF!</v>
      </c>
      <c r="Z58" t="e">
        <f>AND(Bills!Y57,"AAAAAB3n4Rk=")</f>
        <v>#VALUE!</v>
      </c>
      <c r="AA58" t="e">
        <f>AND(Bills!Z57,"AAAAAB3n4Ro=")</f>
        <v>#VALUE!</v>
      </c>
      <c r="AB58" t="e">
        <f>AND(Bills!#REF!,"AAAAAB3n4Rs=")</f>
        <v>#REF!</v>
      </c>
      <c r="AC58" t="e">
        <f>AND(Bills!#REF!,"AAAAAB3n4Rw=")</f>
        <v>#REF!</v>
      </c>
      <c r="AD58" t="e">
        <f>AND(Bills!#REF!,"AAAAAB3n4R0=")</f>
        <v>#REF!</v>
      </c>
      <c r="AE58" t="e">
        <f>AND(Bills!AA57,"AAAAAB3n4R4=")</f>
        <v>#VALUE!</v>
      </c>
      <c r="AF58" t="e">
        <f>AND(Bills!AB57,"AAAAAB3n4R8=")</f>
        <v>#VALUE!</v>
      </c>
      <c r="AG58" t="e">
        <f>AND(Bills!#REF!,"AAAAAB3n4SA=")</f>
        <v>#REF!</v>
      </c>
      <c r="AH58">
        <f>IF(Bills!58:58,"AAAAAB3n4SE=",0)</f>
        <v>0</v>
      </c>
      <c r="AI58" t="e">
        <f>AND(Bills!B58,"AAAAAB3n4SI=")</f>
        <v>#VALUE!</v>
      </c>
      <c r="AJ58" t="e">
        <f>AND(Bills!#REF!,"AAAAAB3n4SM=")</f>
        <v>#REF!</v>
      </c>
      <c r="AK58" t="e">
        <f>AND(Bills!C58,"AAAAAB3n4SQ=")</f>
        <v>#VALUE!</v>
      </c>
      <c r="AL58" t="e">
        <f>AND(Bills!#REF!,"AAAAAB3n4SU=")</f>
        <v>#REF!</v>
      </c>
      <c r="AM58" t="e">
        <f>AND(Bills!#REF!,"AAAAAB3n4SY=")</f>
        <v>#REF!</v>
      </c>
      <c r="AN58" t="e">
        <f>AND(Bills!#REF!,"AAAAAB3n4Sc=")</f>
        <v>#REF!</v>
      </c>
      <c r="AO58" t="e">
        <f>AND(Bills!#REF!,"AAAAAB3n4Sg=")</f>
        <v>#REF!</v>
      </c>
      <c r="AP58" t="e">
        <f>AND(Bills!#REF!,"AAAAAB3n4Sk=")</f>
        <v>#REF!</v>
      </c>
      <c r="AQ58" t="e">
        <f>AND(Bills!D58,"AAAAAB3n4So=")</f>
        <v>#VALUE!</v>
      </c>
      <c r="AR58" t="e">
        <f>AND(Bills!#REF!,"AAAAAB3n4Ss=")</f>
        <v>#REF!</v>
      </c>
      <c r="AS58" t="e">
        <f>AND(Bills!E58,"AAAAAB3n4Sw=")</f>
        <v>#VALUE!</v>
      </c>
      <c r="AT58" t="e">
        <f>AND(Bills!F58,"AAAAAB3n4S0=")</f>
        <v>#VALUE!</v>
      </c>
      <c r="AU58" t="e">
        <f>AND(Bills!G58,"AAAAAB3n4S4=")</f>
        <v>#VALUE!</v>
      </c>
      <c r="AV58" t="e">
        <f>AND(Bills!H58,"AAAAAB3n4S8=")</f>
        <v>#VALUE!</v>
      </c>
      <c r="AW58" t="e">
        <f>AND(Bills!I58,"AAAAAB3n4TA=")</f>
        <v>#VALUE!</v>
      </c>
      <c r="AX58" t="e">
        <f>AND(Bills!J58,"AAAAAB3n4TE=")</f>
        <v>#VALUE!</v>
      </c>
      <c r="AY58" t="e">
        <f>AND(Bills!#REF!,"AAAAAB3n4TI=")</f>
        <v>#REF!</v>
      </c>
      <c r="AZ58" t="e">
        <f>AND(Bills!K58,"AAAAAB3n4TM=")</f>
        <v>#VALUE!</v>
      </c>
      <c r="BA58" t="e">
        <f>AND(Bills!L58,"AAAAAB3n4TQ=")</f>
        <v>#VALUE!</v>
      </c>
      <c r="BB58" t="e">
        <f>AND(Bills!M58,"AAAAAB3n4TU=")</f>
        <v>#VALUE!</v>
      </c>
      <c r="BC58" t="e">
        <f>AND(Bills!N58,"AAAAAB3n4TY=")</f>
        <v>#VALUE!</v>
      </c>
      <c r="BD58" t="e">
        <f>AND(Bills!O58,"AAAAAB3n4Tc=")</f>
        <v>#VALUE!</v>
      </c>
      <c r="BE58" t="e">
        <f>AND(Bills!P58,"AAAAAB3n4Tg=")</f>
        <v>#VALUE!</v>
      </c>
      <c r="BF58" t="e">
        <f>AND(Bills!Q58,"AAAAAB3n4Tk=")</f>
        <v>#VALUE!</v>
      </c>
      <c r="BG58" t="e">
        <f>AND(Bills!R58,"AAAAAB3n4To=")</f>
        <v>#VALUE!</v>
      </c>
      <c r="BH58" t="e">
        <f>AND(Bills!#REF!,"AAAAAB3n4Ts=")</f>
        <v>#REF!</v>
      </c>
      <c r="BI58" t="e">
        <f>AND(Bills!S58,"AAAAAB3n4Tw=")</f>
        <v>#VALUE!</v>
      </c>
      <c r="BJ58" t="e">
        <f>AND(Bills!T58,"AAAAAB3n4T0=")</f>
        <v>#VALUE!</v>
      </c>
      <c r="BK58" t="e">
        <f>AND(Bills!U58,"AAAAAB3n4T4=")</f>
        <v>#VALUE!</v>
      </c>
      <c r="BL58" t="e">
        <f>AND(Bills!#REF!,"AAAAAB3n4T8=")</f>
        <v>#REF!</v>
      </c>
      <c r="BM58" t="e">
        <f>AND(Bills!#REF!,"AAAAAB3n4UA=")</f>
        <v>#REF!</v>
      </c>
      <c r="BN58" t="e">
        <f>AND(Bills!W58,"AAAAAB3n4UE=")</f>
        <v>#VALUE!</v>
      </c>
      <c r="BO58" t="e">
        <f>AND(Bills!X58,"AAAAAB3n4UI=")</f>
        <v>#VALUE!</v>
      </c>
      <c r="BP58" t="e">
        <f>AND(Bills!#REF!,"AAAAAB3n4UM=")</f>
        <v>#REF!</v>
      </c>
      <c r="BQ58" t="e">
        <f>AND(Bills!#REF!,"AAAAAB3n4UQ=")</f>
        <v>#REF!</v>
      </c>
      <c r="BR58" t="e">
        <f>AND(Bills!#REF!,"AAAAAB3n4UU=")</f>
        <v>#REF!</v>
      </c>
      <c r="BS58" t="e">
        <f>AND(Bills!#REF!,"AAAAAB3n4UY=")</f>
        <v>#REF!</v>
      </c>
      <c r="BT58" t="e">
        <f>AND(Bills!#REF!,"AAAAAB3n4Uc=")</f>
        <v>#REF!</v>
      </c>
      <c r="BU58" t="e">
        <f>AND(Bills!#REF!,"AAAAAB3n4Ug=")</f>
        <v>#REF!</v>
      </c>
      <c r="BV58" t="e">
        <f>AND(Bills!#REF!,"AAAAAB3n4Uk=")</f>
        <v>#REF!</v>
      </c>
      <c r="BW58" t="e">
        <f>AND(Bills!#REF!,"AAAAAB3n4Uo=")</f>
        <v>#REF!</v>
      </c>
      <c r="BX58" t="e">
        <f>AND(Bills!#REF!,"AAAAAB3n4Us=")</f>
        <v>#REF!</v>
      </c>
      <c r="BY58" t="e">
        <f>AND(Bills!Y58,"AAAAAB3n4Uw=")</f>
        <v>#VALUE!</v>
      </c>
      <c r="BZ58" t="e">
        <f>AND(Bills!Z58,"AAAAAB3n4U0=")</f>
        <v>#VALUE!</v>
      </c>
      <c r="CA58" t="e">
        <f>AND(Bills!#REF!,"AAAAAB3n4U4=")</f>
        <v>#REF!</v>
      </c>
      <c r="CB58" t="e">
        <f>AND(Bills!#REF!,"AAAAAB3n4U8=")</f>
        <v>#REF!</v>
      </c>
      <c r="CC58" t="e">
        <f>AND(Bills!#REF!,"AAAAAB3n4VA=")</f>
        <v>#REF!</v>
      </c>
      <c r="CD58" t="e">
        <f>AND(Bills!AA58,"AAAAAB3n4VE=")</f>
        <v>#VALUE!</v>
      </c>
      <c r="CE58" t="e">
        <f>AND(Bills!AB58,"AAAAAB3n4VI=")</f>
        <v>#VALUE!</v>
      </c>
      <c r="CF58" t="e">
        <f>AND(Bills!#REF!,"AAAAAB3n4VM=")</f>
        <v>#REF!</v>
      </c>
      <c r="CG58">
        <f>IF(Bills!59:59,"AAAAAB3n4VQ=",0)</f>
        <v>0</v>
      </c>
      <c r="CH58" t="e">
        <f>AND(Bills!B59,"AAAAAB3n4VU=")</f>
        <v>#VALUE!</v>
      </c>
      <c r="CI58" t="e">
        <f>AND(Bills!#REF!,"AAAAAB3n4VY=")</f>
        <v>#REF!</v>
      </c>
      <c r="CJ58" t="e">
        <f>AND(Bills!C59,"AAAAAB3n4Vc=")</f>
        <v>#VALUE!</v>
      </c>
      <c r="CK58" t="e">
        <f>AND(Bills!#REF!,"AAAAAB3n4Vg=")</f>
        <v>#REF!</v>
      </c>
      <c r="CL58" t="e">
        <f>AND(Bills!#REF!,"AAAAAB3n4Vk=")</f>
        <v>#REF!</v>
      </c>
      <c r="CM58" t="e">
        <f>AND(Bills!#REF!,"AAAAAB3n4Vo=")</f>
        <v>#REF!</v>
      </c>
      <c r="CN58" t="e">
        <f>AND(Bills!#REF!,"AAAAAB3n4Vs=")</f>
        <v>#REF!</v>
      </c>
      <c r="CO58" t="e">
        <f>AND(Bills!#REF!,"AAAAAB3n4Vw=")</f>
        <v>#REF!</v>
      </c>
      <c r="CP58" t="e">
        <f>AND(Bills!D59,"AAAAAB3n4V0=")</f>
        <v>#VALUE!</v>
      </c>
      <c r="CQ58" t="e">
        <f>AND(Bills!#REF!,"AAAAAB3n4V4=")</f>
        <v>#REF!</v>
      </c>
      <c r="CR58" t="e">
        <f>AND(Bills!E59,"AAAAAB3n4V8=")</f>
        <v>#VALUE!</v>
      </c>
      <c r="CS58" t="e">
        <f>AND(Bills!F59,"AAAAAB3n4WA=")</f>
        <v>#VALUE!</v>
      </c>
      <c r="CT58" t="e">
        <f>AND(Bills!G59,"AAAAAB3n4WE=")</f>
        <v>#VALUE!</v>
      </c>
      <c r="CU58" t="e">
        <f>AND(Bills!H59,"AAAAAB3n4WI=")</f>
        <v>#VALUE!</v>
      </c>
      <c r="CV58" t="e">
        <f>AND(Bills!I59,"AAAAAB3n4WM=")</f>
        <v>#VALUE!</v>
      </c>
      <c r="CW58" t="e">
        <f>AND(Bills!J59,"AAAAAB3n4WQ=")</f>
        <v>#VALUE!</v>
      </c>
      <c r="CX58" t="e">
        <f>AND(Bills!#REF!,"AAAAAB3n4WU=")</f>
        <v>#REF!</v>
      </c>
      <c r="CY58" t="e">
        <f>AND(Bills!K59,"AAAAAB3n4WY=")</f>
        <v>#VALUE!</v>
      </c>
      <c r="CZ58" t="e">
        <f>AND(Bills!L59,"AAAAAB3n4Wc=")</f>
        <v>#VALUE!</v>
      </c>
      <c r="DA58" t="e">
        <f>AND(Bills!M59,"AAAAAB3n4Wg=")</f>
        <v>#VALUE!</v>
      </c>
      <c r="DB58" t="e">
        <f>AND(Bills!N59,"AAAAAB3n4Wk=")</f>
        <v>#VALUE!</v>
      </c>
      <c r="DC58" t="e">
        <f>AND(Bills!O59,"AAAAAB3n4Wo=")</f>
        <v>#VALUE!</v>
      </c>
      <c r="DD58" t="e">
        <f>AND(Bills!P59,"AAAAAB3n4Ws=")</f>
        <v>#VALUE!</v>
      </c>
      <c r="DE58" t="e">
        <f>AND(Bills!Q59,"AAAAAB3n4Ww=")</f>
        <v>#VALUE!</v>
      </c>
      <c r="DF58" t="e">
        <f>AND(Bills!R59,"AAAAAB3n4W0=")</f>
        <v>#VALUE!</v>
      </c>
      <c r="DG58" t="e">
        <f>AND(Bills!#REF!,"AAAAAB3n4W4=")</f>
        <v>#REF!</v>
      </c>
      <c r="DH58" t="e">
        <f>AND(Bills!S59,"AAAAAB3n4W8=")</f>
        <v>#VALUE!</v>
      </c>
      <c r="DI58" t="e">
        <f>AND(Bills!T59,"AAAAAB3n4XA=")</f>
        <v>#VALUE!</v>
      </c>
      <c r="DJ58" t="e">
        <f>AND(Bills!U59,"AAAAAB3n4XE=")</f>
        <v>#VALUE!</v>
      </c>
      <c r="DK58" t="e">
        <f>AND(Bills!#REF!,"AAAAAB3n4XI=")</f>
        <v>#REF!</v>
      </c>
      <c r="DL58" t="e">
        <f>AND(Bills!#REF!,"AAAAAB3n4XM=")</f>
        <v>#REF!</v>
      </c>
      <c r="DM58" t="e">
        <f>AND(Bills!W59,"AAAAAB3n4XQ=")</f>
        <v>#VALUE!</v>
      </c>
      <c r="DN58" t="e">
        <f>AND(Bills!X59,"AAAAAB3n4XU=")</f>
        <v>#VALUE!</v>
      </c>
      <c r="DO58" t="e">
        <f>AND(Bills!#REF!,"AAAAAB3n4XY=")</f>
        <v>#REF!</v>
      </c>
      <c r="DP58" t="e">
        <f>AND(Bills!#REF!,"AAAAAB3n4Xc=")</f>
        <v>#REF!</v>
      </c>
      <c r="DQ58" t="e">
        <f>AND(Bills!#REF!,"AAAAAB3n4Xg=")</f>
        <v>#REF!</v>
      </c>
      <c r="DR58" t="e">
        <f>AND(Bills!#REF!,"AAAAAB3n4Xk=")</f>
        <v>#REF!</v>
      </c>
      <c r="DS58" t="e">
        <f>AND(Bills!#REF!,"AAAAAB3n4Xo=")</f>
        <v>#REF!</v>
      </c>
      <c r="DT58" t="e">
        <f>AND(Bills!#REF!,"AAAAAB3n4Xs=")</f>
        <v>#REF!</v>
      </c>
      <c r="DU58" t="e">
        <f>AND(Bills!#REF!,"AAAAAB3n4Xw=")</f>
        <v>#REF!</v>
      </c>
      <c r="DV58" t="e">
        <f>AND(Bills!#REF!,"AAAAAB3n4X0=")</f>
        <v>#REF!</v>
      </c>
      <c r="DW58" t="e">
        <f>AND(Bills!#REF!,"AAAAAB3n4X4=")</f>
        <v>#REF!</v>
      </c>
      <c r="DX58" t="e">
        <f>AND(Bills!Y59,"AAAAAB3n4X8=")</f>
        <v>#VALUE!</v>
      </c>
      <c r="DY58" t="e">
        <f>AND(Bills!Z59,"AAAAAB3n4YA=")</f>
        <v>#VALUE!</v>
      </c>
      <c r="DZ58" t="e">
        <f>AND(Bills!#REF!,"AAAAAB3n4YE=")</f>
        <v>#REF!</v>
      </c>
      <c r="EA58" t="e">
        <f>AND(Bills!#REF!,"AAAAAB3n4YI=")</f>
        <v>#REF!</v>
      </c>
      <c r="EB58" t="e">
        <f>AND(Bills!#REF!,"AAAAAB3n4YM=")</f>
        <v>#REF!</v>
      </c>
      <c r="EC58" t="e">
        <f>AND(Bills!AA59,"AAAAAB3n4YQ=")</f>
        <v>#VALUE!</v>
      </c>
      <c r="ED58" t="e">
        <f>AND(Bills!AB59,"AAAAAB3n4YU=")</f>
        <v>#VALUE!</v>
      </c>
      <c r="EE58" t="e">
        <f>AND(Bills!#REF!,"AAAAAB3n4YY=")</f>
        <v>#REF!</v>
      </c>
      <c r="EF58">
        <f>IF(Bills!60:60,"AAAAAB3n4Yc=",0)</f>
        <v>0</v>
      </c>
      <c r="EG58" t="e">
        <f>AND(Bills!B60,"AAAAAB3n4Yg=")</f>
        <v>#VALUE!</v>
      </c>
      <c r="EH58" t="e">
        <f>AND(Bills!#REF!,"AAAAAB3n4Yk=")</f>
        <v>#REF!</v>
      </c>
      <c r="EI58" t="e">
        <f>AND(Bills!C60,"AAAAAB3n4Yo=")</f>
        <v>#VALUE!</v>
      </c>
      <c r="EJ58" t="e">
        <f>AND(Bills!#REF!,"AAAAAB3n4Ys=")</f>
        <v>#REF!</v>
      </c>
      <c r="EK58" t="e">
        <f>AND(Bills!#REF!,"AAAAAB3n4Yw=")</f>
        <v>#REF!</v>
      </c>
      <c r="EL58" t="e">
        <f>AND(Bills!#REF!,"AAAAAB3n4Y0=")</f>
        <v>#REF!</v>
      </c>
      <c r="EM58" t="e">
        <f>AND(Bills!#REF!,"AAAAAB3n4Y4=")</f>
        <v>#REF!</v>
      </c>
      <c r="EN58" t="e">
        <f>AND(Bills!#REF!,"AAAAAB3n4Y8=")</f>
        <v>#REF!</v>
      </c>
      <c r="EO58" t="e">
        <f>AND(Bills!D60,"AAAAAB3n4ZA=")</f>
        <v>#VALUE!</v>
      </c>
      <c r="EP58" t="e">
        <f>AND(Bills!#REF!,"AAAAAB3n4ZE=")</f>
        <v>#REF!</v>
      </c>
      <c r="EQ58" t="e">
        <f>AND(Bills!E60,"AAAAAB3n4ZI=")</f>
        <v>#VALUE!</v>
      </c>
      <c r="ER58" t="e">
        <f>AND(Bills!F60,"AAAAAB3n4ZM=")</f>
        <v>#VALUE!</v>
      </c>
      <c r="ES58" t="e">
        <f>AND(Bills!G60,"AAAAAB3n4ZQ=")</f>
        <v>#VALUE!</v>
      </c>
      <c r="ET58" t="e">
        <f>AND(Bills!H60,"AAAAAB3n4ZU=")</f>
        <v>#VALUE!</v>
      </c>
      <c r="EU58" t="e">
        <f>AND(Bills!I60,"AAAAAB3n4ZY=")</f>
        <v>#VALUE!</v>
      </c>
      <c r="EV58" t="e">
        <f>AND(Bills!J60,"AAAAAB3n4Zc=")</f>
        <v>#VALUE!</v>
      </c>
      <c r="EW58" t="e">
        <f>AND(Bills!#REF!,"AAAAAB3n4Zg=")</f>
        <v>#REF!</v>
      </c>
      <c r="EX58" t="e">
        <f>AND(Bills!K60,"AAAAAB3n4Zk=")</f>
        <v>#VALUE!</v>
      </c>
      <c r="EY58" t="e">
        <f>AND(Bills!L60,"AAAAAB3n4Zo=")</f>
        <v>#VALUE!</v>
      </c>
      <c r="EZ58" t="e">
        <f>AND(Bills!M60,"AAAAAB3n4Zs=")</f>
        <v>#VALUE!</v>
      </c>
      <c r="FA58" t="e">
        <f>AND(Bills!N60,"AAAAAB3n4Zw=")</f>
        <v>#VALUE!</v>
      </c>
      <c r="FB58" t="e">
        <f>AND(Bills!O60,"AAAAAB3n4Z0=")</f>
        <v>#VALUE!</v>
      </c>
      <c r="FC58" t="e">
        <f>AND(Bills!P60,"AAAAAB3n4Z4=")</f>
        <v>#VALUE!</v>
      </c>
      <c r="FD58" t="e">
        <f>AND(Bills!Q60,"AAAAAB3n4Z8=")</f>
        <v>#VALUE!</v>
      </c>
      <c r="FE58" t="e">
        <f>AND(Bills!R60,"AAAAAB3n4aA=")</f>
        <v>#VALUE!</v>
      </c>
      <c r="FF58" t="e">
        <f>AND(Bills!#REF!,"AAAAAB3n4aE=")</f>
        <v>#REF!</v>
      </c>
      <c r="FG58" t="e">
        <f>AND(Bills!S60,"AAAAAB3n4aI=")</f>
        <v>#VALUE!</v>
      </c>
      <c r="FH58" t="e">
        <f>AND(Bills!T60,"AAAAAB3n4aM=")</f>
        <v>#VALUE!</v>
      </c>
      <c r="FI58" t="e">
        <f>AND(Bills!U60,"AAAAAB3n4aQ=")</f>
        <v>#VALUE!</v>
      </c>
      <c r="FJ58" t="e">
        <f>AND(Bills!#REF!,"AAAAAB3n4aU=")</f>
        <v>#REF!</v>
      </c>
      <c r="FK58" t="e">
        <f>AND(Bills!#REF!,"AAAAAB3n4aY=")</f>
        <v>#REF!</v>
      </c>
      <c r="FL58" t="e">
        <f>AND(Bills!W60,"AAAAAB3n4ac=")</f>
        <v>#VALUE!</v>
      </c>
      <c r="FM58" t="e">
        <f>AND(Bills!X60,"AAAAAB3n4ag=")</f>
        <v>#VALUE!</v>
      </c>
      <c r="FN58" t="e">
        <f>AND(Bills!#REF!,"AAAAAB3n4ak=")</f>
        <v>#REF!</v>
      </c>
      <c r="FO58" t="e">
        <f>AND(Bills!#REF!,"AAAAAB3n4ao=")</f>
        <v>#REF!</v>
      </c>
      <c r="FP58" t="e">
        <f>AND(Bills!#REF!,"AAAAAB3n4as=")</f>
        <v>#REF!</v>
      </c>
      <c r="FQ58" t="e">
        <f>AND(Bills!#REF!,"AAAAAB3n4aw=")</f>
        <v>#REF!</v>
      </c>
      <c r="FR58" t="e">
        <f>AND(Bills!#REF!,"AAAAAB3n4a0=")</f>
        <v>#REF!</v>
      </c>
      <c r="FS58" t="e">
        <f>AND(Bills!#REF!,"AAAAAB3n4a4=")</f>
        <v>#REF!</v>
      </c>
      <c r="FT58" t="e">
        <f>AND(Bills!#REF!,"AAAAAB3n4a8=")</f>
        <v>#REF!</v>
      </c>
      <c r="FU58" t="e">
        <f>AND(Bills!#REF!,"AAAAAB3n4bA=")</f>
        <v>#REF!</v>
      </c>
      <c r="FV58" t="e">
        <f>AND(Bills!#REF!,"AAAAAB3n4bE=")</f>
        <v>#REF!</v>
      </c>
      <c r="FW58" t="e">
        <f>AND(Bills!Y60,"AAAAAB3n4bI=")</f>
        <v>#VALUE!</v>
      </c>
      <c r="FX58" t="e">
        <f>AND(Bills!Z60,"AAAAAB3n4bM=")</f>
        <v>#VALUE!</v>
      </c>
      <c r="FY58" t="e">
        <f>AND(Bills!#REF!,"AAAAAB3n4bQ=")</f>
        <v>#REF!</v>
      </c>
      <c r="FZ58" t="e">
        <f>AND(Bills!#REF!,"AAAAAB3n4bU=")</f>
        <v>#REF!</v>
      </c>
      <c r="GA58" t="e">
        <f>AND(Bills!#REF!,"AAAAAB3n4bY=")</f>
        <v>#REF!</v>
      </c>
      <c r="GB58" t="e">
        <f>AND(Bills!AA60,"AAAAAB3n4bc=")</f>
        <v>#VALUE!</v>
      </c>
      <c r="GC58" t="e">
        <f>AND(Bills!AB60,"AAAAAB3n4bg=")</f>
        <v>#VALUE!</v>
      </c>
      <c r="GD58" t="e">
        <f>AND(Bills!#REF!,"AAAAAB3n4bk=")</f>
        <v>#REF!</v>
      </c>
      <c r="GE58">
        <f>IF(Bills!61:61,"AAAAAB3n4bo=",0)</f>
        <v>0</v>
      </c>
      <c r="GF58" t="e">
        <f>AND(Bills!B61,"AAAAAB3n4bs=")</f>
        <v>#VALUE!</v>
      </c>
      <c r="GG58" t="e">
        <f>AND(Bills!#REF!,"AAAAAB3n4bw=")</f>
        <v>#REF!</v>
      </c>
      <c r="GH58" t="e">
        <f>AND(Bills!C61,"AAAAAB3n4b0=")</f>
        <v>#VALUE!</v>
      </c>
      <c r="GI58" t="e">
        <f>AND(Bills!#REF!,"AAAAAB3n4b4=")</f>
        <v>#REF!</v>
      </c>
      <c r="GJ58" t="e">
        <f>AND(Bills!#REF!,"AAAAAB3n4b8=")</f>
        <v>#REF!</v>
      </c>
      <c r="GK58" t="e">
        <f>AND(Bills!#REF!,"AAAAAB3n4cA=")</f>
        <v>#REF!</v>
      </c>
      <c r="GL58" t="e">
        <f>AND(Bills!#REF!,"AAAAAB3n4cE=")</f>
        <v>#REF!</v>
      </c>
      <c r="GM58" t="e">
        <f>AND(Bills!#REF!,"AAAAAB3n4cI=")</f>
        <v>#REF!</v>
      </c>
      <c r="GN58" t="e">
        <f>AND(Bills!D61,"AAAAAB3n4cM=")</f>
        <v>#VALUE!</v>
      </c>
      <c r="GO58" t="e">
        <f>AND(Bills!#REF!,"AAAAAB3n4cQ=")</f>
        <v>#REF!</v>
      </c>
      <c r="GP58" t="e">
        <f>AND(Bills!E61,"AAAAAB3n4cU=")</f>
        <v>#VALUE!</v>
      </c>
      <c r="GQ58" t="e">
        <f>AND(Bills!F61,"AAAAAB3n4cY=")</f>
        <v>#VALUE!</v>
      </c>
      <c r="GR58" t="e">
        <f>AND(Bills!G61,"AAAAAB3n4cc=")</f>
        <v>#VALUE!</v>
      </c>
      <c r="GS58" t="e">
        <f>AND(Bills!H61,"AAAAAB3n4cg=")</f>
        <v>#VALUE!</v>
      </c>
      <c r="GT58" t="e">
        <f>AND(Bills!I61,"AAAAAB3n4ck=")</f>
        <v>#VALUE!</v>
      </c>
      <c r="GU58" t="e">
        <f>AND(Bills!J61,"AAAAAB3n4co=")</f>
        <v>#VALUE!</v>
      </c>
      <c r="GV58" t="e">
        <f>AND(Bills!#REF!,"AAAAAB3n4cs=")</f>
        <v>#REF!</v>
      </c>
      <c r="GW58" t="e">
        <f>AND(Bills!K61,"AAAAAB3n4cw=")</f>
        <v>#VALUE!</v>
      </c>
      <c r="GX58" t="e">
        <f>AND(Bills!L61,"AAAAAB3n4c0=")</f>
        <v>#VALUE!</v>
      </c>
      <c r="GY58" t="e">
        <f>AND(Bills!M61,"AAAAAB3n4c4=")</f>
        <v>#VALUE!</v>
      </c>
      <c r="GZ58" t="e">
        <f>AND(Bills!N61,"AAAAAB3n4c8=")</f>
        <v>#VALUE!</v>
      </c>
      <c r="HA58" t="e">
        <f>AND(Bills!O61,"AAAAAB3n4dA=")</f>
        <v>#VALUE!</v>
      </c>
      <c r="HB58" t="e">
        <f>AND(Bills!P61,"AAAAAB3n4dE=")</f>
        <v>#VALUE!</v>
      </c>
      <c r="HC58" t="e">
        <f>AND(Bills!Q61,"AAAAAB3n4dI=")</f>
        <v>#VALUE!</v>
      </c>
      <c r="HD58" t="e">
        <f>AND(Bills!R61,"AAAAAB3n4dM=")</f>
        <v>#VALUE!</v>
      </c>
      <c r="HE58" t="e">
        <f>AND(Bills!#REF!,"AAAAAB3n4dQ=")</f>
        <v>#REF!</v>
      </c>
      <c r="HF58" t="e">
        <f>AND(Bills!S61,"AAAAAB3n4dU=")</f>
        <v>#VALUE!</v>
      </c>
      <c r="HG58" t="e">
        <f>AND(Bills!T61,"AAAAAB3n4dY=")</f>
        <v>#VALUE!</v>
      </c>
      <c r="HH58" t="e">
        <f>AND(Bills!U61,"AAAAAB3n4dc=")</f>
        <v>#VALUE!</v>
      </c>
      <c r="HI58" t="e">
        <f>AND(Bills!#REF!,"AAAAAB3n4dg=")</f>
        <v>#REF!</v>
      </c>
      <c r="HJ58" t="e">
        <f>AND(Bills!#REF!,"AAAAAB3n4dk=")</f>
        <v>#REF!</v>
      </c>
      <c r="HK58" t="e">
        <f>AND(Bills!W61,"AAAAAB3n4do=")</f>
        <v>#VALUE!</v>
      </c>
      <c r="HL58" t="e">
        <f>AND(Bills!X61,"AAAAAB3n4ds=")</f>
        <v>#VALUE!</v>
      </c>
      <c r="HM58" t="e">
        <f>AND(Bills!#REF!,"AAAAAB3n4dw=")</f>
        <v>#REF!</v>
      </c>
      <c r="HN58" t="e">
        <f>AND(Bills!#REF!,"AAAAAB3n4d0=")</f>
        <v>#REF!</v>
      </c>
      <c r="HO58" t="e">
        <f>AND(Bills!#REF!,"AAAAAB3n4d4=")</f>
        <v>#REF!</v>
      </c>
      <c r="HP58" t="e">
        <f>AND(Bills!#REF!,"AAAAAB3n4d8=")</f>
        <v>#REF!</v>
      </c>
      <c r="HQ58" t="e">
        <f>AND(Bills!#REF!,"AAAAAB3n4eA=")</f>
        <v>#REF!</v>
      </c>
      <c r="HR58" t="e">
        <f>AND(Bills!#REF!,"AAAAAB3n4eE=")</f>
        <v>#REF!</v>
      </c>
      <c r="HS58" t="e">
        <f>AND(Bills!#REF!,"AAAAAB3n4eI=")</f>
        <v>#REF!</v>
      </c>
      <c r="HT58" t="e">
        <f>AND(Bills!#REF!,"AAAAAB3n4eM=")</f>
        <v>#REF!</v>
      </c>
      <c r="HU58" t="e">
        <f>AND(Bills!#REF!,"AAAAAB3n4eQ=")</f>
        <v>#REF!</v>
      </c>
      <c r="HV58" t="e">
        <f>AND(Bills!Y61,"AAAAAB3n4eU=")</f>
        <v>#VALUE!</v>
      </c>
      <c r="HW58" t="e">
        <f>AND(Bills!Z61,"AAAAAB3n4eY=")</f>
        <v>#VALUE!</v>
      </c>
      <c r="HX58" t="e">
        <f>AND(Bills!#REF!,"AAAAAB3n4ec=")</f>
        <v>#REF!</v>
      </c>
      <c r="HY58" t="e">
        <f>AND(Bills!#REF!,"AAAAAB3n4eg=")</f>
        <v>#REF!</v>
      </c>
      <c r="HZ58" t="e">
        <f>AND(Bills!#REF!,"AAAAAB3n4ek=")</f>
        <v>#REF!</v>
      </c>
      <c r="IA58" t="e">
        <f>AND(Bills!AA61,"AAAAAB3n4eo=")</f>
        <v>#VALUE!</v>
      </c>
      <c r="IB58" t="e">
        <f>AND(Bills!AB61,"AAAAAB3n4es=")</f>
        <v>#VALUE!</v>
      </c>
      <c r="IC58" t="e">
        <f>AND(Bills!#REF!,"AAAAAB3n4ew=")</f>
        <v>#REF!</v>
      </c>
      <c r="ID58">
        <f>IF(Bills!62:62,"AAAAAB3n4e0=",0)</f>
        <v>0</v>
      </c>
      <c r="IE58" t="e">
        <f>AND(Bills!B62,"AAAAAB3n4e4=")</f>
        <v>#VALUE!</v>
      </c>
      <c r="IF58" t="e">
        <f>AND(Bills!#REF!,"AAAAAB3n4e8=")</f>
        <v>#REF!</v>
      </c>
      <c r="IG58" t="e">
        <f>AND(Bills!C62,"AAAAAB3n4fA=")</f>
        <v>#VALUE!</v>
      </c>
      <c r="IH58" t="e">
        <f>AND(Bills!#REF!,"AAAAAB3n4fE=")</f>
        <v>#REF!</v>
      </c>
      <c r="II58" t="e">
        <f>AND(Bills!#REF!,"AAAAAB3n4fI=")</f>
        <v>#REF!</v>
      </c>
      <c r="IJ58" t="e">
        <f>AND(Bills!#REF!,"AAAAAB3n4fM=")</f>
        <v>#REF!</v>
      </c>
      <c r="IK58" t="e">
        <f>AND(Bills!#REF!,"AAAAAB3n4fQ=")</f>
        <v>#REF!</v>
      </c>
      <c r="IL58" t="e">
        <f>AND(Bills!#REF!,"AAAAAB3n4fU=")</f>
        <v>#REF!</v>
      </c>
      <c r="IM58" t="e">
        <f>AND(Bills!D62,"AAAAAB3n4fY=")</f>
        <v>#VALUE!</v>
      </c>
      <c r="IN58" t="e">
        <f>AND(Bills!#REF!,"AAAAAB3n4fc=")</f>
        <v>#REF!</v>
      </c>
      <c r="IO58" t="e">
        <f>AND(Bills!E62,"AAAAAB3n4fg=")</f>
        <v>#VALUE!</v>
      </c>
      <c r="IP58" t="e">
        <f>AND(Bills!F62,"AAAAAB3n4fk=")</f>
        <v>#VALUE!</v>
      </c>
      <c r="IQ58" t="e">
        <f>AND(Bills!G62,"AAAAAB3n4fo=")</f>
        <v>#VALUE!</v>
      </c>
      <c r="IR58" t="e">
        <f>AND(Bills!H62,"AAAAAB3n4fs=")</f>
        <v>#VALUE!</v>
      </c>
      <c r="IS58" t="e">
        <f>AND(Bills!I62,"AAAAAB3n4fw=")</f>
        <v>#VALUE!</v>
      </c>
      <c r="IT58" t="e">
        <f>AND(Bills!J62,"AAAAAB3n4f0=")</f>
        <v>#VALUE!</v>
      </c>
      <c r="IU58" t="e">
        <f>AND(Bills!#REF!,"AAAAAB3n4f4=")</f>
        <v>#REF!</v>
      </c>
      <c r="IV58" t="e">
        <f>AND(Bills!K62,"AAAAAB3n4f8=")</f>
        <v>#VALUE!</v>
      </c>
    </row>
    <row r="59" spans="1:256">
      <c r="A59" t="e">
        <f>AND(Bills!L62,"AAAAAH9/jgA=")</f>
        <v>#VALUE!</v>
      </c>
      <c r="B59" t="e">
        <f>AND(Bills!M62,"AAAAAH9/jgE=")</f>
        <v>#VALUE!</v>
      </c>
      <c r="C59" t="e">
        <f>AND(Bills!N62,"AAAAAH9/jgI=")</f>
        <v>#VALUE!</v>
      </c>
      <c r="D59" t="e">
        <f>AND(Bills!O62,"AAAAAH9/jgM=")</f>
        <v>#VALUE!</v>
      </c>
      <c r="E59" t="e">
        <f>AND(Bills!P62,"AAAAAH9/jgQ=")</f>
        <v>#VALUE!</v>
      </c>
      <c r="F59" t="e">
        <f>AND(Bills!Q62,"AAAAAH9/jgU=")</f>
        <v>#VALUE!</v>
      </c>
      <c r="G59" t="e">
        <f>AND(Bills!R62,"AAAAAH9/jgY=")</f>
        <v>#VALUE!</v>
      </c>
      <c r="H59" t="e">
        <f>AND(Bills!#REF!,"AAAAAH9/jgc=")</f>
        <v>#REF!</v>
      </c>
      <c r="I59" t="e">
        <f>AND(Bills!S62,"AAAAAH9/jgg=")</f>
        <v>#VALUE!</v>
      </c>
      <c r="J59" t="e">
        <f>AND(Bills!T62,"AAAAAH9/jgk=")</f>
        <v>#VALUE!</v>
      </c>
      <c r="K59" t="e">
        <f>AND(Bills!U62,"AAAAAH9/jgo=")</f>
        <v>#VALUE!</v>
      </c>
      <c r="L59" t="e">
        <f>AND(Bills!#REF!,"AAAAAH9/jgs=")</f>
        <v>#REF!</v>
      </c>
      <c r="M59" t="e">
        <f>AND(Bills!#REF!,"AAAAAH9/jgw=")</f>
        <v>#REF!</v>
      </c>
      <c r="N59" t="e">
        <f>AND(Bills!W62,"AAAAAH9/jg0=")</f>
        <v>#VALUE!</v>
      </c>
      <c r="O59" t="e">
        <f>AND(Bills!X62,"AAAAAH9/jg4=")</f>
        <v>#VALUE!</v>
      </c>
      <c r="P59" t="e">
        <f>AND(Bills!#REF!,"AAAAAH9/jg8=")</f>
        <v>#REF!</v>
      </c>
      <c r="Q59" t="e">
        <f>AND(Bills!#REF!,"AAAAAH9/jhA=")</f>
        <v>#REF!</v>
      </c>
      <c r="R59" t="e">
        <f>AND(Bills!#REF!,"AAAAAH9/jhE=")</f>
        <v>#REF!</v>
      </c>
      <c r="S59" t="e">
        <f>AND(Bills!#REF!,"AAAAAH9/jhI=")</f>
        <v>#REF!</v>
      </c>
      <c r="T59" t="e">
        <f>AND(Bills!#REF!,"AAAAAH9/jhM=")</f>
        <v>#REF!</v>
      </c>
      <c r="U59" t="e">
        <f>AND(Bills!#REF!,"AAAAAH9/jhQ=")</f>
        <v>#REF!</v>
      </c>
      <c r="V59" t="e">
        <f>AND(Bills!#REF!,"AAAAAH9/jhU=")</f>
        <v>#REF!</v>
      </c>
      <c r="W59" t="e">
        <f>AND(Bills!#REF!,"AAAAAH9/jhY=")</f>
        <v>#REF!</v>
      </c>
      <c r="X59" t="e">
        <f>AND(Bills!#REF!,"AAAAAH9/jhc=")</f>
        <v>#REF!</v>
      </c>
      <c r="Y59" t="e">
        <f>AND(Bills!Y62,"AAAAAH9/jhg=")</f>
        <v>#VALUE!</v>
      </c>
      <c r="Z59" t="e">
        <f>AND(Bills!Z62,"AAAAAH9/jhk=")</f>
        <v>#VALUE!</v>
      </c>
      <c r="AA59" t="e">
        <f>AND(Bills!#REF!,"AAAAAH9/jho=")</f>
        <v>#REF!</v>
      </c>
      <c r="AB59" t="e">
        <f>AND(Bills!#REF!,"AAAAAH9/jhs=")</f>
        <v>#REF!</v>
      </c>
      <c r="AC59" t="e">
        <f>AND(Bills!#REF!,"AAAAAH9/jhw=")</f>
        <v>#REF!</v>
      </c>
      <c r="AD59" t="e">
        <f>AND(Bills!AA62,"AAAAAH9/jh0=")</f>
        <v>#VALUE!</v>
      </c>
      <c r="AE59" t="e">
        <f>AND(Bills!AB62,"AAAAAH9/jh4=")</f>
        <v>#VALUE!</v>
      </c>
      <c r="AF59" t="e">
        <f>AND(Bills!#REF!,"AAAAAH9/jh8=")</f>
        <v>#REF!</v>
      </c>
      <c r="AG59">
        <f>IF(Bills!63:63,"AAAAAH9/jiA=",0)</f>
        <v>0</v>
      </c>
      <c r="AH59" t="e">
        <f>AND(Bills!B63,"AAAAAH9/jiE=")</f>
        <v>#VALUE!</v>
      </c>
      <c r="AI59" t="e">
        <f>AND(Bills!#REF!,"AAAAAH9/jiI=")</f>
        <v>#REF!</v>
      </c>
      <c r="AJ59" t="e">
        <f>AND(Bills!C63,"AAAAAH9/jiM=")</f>
        <v>#VALUE!</v>
      </c>
      <c r="AK59" t="e">
        <f>AND(Bills!#REF!,"AAAAAH9/jiQ=")</f>
        <v>#REF!</v>
      </c>
      <c r="AL59" t="e">
        <f>AND(Bills!#REF!,"AAAAAH9/jiU=")</f>
        <v>#REF!</v>
      </c>
      <c r="AM59" t="e">
        <f>AND(Bills!#REF!,"AAAAAH9/jiY=")</f>
        <v>#REF!</v>
      </c>
      <c r="AN59" t="e">
        <f>AND(Bills!#REF!,"AAAAAH9/jic=")</f>
        <v>#REF!</v>
      </c>
      <c r="AO59" t="e">
        <f>AND(Bills!#REF!,"AAAAAH9/jig=")</f>
        <v>#REF!</v>
      </c>
      <c r="AP59" t="e">
        <f>AND(Bills!D63,"AAAAAH9/jik=")</f>
        <v>#VALUE!</v>
      </c>
      <c r="AQ59" t="e">
        <f>AND(Bills!#REF!,"AAAAAH9/jio=")</f>
        <v>#REF!</v>
      </c>
      <c r="AR59" t="e">
        <f>AND(Bills!E63,"AAAAAH9/jis=")</f>
        <v>#VALUE!</v>
      </c>
      <c r="AS59" t="e">
        <f>AND(Bills!F63,"AAAAAH9/jiw=")</f>
        <v>#VALUE!</v>
      </c>
      <c r="AT59" t="e">
        <f>AND(Bills!G63,"AAAAAH9/ji0=")</f>
        <v>#VALUE!</v>
      </c>
      <c r="AU59" t="e">
        <f>AND(Bills!H63,"AAAAAH9/ji4=")</f>
        <v>#VALUE!</v>
      </c>
      <c r="AV59" t="e">
        <f>AND(Bills!I63,"AAAAAH9/ji8=")</f>
        <v>#VALUE!</v>
      </c>
      <c r="AW59" t="e">
        <f>AND(Bills!J63,"AAAAAH9/jjA=")</f>
        <v>#VALUE!</v>
      </c>
      <c r="AX59" t="e">
        <f>AND(Bills!#REF!,"AAAAAH9/jjE=")</f>
        <v>#REF!</v>
      </c>
      <c r="AY59" t="e">
        <f>AND(Bills!K63,"AAAAAH9/jjI=")</f>
        <v>#VALUE!</v>
      </c>
      <c r="AZ59" t="e">
        <f>AND(Bills!L63,"AAAAAH9/jjM=")</f>
        <v>#VALUE!</v>
      </c>
      <c r="BA59" t="e">
        <f>AND(Bills!M63,"AAAAAH9/jjQ=")</f>
        <v>#VALUE!</v>
      </c>
      <c r="BB59" t="e">
        <f>AND(Bills!N63,"AAAAAH9/jjU=")</f>
        <v>#VALUE!</v>
      </c>
      <c r="BC59" t="e">
        <f>AND(Bills!O63,"AAAAAH9/jjY=")</f>
        <v>#VALUE!</v>
      </c>
      <c r="BD59" t="e">
        <f>AND(Bills!P63,"AAAAAH9/jjc=")</f>
        <v>#VALUE!</v>
      </c>
      <c r="BE59" t="e">
        <f>AND(Bills!Q63,"AAAAAH9/jjg=")</f>
        <v>#VALUE!</v>
      </c>
      <c r="BF59" t="e">
        <f>AND(Bills!R63,"AAAAAH9/jjk=")</f>
        <v>#VALUE!</v>
      </c>
      <c r="BG59" t="e">
        <f>AND(Bills!#REF!,"AAAAAH9/jjo=")</f>
        <v>#REF!</v>
      </c>
      <c r="BH59" t="e">
        <f>AND(Bills!S63,"AAAAAH9/jjs=")</f>
        <v>#VALUE!</v>
      </c>
      <c r="BI59" t="e">
        <f>AND(Bills!T63,"AAAAAH9/jjw=")</f>
        <v>#VALUE!</v>
      </c>
      <c r="BJ59" t="e">
        <f>AND(Bills!U63,"AAAAAH9/jj0=")</f>
        <v>#VALUE!</v>
      </c>
      <c r="BK59" t="e">
        <f>AND(Bills!#REF!,"AAAAAH9/jj4=")</f>
        <v>#REF!</v>
      </c>
      <c r="BL59" t="e">
        <f>AND(Bills!#REF!,"AAAAAH9/jj8=")</f>
        <v>#REF!</v>
      </c>
      <c r="BM59" t="e">
        <f>AND(Bills!W63,"AAAAAH9/jkA=")</f>
        <v>#VALUE!</v>
      </c>
      <c r="BN59" t="e">
        <f>AND(Bills!X63,"AAAAAH9/jkE=")</f>
        <v>#VALUE!</v>
      </c>
      <c r="BO59" t="e">
        <f>AND(Bills!#REF!,"AAAAAH9/jkI=")</f>
        <v>#REF!</v>
      </c>
      <c r="BP59" t="e">
        <f>AND(Bills!#REF!,"AAAAAH9/jkM=")</f>
        <v>#REF!</v>
      </c>
      <c r="BQ59" t="e">
        <f>AND(Bills!#REF!,"AAAAAH9/jkQ=")</f>
        <v>#REF!</v>
      </c>
      <c r="BR59" t="e">
        <f>AND(Bills!#REF!,"AAAAAH9/jkU=")</f>
        <v>#REF!</v>
      </c>
      <c r="BS59" t="e">
        <f>AND(Bills!#REF!,"AAAAAH9/jkY=")</f>
        <v>#REF!</v>
      </c>
      <c r="BT59" t="e">
        <f>AND(Bills!#REF!,"AAAAAH9/jkc=")</f>
        <v>#REF!</v>
      </c>
      <c r="BU59" t="e">
        <f>AND(Bills!#REF!,"AAAAAH9/jkg=")</f>
        <v>#REF!</v>
      </c>
      <c r="BV59" t="e">
        <f>AND(Bills!#REF!,"AAAAAH9/jkk=")</f>
        <v>#REF!</v>
      </c>
      <c r="BW59" t="e">
        <f>AND(Bills!#REF!,"AAAAAH9/jko=")</f>
        <v>#REF!</v>
      </c>
      <c r="BX59" t="e">
        <f>AND(Bills!Y63,"AAAAAH9/jks=")</f>
        <v>#VALUE!</v>
      </c>
      <c r="BY59" t="e">
        <f>AND(Bills!Z63,"AAAAAH9/jkw=")</f>
        <v>#VALUE!</v>
      </c>
      <c r="BZ59" t="e">
        <f>AND(Bills!#REF!,"AAAAAH9/jk0=")</f>
        <v>#REF!</v>
      </c>
      <c r="CA59" t="e">
        <f>AND(Bills!#REF!,"AAAAAH9/jk4=")</f>
        <v>#REF!</v>
      </c>
      <c r="CB59" t="e">
        <f>AND(Bills!#REF!,"AAAAAH9/jk8=")</f>
        <v>#REF!</v>
      </c>
      <c r="CC59" t="e">
        <f>AND(Bills!AA63,"AAAAAH9/jlA=")</f>
        <v>#VALUE!</v>
      </c>
      <c r="CD59" t="e">
        <f>AND(Bills!AB63,"AAAAAH9/jlE=")</f>
        <v>#VALUE!</v>
      </c>
      <c r="CE59" t="e">
        <f>AND(Bills!#REF!,"AAAAAH9/jlI=")</f>
        <v>#REF!</v>
      </c>
      <c r="CF59">
        <f>IF(Bills!64:64,"AAAAAH9/jlM=",0)</f>
        <v>0</v>
      </c>
      <c r="CG59" t="e">
        <f>AND(Bills!B64,"AAAAAH9/jlQ=")</f>
        <v>#VALUE!</v>
      </c>
      <c r="CH59" t="e">
        <f>AND(Bills!#REF!,"AAAAAH9/jlU=")</f>
        <v>#REF!</v>
      </c>
      <c r="CI59" t="e">
        <f>AND(Bills!C64,"AAAAAH9/jlY=")</f>
        <v>#VALUE!</v>
      </c>
      <c r="CJ59" t="e">
        <f>AND(Bills!#REF!,"AAAAAH9/jlc=")</f>
        <v>#REF!</v>
      </c>
      <c r="CK59" t="e">
        <f>AND(Bills!#REF!,"AAAAAH9/jlg=")</f>
        <v>#REF!</v>
      </c>
      <c r="CL59" t="e">
        <f>AND(Bills!#REF!,"AAAAAH9/jlk=")</f>
        <v>#REF!</v>
      </c>
      <c r="CM59" t="e">
        <f>AND(Bills!#REF!,"AAAAAH9/jlo=")</f>
        <v>#REF!</v>
      </c>
      <c r="CN59" t="e">
        <f>AND(Bills!#REF!,"AAAAAH9/jls=")</f>
        <v>#REF!</v>
      </c>
      <c r="CO59" t="e">
        <f>AND(Bills!D64,"AAAAAH9/jlw=")</f>
        <v>#VALUE!</v>
      </c>
      <c r="CP59" t="e">
        <f>AND(Bills!#REF!,"AAAAAH9/jl0=")</f>
        <v>#REF!</v>
      </c>
      <c r="CQ59" t="e">
        <f>AND(Bills!E64,"AAAAAH9/jl4=")</f>
        <v>#VALUE!</v>
      </c>
      <c r="CR59" t="e">
        <f>AND(Bills!F64,"AAAAAH9/jl8=")</f>
        <v>#VALUE!</v>
      </c>
      <c r="CS59" t="e">
        <f>AND(Bills!G64,"AAAAAH9/jmA=")</f>
        <v>#VALUE!</v>
      </c>
      <c r="CT59" t="e">
        <f>AND(Bills!H64,"AAAAAH9/jmE=")</f>
        <v>#VALUE!</v>
      </c>
      <c r="CU59" t="e">
        <f>AND(Bills!I64,"AAAAAH9/jmI=")</f>
        <v>#VALUE!</v>
      </c>
      <c r="CV59" t="e">
        <f>AND(Bills!J64,"AAAAAH9/jmM=")</f>
        <v>#VALUE!</v>
      </c>
      <c r="CW59" t="e">
        <f>AND(Bills!#REF!,"AAAAAH9/jmQ=")</f>
        <v>#REF!</v>
      </c>
      <c r="CX59" t="e">
        <f>AND(Bills!K64,"AAAAAH9/jmU=")</f>
        <v>#VALUE!</v>
      </c>
      <c r="CY59" t="e">
        <f>AND(Bills!L64,"AAAAAH9/jmY=")</f>
        <v>#VALUE!</v>
      </c>
      <c r="CZ59" t="e">
        <f>AND(Bills!M64,"AAAAAH9/jmc=")</f>
        <v>#VALUE!</v>
      </c>
      <c r="DA59" t="e">
        <f>AND(Bills!N64,"AAAAAH9/jmg=")</f>
        <v>#VALUE!</v>
      </c>
      <c r="DB59" t="e">
        <f>AND(Bills!O64,"AAAAAH9/jmk=")</f>
        <v>#VALUE!</v>
      </c>
      <c r="DC59" t="e">
        <f>AND(Bills!P64,"AAAAAH9/jmo=")</f>
        <v>#VALUE!</v>
      </c>
      <c r="DD59" t="e">
        <f>AND(Bills!Q64,"AAAAAH9/jms=")</f>
        <v>#VALUE!</v>
      </c>
      <c r="DE59" t="e">
        <f>AND(Bills!R64,"AAAAAH9/jmw=")</f>
        <v>#VALUE!</v>
      </c>
      <c r="DF59" t="e">
        <f>AND(Bills!#REF!,"AAAAAH9/jm0=")</f>
        <v>#REF!</v>
      </c>
      <c r="DG59" t="e">
        <f>AND(Bills!S64,"AAAAAH9/jm4=")</f>
        <v>#VALUE!</v>
      </c>
      <c r="DH59" t="e">
        <f>AND(Bills!T64,"AAAAAH9/jm8=")</f>
        <v>#VALUE!</v>
      </c>
      <c r="DI59" t="e">
        <f>AND(Bills!U64,"AAAAAH9/jnA=")</f>
        <v>#VALUE!</v>
      </c>
      <c r="DJ59" t="e">
        <f>AND(Bills!#REF!,"AAAAAH9/jnE=")</f>
        <v>#REF!</v>
      </c>
      <c r="DK59" t="e">
        <f>AND(Bills!#REF!,"AAAAAH9/jnI=")</f>
        <v>#REF!</v>
      </c>
      <c r="DL59" t="e">
        <f>AND(Bills!W64,"AAAAAH9/jnM=")</f>
        <v>#VALUE!</v>
      </c>
      <c r="DM59" t="e">
        <f>AND(Bills!X64,"AAAAAH9/jnQ=")</f>
        <v>#VALUE!</v>
      </c>
      <c r="DN59" t="e">
        <f>AND(Bills!#REF!,"AAAAAH9/jnU=")</f>
        <v>#REF!</v>
      </c>
      <c r="DO59" t="e">
        <f>AND(Bills!#REF!,"AAAAAH9/jnY=")</f>
        <v>#REF!</v>
      </c>
      <c r="DP59" t="e">
        <f>AND(Bills!#REF!,"AAAAAH9/jnc=")</f>
        <v>#REF!</v>
      </c>
      <c r="DQ59" t="e">
        <f>AND(Bills!#REF!,"AAAAAH9/jng=")</f>
        <v>#REF!</v>
      </c>
      <c r="DR59" t="e">
        <f>AND(Bills!#REF!,"AAAAAH9/jnk=")</f>
        <v>#REF!</v>
      </c>
      <c r="DS59" t="e">
        <f>AND(Bills!#REF!,"AAAAAH9/jno=")</f>
        <v>#REF!</v>
      </c>
      <c r="DT59" t="e">
        <f>AND(Bills!#REF!,"AAAAAH9/jns=")</f>
        <v>#REF!</v>
      </c>
      <c r="DU59" t="e">
        <f>AND(Bills!#REF!,"AAAAAH9/jnw=")</f>
        <v>#REF!</v>
      </c>
      <c r="DV59" t="e">
        <f>AND(Bills!#REF!,"AAAAAH9/jn0=")</f>
        <v>#REF!</v>
      </c>
      <c r="DW59" t="e">
        <f>AND(Bills!Y64,"AAAAAH9/jn4=")</f>
        <v>#VALUE!</v>
      </c>
      <c r="DX59" t="e">
        <f>AND(Bills!Z64,"AAAAAH9/jn8=")</f>
        <v>#VALUE!</v>
      </c>
      <c r="DY59" t="e">
        <f>AND(Bills!#REF!,"AAAAAH9/joA=")</f>
        <v>#REF!</v>
      </c>
      <c r="DZ59" t="e">
        <f>AND(Bills!#REF!,"AAAAAH9/joE=")</f>
        <v>#REF!</v>
      </c>
      <c r="EA59" t="e">
        <f>AND(Bills!#REF!,"AAAAAH9/joI=")</f>
        <v>#REF!</v>
      </c>
      <c r="EB59" t="e">
        <f>AND(Bills!AA64,"AAAAAH9/joM=")</f>
        <v>#VALUE!</v>
      </c>
      <c r="EC59" t="e">
        <f>AND(Bills!AB64,"AAAAAH9/joQ=")</f>
        <v>#VALUE!</v>
      </c>
      <c r="ED59" t="e">
        <f>AND(Bills!#REF!,"AAAAAH9/joU=")</f>
        <v>#REF!</v>
      </c>
      <c r="EE59">
        <f>IF(Bills!65:65,"AAAAAH9/joY=",0)</f>
        <v>0</v>
      </c>
      <c r="EF59" t="e">
        <f>AND(Bills!B65,"AAAAAH9/joc=")</f>
        <v>#VALUE!</v>
      </c>
      <c r="EG59" t="e">
        <f>AND(Bills!#REF!,"AAAAAH9/jog=")</f>
        <v>#REF!</v>
      </c>
      <c r="EH59" t="e">
        <f>AND(Bills!C65,"AAAAAH9/jok=")</f>
        <v>#VALUE!</v>
      </c>
      <c r="EI59" t="e">
        <f>AND(Bills!#REF!,"AAAAAH9/joo=")</f>
        <v>#REF!</v>
      </c>
      <c r="EJ59" t="e">
        <f>AND(Bills!#REF!,"AAAAAH9/jos=")</f>
        <v>#REF!</v>
      </c>
      <c r="EK59" t="e">
        <f>AND(Bills!#REF!,"AAAAAH9/jow=")</f>
        <v>#REF!</v>
      </c>
      <c r="EL59" t="e">
        <f>AND(Bills!#REF!,"AAAAAH9/jo0=")</f>
        <v>#REF!</v>
      </c>
      <c r="EM59" t="e">
        <f>AND(Bills!#REF!,"AAAAAH9/jo4=")</f>
        <v>#REF!</v>
      </c>
      <c r="EN59" t="e">
        <f>AND(Bills!D65,"AAAAAH9/jo8=")</f>
        <v>#VALUE!</v>
      </c>
      <c r="EO59" t="e">
        <f>AND(Bills!#REF!,"AAAAAH9/jpA=")</f>
        <v>#REF!</v>
      </c>
      <c r="EP59" t="e">
        <f>AND(Bills!E65,"AAAAAH9/jpE=")</f>
        <v>#VALUE!</v>
      </c>
      <c r="EQ59" t="e">
        <f>AND(Bills!F65,"AAAAAH9/jpI=")</f>
        <v>#VALUE!</v>
      </c>
      <c r="ER59" t="e">
        <f>AND(Bills!G65,"AAAAAH9/jpM=")</f>
        <v>#VALUE!</v>
      </c>
      <c r="ES59" t="e">
        <f>AND(Bills!H65,"AAAAAH9/jpQ=")</f>
        <v>#VALUE!</v>
      </c>
      <c r="ET59" t="e">
        <f>AND(Bills!I65,"AAAAAH9/jpU=")</f>
        <v>#VALUE!</v>
      </c>
      <c r="EU59" t="e">
        <f>AND(Bills!J65,"AAAAAH9/jpY=")</f>
        <v>#VALUE!</v>
      </c>
      <c r="EV59" t="e">
        <f>AND(Bills!#REF!,"AAAAAH9/jpc=")</f>
        <v>#REF!</v>
      </c>
      <c r="EW59" t="e">
        <f>AND(Bills!K65,"AAAAAH9/jpg=")</f>
        <v>#VALUE!</v>
      </c>
      <c r="EX59" t="e">
        <f>AND(Bills!L65,"AAAAAH9/jpk=")</f>
        <v>#VALUE!</v>
      </c>
      <c r="EY59" t="e">
        <f>AND(Bills!M65,"AAAAAH9/jpo=")</f>
        <v>#VALUE!</v>
      </c>
      <c r="EZ59" t="e">
        <f>AND(Bills!N65,"AAAAAH9/jps=")</f>
        <v>#VALUE!</v>
      </c>
      <c r="FA59" t="e">
        <f>AND(Bills!O65,"AAAAAH9/jpw=")</f>
        <v>#VALUE!</v>
      </c>
      <c r="FB59" t="e">
        <f>AND(Bills!P65,"AAAAAH9/jp0=")</f>
        <v>#VALUE!</v>
      </c>
      <c r="FC59" t="e">
        <f>AND(Bills!Q65,"AAAAAH9/jp4=")</f>
        <v>#VALUE!</v>
      </c>
      <c r="FD59" t="e">
        <f>AND(Bills!R65,"AAAAAH9/jp8=")</f>
        <v>#VALUE!</v>
      </c>
      <c r="FE59" t="e">
        <f>AND(Bills!#REF!,"AAAAAH9/jqA=")</f>
        <v>#REF!</v>
      </c>
      <c r="FF59" t="e">
        <f>AND(Bills!S65,"AAAAAH9/jqE=")</f>
        <v>#VALUE!</v>
      </c>
      <c r="FG59" t="e">
        <f>AND(Bills!T65,"AAAAAH9/jqI=")</f>
        <v>#VALUE!</v>
      </c>
      <c r="FH59" t="e">
        <f>AND(Bills!U65,"AAAAAH9/jqM=")</f>
        <v>#VALUE!</v>
      </c>
      <c r="FI59" t="e">
        <f>AND(Bills!#REF!,"AAAAAH9/jqQ=")</f>
        <v>#REF!</v>
      </c>
      <c r="FJ59" t="e">
        <f>AND(Bills!#REF!,"AAAAAH9/jqU=")</f>
        <v>#REF!</v>
      </c>
      <c r="FK59" t="e">
        <f>AND(Bills!W65,"AAAAAH9/jqY=")</f>
        <v>#VALUE!</v>
      </c>
      <c r="FL59" t="e">
        <f>AND(Bills!X65,"AAAAAH9/jqc=")</f>
        <v>#VALUE!</v>
      </c>
      <c r="FM59" t="e">
        <f>AND(Bills!#REF!,"AAAAAH9/jqg=")</f>
        <v>#REF!</v>
      </c>
      <c r="FN59" t="e">
        <f>AND(Bills!#REF!,"AAAAAH9/jqk=")</f>
        <v>#REF!</v>
      </c>
      <c r="FO59" t="e">
        <f>AND(Bills!#REF!,"AAAAAH9/jqo=")</f>
        <v>#REF!</v>
      </c>
      <c r="FP59" t="e">
        <f>AND(Bills!#REF!,"AAAAAH9/jqs=")</f>
        <v>#REF!</v>
      </c>
      <c r="FQ59" t="e">
        <f>AND(Bills!#REF!,"AAAAAH9/jqw=")</f>
        <v>#REF!</v>
      </c>
      <c r="FR59" t="e">
        <f>AND(Bills!#REF!,"AAAAAH9/jq0=")</f>
        <v>#REF!</v>
      </c>
      <c r="FS59" t="e">
        <f>AND(Bills!#REF!,"AAAAAH9/jq4=")</f>
        <v>#REF!</v>
      </c>
      <c r="FT59" t="e">
        <f>AND(Bills!#REF!,"AAAAAH9/jq8=")</f>
        <v>#REF!</v>
      </c>
      <c r="FU59" t="e">
        <f>AND(Bills!#REF!,"AAAAAH9/jrA=")</f>
        <v>#REF!</v>
      </c>
      <c r="FV59" t="e">
        <f>AND(Bills!Y65,"AAAAAH9/jrE=")</f>
        <v>#VALUE!</v>
      </c>
      <c r="FW59" t="e">
        <f>AND(Bills!Z65,"AAAAAH9/jrI=")</f>
        <v>#VALUE!</v>
      </c>
      <c r="FX59" t="e">
        <f>AND(Bills!#REF!,"AAAAAH9/jrM=")</f>
        <v>#REF!</v>
      </c>
      <c r="FY59" t="e">
        <f>AND(Bills!#REF!,"AAAAAH9/jrQ=")</f>
        <v>#REF!</v>
      </c>
      <c r="FZ59" t="e">
        <f>AND(Bills!#REF!,"AAAAAH9/jrU=")</f>
        <v>#REF!</v>
      </c>
      <c r="GA59" t="e">
        <f>AND(Bills!AA65,"AAAAAH9/jrY=")</f>
        <v>#VALUE!</v>
      </c>
      <c r="GB59" t="e">
        <f>AND(Bills!AB65,"AAAAAH9/jrc=")</f>
        <v>#VALUE!</v>
      </c>
      <c r="GC59" t="e">
        <f>AND(Bills!#REF!,"AAAAAH9/jrg=")</f>
        <v>#REF!</v>
      </c>
      <c r="GD59">
        <f>IF(Bills!66:66,"AAAAAH9/jrk=",0)</f>
        <v>0</v>
      </c>
      <c r="GE59" t="e">
        <f>AND(Bills!B66,"AAAAAH9/jro=")</f>
        <v>#VALUE!</v>
      </c>
      <c r="GF59" t="e">
        <f>AND(Bills!#REF!,"AAAAAH9/jrs=")</f>
        <v>#REF!</v>
      </c>
      <c r="GG59" t="e">
        <f>AND(Bills!C66,"AAAAAH9/jrw=")</f>
        <v>#VALUE!</v>
      </c>
      <c r="GH59" t="e">
        <f>AND(Bills!#REF!,"AAAAAH9/jr0=")</f>
        <v>#REF!</v>
      </c>
      <c r="GI59" t="e">
        <f>AND(Bills!#REF!,"AAAAAH9/jr4=")</f>
        <v>#REF!</v>
      </c>
      <c r="GJ59" t="e">
        <f>AND(Bills!#REF!,"AAAAAH9/jr8=")</f>
        <v>#REF!</v>
      </c>
      <c r="GK59" t="e">
        <f>AND(Bills!#REF!,"AAAAAH9/jsA=")</f>
        <v>#REF!</v>
      </c>
      <c r="GL59" t="e">
        <f>AND(Bills!#REF!,"AAAAAH9/jsE=")</f>
        <v>#REF!</v>
      </c>
      <c r="GM59" t="e">
        <f>AND(Bills!D66,"AAAAAH9/jsI=")</f>
        <v>#VALUE!</v>
      </c>
      <c r="GN59" t="e">
        <f>AND(Bills!#REF!,"AAAAAH9/jsM=")</f>
        <v>#REF!</v>
      </c>
      <c r="GO59" t="e">
        <f>AND(Bills!E66,"AAAAAH9/jsQ=")</f>
        <v>#VALUE!</v>
      </c>
      <c r="GP59" t="e">
        <f>AND(Bills!F66,"AAAAAH9/jsU=")</f>
        <v>#VALUE!</v>
      </c>
      <c r="GQ59" t="e">
        <f>AND(Bills!G66,"AAAAAH9/jsY=")</f>
        <v>#VALUE!</v>
      </c>
      <c r="GR59" t="e">
        <f>AND(Bills!H66,"AAAAAH9/jsc=")</f>
        <v>#VALUE!</v>
      </c>
      <c r="GS59" t="e">
        <f>AND(Bills!I66,"AAAAAH9/jsg=")</f>
        <v>#VALUE!</v>
      </c>
      <c r="GT59" t="e">
        <f>AND(Bills!J66,"AAAAAH9/jsk=")</f>
        <v>#VALUE!</v>
      </c>
      <c r="GU59" t="e">
        <f>AND(Bills!#REF!,"AAAAAH9/jso=")</f>
        <v>#REF!</v>
      </c>
      <c r="GV59" t="e">
        <f>AND(Bills!K66,"AAAAAH9/jss=")</f>
        <v>#VALUE!</v>
      </c>
      <c r="GW59" t="e">
        <f>AND(Bills!L66,"AAAAAH9/jsw=")</f>
        <v>#VALUE!</v>
      </c>
      <c r="GX59" t="e">
        <f>AND(Bills!M66,"AAAAAH9/js0=")</f>
        <v>#VALUE!</v>
      </c>
      <c r="GY59" t="e">
        <f>AND(Bills!N66,"AAAAAH9/js4=")</f>
        <v>#VALUE!</v>
      </c>
      <c r="GZ59" t="e">
        <f>AND(Bills!O66,"AAAAAH9/js8=")</f>
        <v>#VALUE!</v>
      </c>
      <c r="HA59" t="e">
        <f>AND(Bills!P66,"AAAAAH9/jtA=")</f>
        <v>#VALUE!</v>
      </c>
      <c r="HB59" t="e">
        <f>AND(Bills!Q66,"AAAAAH9/jtE=")</f>
        <v>#VALUE!</v>
      </c>
      <c r="HC59" t="e">
        <f>AND(Bills!R66,"AAAAAH9/jtI=")</f>
        <v>#VALUE!</v>
      </c>
      <c r="HD59" t="e">
        <f>AND(Bills!#REF!,"AAAAAH9/jtM=")</f>
        <v>#REF!</v>
      </c>
      <c r="HE59" t="e">
        <f>AND(Bills!S66,"AAAAAH9/jtQ=")</f>
        <v>#VALUE!</v>
      </c>
      <c r="HF59" t="e">
        <f>AND(Bills!T66,"AAAAAH9/jtU=")</f>
        <v>#VALUE!</v>
      </c>
      <c r="HG59" t="e">
        <f>AND(Bills!U66,"AAAAAH9/jtY=")</f>
        <v>#VALUE!</v>
      </c>
      <c r="HH59" t="e">
        <f>AND(Bills!#REF!,"AAAAAH9/jtc=")</f>
        <v>#REF!</v>
      </c>
      <c r="HI59" t="e">
        <f>AND(Bills!#REF!,"AAAAAH9/jtg=")</f>
        <v>#REF!</v>
      </c>
      <c r="HJ59" t="e">
        <f>AND(Bills!W66,"AAAAAH9/jtk=")</f>
        <v>#VALUE!</v>
      </c>
      <c r="HK59" t="e">
        <f>AND(Bills!X66,"AAAAAH9/jto=")</f>
        <v>#VALUE!</v>
      </c>
      <c r="HL59" t="e">
        <f>AND(Bills!#REF!,"AAAAAH9/jts=")</f>
        <v>#REF!</v>
      </c>
      <c r="HM59" t="e">
        <f>AND(Bills!#REF!,"AAAAAH9/jtw=")</f>
        <v>#REF!</v>
      </c>
      <c r="HN59" t="e">
        <f>AND(Bills!#REF!,"AAAAAH9/jt0=")</f>
        <v>#REF!</v>
      </c>
      <c r="HO59" t="e">
        <f>AND(Bills!#REF!,"AAAAAH9/jt4=")</f>
        <v>#REF!</v>
      </c>
      <c r="HP59" t="e">
        <f>AND(Bills!#REF!,"AAAAAH9/jt8=")</f>
        <v>#REF!</v>
      </c>
      <c r="HQ59" t="e">
        <f>AND(Bills!#REF!,"AAAAAH9/juA=")</f>
        <v>#REF!</v>
      </c>
      <c r="HR59" t="e">
        <f>AND(Bills!#REF!,"AAAAAH9/juE=")</f>
        <v>#REF!</v>
      </c>
      <c r="HS59" t="e">
        <f>AND(Bills!#REF!,"AAAAAH9/juI=")</f>
        <v>#REF!</v>
      </c>
      <c r="HT59" t="e">
        <f>AND(Bills!#REF!,"AAAAAH9/juM=")</f>
        <v>#REF!</v>
      </c>
      <c r="HU59" t="e">
        <f>AND(Bills!Y66,"AAAAAH9/juQ=")</f>
        <v>#VALUE!</v>
      </c>
      <c r="HV59" t="e">
        <f>AND(Bills!Z66,"AAAAAH9/juU=")</f>
        <v>#VALUE!</v>
      </c>
      <c r="HW59" t="e">
        <f>AND(Bills!#REF!,"AAAAAH9/juY=")</f>
        <v>#REF!</v>
      </c>
      <c r="HX59" t="e">
        <f>AND(Bills!#REF!,"AAAAAH9/juc=")</f>
        <v>#REF!</v>
      </c>
      <c r="HY59" t="e">
        <f>AND(Bills!#REF!,"AAAAAH9/jug=")</f>
        <v>#REF!</v>
      </c>
      <c r="HZ59" t="e">
        <f>AND(Bills!AA66,"AAAAAH9/juk=")</f>
        <v>#VALUE!</v>
      </c>
      <c r="IA59" t="e">
        <f>AND(Bills!AB66,"AAAAAH9/juo=")</f>
        <v>#VALUE!</v>
      </c>
      <c r="IB59" t="e">
        <f>AND(Bills!#REF!,"AAAAAH9/jus=")</f>
        <v>#REF!</v>
      </c>
      <c r="IC59">
        <f>IF(Bills!67:67,"AAAAAH9/juw=",0)</f>
        <v>0</v>
      </c>
      <c r="ID59" t="e">
        <f>AND(Bills!B67,"AAAAAH9/ju0=")</f>
        <v>#VALUE!</v>
      </c>
      <c r="IE59" t="e">
        <f>AND(Bills!#REF!,"AAAAAH9/ju4=")</f>
        <v>#REF!</v>
      </c>
      <c r="IF59" t="e">
        <f>AND(Bills!C67,"AAAAAH9/ju8=")</f>
        <v>#VALUE!</v>
      </c>
      <c r="IG59" t="e">
        <f>AND(Bills!#REF!,"AAAAAH9/jvA=")</f>
        <v>#REF!</v>
      </c>
      <c r="IH59" t="e">
        <f>AND(Bills!#REF!,"AAAAAH9/jvE=")</f>
        <v>#REF!</v>
      </c>
      <c r="II59" t="e">
        <f>AND(Bills!#REF!,"AAAAAH9/jvI=")</f>
        <v>#REF!</v>
      </c>
      <c r="IJ59" t="e">
        <f>AND(Bills!#REF!,"AAAAAH9/jvM=")</f>
        <v>#REF!</v>
      </c>
      <c r="IK59" t="e">
        <f>AND(Bills!#REF!,"AAAAAH9/jvQ=")</f>
        <v>#REF!</v>
      </c>
      <c r="IL59" t="e">
        <f>AND(Bills!D67,"AAAAAH9/jvU=")</f>
        <v>#VALUE!</v>
      </c>
      <c r="IM59" t="e">
        <f>AND(Bills!#REF!,"AAAAAH9/jvY=")</f>
        <v>#REF!</v>
      </c>
      <c r="IN59" t="e">
        <f>AND(Bills!E67,"AAAAAH9/jvc=")</f>
        <v>#VALUE!</v>
      </c>
      <c r="IO59" t="e">
        <f>AND(Bills!F67,"AAAAAH9/jvg=")</f>
        <v>#VALUE!</v>
      </c>
      <c r="IP59" t="e">
        <f>AND(Bills!G67,"AAAAAH9/jvk=")</f>
        <v>#VALUE!</v>
      </c>
      <c r="IQ59" t="e">
        <f>AND(Bills!H67,"AAAAAH9/jvo=")</f>
        <v>#VALUE!</v>
      </c>
      <c r="IR59" t="e">
        <f>AND(Bills!I67,"AAAAAH9/jvs=")</f>
        <v>#VALUE!</v>
      </c>
      <c r="IS59" t="e">
        <f>AND(Bills!J67,"AAAAAH9/jvw=")</f>
        <v>#VALUE!</v>
      </c>
      <c r="IT59" t="e">
        <f>AND(Bills!#REF!,"AAAAAH9/jv0=")</f>
        <v>#REF!</v>
      </c>
      <c r="IU59" t="e">
        <f>AND(Bills!K67,"AAAAAH9/jv4=")</f>
        <v>#VALUE!</v>
      </c>
      <c r="IV59" t="e">
        <f>AND(Bills!L67,"AAAAAH9/jv8=")</f>
        <v>#VALUE!</v>
      </c>
    </row>
    <row r="60" spans="1:256">
      <c r="A60" t="e">
        <f>AND(Bills!M67,"AAAAAGf/fgA=")</f>
        <v>#VALUE!</v>
      </c>
      <c r="B60" t="e">
        <f>AND(Bills!N67,"AAAAAGf/fgE=")</f>
        <v>#VALUE!</v>
      </c>
      <c r="C60" t="e">
        <f>AND(Bills!O67,"AAAAAGf/fgI=")</f>
        <v>#VALUE!</v>
      </c>
      <c r="D60" t="e">
        <f>AND(Bills!P67,"AAAAAGf/fgM=")</f>
        <v>#VALUE!</v>
      </c>
      <c r="E60" t="e">
        <f>AND(Bills!Q67,"AAAAAGf/fgQ=")</f>
        <v>#VALUE!</v>
      </c>
      <c r="F60" t="e">
        <f>AND(Bills!R67,"AAAAAGf/fgU=")</f>
        <v>#VALUE!</v>
      </c>
      <c r="G60" t="e">
        <f>AND(Bills!#REF!,"AAAAAGf/fgY=")</f>
        <v>#REF!</v>
      </c>
      <c r="H60" t="e">
        <f>AND(Bills!S67,"AAAAAGf/fgc=")</f>
        <v>#VALUE!</v>
      </c>
      <c r="I60" t="e">
        <f>AND(Bills!T67,"AAAAAGf/fgg=")</f>
        <v>#VALUE!</v>
      </c>
      <c r="J60" t="e">
        <f>AND(Bills!U67,"AAAAAGf/fgk=")</f>
        <v>#VALUE!</v>
      </c>
      <c r="K60" t="e">
        <f>AND(Bills!#REF!,"AAAAAGf/fgo=")</f>
        <v>#REF!</v>
      </c>
      <c r="L60" t="e">
        <f>AND(Bills!#REF!,"AAAAAGf/fgs=")</f>
        <v>#REF!</v>
      </c>
      <c r="M60" t="e">
        <f>AND(Bills!W67,"AAAAAGf/fgw=")</f>
        <v>#VALUE!</v>
      </c>
      <c r="N60" t="e">
        <f>AND(Bills!X67,"AAAAAGf/fg0=")</f>
        <v>#VALUE!</v>
      </c>
      <c r="O60" t="e">
        <f>AND(Bills!#REF!,"AAAAAGf/fg4=")</f>
        <v>#REF!</v>
      </c>
      <c r="P60" t="e">
        <f>AND(Bills!#REF!,"AAAAAGf/fg8=")</f>
        <v>#REF!</v>
      </c>
      <c r="Q60" t="e">
        <f>AND(Bills!#REF!,"AAAAAGf/fhA=")</f>
        <v>#REF!</v>
      </c>
      <c r="R60" t="e">
        <f>AND(Bills!#REF!,"AAAAAGf/fhE=")</f>
        <v>#REF!</v>
      </c>
      <c r="S60" t="e">
        <f>AND(Bills!#REF!,"AAAAAGf/fhI=")</f>
        <v>#REF!</v>
      </c>
      <c r="T60" t="e">
        <f>AND(Bills!#REF!,"AAAAAGf/fhM=")</f>
        <v>#REF!</v>
      </c>
      <c r="U60" t="e">
        <f>AND(Bills!#REF!,"AAAAAGf/fhQ=")</f>
        <v>#REF!</v>
      </c>
      <c r="V60" t="e">
        <f>AND(Bills!#REF!,"AAAAAGf/fhU=")</f>
        <v>#REF!</v>
      </c>
      <c r="W60" t="e">
        <f>AND(Bills!#REF!,"AAAAAGf/fhY=")</f>
        <v>#REF!</v>
      </c>
      <c r="X60" t="e">
        <f>AND(Bills!Y67,"AAAAAGf/fhc=")</f>
        <v>#VALUE!</v>
      </c>
      <c r="Y60" t="e">
        <f>AND(Bills!Z67,"AAAAAGf/fhg=")</f>
        <v>#VALUE!</v>
      </c>
      <c r="Z60" t="e">
        <f>AND(Bills!#REF!,"AAAAAGf/fhk=")</f>
        <v>#REF!</v>
      </c>
      <c r="AA60" t="e">
        <f>AND(Bills!#REF!,"AAAAAGf/fho=")</f>
        <v>#REF!</v>
      </c>
      <c r="AB60" t="e">
        <f>AND(Bills!#REF!,"AAAAAGf/fhs=")</f>
        <v>#REF!</v>
      </c>
      <c r="AC60" t="e">
        <f>AND(Bills!AA67,"AAAAAGf/fhw=")</f>
        <v>#VALUE!</v>
      </c>
      <c r="AD60" t="e">
        <f>AND(Bills!AB67,"AAAAAGf/fh0=")</f>
        <v>#VALUE!</v>
      </c>
      <c r="AE60" t="e">
        <f>AND(Bills!#REF!,"AAAAAGf/fh4=")</f>
        <v>#REF!</v>
      </c>
      <c r="AF60">
        <f>IF(Bills!68:68,"AAAAAGf/fh8=",0)</f>
        <v>0</v>
      </c>
      <c r="AG60" t="e">
        <f>AND(Bills!B68,"AAAAAGf/fiA=")</f>
        <v>#VALUE!</v>
      </c>
      <c r="AH60" t="e">
        <f>AND(Bills!#REF!,"AAAAAGf/fiE=")</f>
        <v>#REF!</v>
      </c>
      <c r="AI60" t="e">
        <f>AND(Bills!C68,"AAAAAGf/fiI=")</f>
        <v>#VALUE!</v>
      </c>
      <c r="AJ60" t="e">
        <f>AND(Bills!#REF!,"AAAAAGf/fiM=")</f>
        <v>#REF!</v>
      </c>
      <c r="AK60" t="e">
        <f>AND(Bills!#REF!,"AAAAAGf/fiQ=")</f>
        <v>#REF!</v>
      </c>
      <c r="AL60" t="e">
        <f>AND(Bills!#REF!,"AAAAAGf/fiU=")</f>
        <v>#REF!</v>
      </c>
      <c r="AM60" t="e">
        <f>AND(Bills!#REF!,"AAAAAGf/fiY=")</f>
        <v>#REF!</v>
      </c>
      <c r="AN60" t="e">
        <f>AND(Bills!#REF!,"AAAAAGf/fic=")</f>
        <v>#REF!</v>
      </c>
      <c r="AO60" t="e">
        <f>AND(Bills!D68,"AAAAAGf/fig=")</f>
        <v>#VALUE!</v>
      </c>
      <c r="AP60" t="e">
        <f>AND(Bills!#REF!,"AAAAAGf/fik=")</f>
        <v>#REF!</v>
      </c>
      <c r="AQ60" t="e">
        <f>AND(Bills!E68,"AAAAAGf/fio=")</f>
        <v>#VALUE!</v>
      </c>
      <c r="AR60" t="e">
        <f>AND(Bills!F68,"AAAAAGf/fis=")</f>
        <v>#VALUE!</v>
      </c>
      <c r="AS60" t="e">
        <f>AND(Bills!G68,"AAAAAGf/fiw=")</f>
        <v>#VALUE!</v>
      </c>
      <c r="AT60" t="e">
        <f>AND(Bills!H68,"AAAAAGf/fi0=")</f>
        <v>#VALUE!</v>
      </c>
      <c r="AU60" t="e">
        <f>AND(Bills!I68,"AAAAAGf/fi4=")</f>
        <v>#VALUE!</v>
      </c>
      <c r="AV60" t="e">
        <f>AND(Bills!J68,"AAAAAGf/fi8=")</f>
        <v>#VALUE!</v>
      </c>
      <c r="AW60" t="e">
        <f>AND(Bills!#REF!,"AAAAAGf/fjA=")</f>
        <v>#REF!</v>
      </c>
      <c r="AX60" t="e">
        <f>AND(Bills!K68,"AAAAAGf/fjE=")</f>
        <v>#VALUE!</v>
      </c>
      <c r="AY60" t="e">
        <f>AND(Bills!L68,"AAAAAGf/fjI=")</f>
        <v>#VALUE!</v>
      </c>
      <c r="AZ60" t="e">
        <f>AND(Bills!M68,"AAAAAGf/fjM=")</f>
        <v>#VALUE!</v>
      </c>
      <c r="BA60" t="e">
        <f>AND(Bills!N68,"AAAAAGf/fjQ=")</f>
        <v>#VALUE!</v>
      </c>
      <c r="BB60" t="e">
        <f>AND(Bills!O68,"AAAAAGf/fjU=")</f>
        <v>#VALUE!</v>
      </c>
      <c r="BC60" t="e">
        <f>AND(Bills!P68,"AAAAAGf/fjY=")</f>
        <v>#VALUE!</v>
      </c>
      <c r="BD60" t="e">
        <f>AND(Bills!Q68,"AAAAAGf/fjc=")</f>
        <v>#VALUE!</v>
      </c>
      <c r="BE60" t="e">
        <f>AND(Bills!R68,"AAAAAGf/fjg=")</f>
        <v>#VALUE!</v>
      </c>
      <c r="BF60" t="e">
        <f>AND(Bills!#REF!,"AAAAAGf/fjk=")</f>
        <v>#REF!</v>
      </c>
      <c r="BG60" t="e">
        <f>AND(Bills!S68,"AAAAAGf/fjo=")</f>
        <v>#VALUE!</v>
      </c>
      <c r="BH60" t="e">
        <f>AND(Bills!T68,"AAAAAGf/fjs=")</f>
        <v>#VALUE!</v>
      </c>
      <c r="BI60" t="e">
        <f>AND(Bills!U68,"AAAAAGf/fjw=")</f>
        <v>#VALUE!</v>
      </c>
      <c r="BJ60" t="e">
        <f>AND(Bills!#REF!,"AAAAAGf/fj0=")</f>
        <v>#REF!</v>
      </c>
      <c r="BK60" t="e">
        <f>AND(Bills!#REF!,"AAAAAGf/fj4=")</f>
        <v>#REF!</v>
      </c>
      <c r="BL60" t="e">
        <f>AND(Bills!W68,"AAAAAGf/fj8=")</f>
        <v>#VALUE!</v>
      </c>
      <c r="BM60" t="e">
        <f>AND(Bills!X68,"AAAAAGf/fkA=")</f>
        <v>#VALUE!</v>
      </c>
      <c r="BN60" t="e">
        <f>AND(Bills!#REF!,"AAAAAGf/fkE=")</f>
        <v>#REF!</v>
      </c>
      <c r="BO60" t="e">
        <f>AND(Bills!#REF!,"AAAAAGf/fkI=")</f>
        <v>#REF!</v>
      </c>
      <c r="BP60" t="e">
        <f>AND(Bills!#REF!,"AAAAAGf/fkM=")</f>
        <v>#REF!</v>
      </c>
      <c r="BQ60" t="e">
        <f>AND(Bills!#REF!,"AAAAAGf/fkQ=")</f>
        <v>#REF!</v>
      </c>
      <c r="BR60" t="e">
        <f>AND(Bills!#REF!,"AAAAAGf/fkU=")</f>
        <v>#REF!</v>
      </c>
      <c r="BS60" t="e">
        <f>AND(Bills!#REF!,"AAAAAGf/fkY=")</f>
        <v>#REF!</v>
      </c>
      <c r="BT60" t="e">
        <f>AND(Bills!#REF!,"AAAAAGf/fkc=")</f>
        <v>#REF!</v>
      </c>
      <c r="BU60" t="e">
        <f>AND(Bills!#REF!,"AAAAAGf/fkg=")</f>
        <v>#REF!</v>
      </c>
      <c r="BV60" t="e">
        <f>AND(Bills!#REF!,"AAAAAGf/fkk=")</f>
        <v>#REF!</v>
      </c>
      <c r="BW60" t="e">
        <f>AND(Bills!Y68,"AAAAAGf/fko=")</f>
        <v>#VALUE!</v>
      </c>
      <c r="BX60" t="e">
        <f>AND(Bills!Z68,"AAAAAGf/fks=")</f>
        <v>#VALUE!</v>
      </c>
      <c r="BY60" t="e">
        <f>AND(Bills!#REF!,"AAAAAGf/fkw=")</f>
        <v>#REF!</v>
      </c>
      <c r="BZ60" t="e">
        <f>AND(Bills!#REF!,"AAAAAGf/fk0=")</f>
        <v>#REF!</v>
      </c>
      <c r="CA60" t="e">
        <f>AND(Bills!#REF!,"AAAAAGf/fk4=")</f>
        <v>#REF!</v>
      </c>
      <c r="CB60" t="e">
        <f>AND(Bills!AA68,"AAAAAGf/fk8=")</f>
        <v>#VALUE!</v>
      </c>
      <c r="CC60" t="e">
        <f>AND(Bills!AB68,"AAAAAGf/flA=")</f>
        <v>#VALUE!</v>
      </c>
      <c r="CD60" t="e">
        <f>AND(Bills!#REF!,"AAAAAGf/flE=")</f>
        <v>#REF!</v>
      </c>
      <c r="CE60">
        <f>IF(Bills!69:69,"AAAAAGf/flI=",0)</f>
        <v>0</v>
      </c>
      <c r="CF60" t="e">
        <f>AND(Bills!B69,"AAAAAGf/flM=")</f>
        <v>#VALUE!</v>
      </c>
      <c r="CG60" t="e">
        <f>AND(Bills!#REF!,"AAAAAGf/flQ=")</f>
        <v>#REF!</v>
      </c>
      <c r="CH60" t="e">
        <f>AND(Bills!C69,"AAAAAGf/flU=")</f>
        <v>#VALUE!</v>
      </c>
      <c r="CI60" t="e">
        <f>AND(Bills!#REF!,"AAAAAGf/flY=")</f>
        <v>#REF!</v>
      </c>
      <c r="CJ60" t="e">
        <f>AND(Bills!#REF!,"AAAAAGf/flc=")</f>
        <v>#REF!</v>
      </c>
      <c r="CK60" t="e">
        <f>AND(Bills!#REF!,"AAAAAGf/flg=")</f>
        <v>#REF!</v>
      </c>
      <c r="CL60" t="e">
        <f>AND(Bills!#REF!,"AAAAAGf/flk=")</f>
        <v>#REF!</v>
      </c>
      <c r="CM60" t="e">
        <f>AND(Bills!#REF!,"AAAAAGf/flo=")</f>
        <v>#REF!</v>
      </c>
      <c r="CN60" t="e">
        <f>AND(Bills!D69,"AAAAAGf/fls=")</f>
        <v>#VALUE!</v>
      </c>
      <c r="CO60" t="e">
        <f>AND(Bills!#REF!,"AAAAAGf/flw=")</f>
        <v>#REF!</v>
      </c>
      <c r="CP60" t="e">
        <f>AND(Bills!E69,"AAAAAGf/fl0=")</f>
        <v>#VALUE!</v>
      </c>
      <c r="CQ60" t="e">
        <f>AND(Bills!F69,"AAAAAGf/fl4=")</f>
        <v>#VALUE!</v>
      </c>
      <c r="CR60" t="e">
        <f>AND(Bills!G69,"AAAAAGf/fl8=")</f>
        <v>#VALUE!</v>
      </c>
      <c r="CS60" t="e">
        <f>AND(Bills!H69,"AAAAAGf/fmA=")</f>
        <v>#VALUE!</v>
      </c>
      <c r="CT60" t="e">
        <f>AND(Bills!I69,"AAAAAGf/fmE=")</f>
        <v>#VALUE!</v>
      </c>
      <c r="CU60" t="e">
        <f>AND(Bills!J69,"AAAAAGf/fmI=")</f>
        <v>#VALUE!</v>
      </c>
      <c r="CV60" t="e">
        <f>AND(Bills!#REF!,"AAAAAGf/fmM=")</f>
        <v>#REF!</v>
      </c>
      <c r="CW60" t="e">
        <f>AND(Bills!K69,"AAAAAGf/fmQ=")</f>
        <v>#VALUE!</v>
      </c>
      <c r="CX60" t="e">
        <f>AND(Bills!L69,"AAAAAGf/fmU=")</f>
        <v>#VALUE!</v>
      </c>
      <c r="CY60" t="e">
        <f>AND(Bills!M69,"AAAAAGf/fmY=")</f>
        <v>#VALUE!</v>
      </c>
      <c r="CZ60" t="e">
        <f>AND(Bills!N69,"AAAAAGf/fmc=")</f>
        <v>#VALUE!</v>
      </c>
      <c r="DA60" t="e">
        <f>AND(Bills!O69,"AAAAAGf/fmg=")</f>
        <v>#VALUE!</v>
      </c>
      <c r="DB60" t="e">
        <f>AND(Bills!P69,"AAAAAGf/fmk=")</f>
        <v>#VALUE!</v>
      </c>
      <c r="DC60" t="e">
        <f>AND(Bills!Q69,"AAAAAGf/fmo=")</f>
        <v>#VALUE!</v>
      </c>
      <c r="DD60" t="e">
        <f>AND(Bills!R69,"AAAAAGf/fms=")</f>
        <v>#VALUE!</v>
      </c>
      <c r="DE60" t="e">
        <f>AND(Bills!#REF!,"AAAAAGf/fmw=")</f>
        <v>#REF!</v>
      </c>
      <c r="DF60" t="e">
        <f>AND(Bills!S69,"AAAAAGf/fm0=")</f>
        <v>#VALUE!</v>
      </c>
      <c r="DG60" t="e">
        <f>AND(Bills!T69,"AAAAAGf/fm4=")</f>
        <v>#VALUE!</v>
      </c>
      <c r="DH60" t="e">
        <f>AND(Bills!U69,"AAAAAGf/fm8=")</f>
        <v>#VALUE!</v>
      </c>
      <c r="DI60" t="e">
        <f>AND(Bills!#REF!,"AAAAAGf/fnA=")</f>
        <v>#REF!</v>
      </c>
      <c r="DJ60" t="e">
        <f>AND(Bills!#REF!,"AAAAAGf/fnE=")</f>
        <v>#REF!</v>
      </c>
      <c r="DK60" t="e">
        <f>AND(Bills!W69,"AAAAAGf/fnI=")</f>
        <v>#VALUE!</v>
      </c>
      <c r="DL60" t="e">
        <f>AND(Bills!X69,"AAAAAGf/fnM=")</f>
        <v>#VALUE!</v>
      </c>
      <c r="DM60" t="e">
        <f>AND(Bills!#REF!,"AAAAAGf/fnQ=")</f>
        <v>#REF!</v>
      </c>
      <c r="DN60" t="e">
        <f>AND(Bills!#REF!,"AAAAAGf/fnU=")</f>
        <v>#REF!</v>
      </c>
      <c r="DO60" t="e">
        <f>AND(Bills!#REF!,"AAAAAGf/fnY=")</f>
        <v>#REF!</v>
      </c>
      <c r="DP60" t="e">
        <f>AND(Bills!#REF!,"AAAAAGf/fnc=")</f>
        <v>#REF!</v>
      </c>
      <c r="DQ60" t="e">
        <f>AND(Bills!#REF!,"AAAAAGf/fng=")</f>
        <v>#REF!</v>
      </c>
      <c r="DR60" t="e">
        <f>AND(Bills!#REF!,"AAAAAGf/fnk=")</f>
        <v>#REF!</v>
      </c>
      <c r="DS60" t="e">
        <f>AND(Bills!#REF!,"AAAAAGf/fno=")</f>
        <v>#REF!</v>
      </c>
      <c r="DT60" t="e">
        <f>AND(Bills!#REF!,"AAAAAGf/fns=")</f>
        <v>#REF!</v>
      </c>
      <c r="DU60" t="e">
        <f>AND(Bills!#REF!,"AAAAAGf/fnw=")</f>
        <v>#REF!</v>
      </c>
      <c r="DV60" t="e">
        <f>AND(Bills!Y69,"AAAAAGf/fn0=")</f>
        <v>#VALUE!</v>
      </c>
      <c r="DW60" t="e">
        <f>AND(Bills!Z69,"AAAAAGf/fn4=")</f>
        <v>#VALUE!</v>
      </c>
      <c r="DX60" t="e">
        <f>AND(Bills!#REF!,"AAAAAGf/fn8=")</f>
        <v>#REF!</v>
      </c>
      <c r="DY60" t="e">
        <f>AND(Bills!#REF!,"AAAAAGf/foA=")</f>
        <v>#REF!</v>
      </c>
      <c r="DZ60" t="e">
        <f>AND(Bills!#REF!,"AAAAAGf/foE=")</f>
        <v>#REF!</v>
      </c>
      <c r="EA60" t="e">
        <f>AND(Bills!AA69,"AAAAAGf/foI=")</f>
        <v>#VALUE!</v>
      </c>
      <c r="EB60" t="e">
        <f>AND(Bills!AB69,"AAAAAGf/foM=")</f>
        <v>#VALUE!</v>
      </c>
      <c r="EC60" t="e">
        <f>AND(Bills!#REF!,"AAAAAGf/foQ=")</f>
        <v>#REF!</v>
      </c>
      <c r="ED60">
        <f>IF(Bills!70:70,"AAAAAGf/foU=",0)</f>
        <v>0</v>
      </c>
      <c r="EE60" t="e">
        <f>AND(Bills!B70,"AAAAAGf/foY=")</f>
        <v>#VALUE!</v>
      </c>
      <c r="EF60" t="e">
        <f>AND(Bills!#REF!,"AAAAAGf/foc=")</f>
        <v>#REF!</v>
      </c>
      <c r="EG60" t="e">
        <f>AND(Bills!C70,"AAAAAGf/fog=")</f>
        <v>#VALUE!</v>
      </c>
      <c r="EH60" t="e">
        <f>AND(Bills!#REF!,"AAAAAGf/fok=")</f>
        <v>#REF!</v>
      </c>
      <c r="EI60" t="e">
        <f>AND(Bills!#REF!,"AAAAAGf/foo=")</f>
        <v>#REF!</v>
      </c>
      <c r="EJ60" t="e">
        <f>AND(Bills!#REF!,"AAAAAGf/fos=")</f>
        <v>#REF!</v>
      </c>
      <c r="EK60" t="e">
        <f>AND(Bills!#REF!,"AAAAAGf/fow=")</f>
        <v>#REF!</v>
      </c>
      <c r="EL60" t="e">
        <f>AND(Bills!#REF!,"AAAAAGf/fo0=")</f>
        <v>#REF!</v>
      </c>
      <c r="EM60" t="e">
        <f>AND(Bills!D70,"AAAAAGf/fo4=")</f>
        <v>#VALUE!</v>
      </c>
      <c r="EN60" t="e">
        <f>AND(Bills!#REF!,"AAAAAGf/fo8=")</f>
        <v>#REF!</v>
      </c>
      <c r="EO60" t="e">
        <f>AND(Bills!E70,"AAAAAGf/fpA=")</f>
        <v>#VALUE!</v>
      </c>
      <c r="EP60" t="e">
        <f>AND(Bills!F70,"AAAAAGf/fpE=")</f>
        <v>#VALUE!</v>
      </c>
      <c r="EQ60" t="e">
        <f>AND(Bills!G70,"AAAAAGf/fpI=")</f>
        <v>#VALUE!</v>
      </c>
      <c r="ER60" t="e">
        <f>AND(Bills!H70,"AAAAAGf/fpM=")</f>
        <v>#VALUE!</v>
      </c>
      <c r="ES60" t="e">
        <f>AND(Bills!I70,"AAAAAGf/fpQ=")</f>
        <v>#VALUE!</v>
      </c>
      <c r="ET60" t="e">
        <f>AND(Bills!J70,"AAAAAGf/fpU=")</f>
        <v>#VALUE!</v>
      </c>
      <c r="EU60" t="e">
        <f>AND(Bills!#REF!,"AAAAAGf/fpY=")</f>
        <v>#REF!</v>
      </c>
      <c r="EV60" t="e">
        <f>AND(Bills!K70,"AAAAAGf/fpc=")</f>
        <v>#VALUE!</v>
      </c>
      <c r="EW60" t="e">
        <f>AND(Bills!L70,"AAAAAGf/fpg=")</f>
        <v>#VALUE!</v>
      </c>
      <c r="EX60" t="e">
        <f>AND(Bills!M70,"AAAAAGf/fpk=")</f>
        <v>#VALUE!</v>
      </c>
      <c r="EY60" t="e">
        <f>AND(Bills!N70,"AAAAAGf/fpo=")</f>
        <v>#VALUE!</v>
      </c>
      <c r="EZ60" t="e">
        <f>AND(Bills!O70,"AAAAAGf/fps=")</f>
        <v>#VALUE!</v>
      </c>
      <c r="FA60" t="e">
        <f>AND(Bills!P70,"AAAAAGf/fpw=")</f>
        <v>#VALUE!</v>
      </c>
      <c r="FB60" t="e">
        <f>AND(Bills!Q70,"AAAAAGf/fp0=")</f>
        <v>#VALUE!</v>
      </c>
      <c r="FC60" t="e">
        <f>AND(Bills!R70,"AAAAAGf/fp4=")</f>
        <v>#VALUE!</v>
      </c>
      <c r="FD60" t="e">
        <f>AND(Bills!#REF!,"AAAAAGf/fp8=")</f>
        <v>#REF!</v>
      </c>
      <c r="FE60" t="e">
        <f>AND(Bills!S70,"AAAAAGf/fqA=")</f>
        <v>#VALUE!</v>
      </c>
      <c r="FF60" t="e">
        <f>AND(Bills!T70,"AAAAAGf/fqE=")</f>
        <v>#VALUE!</v>
      </c>
      <c r="FG60" t="e">
        <f>AND(Bills!U70,"AAAAAGf/fqI=")</f>
        <v>#VALUE!</v>
      </c>
      <c r="FH60" t="e">
        <f>AND(Bills!#REF!,"AAAAAGf/fqM=")</f>
        <v>#REF!</v>
      </c>
      <c r="FI60" t="e">
        <f>AND(Bills!#REF!,"AAAAAGf/fqQ=")</f>
        <v>#REF!</v>
      </c>
      <c r="FJ60" t="e">
        <f>AND(Bills!W70,"AAAAAGf/fqU=")</f>
        <v>#VALUE!</v>
      </c>
      <c r="FK60" t="e">
        <f>AND(Bills!X70,"AAAAAGf/fqY=")</f>
        <v>#VALUE!</v>
      </c>
      <c r="FL60" t="e">
        <f>AND(Bills!#REF!,"AAAAAGf/fqc=")</f>
        <v>#REF!</v>
      </c>
      <c r="FM60" t="e">
        <f>AND(Bills!#REF!,"AAAAAGf/fqg=")</f>
        <v>#REF!</v>
      </c>
      <c r="FN60" t="e">
        <f>AND(Bills!#REF!,"AAAAAGf/fqk=")</f>
        <v>#REF!</v>
      </c>
      <c r="FO60" t="e">
        <f>AND(Bills!#REF!,"AAAAAGf/fqo=")</f>
        <v>#REF!</v>
      </c>
      <c r="FP60" t="e">
        <f>AND(Bills!#REF!,"AAAAAGf/fqs=")</f>
        <v>#REF!</v>
      </c>
      <c r="FQ60" t="e">
        <f>AND(Bills!#REF!,"AAAAAGf/fqw=")</f>
        <v>#REF!</v>
      </c>
      <c r="FR60" t="e">
        <f>AND(Bills!#REF!,"AAAAAGf/fq0=")</f>
        <v>#REF!</v>
      </c>
      <c r="FS60" t="e">
        <f>AND(Bills!#REF!,"AAAAAGf/fq4=")</f>
        <v>#REF!</v>
      </c>
      <c r="FT60" t="e">
        <f>AND(Bills!#REF!,"AAAAAGf/fq8=")</f>
        <v>#REF!</v>
      </c>
      <c r="FU60" t="e">
        <f>AND(Bills!Y70,"AAAAAGf/frA=")</f>
        <v>#VALUE!</v>
      </c>
      <c r="FV60" t="e">
        <f>AND(Bills!Z70,"AAAAAGf/frE=")</f>
        <v>#VALUE!</v>
      </c>
      <c r="FW60" t="e">
        <f>AND(Bills!#REF!,"AAAAAGf/frI=")</f>
        <v>#REF!</v>
      </c>
      <c r="FX60" t="e">
        <f>AND(Bills!#REF!,"AAAAAGf/frM=")</f>
        <v>#REF!</v>
      </c>
      <c r="FY60" t="e">
        <f>AND(Bills!#REF!,"AAAAAGf/frQ=")</f>
        <v>#REF!</v>
      </c>
      <c r="FZ60" t="e">
        <f>AND(Bills!AA70,"AAAAAGf/frU=")</f>
        <v>#VALUE!</v>
      </c>
      <c r="GA60" t="e">
        <f>AND(Bills!AB70,"AAAAAGf/frY=")</f>
        <v>#VALUE!</v>
      </c>
      <c r="GB60" t="e">
        <f>AND(Bills!#REF!,"AAAAAGf/frc=")</f>
        <v>#REF!</v>
      </c>
      <c r="GC60">
        <f>IF(Bills!71:71,"AAAAAGf/frg=",0)</f>
        <v>0</v>
      </c>
      <c r="GD60" t="e">
        <f>AND(Bills!B71,"AAAAAGf/frk=")</f>
        <v>#VALUE!</v>
      </c>
      <c r="GE60" t="e">
        <f>AND(Bills!#REF!,"AAAAAGf/fro=")</f>
        <v>#REF!</v>
      </c>
      <c r="GF60" t="e">
        <f>AND(Bills!C71,"AAAAAGf/frs=")</f>
        <v>#VALUE!</v>
      </c>
      <c r="GG60" t="e">
        <f>AND(Bills!#REF!,"AAAAAGf/frw=")</f>
        <v>#REF!</v>
      </c>
      <c r="GH60" t="e">
        <f>AND(Bills!#REF!,"AAAAAGf/fr0=")</f>
        <v>#REF!</v>
      </c>
      <c r="GI60" t="e">
        <f>AND(Bills!#REF!,"AAAAAGf/fr4=")</f>
        <v>#REF!</v>
      </c>
      <c r="GJ60" t="e">
        <f>AND(Bills!#REF!,"AAAAAGf/fr8=")</f>
        <v>#REF!</v>
      </c>
      <c r="GK60" t="e">
        <f>AND(Bills!#REF!,"AAAAAGf/fsA=")</f>
        <v>#REF!</v>
      </c>
      <c r="GL60" t="e">
        <f>AND(Bills!D71,"AAAAAGf/fsE=")</f>
        <v>#VALUE!</v>
      </c>
      <c r="GM60" t="e">
        <f>AND(Bills!#REF!,"AAAAAGf/fsI=")</f>
        <v>#REF!</v>
      </c>
      <c r="GN60" t="e">
        <f>AND(Bills!E71,"AAAAAGf/fsM=")</f>
        <v>#VALUE!</v>
      </c>
      <c r="GO60" t="e">
        <f>AND(Bills!F71,"AAAAAGf/fsQ=")</f>
        <v>#VALUE!</v>
      </c>
      <c r="GP60" t="e">
        <f>AND(Bills!G71,"AAAAAGf/fsU=")</f>
        <v>#VALUE!</v>
      </c>
      <c r="GQ60" t="e">
        <f>AND(Bills!H71,"AAAAAGf/fsY=")</f>
        <v>#VALUE!</v>
      </c>
      <c r="GR60" t="e">
        <f>AND(Bills!I71,"AAAAAGf/fsc=")</f>
        <v>#VALUE!</v>
      </c>
      <c r="GS60" t="e">
        <f>AND(Bills!J71,"AAAAAGf/fsg=")</f>
        <v>#VALUE!</v>
      </c>
      <c r="GT60" t="e">
        <f>AND(Bills!#REF!,"AAAAAGf/fsk=")</f>
        <v>#REF!</v>
      </c>
      <c r="GU60" t="e">
        <f>AND(Bills!K71,"AAAAAGf/fso=")</f>
        <v>#VALUE!</v>
      </c>
      <c r="GV60" t="e">
        <f>AND(Bills!L71,"AAAAAGf/fss=")</f>
        <v>#VALUE!</v>
      </c>
      <c r="GW60" t="e">
        <f>AND(Bills!M71,"AAAAAGf/fsw=")</f>
        <v>#VALUE!</v>
      </c>
      <c r="GX60" t="e">
        <f>AND(Bills!N71,"AAAAAGf/fs0=")</f>
        <v>#VALUE!</v>
      </c>
      <c r="GY60" t="e">
        <f>AND(Bills!O71,"AAAAAGf/fs4=")</f>
        <v>#VALUE!</v>
      </c>
      <c r="GZ60" t="e">
        <f>AND(Bills!P71,"AAAAAGf/fs8=")</f>
        <v>#VALUE!</v>
      </c>
      <c r="HA60" t="e">
        <f>AND(Bills!Q71,"AAAAAGf/ftA=")</f>
        <v>#VALUE!</v>
      </c>
      <c r="HB60" t="e">
        <f>AND(Bills!R71,"AAAAAGf/ftE=")</f>
        <v>#VALUE!</v>
      </c>
      <c r="HC60" t="e">
        <f>AND(Bills!#REF!,"AAAAAGf/ftI=")</f>
        <v>#REF!</v>
      </c>
      <c r="HD60" t="e">
        <f>AND(Bills!S71,"AAAAAGf/ftM=")</f>
        <v>#VALUE!</v>
      </c>
      <c r="HE60" t="e">
        <f>AND(Bills!T71,"AAAAAGf/ftQ=")</f>
        <v>#VALUE!</v>
      </c>
      <c r="HF60" t="e">
        <f>AND(Bills!U71,"AAAAAGf/ftU=")</f>
        <v>#VALUE!</v>
      </c>
      <c r="HG60" t="e">
        <f>AND(Bills!#REF!,"AAAAAGf/ftY=")</f>
        <v>#REF!</v>
      </c>
      <c r="HH60" t="e">
        <f>AND(Bills!#REF!,"AAAAAGf/ftc=")</f>
        <v>#REF!</v>
      </c>
      <c r="HI60" t="e">
        <f>AND(Bills!W71,"AAAAAGf/ftg=")</f>
        <v>#VALUE!</v>
      </c>
      <c r="HJ60" t="e">
        <f>AND(Bills!X71,"AAAAAGf/ftk=")</f>
        <v>#VALUE!</v>
      </c>
      <c r="HK60" t="e">
        <f>AND(Bills!#REF!,"AAAAAGf/fto=")</f>
        <v>#REF!</v>
      </c>
      <c r="HL60" t="e">
        <f>AND(Bills!#REF!,"AAAAAGf/fts=")</f>
        <v>#REF!</v>
      </c>
      <c r="HM60" t="e">
        <f>AND(Bills!#REF!,"AAAAAGf/ftw=")</f>
        <v>#REF!</v>
      </c>
      <c r="HN60" t="e">
        <f>AND(Bills!#REF!,"AAAAAGf/ft0=")</f>
        <v>#REF!</v>
      </c>
      <c r="HO60" t="e">
        <f>AND(Bills!#REF!,"AAAAAGf/ft4=")</f>
        <v>#REF!</v>
      </c>
      <c r="HP60" t="e">
        <f>AND(Bills!#REF!,"AAAAAGf/ft8=")</f>
        <v>#REF!</v>
      </c>
      <c r="HQ60" t="e">
        <f>AND(Bills!#REF!,"AAAAAGf/fuA=")</f>
        <v>#REF!</v>
      </c>
      <c r="HR60" t="e">
        <f>AND(Bills!#REF!,"AAAAAGf/fuE=")</f>
        <v>#REF!</v>
      </c>
      <c r="HS60" t="e">
        <f>AND(Bills!#REF!,"AAAAAGf/fuI=")</f>
        <v>#REF!</v>
      </c>
      <c r="HT60" t="e">
        <f>AND(Bills!Y71,"AAAAAGf/fuM=")</f>
        <v>#VALUE!</v>
      </c>
      <c r="HU60" t="e">
        <f>AND(Bills!Z71,"AAAAAGf/fuQ=")</f>
        <v>#VALUE!</v>
      </c>
      <c r="HV60" t="e">
        <f>AND(Bills!#REF!,"AAAAAGf/fuU=")</f>
        <v>#REF!</v>
      </c>
      <c r="HW60" t="e">
        <f>AND(Bills!#REF!,"AAAAAGf/fuY=")</f>
        <v>#REF!</v>
      </c>
      <c r="HX60" t="e">
        <f>AND(Bills!#REF!,"AAAAAGf/fuc=")</f>
        <v>#REF!</v>
      </c>
      <c r="HY60" t="e">
        <f>AND(Bills!AA71,"AAAAAGf/fug=")</f>
        <v>#VALUE!</v>
      </c>
      <c r="HZ60" t="e">
        <f>AND(Bills!AB71,"AAAAAGf/fuk=")</f>
        <v>#VALUE!</v>
      </c>
      <c r="IA60" t="e">
        <f>AND(Bills!#REF!,"AAAAAGf/fuo=")</f>
        <v>#REF!</v>
      </c>
      <c r="IB60">
        <f>IF(Bills!72:72,"AAAAAGf/fus=",0)</f>
        <v>0</v>
      </c>
      <c r="IC60" t="e">
        <f>AND(Bills!B72,"AAAAAGf/fuw=")</f>
        <v>#VALUE!</v>
      </c>
      <c r="ID60" t="e">
        <f>AND(Bills!#REF!,"AAAAAGf/fu0=")</f>
        <v>#REF!</v>
      </c>
      <c r="IE60" t="e">
        <f>AND(Bills!C72,"AAAAAGf/fu4=")</f>
        <v>#VALUE!</v>
      </c>
      <c r="IF60" t="e">
        <f>AND(Bills!#REF!,"AAAAAGf/fu8=")</f>
        <v>#REF!</v>
      </c>
      <c r="IG60" t="e">
        <f>AND(Bills!#REF!,"AAAAAGf/fvA=")</f>
        <v>#REF!</v>
      </c>
      <c r="IH60" t="e">
        <f>AND(Bills!#REF!,"AAAAAGf/fvE=")</f>
        <v>#REF!</v>
      </c>
      <c r="II60" t="e">
        <f>AND(Bills!#REF!,"AAAAAGf/fvI=")</f>
        <v>#REF!</v>
      </c>
      <c r="IJ60" t="e">
        <f>AND(Bills!#REF!,"AAAAAGf/fvM=")</f>
        <v>#REF!</v>
      </c>
      <c r="IK60" t="e">
        <f>AND(Bills!D72,"AAAAAGf/fvQ=")</f>
        <v>#VALUE!</v>
      </c>
      <c r="IL60" t="e">
        <f>AND(Bills!#REF!,"AAAAAGf/fvU=")</f>
        <v>#REF!</v>
      </c>
      <c r="IM60" t="e">
        <f>AND(Bills!E72,"AAAAAGf/fvY=")</f>
        <v>#VALUE!</v>
      </c>
      <c r="IN60" t="e">
        <f>AND(Bills!F72,"AAAAAGf/fvc=")</f>
        <v>#VALUE!</v>
      </c>
      <c r="IO60" t="e">
        <f>AND(Bills!G72,"AAAAAGf/fvg=")</f>
        <v>#VALUE!</v>
      </c>
      <c r="IP60" t="e">
        <f>AND(Bills!H72,"AAAAAGf/fvk=")</f>
        <v>#VALUE!</v>
      </c>
      <c r="IQ60" t="e">
        <f>AND(Bills!I72,"AAAAAGf/fvo=")</f>
        <v>#VALUE!</v>
      </c>
      <c r="IR60" t="e">
        <f>AND(Bills!J72,"AAAAAGf/fvs=")</f>
        <v>#VALUE!</v>
      </c>
      <c r="IS60" t="e">
        <f>AND(Bills!#REF!,"AAAAAGf/fvw=")</f>
        <v>#REF!</v>
      </c>
      <c r="IT60" t="e">
        <f>AND(Bills!K72,"AAAAAGf/fv0=")</f>
        <v>#VALUE!</v>
      </c>
      <c r="IU60" t="e">
        <f>AND(Bills!L72,"AAAAAGf/fv4=")</f>
        <v>#VALUE!</v>
      </c>
      <c r="IV60" t="e">
        <f>AND(Bills!M72,"AAAAAGf/fv8=")</f>
        <v>#VALUE!</v>
      </c>
    </row>
    <row r="61" spans="1:256">
      <c r="A61" t="e">
        <f>AND(Bills!N72,"AAAAAD//HQA=")</f>
        <v>#VALUE!</v>
      </c>
      <c r="B61" t="e">
        <f>AND(Bills!O72,"AAAAAD//HQE=")</f>
        <v>#VALUE!</v>
      </c>
      <c r="C61" t="e">
        <f>AND(Bills!P72,"AAAAAD//HQI=")</f>
        <v>#VALUE!</v>
      </c>
      <c r="D61" t="e">
        <f>AND(Bills!Q72,"AAAAAD//HQM=")</f>
        <v>#VALUE!</v>
      </c>
      <c r="E61" t="e">
        <f>AND(Bills!R72,"AAAAAD//HQQ=")</f>
        <v>#VALUE!</v>
      </c>
      <c r="F61" t="e">
        <f>AND(Bills!#REF!,"AAAAAD//HQU=")</f>
        <v>#REF!</v>
      </c>
      <c r="G61" t="e">
        <f>AND(Bills!S72,"AAAAAD//HQY=")</f>
        <v>#VALUE!</v>
      </c>
      <c r="H61" t="e">
        <f>AND(Bills!T72,"AAAAAD//HQc=")</f>
        <v>#VALUE!</v>
      </c>
      <c r="I61" t="e">
        <f>AND(Bills!U72,"AAAAAD//HQg=")</f>
        <v>#VALUE!</v>
      </c>
      <c r="J61" t="e">
        <f>AND(Bills!#REF!,"AAAAAD//HQk=")</f>
        <v>#REF!</v>
      </c>
      <c r="K61" t="e">
        <f>AND(Bills!#REF!,"AAAAAD//HQo=")</f>
        <v>#REF!</v>
      </c>
      <c r="L61" t="e">
        <f>AND(Bills!W72,"AAAAAD//HQs=")</f>
        <v>#VALUE!</v>
      </c>
      <c r="M61" t="e">
        <f>AND(Bills!X72,"AAAAAD//HQw=")</f>
        <v>#VALUE!</v>
      </c>
      <c r="N61" t="e">
        <f>AND(Bills!#REF!,"AAAAAD//HQ0=")</f>
        <v>#REF!</v>
      </c>
      <c r="O61" t="e">
        <f>AND(Bills!#REF!,"AAAAAD//HQ4=")</f>
        <v>#REF!</v>
      </c>
      <c r="P61" t="e">
        <f>AND(Bills!#REF!,"AAAAAD//HQ8=")</f>
        <v>#REF!</v>
      </c>
      <c r="Q61" t="e">
        <f>AND(Bills!#REF!,"AAAAAD//HRA=")</f>
        <v>#REF!</v>
      </c>
      <c r="R61" t="e">
        <f>AND(Bills!#REF!,"AAAAAD//HRE=")</f>
        <v>#REF!</v>
      </c>
      <c r="S61" t="e">
        <f>AND(Bills!#REF!,"AAAAAD//HRI=")</f>
        <v>#REF!</v>
      </c>
      <c r="T61" t="e">
        <f>AND(Bills!#REF!,"AAAAAD//HRM=")</f>
        <v>#REF!</v>
      </c>
      <c r="U61" t="e">
        <f>AND(Bills!#REF!,"AAAAAD//HRQ=")</f>
        <v>#REF!</v>
      </c>
      <c r="V61" t="e">
        <f>AND(Bills!#REF!,"AAAAAD//HRU=")</f>
        <v>#REF!</v>
      </c>
      <c r="W61" t="e">
        <f>AND(Bills!Y72,"AAAAAD//HRY=")</f>
        <v>#VALUE!</v>
      </c>
      <c r="X61" t="e">
        <f>AND(Bills!Z72,"AAAAAD//HRc=")</f>
        <v>#VALUE!</v>
      </c>
      <c r="Y61" t="e">
        <f>AND(Bills!#REF!,"AAAAAD//HRg=")</f>
        <v>#REF!</v>
      </c>
      <c r="Z61" t="e">
        <f>AND(Bills!#REF!,"AAAAAD//HRk=")</f>
        <v>#REF!</v>
      </c>
      <c r="AA61" t="e">
        <f>AND(Bills!#REF!,"AAAAAD//HRo=")</f>
        <v>#REF!</v>
      </c>
      <c r="AB61" t="e">
        <f>AND(Bills!AA72,"AAAAAD//HRs=")</f>
        <v>#VALUE!</v>
      </c>
      <c r="AC61" t="e">
        <f>AND(Bills!AB72,"AAAAAD//HRw=")</f>
        <v>#VALUE!</v>
      </c>
      <c r="AD61" t="e">
        <f>AND(Bills!#REF!,"AAAAAD//HR0=")</f>
        <v>#REF!</v>
      </c>
      <c r="AE61">
        <f>IF(Bills!73:73,"AAAAAD//HR4=",0)</f>
        <v>0</v>
      </c>
      <c r="AF61" t="e">
        <f>AND(Bills!B73,"AAAAAD//HR8=")</f>
        <v>#VALUE!</v>
      </c>
      <c r="AG61" t="e">
        <f>AND(Bills!#REF!,"AAAAAD//HSA=")</f>
        <v>#REF!</v>
      </c>
      <c r="AH61" t="e">
        <f>AND(Bills!C73,"AAAAAD//HSE=")</f>
        <v>#VALUE!</v>
      </c>
      <c r="AI61" t="e">
        <f>AND(Bills!#REF!,"AAAAAD//HSI=")</f>
        <v>#REF!</v>
      </c>
      <c r="AJ61" t="e">
        <f>AND(Bills!#REF!,"AAAAAD//HSM=")</f>
        <v>#REF!</v>
      </c>
      <c r="AK61" t="e">
        <f>AND(Bills!#REF!,"AAAAAD//HSQ=")</f>
        <v>#REF!</v>
      </c>
      <c r="AL61" t="e">
        <f>AND(Bills!#REF!,"AAAAAD//HSU=")</f>
        <v>#REF!</v>
      </c>
      <c r="AM61" t="e">
        <f>AND(Bills!#REF!,"AAAAAD//HSY=")</f>
        <v>#REF!</v>
      </c>
      <c r="AN61" t="e">
        <f>AND(Bills!D73,"AAAAAD//HSc=")</f>
        <v>#VALUE!</v>
      </c>
      <c r="AO61" t="e">
        <f>AND(Bills!#REF!,"AAAAAD//HSg=")</f>
        <v>#REF!</v>
      </c>
      <c r="AP61" t="e">
        <f>AND(Bills!E73,"AAAAAD//HSk=")</f>
        <v>#VALUE!</v>
      </c>
      <c r="AQ61" t="e">
        <f>AND(Bills!F73,"AAAAAD//HSo=")</f>
        <v>#VALUE!</v>
      </c>
      <c r="AR61" t="e">
        <f>AND(Bills!G73,"AAAAAD//HSs=")</f>
        <v>#VALUE!</v>
      </c>
      <c r="AS61" t="e">
        <f>AND(Bills!H73,"AAAAAD//HSw=")</f>
        <v>#VALUE!</v>
      </c>
      <c r="AT61" t="e">
        <f>AND(Bills!I73,"AAAAAD//HS0=")</f>
        <v>#VALUE!</v>
      </c>
      <c r="AU61" t="e">
        <f>AND(Bills!J73,"AAAAAD//HS4=")</f>
        <v>#VALUE!</v>
      </c>
      <c r="AV61" t="e">
        <f>AND(Bills!#REF!,"AAAAAD//HS8=")</f>
        <v>#REF!</v>
      </c>
      <c r="AW61" t="e">
        <f>AND(Bills!K73,"AAAAAD//HTA=")</f>
        <v>#VALUE!</v>
      </c>
      <c r="AX61" t="e">
        <f>AND(Bills!L73,"AAAAAD//HTE=")</f>
        <v>#VALUE!</v>
      </c>
      <c r="AY61" t="e">
        <f>AND(Bills!M73,"AAAAAD//HTI=")</f>
        <v>#VALUE!</v>
      </c>
      <c r="AZ61" t="e">
        <f>AND(Bills!N73,"AAAAAD//HTM=")</f>
        <v>#VALUE!</v>
      </c>
      <c r="BA61" t="e">
        <f>AND(Bills!O73,"AAAAAD//HTQ=")</f>
        <v>#VALUE!</v>
      </c>
      <c r="BB61" t="e">
        <f>AND(Bills!P73,"AAAAAD//HTU=")</f>
        <v>#VALUE!</v>
      </c>
      <c r="BC61" t="e">
        <f>AND(Bills!Q73,"AAAAAD//HTY=")</f>
        <v>#VALUE!</v>
      </c>
      <c r="BD61" t="e">
        <f>AND(Bills!R73,"AAAAAD//HTc=")</f>
        <v>#VALUE!</v>
      </c>
      <c r="BE61" t="e">
        <f>AND(Bills!#REF!,"AAAAAD//HTg=")</f>
        <v>#REF!</v>
      </c>
      <c r="BF61" t="e">
        <f>AND(Bills!S73,"AAAAAD//HTk=")</f>
        <v>#VALUE!</v>
      </c>
      <c r="BG61" t="e">
        <f>AND(Bills!T73,"AAAAAD//HTo=")</f>
        <v>#VALUE!</v>
      </c>
      <c r="BH61" t="e">
        <f>AND(Bills!U73,"AAAAAD//HTs=")</f>
        <v>#VALUE!</v>
      </c>
      <c r="BI61" t="e">
        <f>AND(Bills!#REF!,"AAAAAD//HTw=")</f>
        <v>#REF!</v>
      </c>
      <c r="BJ61" t="e">
        <f>AND(Bills!#REF!,"AAAAAD//HT0=")</f>
        <v>#REF!</v>
      </c>
      <c r="BK61" t="e">
        <f>AND(Bills!W73,"AAAAAD//HT4=")</f>
        <v>#VALUE!</v>
      </c>
      <c r="BL61" t="e">
        <f>AND(Bills!X73,"AAAAAD//HT8=")</f>
        <v>#VALUE!</v>
      </c>
      <c r="BM61" t="e">
        <f>AND(Bills!#REF!,"AAAAAD//HUA=")</f>
        <v>#REF!</v>
      </c>
      <c r="BN61" t="e">
        <f>AND(Bills!#REF!,"AAAAAD//HUE=")</f>
        <v>#REF!</v>
      </c>
      <c r="BO61" t="e">
        <f>AND(Bills!#REF!,"AAAAAD//HUI=")</f>
        <v>#REF!</v>
      </c>
      <c r="BP61" t="e">
        <f>AND(Bills!#REF!,"AAAAAD//HUM=")</f>
        <v>#REF!</v>
      </c>
      <c r="BQ61" t="e">
        <f>AND(Bills!#REF!,"AAAAAD//HUQ=")</f>
        <v>#REF!</v>
      </c>
      <c r="BR61" t="e">
        <f>AND(Bills!#REF!,"AAAAAD//HUU=")</f>
        <v>#REF!</v>
      </c>
      <c r="BS61" t="e">
        <f>AND(Bills!#REF!,"AAAAAD//HUY=")</f>
        <v>#REF!</v>
      </c>
      <c r="BT61" t="e">
        <f>AND(Bills!#REF!,"AAAAAD//HUc=")</f>
        <v>#REF!</v>
      </c>
      <c r="BU61" t="e">
        <f>AND(Bills!#REF!,"AAAAAD//HUg=")</f>
        <v>#REF!</v>
      </c>
      <c r="BV61" t="e">
        <f>AND(Bills!Y73,"AAAAAD//HUk=")</f>
        <v>#VALUE!</v>
      </c>
      <c r="BW61" t="e">
        <f>AND(Bills!Z73,"AAAAAD//HUo=")</f>
        <v>#VALUE!</v>
      </c>
      <c r="BX61" t="e">
        <f>AND(Bills!#REF!,"AAAAAD//HUs=")</f>
        <v>#REF!</v>
      </c>
      <c r="BY61" t="e">
        <f>AND(Bills!#REF!,"AAAAAD//HUw=")</f>
        <v>#REF!</v>
      </c>
      <c r="BZ61" t="e">
        <f>AND(Bills!#REF!,"AAAAAD//HU0=")</f>
        <v>#REF!</v>
      </c>
      <c r="CA61" t="e">
        <f>AND(Bills!AA73,"AAAAAD//HU4=")</f>
        <v>#VALUE!</v>
      </c>
      <c r="CB61" t="e">
        <f>AND(Bills!AB73,"AAAAAD//HU8=")</f>
        <v>#VALUE!</v>
      </c>
      <c r="CC61" t="e">
        <f>AND(Bills!#REF!,"AAAAAD//HVA=")</f>
        <v>#REF!</v>
      </c>
      <c r="CD61">
        <f>IF(Bills!74:74,"AAAAAD//HVE=",0)</f>
        <v>0</v>
      </c>
      <c r="CE61" t="e">
        <f>AND(Bills!B74,"AAAAAD//HVI=")</f>
        <v>#VALUE!</v>
      </c>
      <c r="CF61" t="e">
        <f>AND(Bills!#REF!,"AAAAAD//HVM=")</f>
        <v>#REF!</v>
      </c>
      <c r="CG61" t="e">
        <f>AND(Bills!C74,"AAAAAD//HVQ=")</f>
        <v>#VALUE!</v>
      </c>
      <c r="CH61" t="e">
        <f>AND(Bills!#REF!,"AAAAAD//HVU=")</f>
        <v>#REF!</v>
      </c>
      <c r="CI61" t="e">
        <f>AND(Bills!#REF!,"AAAAAD//HVY=")</f>
        <v>#REF!</v>
      </c>
      <c r="CJ61" t="e">
        <f>AND(Bills!#REF!,"AAAAAD//HVc=")</f>
        <v>#REF!</v>
      </c>
      <c r="CK61" t="e">
        <f>AND(Bills!#REF!,"AAAAAD//HVg=")</f>
        <v>#REF!</v>
      </c>
      <c r="CL61" t="e">
        <f>AND(Bills!#REF!,"AAAAAD//HVk=")</f>
        <v>#REF!</v>
      </c>
      <c r="CM61" t="e">
        <f>AND(Bills!D74,"AAAAAD//HVo=")</f>
        <v>#VALUE!</v>
      </c>
      <c r="CN61" t="e">
        <f>AND(Bills!#REF!,"AAAAAD//HVs=")</f>
        <v>#REF!</v>
      </c>
      <c r="CO61" t="e">
        <f>AND(Bills!E74,"AAAAAD//HVw=")</f>
        <v>#VALUE!</v>
      </c>
      <c r="CP61" t="e">
        <f>AND(Bills!F74,"AAAAAD//HV0=")</f>
        <v>#VALUE!</v>
      </c>
      <c r="CQ61" t="e">
        <f>AND(Bills!G74,"AAAAAD//HV4=")</f>
        <v>#VALUE!</v>
      </c>
      <c r="CR61" t="e">
        <f>AND(Bills!H74,"AAAAAD//HV8=")</f>
        <v>#VALUE!</v>
      </c>
      <c r="CS61" t="e">
        <f>AND(Bills!I74,"AAAAAD//HWA=")</f>
        <v>#VALUE!</v>
      </c>
      <c r="CT61" t="e">
        <f>AND(Bills!J74,"AAAAAD//HWE=")</f>
        <v>#VALUE!</v>
      </c>
      <c r="CU61" t="e">
        <f>AND(Bills!#REF!,"AAAAAD//HWI=")</f>
        <v>#REF!</v>
      </c>
      <c r="CV61" t="e">
        <f>AND(Bills!K74,"AAAAAD//HWM=")</f>
        <v>#VALUE!</v>
      </c>
      <c r="CW61" t="e">
        <f>AND(Bills!L74,"AAAAAD//HWQ=")</f>
        <v>#VALUE!</v>
      </c>
      <c r="CX61" t="e">
        <f>AND(Bills!M74,"AAAAAD//HWU=")</f>
        <v>#VALUE!</v>
      </c>
      <c r="CY61" t="e">
        <f>AND(Bills!N74,"AAAAAD//HWY=")</f>
        <v>#VALUE!</v>
      </c>
      <c r="CZ61" t="e">
        <f>AND(Bills!O74,"AAAAAD//HWc=")</f>
        <v>#VALUE!</v>
      </c>
      <c r="DA61" t="e">
        <f>AND(Bills!P74,"AAAAAD//HWg=")</f>
        <v>#VALUE!</v>
      </c>
      <c r="DB61" t="e">
        <f>AND(Bills!Q74,"AAAAAD//HWk=")</f>
        <v>#VALUE!</v>
      </c>
      <c r="DC61" t="e">
        <f>AND(Bills!R74,"AAAAAD//HWo=")</f>
        <v>#VALUE!</v>
      </c>
      <c r="DD61" t="e">
        <f>AND(Bills!#REF!,"AAAAAD//HWs=")</f>
        <v>#REF!</v>
      </c>
      <c r="DE61" t="e">
        <f>AND(Bills!S74,"AAAAAD//HWw=")</f>
        <v>#VALUE!</v>
      </c>
      <c r="DF61" t="e">
        <f>AND(Bills!T74,"AAAAAD//HW0=")</f>
        <v>#VALUE!</v>
      </c>
      <c r="DG61" t="e">
        <f>AND(Bills!U74,"AAAAAD//HW4=")</f>
        <v>#VALUE!</v>
      </c>
      <c r="DH61" t="e">
        <f>AND(Bills!#REF!,"AAAAAD//HW8=")</f>
        <v>#REF!</v>
      </c>
      <c r="DI61" t="e">
        <f>AND(Bills!#REF!,"AAAAAD//HXA=")</f>
        <v>#REF!</v>
      </c>
      <c r="DJ61" t="e">
        <f>AND(Bills!W74,"AAAAAD//HXE=")</f>
        <v>#VALUE!</v>
      </c>
      <c r="DK61" t="e">
        <f>AND(Bills!X74,"AAAAAD//HXI=")</f>
        <v>#VALUE!</v>
      </c>
      <c r="DL61" t="e">
        <f>AND(Bills!#REF!,"AAAAAD//HXM=")</f>
        <v>#REF!</v>
      </c>
      <c r="DM61" t="e">
        <f>AND(Bills!#REF!,"AAAAAD//HXQ=")</f>
        <v>#REF!</v>
      </c>
      <c r="DN61" t="e">
        <f>AND(Bills!#REF!,"AAAAAD//HXU=")</f>
        <v>#REF!</v>
      </c>
      <c r="DO61" t="e">
        <f>AND(Bills!#REF!,"AAAAAD//HXY=")</f>
        <v>#REF!</v>
      </c>
      <c r="DP61" t="e">
        <f>AND(Bills!#REF!,"AAAAAD//HXc=")</f>
        <v>#REF!</v>
      </c>
      <c r="DQ61" t="e">
        <f>AND(Bills!#REF!,"AAAAAD//HXg=")</f>
        <v>#REF!</v>
      </c>
      <c r="DR61" t="e">
        <f>AND(Bills!#REF!,"AAAAAD//HXk=")</f>
        <v>#REF!</v>
      </c>
      <c r="DS61" t="e">
        <f>AND(Bills!#REF!,"AAAAAD//HXo=")</f>
        <v>#REF!</v>
      </c>
      <c r="DT61" t="e">
        <f>AND(Bills!#REF!,"AAAAAD//HXs=")</f>
        <v>#REF!</v>
      </c>
      <c r="DU61" t="e">
        <f>AND(Bills!Y74,"AAAAAD//HXw=")</f>
        <v>#VALUE!</v>
      </c>
      <c r="DV61" t="e">
        <f>AND(Bills!Z74,"AAAAAD//HX0=")</f>
        <v>#VALUE!</v>
      </c>
      <c r="DW61" t="e">
        <f>AND(Bills!#REF!,"AAAAAD//HX4=")</f>
        <v>#REF!</v>
      </c>
      <c r="DX61" t="e">
        <f>AND(Bills!#REF!,"AAAAAD//HX8=")</f>
        <v>#REF!</v>
      </c>
      <c r="DY61" t="e">
        <f>AND(Bills!#REF!,"AAAAAD//HYA=")</f>
        <v>#REF!</v>
      </c>
      <c r="DZ61" t="e">
        <f>AND(Bills!AA74,"AAAAAD//HYE=")</f>
        <v>#VALUE!</v>
      </c>
      <c r="EA61" t="e">
        <f>AND(Bills!AB74,"AAAAAD//HYI=")</f>
        <v>#VALUE!</v>
      </c>
      <c r="EB61" t="e">
        <f>AND(Bills!#REF!,"AAAAAD//HYM=")</f>
        <v>#REF!</v>
      </c>
      <c r="EC61">
        <f>IF(Bills!75:75,"AAAAAD//HYQ=",0)</f>
        <v>0</v>
      </c>
      <c r="ED61" t="e">
        <f>AND(Bills!B75,"AAAAAD//HYU=")</f>
        <v>#VALUE!</v>
      </c>
      <c r="EE61" t="e">
        <f>AND(Bills!#REF!,"AAAAAD//HYY=")</f>
        <v>#REF!</v>
      </c>
      <c r="EF61" t="e">
        <f>AND(Bills!C75,"AAAAAD//HYc=")</f>
        <v>#VALUE!</v>
      </c>
      <c r="EG61" t="e">
        <f>AND(Bills!#REF!,"AAAAAD//HYg=")</f>
        <v>#REF!</v>
      </c>
      <c r="EH61" t="e">
        <f>AND(Bills!#REF!,"AAAAAD//HYk=")</f>
        <v>#REF!</v>
      </c>
      <c r="EI61" t="e">
        <f>AND(Bills!#REF!,"AAAAAD//HYo=")</f>
        <v>#REF!</v>
      </c>
      <c r="EJ61" t="e">
        <f>AND(Bills!#REF!,"AAAAAD//HYs=")</f>
        <v>#REF!</v>
      </c>
      <c r="EK61" t="e">
        <f>AND(Bills!#REF!,"AAAAAD//HYw=")</f>
        <v>#REF!</v>
      </c>
      <c r="EL61" t="e">
        <f>AND(Bills!D75,"AAAAAD//HY0=")</f>
        <v>#VALUE!</v>
      </c>
      <c r="EM61" t="e">
        <f>AND(Bills!#REF!,"AAAAAD//HY4=")</f>
        <v>#REF!</v>
      </c>
      <c r="EN61" t="e">
        <f>AND(Bills!E75,"AAAAAD//HY8=")</f>
        <v>#VALUE!</v>
      </c>
      <c r="EO61" t="e">
        <f>AND(Bills!F75,"AAAAAD//HZA=")</f>
        <v>#VALUE!</v>
      </c>
      <c r="EP61" t="e">
        <f>AND(Bills!G75,"AAAAAD//HZE=")</f>
        <v>#VALUE!</v>
      </c>
      <c r="EQ61" t="e">
        <f>AND(Bills!H75,"AAAAAD//HZI=")</f>
        <v>#VALUE!</v>
      </c>
      <c r="ER61" t="e">
        <f>AND(Bills!I75,"AAAAAD//HZM=")</f>
        <v>#VALUE!</v>
      </c>
      <c r="ES61" t="e">
        <f>AND(Bills!J75,"AAAAAD//HZQ=")</f>
        <v>#VALUE!</v>
      </c>
      <c r="ET61" t="e">
        <f>AND(Bills!#REF!,"AAAAAD//HZU=")</f>
        <v>#REF!</v>
      </c>
      <c r="EU61" t="e">
        <f>AND(Bills!K75,"AAAAAD//HZY=")</f>
        <v>#VALUE!</v>
      </c>
      <c r="EV61" t="e">
        <f>AND(Bills!L75,"AAAAAD//HZc=")</f>
        <v>#VALUE!</v>
      </c>
      <c r="EW61" t="e">
        <f>AND(Bills!M75,"AAAAAD//HZg=")</f>
        <v>#VALUE!</v>
      </c>
      <c r="EX61" t="e">
        <f>AND(Bills!N75,"AAAAAD//HZk=")</f>
        <v>#VALUE!</v>
      </c>
      <c r="EY61" t="e">
        <f>AND(Bills!O75,"AAAAAD//HZo=")</f>
        <v>#VALUE!</v>
      </c>
      <c r="EZ61" t="e">
        <f>AND(Bills!P75,"AAAAAD//HZs=")</f>
        <v>#VALUE!</v>
      </c>
      <c r="FA61" t="e">
        <f>AND(Bills!Q75,"AAAAAD//HZw=")</f>
        <v>#VALUE!</v>
      </c>
      <c r="FB61" t="e">
        <f>AND(Bills!R75,"AAAAAD//HZ0=")</f>
        <v>#VALUE!</v>
      </c>
      <c r="FC61" t="e">
        <f>AND(Bills!#REF!,"AAAAAD//HZ4=")</f>
        <v>#REF!</v>
      </c>
      <c r="FD61" t="e">
        <f>AND(Bills!S75,"AAAAAD//HZ8=")</f>
        <v>#VALUE!</v>
      </c>
      <c r="FE61" t="e">
        <f>AND(Bills!T75,"AAAAAD//HaA=")</f>
        <v>#VALUE!</v>
      </c>
      <c r="FF61" t="e">
        <f>AND(Bills!U75,"AAAAAD//HaE=")</f>
        <v>#VALUE!</v>
      </c>
      <c r="FG61" t="e">
        <f>AND(Bills!#REF!,"AAAAAD//HaI=")</f>
        <v>#REF!</v>
      </c>
      <c r="FH61" t="e">
        <f>AND(Bills!#REF!,"AAAAAD//HaM=")</f>
        <v>#REF!</v>
      </c>
      <c r="FI61" t="e">
        <f>AND(Bills!W75,"AAAAAD//HaQ=")</f>
        <v>#VALUE!</v>
      </c>
      <c r="FJ61" t="e">
        <f>AND(Bills!X75,"AAAAAD//HaU=")</f>
        <v>#VALUE!</v>
      </c>
      <c r="FK61" t="e">
        <f>AND(Bills!#REF!,"AAAAAD//HaY=")</f>
        <v>#REF!</v>
      </c>
      <c r="FL61" t="e">
        <f>AND(Bills!#REF!,"AAAAAD//Hac=")</f>
        <v>#REF!</v>
      </c>
      <c r="FM61" t="e">
        <f>AND(Bills!#REF!,"AAAAAD//Hag=")</f>
        <v>#REF!</v>
      </c>
      <c r="FN61" t="e">
        <f>AND(Bills!#REF!,"AAAAAD//Hak=")</f>
        <v>#REF!</v>
      </c>
      <c r="FO61" t="e">
        <f>AND(Bills!#REF!,"AAAAAD//Hao=")</f>
        <v>#REF!</v>
      </c>
      <c r="FP61" t="e">
        <f>AND(Bills!#REF!,"AAAAAD//Has=")</f>
        <v>#REF!</v>
      </c>
      <c r="FQ61" t="e">
        <f>AND(Bills!#REF!,"AAAAAD//Haw=")</f>
        <v>#REF!</v>
      </c>
      <c r="FR61" t="e">
        <f>AND(Bills!#REF!,"AAAAAD//Ha0=")</f>
        <v>#REF!</v>
      </c>
      <c r="FS61" t="e">
        <f>AND(Bills!#REF!,"AAAAAD//Ha4=")</f>
        <v>#REF!</v>
      </c>
      <c r="FT61" t="e">
        <f>AND(Bills!Y75,"AAAAAD//Ha8=")</f>
        <v>#VALUE!</v>
      </c>
      <c r="FU61" t="e">
        <f>AND(Bills!Z75,"AAAAAD//HbA=")</f>
        <v>#VALUE!</v>
      </c>
      <c r="FV61" t="e">
        <f>AND(Bills!#REF!,"AAAAAD//HbE=")</f>
        <v>#REF!</v>
      </c>
      <c r="FW61" t="e">
        <f>AND(Bills!#REF!,"AAAAAD//HbI=")</f>
        <v>#REF!</v>
      </c>
      <c r="FX61" t="e">
        <f>AND(Bills!#REF!,"AAAAAD//HbM=")</f>
        <v>#REF!</v>
      </c>
      <c r="FY61" t="e">
        <f>AND(Bills!AA75,"AAAAAD//HbQ=")</f>
        <v>#VALUE!</v>
      </c>
      <c r="FZ61" t="e">
        <f>AND(Bills!AB75,"AAAAAD//HbU=")</f>
        <v>#VALUE!</v>
      </c>
      <c r="GA61" t="e">
        <f>AND(Bills!#REF!,"AAAAAD//HbY=")</f>
        <v>#REF!</v>
      </c>
      <c r="GB61">
        <f>IF(Bills!76:76,"AAAAAD//Hbc=",0)</f>
        <v>0</v>
      </c>
      <c r="GC61" t="e">
        <f>AND(Bills!B76,"AAAAAD//Hbg=")</f>
        <v>#VALUE!</v>
      </c>
      <c r="GD61" t="e">
        <f>AND(Bills!#REF!,"AAAAAD//Hbk=")</f>
        <v>#REF!</v>
      </c>
      <c r="GE61" t="e">
        <f>AND(Bills!C76,"AAAAAD//Hbo=")</f>
        <v>#VALUE!</v>
      </c>
      <c r="GF61" t="e">
        <f>AND(Bills!#REF!,"AAAAAD//Hbs=")</f>
        <v>#REF!</v>
      </c>
      <c r="GG61" t="e">
        <f>AND(Bills!#REF!,"AAAAAD//Hbw=")</f>
        <v>#REF!</v>
      </c>
      <c r="GH61" t="e">
        <f>AND(Bills!#REF!,"AAAAAD//Hb0=")</f>
        <v>#REF!</v>
      </c>
      <c r="GI61" t="e">
        <f>AND(Bills!#REF!,"AAAAAD//Hb4=")</f>
        <v>#REF!</v>
      </c>
      <c r="GJ61" t="e">
        <f>AND(Bills!#REF!,"AAAAAD//Hb8=")</f>
        <v>#REF!</v>
      </c>
      <c r="GK61" t="e">
        <f>AND(Bills!D76,"AAAAAD//HcA=")</f>
        <v>#VALUE!</v>
      </c>
      <c r="GL61" t="e">
        <f>AND(Bills!#REF!,"AAAAAD//HcE=")</f>
        <v>#REF!</v>
      </c>
      <c r="GM61" t="e">
        <f>AND(Bills!E76,"AAAAAD//HcI=")</f>
        <v>#VALUE!</v>
      </c>
      <c r="GN61" t="e">
        <f>AND(Bills!F76,"AAAAAD//HcM=")</f>
        <v>#VALUE!</v>
      </c>
      <c r="GO61" t="e">
        <f>AND(Bills!G76,"AAAAAD//HcQ=")</f>
        <v>#VALUE!</v>
      </c>
      <c r="GP61" t="e">
        <f>AND(Bills!H76,"AAAAAD//HcU=")</f>
        <v>#VALUE!</v>
      </c>
      <c r="GQ61" t="e">
        <f>AND(Bills!I76,"AAAAAD//HcY=")</f>
        <v>#VALUE!</v>
      </c>
      <c r="GR61" t="e">
        <f>AND(Bills!J76,"AAAAAD//Hcc=")</f>
        <v>#VALUE!</v>
      </c>
      <c r="GS61" t="e">
        <f>AND(Bills!#REF!,"AAAAAD//Hcg=")</f>
        <v>#REF!</v>
      </c>
      <c r="GT61" t="e">
        <f>AND(Bills!K76,"AAAAAD//Hck=")</f>
        <v>#VALUE!</v>
      </c>
      <c r="GU61" t="e">
        <f>AND(Bills!L76,"AAAAAD//Hco=")</f>
        <v>#VALUE!</v>
      </c>
      <c r="GV61" t="e">
        <f>AND(Bills!M76,"AAAAAD//Hcs=")</f>
        <v>#VALUE!</v>
      </c>
      <c r="GW61" t="e">
        <f>AND(Bills!N76,"AAAAAD//Hcw=")</f>
        <v>#VALUE!</v>
      </c>
      <c r="GX61" t="e">
        <f>AND(Bills!O76,"AAAAAD//Hc0=")</f>
        <v>#VALUE!</v>
      </c>
      <c r="GY61" t="e">
        <f>AND(Bills!P76,"AAAAAD//Hc4=")</f>
        <v>#VALUE!</v>
      </c>
      <c r="GZ61" t="e">
        <f>AND(Bills!Q76,"AAAAAD//Hc8=")</f>
        <v>#VALUE!</v>
      </c>
      <c r="HA61" t="e">
        <f>AND(Bills!R76,"AAAAAD//HdA=")</f>
        <v>#VALUE!</v>
      </c>
      <c r="HB61" t="e">
        <f>AND(Bills!#REF!,"AAAAAD//HdE=")</f>
        <v>#REF!</v>
      </c>
      <c r="HC61" t="e">
        <f>AND(Bills!S76,"AAAAAD//HdI=")</f>
        <v>#VALUE!</v>
      </c>
      <c r="HD61" t="e">
        <f>AND(Bills!T76,"AAAAAD//HdM=")</f>
        <v>#VALUE!</v>
      </c>
      <c r="HE61" t="e">
        <f>AND(Bills!U76,"AAAAAD//HdQ=")</f>
        <v>#VALUE!</v>
      </c>
      <c r="HF61" t="e">
        <f>AND(Bills!#REF!,"AAAAAD//HdU=")</f>
        <v>#REF!</v>
      </c>
      <c r="HG61" t="e">
        <f>AND(Bills!#REF!,"AAAAAD//HdY=")</f>
        <v>#REF!</v>
      </c>
      <c r="HH61" t="e">
        <f>AND(Bills!W76,"AAAAAD//Hdc=")</f>
        <v>#VALUE!</v>
      </c>
      <c r="HI61" t="e">
        <f>AND(Bills!X76,"AAAAAD//Hdg=")</f>
        <v>#VALUE!</v>
      </c>
      <c r="HJ61" t="e">
        <f>AND(Bills!#REF!,"AAAAAD//Hdk=")</f>
        <v>#REF!</v>
      </c>
      <c r="HK61" t="e">
        <f>AND(Bills!#REF!,"AAAAAD//Hdo=")</f>
        <v>#REF!</v>
      </c>
      <c r="HL61" t="e">
        <f>AND(Bills!#REF!,"AAAAAD//Hds=")</f>
        <v>#REF!</v>
      </c>
      <c r="HM61" t="e">
        <f>AND(Bills!#REF!,"AAAAAD//Hdw=")</f>
        <v>#REF!</v>
      </c>
      <c r="HN61" t="e">
        <f>AND(Bills!#REF!,"AAAAAD//Hd0=")</f>
        <v>#REF!</v>
      </c>
      <c r="HO61" t="e">
        <f>AND(Bills!#REF!,"AAAAAD//Hd4=")</f>
        <v>#REF!</v>
      </c>
      <c r="HP61" t="e">
        <f>AND(Bills!#REF!,"AAAAAD//Hd8=")</f>
        <v>#REF!</v>
      </c>
      <c r="HQ61" t="e">
        <f>AND(Bills!#REF!,"AAAAAD//HeA=")</f>
        <v>#REF!</v>
      </c>
      <c r="HR61" t="e">
        <f>AND(Bills!#REF!,"AAAAAD//HeE=")</f>
        <v>#REF!</v>
      </c>
      <c r="HS61" t="e">
        <f>AND(Bills!Y76,"AAAAAD//HeI=")</f>
        <v>#VALUE!</v>
      </c>
      <c r="HT61" t="e">
        <f>AND(Bills!Z76,"AAAAAD//HeM=")</f>
        <v>#VALUE!</v>
      </c>
      <c r="HU61" t="e">
        <f>AND(Bills!#REF!,"AAAAAD//HeQ=")</f>
        <v>#REF!</v>
      </c>
      <c r="HV61" t="e">
        <f>AND(Bills!#REF!,"AAAAAD//HeU=")</f>
        <v>#REF!</v>
      </c>
      <c r="HW61" t="e">
        <f>AND(Bills!#REF!,"AAAAAD//HeY=")</f>
        <v>#REF!</v>
      </c>
      <c r="HX61" t="e">
        <f>AND(Bills!AA76,"AAAAAD//Hec=")</f>
        <v>#VALUE!</v>
      </c>
      <c r="HY61" t="e">
        <f>AND(Bills!AB76,"AAAAAD//Heg=")</f>
        <v>#VALUE!</v>
      </c>
      <c r="HZ61" t="e">
        <f>AND(Bills!#REF!,"AAAAAD//Hek=")</f>
        <v>#REF!</v>
      </c>
      <c r="IA61">
        <f>IF(Bills!77:77,"AAAAAD//Heo=",0)</f>
        <v>0</v>
      </c>
      <c r="IB61" t="e">
        <f>AND(Bills!B77,"AAAAAD//Hes=")</f>
        <v>#VALUE!</v>
      </c>
      <c r="IC61" t="e">
        <f>AND(Bills!#REF!,"AAAAAD//Hew=")</f>
        <v>#REF!</v>
      </c>
      <c r="ID61" t="e">
        <f>AND(Bills!C77,"AAAAAD//He0=")</f>
        <v>#VALUE!</v>
      </c>
      <c r="IE61" t="e">
        <f>AND(Bills!#REF!,"AAAAAD//He4=")</f>
        <v>#REF!</v>
      </c>
      <c r="IF61" t="e">
        <f>AND(Bills!#REF!,"AAAAAD//He8=")</f>
        <v>#REF!</v>
      </c>
      <c r="IG61" t="e">
        <f>AND(Bills!#REF!,"AAAAAD//HfA=")</f>
        <v>#REF!</v>
      </c>
      <c r="IH61" t="e">
        <f>AND(Bills!#REF!,"AAAAAD//HfE=")</f>
        <v>#REF!</v>
      </c>
      <c r="II61" t="e">
        <f>AND(Bills!#REF!,"AAAAAD//HfI=")</f>
        <v>#REF!</v>
      </c>
      <c r="IJ61" t="e">
        <f>AND(Bills!D77,"AAAAAD//HfM=")</f>
        <v>#VALUE!</v>
      </c>
      <c r="IK61" t="e">
        <f>AND(Bills!#REF!,"AAAAAD//HfQ=")</f>
        <v>#REF!</v>
      </c>
      <c r="IL61" t="e">
        <f>AND(Bills!E77,"AAAAAD//HfU=")</f>
        <v>#VALUE!</v>
      </c>
      <c r="IM61" t="e">
        <f>AND(Bills!F77,"AAAAAD//HfY=")</f>
        <v>#VALUE!</v>
      </c>
      <c r="IN61" t="e">
        <f>AND(Bills!G77,"AAAAAD//Hfc=")</f>
        <v>#VALUE!</v>
      </c>
      <c r="IO61" t="e">
        <f>AND(Bills!H77,"AAAAAD//Hfg=")</f>
        <v>#VALUE!</v>
      </c>
      <c r="IP61" t="e">
        <f>AND(Bills!I77,"AAAAAD//Hfk=")</f>
        <v>#VALUE!</v>
      </c>
      <c r="IQ61" t="e">
        <f>AND(Bills!J77,"AAAAAD//Hfo=")</f>
        <v>#VALUE!</v>
      </c>
      <c r="IR61" t="e">
        <f>AND(Bills!#REF!,"AAAAAD//Hfs=")</f>
        <v>#REF!</v>
      </c>
      <c r="IS61" t="e">
        <f>AND(Bills!K77,"AAAAAD//Hfw=")</f>
        <v>#VALUE!</v>
      </c>
      <c r="IT61" t="e">
        <f>AND(Bills!L77,"AAAAAD//Hf0=")</f>
        <v>#VALUE!</v>
      </c>
      <c r="IU61" t="e">
        <f>AND(Bills!M77,"AAAAAD//Hf4=")</f>
        <v>#VALUE!</v>
      </c>
      <c r="IV61" t="e">
        <f>AND(Bills!N77,"AAAAAD//Hf8=")</f>
        <v>#VALUE!</v>
      </c>
    </row>
    <row r="62" spans="1:256">
      <c r="A62" t="e">
        <f>AND(Bills!O77,"AAAAAHj+5wA=")</f>
        <v>#VALUE!</v>
      </c>
      <c r="B62" t="e">
        <f>AND(Bills!P77,"AAAAAHj+5wE=")</f>
        <v>#VALUE!</v>
      </c>
      <c r="C62" t="e">
        <f>AND(Bills!Q77,"AAAAAHj+5wI=")</f>
        <v>#VALUE!</v>
      </c>
      <c r="D62" t="e">
        <f>AND(Bills!R77,"AAAAAHj+5wM=")</f>
        <v>#VALUE!</v>
      </c>
      <c r="E62" t="e">
        <f>AND(Bills!#REF!,"AAAAAHj+5wQ=")</f>
        <v>#REF!</v>
      </c>
      <c r="F62" t="e">
        <f>AND(Bills!S77,"AAAAAHj+5wU=")</f>
        <v>#VALUE!</v>
      </c>
      <c r="G62" t="e">
        <f>AND(Bills!T77,"AAAAAHj+5wY=")</f>
        <v>#VALUE!</v>
      </c>
      <c r="H62" t="e">
        <f>AND(Bills!U77,"AAAAAHj+5wc=")</f>
        <v>#VALUE!</v>
      </c>
      <c r="I62" t="e">
        <f>AND(Bills!#REF!,"AAAAAHj+5wg=")</f>
        <v>#REF!</v>
      </c>
      <c r="J62" t="e">
        <f>AND(Bills!#REF!,"AAAAAHj+5wk=")</f>
        <v>#REF!</v>
      </c>
      <c r="K62" t="e">
        <f>AND(Bills!W77,"AAAAAHj+5wo=")</f>
        <v>#VALUE!</v>
      </c>
      <c r="L62" t="e">
        <f>AND(Bills!X77,"AAAAAHj+5ws=")</f>
        <v>#VALUE!</v>
      </c>
      <c r="M62" t="e">
        <f>AND(Bills!#REF!,"AAAAAHj+5ww=")</f>
        <v>#REF!</v>
      </c>
      <c r="N62" t="e">
        <f>AND(Bills!#REF!,"AAAAAHj+5w0=")</f>
        <v>#REF!</v>
      </c>
      <c r="O62" t="e">
        <f>AND(Bills!#REF!,"AAAAAHj+5w4=")</f>
        <v>#REF!</v>
      </c>
      <c r="P62" t="e">
        <f>AND(Bills!#REF!,"AAAAAHj+5w8=")</f>
        <v>#REF!</v>
      </c>
      <c r="Q62" t="e">
        <f>AND(Bills!#REF!,"AAAAAHj+5xA=")</f>
        <v>#REF!</v>
      </c>
      <c r="R62" t="e">
        <f>AND(Bills!#REF!,"AAAAAHj+5xE=")</f>
        <v>#REF!</v>
      </c>
      <c r="S62" t="e">
        <f>AND(Bills!#REF!,"AAAAAHj+5xI=")</f>
        <v>#REF!</v>
      </c>
      <c r="T62" t="e">
        <f>AND(Bills!#REF!,"AAAAAHj+5xM=")</f>
        <v>#REF!</v>
      </c>
      <c r="U62" t="e">
        <f>AND(Bills!#REF!,"AAAAAHj+5xQ=")</f>
        <v>#REF!</v>
      </c>
      <c r="V62" t="e">
        <f>AND(Bills!Y77,"AAAAAHj+5xU=")</f>
        <v>#VALUE!</v>
      </c>
      <c r="W62" t="e">
        <f>AND(Bills!Z77,"AAAAAHj+5xY=")</f>
        <v>#VALUE!</v>
      </c>
      <c r="X62" t="e">
        <f>AND(Bills!#REF!,"AAAAAHj+5xc=")</f>
        <v>#REF!</v>
      </c>
      <c r="Y62" t="e">
        <f>AND(Bills!#REF!,"AAAAAHj+5xg=")</f>
        <v>#REF!</v>
      </c>
      <c r="Z62" t="e">
        <f>AND(Bills!#REF!,"AAAAAHj+5xk=")</f>
        <v>#REF!</v>
      </c>
      <c r="AA62" t="e">
        <f>AND(Bills!AA77,"AAAAAHj+5xo=")</f>
        <v>#VALUE!</v>
      </c>
      <c r="AB62" t="e">
        <f>AND(Bills!AB77,"AAAAAHj+5xs=")</f>
        <v>#VALUE!</v>
      </c>
      <c r="AC62" t="e">
        <f>AND(Bills!#REF!,"AAAAAHj+5xw=")</f>
        <v>#REF!</v>
      </c>
      <c r="AD62">
        <f>IF(Bills!78:78,"AAAAAHj+5x0=",0)</f>
        <v>0</v>
      </c>
      <c r="AE62" t="e">
        <f>AND(Bills!B78,"AAAAAHj+5x4=")</f>
        <v>#VALUE!</v>
      </c>
      <c r="AF62" t="e">
        <f>AND(Bills!#REF!,"AAAAAHj+5x8=")</f>
        <v>#REF!</v>
      </c>
      <c r="AG62" t="e">
        <f>AND(Bills!C78,"AAAAAHj+5yA=")</f>
        <v>#VALUE!</v>
      </c>
      <c r="AH62" t="e">
        <f>AND(Bills!#REF!,"AAAAAHj+5yE=")</f>
        <v>#REF!</v>
      </c>
      <c r="AI62" t="e">
        <f>AND(Bills!#REF!,"AAAAAHj+5yI=")</f>
        <v>#REF!</v>
      </c>
      <c r="AJ62" t="e">
        <f>AND(Bills!#REF!,"AAAAAHj+5yM=")</f>
        <v>#REF!</v>
      </c>
      <c r="AK62" t="e">
        <f>AND(Bills!#REF!,"AAAAAHj+5yQ=")</f>
        <v>#REF!</v>
      </c>
      <c r="AL62" t="e">
        <f>AND(Bills!#REF!,"AAAAAHj+5yU=")</f>
        <v>#REF!</v>
      </c>
      <c r="AM62" t="e">
        <f>AND(Bills!D78,"AAAAAHj+5yY=")</f>
        <v>#VALUE!</v>
      </c>
      <c r="AN62" t="e">
        <f>AND(Bills!#REF!,"AAAAAHj+5yc=")</f>
        <v>#REF!</v>
      </c>
      <c r="AO62" t="e">
        <f>AND(Bills!E78,"AAAAAHj+5yg=")</f>
        <v>#VALUE!</v>
      </c>
      <c r="AP62" t="e">
        <f>AND(Bills!F78,"AAAAAHj+5yk=")</f>
        <v>#VALUE!</v>
      </c>
      <c r="AQ62" t="e">
        <f>AND(Bills!G78,"AAAAAHj+5yo=")</f>
        <v>#VALUE!</v>
      </c>
      <c r="AR62" t="e">
        <f>AND(Bills!H78,"AAAAAHj+5ys=")</f>
        <v>#VALUE!</v>
      </c>
      <c r="AS62" t="e">
        <f>AND(Bills!I78,"AAAAAHj+5yw=")</f>
        <v>#VALUE!</v>
      </c>
      <c r="AT62" t="e">
        <f>AND(Bills!J78,"AAAAAHj+5y0=")</f>
        <v>#VALUE!</v>
      </c>
      <c r="AU62" t="e">
        <f>AND(Bills!#REF!,"AAAAAHj+5y4=")</f>
        <v>#REF!</v>
      </c>
      <c r="AV62" t="e">
        <f>AND(Bills!K78,"AAAAAHj+5y8=")</f>
        <v>#VALUE!</v>
      </c>
      <c r="AW62" t="e">
        <f>AND(Bills!L78,"AAAAAHj+5zA=")</f>
        <v>#VALUE!</v>
      </c>
      <c r="AX62" t="e">
        <f>AND(Bills!M78,"AAAAAHj+5zE=")</f>
        <v>#VALUE!</v>
      </c>
      <c r="AY62" t="e">
        <f>AND(Bills!N78,"AAAAAHj+5zI=")</f>
        <v>#VALUE!</v>
      </c>
      <c r="AZ62" t="e">
        <f>AND(Bills!O78,"AAAAAHj+5zM=")</f>
        <v>#VALUE!</v>
      </c>
      <c r="BA62" t="e">
        <f>AND(Bills!P78,"AAAAAHj+5zQ=")</f>
        <v>#VALUE!</v>
      </c>
      <c r="BB62" t="e">
        <f>AND(Bills!Q78,"AAAAAHj+5zU=")</f>
        <v>#VALUE!</v>
      </c>
      <c r="BC62" t="e">
        <f>AND(Bills!R78,"AAAAAHj+5zY=")</f>
        <v>#VALUE!</v>
      </c>
      <c r="BD62" t="e">
        <f>AND(Bills!#REF!,"AAAAAHj+5zc=")</f>
        <v>#REF!</v>
      </c>
      <c r="BE62" t="e">
        <f>AND(Bills!S78,"AAAAAHj+5zg=")</f>
        <v>#VALUE!</v>
      </c>
      <c r="BF62" t="e">
        <f>AND(Bills!T78,"AAAAAHj+5zk=")</f>
        <v>#VALUE!</v>
      </c>
      <c r="BG62" t="e">
        <f>AND(Bills!U78,"AAAAAHj+5zo=")</f>
        <v>#VALUE!</v>
      </c>
      <c r="BH62" t="e">
        <f>AND(Bills!#REF!,"AAAAAHj+5zs=")</f>
        <v>#REF!</v>
      </c>
      <c r="BI62" t="e">
        <f>AND(Bills!#REF!,"AAAAAHj+5zw=")</f>
        <v>#REF!</v>
      </c>
      <c r="BJ62" t="e">
        <f>AND(Bills!W78,"AAAAAHj+5z0=")</f>
        <v>#VALUE!</v>
      </c>
      <c r="BK62" t="e">
        <f>AND(Bills!X78,"AAAAAHj+5z4=")</f>
        <v>#VALUE!</v>
      </c>
      <c r="BL62" t="e">
        <f>AND(Bills!#REF!,"AAAAAHj+5z8=")</f>
        <v>#REF!</v>
      </c>
      <c r="BM62" t="e">
        <f>AND(Bills!#REF!,"AAAAAHj+50A=")</f>
        <v>#REF!</v>
      </c>
      <c r="BN62" t="e">
        <f>AND(Bills!#REF!,"AAAAAHj+50E=")</f>
        <v>#REF!</v>
      </c>
      <c r="BO62" t="e">
        <f>AND(Bills!#REF!,"AAAAAHj+50I=")</f>
        <v>#REF!</v>
      </c>
      <c r="BP62" t="e">
        <f>AND(Bills!#REF!,"AAAAAHj+50M=")</f>
        <v>#REF!</v>
      </c>
      <c r="BQ62" t="e">
        <f>AND(Bills!#REF!,"AAAAAHj+50Q=")</f>
        <v>#REF!</v>
      </c>
      <c r="BR62" t="e">
        <f>AND(Bills!#REF!,"AAAAAHj+50U=")</f>
        <v>#REF!</v>
      </c>
      <c r="BS62" t="e">
        <f>AND(Bills!#REF!,"AAAAAHj+50Y=")</f>
        <v>#REF!</v>
      </c>
      <c r="BT62" t="e">
        <f>AND(Bills!#REF!,"AAAAAHj+50c=")</f>
        <v>#REF!</v>
      </c>
      <c r="BU62" t="e">
        <f>AND(Bills!Y78,"AAAAAHj+50g=")</f>
        <v>#VALUE!</v>
      </c>
      <c r="BV62" t="e">
        <f>AND(Bills!Z78,"AAAAAHj+50k=")</f>
        <v>#VALUE!</v>
      </c>
      <c r="BW62" t="e">
        <f>AND(Bills!#REF!,"AAAAAHj+50o=")</f>
        <v>#REF!</v>
      </c>
      <c r="BX62" t="e">
        <f>AND(Bills!#REF!,"AAAAAHj+50s=")</f>
        <v>#REF!</v>
      </c>
      <c r="BY62" t="e">
        <f>AND(Bills!#REF!,"AAAAAHj+50w=")</f>
        <v>#REF!</v>
      </c>
      <c r="BZ62" t="e">
        <f>AND(Bills!AA78,"AAAAAHj+500=")</f>
        <v>#VALUE!</v>
      </c>
      <c r="CA62" t="e">
        <f>AND(Bills!AB78,"AAAAAHj+504=")</f>
        <v>#VALUE!</v>
      </c>
      <c r="CB62" t="e">
        <f>AND(Bills!#REF!,"AAAAAHj+508=")</f>
        <v>#REF!</v>
      </c>
      <c r="CC62">
        <f>IF(Bills!79:79,"AAAAAHj+51A=",0)</f>
        <v>0</v>
      </c>
      <c r="CD62" t="e">
        <f>AND(Bills!B79,"AAAAAHj+51E=")</f>
        <v>#VALUE!</v>
      </c>
      <c r="CE62" t="e">
        <f>AND(Bills!#REF!,"AAAAAHj+51I=")</f>
        <v>#REF!</v>
      </c>
      <c r="CF62" t="e">
        <f>AND(Bills!C79,"AAAAAHj+51M=")</f>
        <v>#VALUE!</v>
      </c>
      <c r="CG62" t="e">
        <f>AND(Bills!#REF!,"AAAAAHj+51Q=")</f>
        <v>#REF!</v>
      </c>
      <c r="CH62" t="e">
        <f>AND(Bills!#REF!,"AAAAAHj+51U=")</f>
        <v>#REF!</v>
      </c>
      <c r="CI62" t="e">
        <f>AND(Bills!#REF!,"AAAAAHj+51Y=")</f>
        <v>#REF!</v>
      </c>
      <c r="CJ62" t="e">
        <f>AND(Bills!#REF!,"AAAAAHj+51c=")</f>
        <v>#REF!</v>
      </c>
      <c r="CK62" t="e">
        <f>AND(Bills!#REF!,"AAAAAHj+51g=")</f>
        <v>#REF!</v>
      </c>
      <c r="CL62" t="e">
        <f>AND(Bills!D79,"AAAAAHj+51k=")</f>
        <v>#VALUE!</v>
      </c>
      <c r="CM62" t="e">
        <f>AND(Bills!#REF!,"AAAAAHj+51o=")</f>
        <v>#REF!</v>
      </c>
      <c r="CN62" t="e">
        <f>AND(Bills!E79,"AAAAAHj+51s=")</f>
        <v>#VALUE!</v>
      </c>
      <c r="CO62" t="e">
        <f>AND(Bills!F79,"AAAAAHj+51w=")</f>
        <v>#VALUE!</v>
      </c>
      <c r="CP62" t="e">
        <f>AND(Bills!G79,"AAAAAHj+510=")</f>
        <v>#VALUE!</v>
      </c>
      <c r="CQ62" t="e">
        <f>AND(Bills!H79,"AAAAAHj+514=")</f>
        <v>#VALUE!</v>
      </c>
      <c r="CR62" t="e">
        <f>AND(Bills!I79,"AAAAAHj+518=")</f>
        <v>#VALUE!</v>
      </c>
      <c r="CS62" t="e">
        <f>AND(Bills!J79,"AAAAAHj+52A=")</f>
        <v>#VALUE!</v>
      </c>
      <c r="CT62" t="e">
        <f>AND(Bills!#REF!,"AAAAAHj+52E=")</f>
        <v>#REF!</v>
      </c>
      <c r="CU62" t="e">
        <f>AND(Bills!K79,"AAAAAHj+52I=")</f>
        <v>#VALUE!</v>
      </c>
      <c r="CV62" t="e">
        <f>AND(Bills!L79,"AAAAAHj+52M=")</f>
        <v>#VALUE!</v>
      </c>
      <c r="CW62" t="e">
        <f>AND(Bills!M79,"AAAAAHj+52Q=")</f>
        <v>#VALUE!</v>
      </c>
      <c r="CX62" t="e">
        <f>AND(Bills!N79,"AAAAAHj+52U=")</f>
        <v>#VALUE!</v>
      </c>
      <c r="CY62" t="e">
        <f>AND(Bills!O79,"AAAAAHj+52Y=")</f>
        <v>#VALUE!</v>
      </c>
      <c r="CZ62" t="e">
        <f>AND(Bills!P79,"AAAAAHj+52c=")</f>
        <v>#VALUE!</v>
      </c>
      <c r="DA62" t="e">
        <f>AND(Bills!Q79,"AAAAAHj+52g=")</f>
        <v>#VALUE!</v>
      </c>
      <c r="DB62" t="e">
        <f>AND(Bills!R79,"AAAAAHj+52k=")</f>
        <v>#VALUE!</v>
      </c>
      <c r="DC62" t="e">
        <f>AND(Bills!#REF!,"AAAAAHj+52o=")</f>
        <v>#REF!</v>
      </c>
      <c r="DD62" t="e">
        <f>AND(Bills!S79,"AAAAAHj+52s=")</f>
        <v>#VALUE!</v>
      </c>
      <c r="DE62" t="e">
        <f>AND(Bills!T79,"AAAAAHj+52w=")</f>
        <v>#VALUE!</v>
      </c>
      <c r="DF62" t="e">
        <f>AND(Bills!U79,"AAAAAHj+520=")</f>
        <v>#VALUE!</v>
      </c>
      <c r="DG62" t="e">
        <f>AND(Bills!#REF!,"AAAAAHj+524=")</f>
        <v>#REF!</v>
      </c>
      <c r="DH62" t="e">
        <f>AND(Bills!#REF!,"AAAAAHj+528=")</f>
        <v>#REF!</v>
      </c>
      <c r="DI62" t="e">
        <f>AND(Bills!W79,"AAAAAHj+53A=")</f>
        <v>#VALUE!</v>
      </c>
      <c r="DJ62" t="e">
        <f>AND(Bills!X79,"AAAAAHj+53E=")</f>
        <v>#VALUE!</v>
      </c>
      <c r="DK62" t="e">
        <f>AND(Bills!#REF!,"AAAAAHj+53I=")</f>
        <v>#REF!</v>
      </c>
      <c r="DL62" t="e">
        <f>AND(Bills!#REF!,"AAAAAHj+53M=")</f>
        <v>#REF!</v>
      </c>
      <c r="DM62" t="e">
        <f>AND(Bills!#REF!,"AAAAAHj+53Q=")</f>
        <v>#REF!</v>
      </c>
      <c r="DN62" t="e">
        <f>AND(Bills!#REF!,"AAAAAHj+53U=")</f>
        <v>#REF!</v>
      </c>
      <c r="DO62" t="e">
        <f>AND(Bills!#REF!,"AAAAAHj+53Y=")</f>
        <v>#REF!</v>
      </c>
      <c r="DP62" t="e">
        <f>AND(Bills!#REF!,"AAAAAHj+53c=")</f>
        <v>#REF!</v>
      </c>
      <c r="DQ62" t="e">
        <f>AND(Bills!#REF!,"AAAAAHj+53g=")</f>
        <v>#REF!</v>
      </c>
      <c r="DR62" t="e">
        <f>AND(Bills!#REF!,"AAAAAHj+53k=")</f>
        <v>#REF!</v>
      </c>
      <c r="DS62" t="e">
        <f>AND(Bills!#REF!,"AAAAAHj+53o=")</f>
        <v>#REF!</v>
      </c>
      <c r="DT62" t="e">
        <f>AND(Bills!Y79,"AAAAAHj+53s=")</f>
        <v>#VALUE!</v>
      </c>
      <c r="DU62" t="e">
        <f>AND(Bills!Z79,"AAAAAHj+53w=")</f>
        <v>#VALUE!</v>
      </c>
      <c r="DV62" t="e">
        <f>AND(Bills!#REF!,"AAAAAHj+530=")</f>
        <v>#REF!</v>
      </c>
      <c r="DW62" t="e">
        <f>AND(Bills!#REF!,"AAAAAHj+534=")</f>
        <v>#REF!</v>
      </c>
      <c r="DX62" t="e">
        <f>AND(Bills!#REF!,"AAAAAHj+538=")</f>
        <v>#REF!</v>
      </c>
      <c r="DY62" t="e">
        <f>AND(Bills!AA79,"AAAAAHj+54A=")</f>
        <v>#VALUE!</v>
      </c>
      <c r="DZ62" t="e">
        <f>AND(Bills!AB79,"AAAAAHj+54E=")</f>
        <v>#VALUE!</v>
      </c>
      <c r="EA62" t="e">
        <f>AND(Bills!#REF!,"AAAAAHj+54I=")</f>
        <v>#REF!</v>
      </c>
      <c r="EB62">
        <f>IF(Bills!80:80,"AAAAAHj+54M=",0)</f>
        <v>0</v>
      </c>
      <c r="EC62" t="e">
        <f>AND(Bills!B80,"AAAAAHj+54Q=")</f>
        <v>#VALUE!</v>
      </c>
      <c r="ED62" t="e">
        <f>AND(Bills!#REF!,"AAAAAHj+54U=")</f>
        <v>#REF!</v>
      </c>
      <c r="EE62" t="e">
        <f>AND(Bills!C80,"AAAAAHj+54Y=")</f>
        <v>#VALUE!</v>
      </c>
      <c r="EF62" t="e">
        <f>AND(Bills!#REF!,"AAAAAHj+54c=")</f>
        <v>#REF!</v>
      </c>
      <c r="EG62" t="e">
        <f>AND(Bills!#REF!,"AAAAAHj+54g=")</f>
        <v>#REF!</v>
      </c>
      <c r="EH62" t="e">
        <f>AND(Bills!#REF!,"AAAAAHj+54k=")</f>
        <v>#REF!</v>
      </c>
      <c r="EI62" t="e">
        <f>AND(Bills!#REF!,"AAAAAHj+54o=")</f>
        <v>#REF!</v>
      </c>
      <c r="EJ62" t="e">
        <f>AND(Bills!#REF!,"AAAAAHj+54s=")</f>
        <v>#REF!</v>
      </c>
      <c r="EK62" t="e">
        <f>AND(Bills!D80,"AAAAAHj+54w=")</f>
        <v>#VALUE!</v>
      </c>
      <c r="EL62" t="e">
        <f>AND(Bills!#REF!,"AAAAAHj+540=")</f>
        <v>#REF!</v>
      </c>
      <c r="EM62" t="e">
        <f>AND(Bills!E80,"AAAAAHj+544=")</f>
        <v>#VALUE!</v>
      </c>
      <c r="EN62" t="e">
        <f>AND(Bills!F80,"AAAAAHj+548=")</f>
        <v>#VALUE!</v>
      </c>
      <c r="EO62" t="e">
        <f>AND(Bills!G80,"AAAAAHj+55A=")</f>
        <v>#VALUE!</v>
      </c>
      <c r="EP62" t="e">
        <f>AND(Bills!H80,"AAAAAHj+55E=")</f>
        <v>#VALUE!</v>
      </c>
      <c r="EQ62" t="e">
        <f>AND(Bills!I80,"AAAAAHj+55I=")</f>
        <v>#VALUE!</v>
      </c>
      <c r="ER62" t="e">
        <f>AND(Bills!J80,"AAAAAHj+55M=")</f>
        <v>#VALUE!</v>
      </c>
      <c r="ES62" t="e">
        <f>AND(Bills!#REF!,"AAAAAHj+55Q=")</f>
        <v>#REF!</v>
      </c>
      <c r="ET62" t="e">
        <f>AND(Bills!K80,"AAAAAHj+55U=")</f>
        <v>#VALUE!</v>
      </c>
      <c r="EU62" t="e">
        <f>AND(Bills!L80,"AAAAAHj+55Y=")</f>
        <v>#VALUE!</v>
      </c>
      <c r="EV62" t="e">
        <f>AND(Bills!M80,"AAAAAHj+55c=")</f>
        <v>#VALUE!</v>
      </c>
      <c r="EW62" t="e">
        <f>AND(Bills!N80,"AAAAAHj+55g=")</f>
        <v>#VALUE!</v>
      </c>
      <c r="EX62" t="e">
        <f>AND(Bills!O80,"AAAAAHj+55k=")</f>
        <v>#VALUE!</v>
      </c>
      <c r="EY62" t="e">
        <f>AND(Bills!P80,"AAAAAHj+55o=")</f>
        <v>#VALUE!</v>
      </c>
      <c r="EZ62" t="e">
        <f>AND(Bills!Q80,"AAAAAHj+55s=")</f>
        <v>#VALUE!</v>
      </c>
      <c r="FA62" t="e">
        <f>AND(Bills!R80,"AAAAAHj+55w=")</f>
        <v>#VALUE!</v>
      </c>
      <c r="FB62" t="e">
        <f>AND(Bills!#REF!,"AAAAAHj+550=")</f>
        <v>#REF!</v>
      </c>
      <c r="FC62" t="e">
        <f>AND(Bills!S80,"AAAAAHj+554=")</f>
        <v>#VALUE!</v>
      </c>
      <c r="FD62" t="e">
        <f>AND(Bills!T80,"AAAAAHj+558=")</f>
        <v>#VALUE!</v>
      </c>
      <c r="FE62" t="e">
        <f>AND(Bills!U80,"AAAAAHj+56A=")</f>
        <v>#VALUE!</v>
      </c>
      <c r="FF62" t="e">
        <f>AND(Bills!#REF!,"AAAAAHj+56E=")</f>
        <v>#REF!</v>
      </c>
      <c r="FG62" t="e">
        <f>AND(Bills!#REF!,"AAAAAHj+56I=")</f>
        <v>#REF!</v>
      </c>
      <c r="FH62" t="e">
        <f>AND(Bills!W80,"AAAAAHj+56M=")</f>
        <v>#VALUE!</v>
      </c>
      <c r="FI62" t="e">
        <f>AND(Bills!X80,"AAAAAHj+56Q=")</f>
        <v>#VALUE!</v>
      </c>
      <c r="FJ62" t="e">
        <f>AND(Bills!#REF!,"AAAAAHj+56U=")</f>
        <v>#REF!</v>
      </c>
      <c r="FK62" t="e">
        <f>AND(Bills!#REF!,"AAAAAHj+56Y=")</f>
        <v>#REF!</v>
      </c>
      <c r="FL62" t="e">
        <f>AND(Bills!#REF!,"AAAAAHj+56c=")</f>
        <v>#REF!</v>
      </c>
      <c r="FM62" t="e">
        <f>AND(Bills!#REF!,"AAAAAHj+56g=")</f>
        <v>#REF!</v>
      </c>
      <c r="FN62" t="e">
        <f>AND(Bills!#REF!,"AAAAAHj+56k=")</f>
        <v>#REF!</v>
      </c>
      <c r="FO62" t="e">
        <f>AND(Bills!#REF!,"AAAAAHj+56o=")</f>
        <v>#REF!</v>
      </c>
      <c r="FP62" t="e">
        <f>AND(Bills!#REF!,"AAAAAHj+56s=")</f>
        <v>#REF!</v>
      </c>
      <c r="FQ62" t="e">
        <f>AND(Bills!#REF!,"AAAAAHj+56w=")</f>
        <v>#REF!</v>
      </c>
      <c r="FR62" t="e">
        <f>AND(Bills!#REF!,"AAAAAHj+560=")</f>
        <v>#REF!</v>
      </c>
      <c r="FS62" t="e">
        <f>AND(Bills!Y80,"AAAAAHj+564=")</f>
        <v>#VALUE!</v>
      </c>
      <c r="FT62" t="e">
        <f>AND(Bills!Z80,"AAAAAHj+568=")</f>
        <v>#VALUE!</v>
      </c>
      <c r="FU62" t="e">
        <f>AND(Bills!#REF!,"AAAAAHj+57A=")</f>
        <v>#REF!</v>
      </c>
      <c r="FV62" t="e">
        <f>AND(Bills!#REF!,"AAAAAHj+57E=")</f>
        <v>#REF!</v>
      </c>
      <c r="FW62" t="e">
        <f>AND(Bills!#REF!,"AAAAAHj+57I=")</f>
        <v>#REF!</v>
      </c>
      <c r="FX62" t="e">
        <f>AND(Bills!AA80,"AAAAAHj+57M=")</f>
        <v>#VALUE!</v>
      </c>
      <c r="FY62" t="e">
        <f>AND(Bills!AB80,"AAAAAHj+57Q=")</f>
        <v>#VALUE!</v>
      </c>
      <c r="FZ62" t="e">
        <f>AND(Bills!#REF!,"AAAAAHj+57U=")</f>
        <v>#REF!</v>
      </c>
      <c r="GA62">
        <f>IF(Bills!81:81,"AAAAAHj+57Y=",0)</f>
        <v>0</v>
      </c>
      <c r="GB62" t="e">
        <f>AND(Bills!B81,"AAAAAHj+57c=")</f>
        <v>#VALUE!</v>
      </c>
      <c r="GC62" t="e">
        <f>AND(Bills!#REF!,"AAAAAHj+57g=")</f>
        <v>#REF!</v>
      </c>
      <c r="GD62" t="e">
        <f>AND(Bills!C81,"AAAAAHj+57k=")</f>
        <v>#VALUE!</v>
      </c>
      <c r="GE62" t="e">
        <f>AND(Bills!#REF!,"AAAAAHj+57o=")</f>
        <v>#REF!</v>
      </c>
      <c r="GF62" t="e">
        <f>AND(Bills!#REF!,"AAAAAHj+57s=")</f>
        <v>#REF!</v>
      </c>
      <c r="GG62" t="e">
        <f>AND(Bills!#REF!,"AAAAAHj+57w=")</f>
        <v>#REF!</v>
      </c>
      <c r="GH62" t="e">
        <f>AND(Bills!#REF!,"AAAAAHj+570=")</f>
        <v>#REF!</v>
      </c>
      <c r="GI62" t="e">
        <f>AND(Bills!#REF!,"AAAAAHj+574=")</f>
        <v>#REF!</v>
      </c>
      <c r="GJ62" t="e">
        <f>AND(Bills!D81,"AAAAAHj+578=")</f>
        <v>#VALUE!</v>
      </c>
      <c r="GK62" t="e">
        <f>AND(Bills!#REF!,"AAAAAHj+58A=")</f>
        <v>#REF!</v>
      </c>
      <c r="GL62" t="e">
        <f>AND(Bills!E81,"AAAAAHj+58E=")</f>
        <v>#VALUE!</v>
      </c>
      <c r="GM62" t="e">
        <f>AND(Bills!F81,"AAAAAHj+58I=")</f>
        <v>#VALUE!</v>
      </c>
      <c r="GN62" t="e">
        <f>AND(Bills!G81,"AAAAAHj+58M=")</f>
        <v>#VALUE!</v>
      </c>
      <c r="GO62" t="e">
        <f>AND(Bills!H81,"AAAAAHj+58Q=")</f>
        <v>#VALUE!</v>
      </c>
      <c r="GP62" t="e">
        <f>AND(Bills!I81,"AAAAAHj+58U=")</f>
        <v>#VALUE!</v>
      </c>
      <c r="GQ62" t="e">
        <f>AND(Bills!J81,"AAAAAHj+58Y=")</f>
        <v>#VALUE!</v>
      </c>
      <c r="GR62" t="e">
        <f>AND(Bills!#REF!,"AAAAAHj+58c=")</f>
        <v>#REF!</v>
      </c>
      <c r="GS62" t="e">
        <f>AND(Bills!K81,"AAAAAHj+58g=")</f>
        <v>#VALUE!</v>
      </c>
      <c r="GT62" t="e">
        <f>AND(Bills!L81,"AAAAAHj+58k=")</f>
        <v>#VALUE!</v>
      </c>
      <c r="GU62" t="e">
        <f>AND(Bills!M81,"AAAAAHj+58o=")</f>
        <v>#VALUE!</v>
      </c>
      <c r="GV62" t="e">
        <f>AND(Bills!N81,"AAAAAHj+58s=")</f>
        <v>#VALUE!</v>
      </c>
      <c r="GW62" t="e">
        <f>AND(Bills!O81,"AAAAAHj+58w=")</f>
        <v>#VALUE!</v>
      </c>
      <c r="GX62" t="e">
        <f>AND(Bills!P81,"AAAAAHj+580=")</f>
        <v>#VALUE!</v>
      </c>
      <c r="GY62" t="e">
        <f>AND(Bills!Q81,"AAAAAHj+584=")</f>
        <v>#VALUE!</v>
      </c>
      <c r="GZ62" t="e">
        <f>AND(Bills!R81,"AAAAAHj+588=")</f>
        <v>#VALUE!</v>
      </c>
      <c r="HA62" t="e">
        <f>AND(Bills!#REF!,"AAAAAHj+59A=")</f>
        <v>#REF!</v>
      </c>
      <c r="HB62" t="e">
        <f>AND(Bills!S81,"AAAAAHj+59E=")</f>
        <v>#VALUE!</v>
      </c>
      <c r="HC62" t="e">
        <f>AND(Bills!T81,"AAAAAHj+59I=")</f>
        <v>#VALUE!</v>
      </c>
      <c r="HD62" t="e">
        <f>AND(Bills!U81,"AAAAAHj+59M=")</f>
        <v>#VALUE!</v>
      </c>
      <c r="HE62" t="e">
        <f>AND(Bills!#REF!,"AAAAAHj+59Q=")</f>
        <v>#REF!</v>
      </c>
      <c r="HF62" t="e">
        <f>AND(Bills!#REF!,"AAAAAHj+59U=")</f>
        <v>#REF!</v>
      </c>
      <c r="HG62" t="e">
        <f>AND(Bills!W81,"AAAAAHj+59Y=")</f>
        <v>#VALUE!</v>
      </c>
      <c r="HH62" t="e">
        <f>AND(Bills!X81,"AAAAAHj+59c=")</f>
        <v>#VALUE!</v>
      </c>
      <c r="HI62" t="e">
        <f>AND(Bills!#REF!,"AAAAAHj+59g=")</f>
        <v>#REF!</v>
      </c>
      <c r="HJ62" t="e">
        <f>AND(Bills!#REF!,"AAAAAHj+59k=")</f>
        <v>#REF!</v>
      </c>
      <c r="HK62" t="e">
        <f>AND(Bills!#REF!,"AAAAAHj+59o=")</f>
        <v>#REF!</v>
      </c>
      <c r="HL62" t="e">
        <f>AND(Bills!#REF!,"AAAAAHj+59s=")</f>
        <v>#REF!</v>
      </c>
      <c r="HM62" t="e">
        <f>AND(Bills!#REF!,"AAAAAHj+59w=")</f>
        <v>#REF!</v>
      </c>
      <c r="HN62" t="e">
        <f>AND(Bills!#REF!,"AAAAAHj+590=")</f>
        <v>#REF!</v>
      </c>
      <c r="HO62" t="e">
        <f>AND(Bills!#REF!,"AAAAAHj+594=")</f>
        <v>#REF!</v>
      </c>
      <c r="HP62" t="e">
        <f>AND(Bills!#REF!,"AAAAAHj+598=")</f>
        <v>#REF!</v>
      </c>
      <c r="HQ62" t="e">
        <f>AND(Bills!#REF!,"AAAAAHj+5+A=")</f>
        <v>#REF!</v>
      </c>
      <c r="HR62" t="e">
        <f>AND(Bills!Y81,"AAAAAHj+5+E=")</f>
        <v>#VALUE!</v>
      </c>
      <c r="HS62" t="e">
        <f>AND(Bills!Z81,"AAAAAHj+5+I=")</f>
        <v>#VALUE!</v>
      </c>
      <c r="HT62" t="e">
        <f>AND(Bills!#REF!,"AAAAAHj+5+M=")</f>
        <v>#REF!</v>
      </c>
      <c r="HU62" t="e">
        <f>AND(Bills!#REF!,"AAAAAHj+5+Q=")</f>
        <v>#REF!</v>
      </c>
      <c r="HV62" t="e">
        <f>AND(Bills!#REF!,"AAAAAHj+5+U=")</f>
        <v>#REF!</v>
      </c>
      <c r="HW62" t="e">
        <f>AND(Bills!AA81,"AAAAAHj+5+Y=")</f>
        <v>#VALUE!</v>
      </c>
      <c r="HX62" t="e">
        <f>AND(Bills!AB81,"AAAAAHj+5+c=")</f>
        <v>#VALUE!</v>
      </c>
      <c r="HY62" t="e">
        <f>AND(Bills!#REF!,"AAAAAHj+5+g=")</f>
        <v>#REF!</v>
      </c>
      <c r="HZ62">
        <f>IF(Bills!82:82,"AAAAAHj+5+k=",0)</f>
        <v>0</v>
      </c>
      <c r="IA62" t="e">
        <f>AND(Bills!B82,"AAAAAHj+5+o=")</f>
        <v>#VALUE!</v>
      </c>
      <c r="IB62" t="e">
        <f>AND(Bills!#REF!,"AAAAAHj+5+s=")</f>
        <v>#REF!</v>
      </c>
      <c r="IC62" t="e">
        <f>AND(Bills!C82,"AAAAAHj+5+w=")</f>
        <v>#VALUE!</v>
      </c>
      <c r="ID62" t="e">
        <f>AND(Bills!#REF!,"AAAAAHj+5+0=")</f>
        <v>#REF!</v>
      </c>
      <c r="IE62" t="e">
        <f>AND(Bills!#REF!,"AAAAAHj+5+4=")</f>
        <v>#REF!</v>
      </c>
      <c r="IF62" t="e">
        <f>AND(Bills!#REF!,"AAAAAHj+5+8=")</f>
        <v>#REF!</v>
      </c>
      <c r="IG62" t="e">
        <f>AND(Bills!#REF!,"AAAAAHj+5/A=")</f>
        <v>#REF!</v>
      </c>
      <c r="IH62" t="e">
        <f>AND(Bills!#REF!,"AAAAAHj+5/E=")</f>
        <v>#REF!</v>
      </c>
      <c r="II62" t="e">
        <f>AND(Bills!D82,"AAAAAHj+5/I=")</f>
        <v>#VALUE!</v>
      </c>
      <c r="IJ62" t="e">
        <f>AND(Bills!#REF!,"AAAAAHj+5/M=")</f>
        <v>#REF!</v>
      </c>
      <c r="IK62" t="e">
        <f>AND(Bills!E82,"AAAAAHj+5/Q=")</f>
        <v>#VALUE!</v>
      </c>
      <c r="IL62" t="e">
        <f>AND(Bills!F82,"AAAAAHj+5/U=")</f>
        <v>#VALUE!</v>
      </c>
      <c r="IM62" t="e">
        <f>AND(Bills!G82,"AAAAAHj+5/Y=")</f>
        <v>#VALUE!</v>
      </c>
      <c r="IN62" t="e">
        <f>AND(Bills!H82,"AAAAAHj+5/c=")</f>
        <v>#VALUE!</v>
      </c>
      <c r="IO62" t="e">
        <f>AND(Bills!I82,"AAAAAHj+5/g=")</f>
        <v>#VALUE!</v>
      </c>
      <c r="IP62" t="e">
        <f>AND(Bills!J82,"AAAAAHj+5/k=")</f>
        <v>#VALUE!</v>
      </c>
      <c r="IQ62" t="e">
        <f>AND(Bills!#REF!,"AAAAAHj+5/o=")</f>
        <v>#REF!</v>
      </c>
      <c r="IR62" t="e">
        <f>AND(Bills!K82,"AAAAAHj+5/s=")</f>
        <v>#VALUE!</v>
      </c>
      <c r="IS62" t="e">
        <f>AND(Bills!L82,"AAAAAHj+5/w=")</f>
        <v>#VALUE!</v>
      </c>
      <c r="IT62" t="e">
        <f>AND(Bills!M82,"AAAAAHj+5/0=")</f>
        <v>#VALUE!</v>
      </c>
      <c r="IU62" t="e">
        <f>AND(Bills!N82,"AAAAAHj+5/4=")</f>
        <v>#VALUE!</v>
      </c>
      <c r="IV62" t="e">
        <f>AND(Bills!O82,"AAAAAHj+5/8=")</f>
        <v>#VALUE!</v>
      </c>
    </row>
    <row r="63" spans="1:256">
      <c r="A63" t="e">
        <f>AND(Bills!P82,"AAAAAHY9/AA=")</f>
        <v>#VALUE!</v>
      </c>
      <c r="B63" t="e">
        <f>AND(Bills!Q82,"AAAAAHY9/AE=")</f>
        <v>#VALUE!</v>
      </c>
      <c r="C63" t="e">
        <f>AND(Bills!R82,"AAAAAHY9/AI=")</f>
        <v>#VALUE!</v>
      </c>
      <c r="D63" t="e">
        <f>AND(Bills!#REF!,"AAAAAHY9/AM=")</f>
        <v>#REF!</v>
      </c>
      <c r="E63" t="e">
        <f>AND(Bills!S82,"AAAAAHY9/AQ=")</f>
        <v>#VALUE!</v>
      </c>
      <c r="F63" t="e">
        <f>AND(Bills!T82,"AAAAAHY9/AU=")</f>
        <v>#VALUE!</v>
      </c>
      <c r="G63" t="e">
        <f>AND(Bills!U82,"AAAAAHY9/AY=")</f>
        <v>#VALUE!</v>
      </c>
      <c r="H63" t="e">
        <f>AND(Bills!#REF!,"AAAAAHY9/Ac=")</f>
        <v>#REF!</v>
      </c>
      <c r="I63" t="e">
        <f>AND(Bills!#REF!,"AAAAAHY9/Ag=")</f>
        <v>#REF!</v>
      </c>
      <c r="J63" t="e">
        <f>AND(Bills!W82,"AAAAAHY9/Ak=")</f>
        <v>#VALUE!</v>
      </c>
      <c r="K63" t="e">
        <f>AND(Bills!X82,"AAAAAHY9/Ao=")</f>
        <v>#VALUE!</v>
      </c>
      <c r="L63" t="e">
        <f>AND(Bills!#REF!,"AAAAAHY9/As=")</f>
        <v>#REF!</v>
      </c>
      <c r="M63" t="e">
        <f>AND(Bills!#REF!,"AAAAAHY9/Aw=")</f>
        <v>#REF!</v>
      </c>
      <c r="N63" t="e">
        <f>AND(Bills!#REF!,"AAAAAHY9/A0=")</f>
        <v>#REF!</v>
      </c>
      <c r="O63" t="e">
        <f>AND(Bills!#REF!,"AAAAAHY9/A4=")</f>
        <v>#REF!</v>
      </c>
      <c r="P63" t="e">
        <f>AND(Bills!#REF!,"AAAAAHY9/A8=")</f>
        <v>#REF!</v>
      </c>
      <c r="Q63" t="e">
        <f>AND(Bills!#REF!,"AAAAAHY9/BA=")</f>
        <v>#REF!</v>
      </c>
      <c r="R63" t="e">
        <f>AND(Bills!#REF!,"AAAAAHY9/BE=")</f>
        <v>#REF!</v>
      </c>
      <c r="S63" t="e">
        <f>AND(Bills!#REF!,"AAAAAHY9/BI=")</f>
        <v>#REF!</v>
      </c>
      <c r="T63" t="e">
        <f>AND(Bills!#REF!,"AAAAAHY9/BM=")</f>
        <v>#REF!</v>
      </c>
      <c r="U63" t="e">
        <f>AND(Bills!Y82,"AAAAAHY9/BQ=")</f>
        <v>#VALUE!</v>
      </c>
      <c r="V63" t="e">
        <f>AND(Bills!Z82,"AAAAAHY9/BU=")</f>
        <v>#VALUE!</v>
      </c>
      <c r="W63" t="e">
        <f>AND(Bills!#REF!,"AAAAAHY9/BY=")</f>
        <v>#REF!</v>
      </c>
      <c r="X63" t="e">
        <f>AND(Bills!#REF!,"AAAAAHY9/Bc=")</f>
        <v>#REF!</v>
      </c>
      <c r="Y63" t="e">
        <f>AND(Bills!#REF!,"AAAAAHY9/Bg=")</f>
        <v>#REF!</v>
      </c>
      <c r="Z63" t="e">
        <f>AND(Bills!AA82,"AAAAAHY9/Bk=")</f>
        <v>#VALUE!</v>
      </c>
      <c r="AA63" t="e">
        <f>AND(Bills!AB82,"AAAAAHY9/Bo=")</f>
        <v>#VALUE!</v>
      </c>
      <c r="AB63" t="e">
        <f>AND(Bills!#REF!,"AAAAAHY9/Bs=")</f>
        <v>#REF!</v>
      </c>
      <c r="AC63">
        <f>IF(Bills!83:83,"AAAAAHY9/Bw=",0)</f>
        <v>0</v>
      </c>
      <c r="AD63" t="e">
        <f>AND(Bills!B83,"AAAAAHY9/B0=")</f>
        <v>#VALUE!</v>
      </c>
      <c r="AE63" t="e">
        <f>AND(Bills!#REF!,"AAAAAHY9/B4=")</f>
        <v>#REF!</v>
      </c>
      <c r="AF63" t="e">
        <f>AND(Bills!C83,"AAAAAHY9/B8=")</f>
        <v>#VALUE!</v>
      </c>
      <c r="AG63" t="e">
        <f>AND(Bills!#REF!,"AAAAAHY9/CA=")</f>
        <v>#REF!</v>
      </c>
      <c r="AH63" t="e">
        <f>AND(Bills!#REF!,"AAAAAHY9/CE=")</f>
        <v>#REF!</v>
      </c>
      <c r="AI63" t="e">
        <f>AND(Bills!#REF!,"AAAAAHY9/CI=")</f>
        <v>#REF!</v>
      </c>
      <c r="AJ63" t="e">
        <f>AND(Bills!#REF!,"AAAAAHY9/CM=")</f>
        <v>#REF!</v>
      </c>
      <c r="AK63" t="e">
        <f>AND(Bills!#REF!,"AAAAAHY9/CQ=")</f>
        <v>#REF!</v>
      </c>
      <c r="AL63" t="e">
        <f>AND(Bills!D83,"AAAAAHY9/CU=")</f>
        <v>#VALUE!</v>
      </c>
      <c r="AM63" t="e">
        <f>AND(Bills!#REF!,"AAAAAHY9/CY=")</f>
        <v>#REF!</v>
      </c>
      <c r="AN63" t="e">
        <f>AND(Bills!E83,"AAAAAHY9/Cc=")</f>
        <v>#VALUE!</v>
      </c>
      <c r="AO63" t="e">
        <f>AND(Bills!F83,"AAAAAHY9/Cg=")</f>
        <v>#VALUE!</v>
      </c>
      <c r="AP63" t="e">
        <f>AND(Bills!G83,"AAAAAHY9/Ck=")</f>
        <v>#VALUE!</v>
      </c>
      <c r="AQ63" t="e">
        <f>AND(Bills!H83,"AAAAAHY9/Co=")</f>
        <v>#VALUE!</v>
      </c>
      <c r="AR63" t="e">
        <f>AND(Bills!I83,"AAAAAHY9/Cs=")</f>
        <v>#VALUE!</v>
      </c>
      <c r="AS63" t="e">
        <f>AND(Bills!J83,"AAAAAHY9/Cw=")</f>
        <v>#VALUE!</v>
      </c>
      <c r="AT63" t="e">
        <f>AND(Bills!#REF!,"AAAAAHY9/C0=")</f>
        <v>#REF!</v>
      </c>
      <c r="AU63" t="e">
        <f>AND(Bills!K83,"AAAAAHY9/C4=")</f>
        <v>#VALUE!</v>
      </c>
      <c r="AV63" t="e">
        <f>AND(Bills!L83,"AAAAAHY9/C8=")</f>
        <v>#VALUE!</v>
      </c>
      <c r="AW63" t="e">
        <f>AND(Bills!M83,"AAAAAHY9/DA=")</f>
        <v>#VALUE!</v>
      </c>
      <c r="AX63" t="e">
        <f>AND(Bills!N83,"AAAAAHY9/DE=")</f>
        <v>#VALUE!</v>
      </c>
      <c r="AY63" t="e">
        <f>AND(Bills!O83,"AAAAAHY9/DI=")</f>
        <v>#VALUE!</v>
      </c>
      <c r="AZ63" t="e">
        <f>AND(Bills!P83,"AAAAAHY9/DM=")</f>
        <v>#VALUE!</v>
      </c>
      <c r="BA63" t="e">
        <f>AND(Bills!Q83,"AAAAAHY9/DQ=")</f>
        <v>#VALUE!</v>
      </c>
      <c r="BB63" t="e">
        <f>AND(Bills!R83,"AAAAAHY9/DU=")</f>
        <v>#VALUE!</v>
      </c>
      <c r="BC63" t="e">
        <f>AND(Bills!#REF!,"AAAAAHY9/DY=")</f>
        <v>#REF!</v>
      </c>
      <c r="BD63" t="e">
        <f>AND(Bills!S83,"AAAAAHY9/Dc=")</f>
        <v>#VALUE!</v>
      </c>
      <c r="BE63" t="e">
        <f>AND(Bills!T83,"AAAAAHY9/Dg=")</f>
        <v>#VALUE!</v>
      </c>
      <c r="BF63" t="e">
        <f>AND(Bills!U83,"AAAAAHY9/Dk=")</f>
        <v>#VALUE!</v>
      </c>
      <c r="BG63" t="e">
        <f>AND(Bills!#REF!,"AAAAAHY9/Do=")</f>
        <v>#REF!</v>
      </c>
      <c r="BH63" t="e">
        <f>AND(Bills!#REF!,"AAAAAHY9/Ds=")</f>
        <v>#REF!</v>
      </c>
      <c r="BI63" t="e">
        <f>AND(Bills!W83,"AAAAAHY9/Dw=")</f>
        <v>#VALUE!</v>
      </c>
      <c r="BJ63" t="e">
        <f>AND(Bills!X83,"AAAAAHY9/D0=")</f>
        <v>#VALUE!</v>
      </c>
      <c r="BK63" t="e">
        <f>AND(Bills!#REF!,"AAAAAHY9/D4=")</f>
        <v>#REF!</v>
      </c>
      <c r="BL63" t="e">
        <f>AND(Bills!#REF!,"AAAAAHY9/D8=")</f>
        <v>#REF!</v>
      </c>
      <c r="BM63" t="e">
        <f>AND(Bills!#REF!,"AAAAAHY9/EA=")</f>
        <v>#REF!</v>
      </c>
      <c r="BN63" t="e">
        <f>AND(Bills!#REF!,"AAAAAHY9/EE=")</f>
        <v>#REF!</v>
      </c>
      <c r="BO63" t="e">
        <f>AND(Bills!#REF!,"AAAAAHY9/EI=")</f>
        <v>#REF!</v>
      </c>
      <c r="BP63" t="e">
        <f>AND(Bills!#REF!,"AAAAAHY9/EM=")</f>
        <v>#REF!</v>
      </c>
      <c r="BQ63" t="e">
        <f>AND(Bills!#REF!,"AAAAAHY9/EQ=")</f>
        <v>#REF!</v>
      </c>
      <c r="BR63" t="e">
        <f>AND(Bills!#REF!,"AAAAAHY9/EU=")</f>
        <v>#REF!</v>
      </c>
      <c r="BS63" t="e">
        <f>AND(Bills!#REF!,"AAAAAHY9/EY=")</f>
        <v>#REF!</v>
      </c>
      <c r="BT63" t="e">
        <f>AND(Bills!Y83,"AAAAAHY9/Ec=")</f>
        <v>#VALUE!</v>
      </c>
      <c r="BU63" t="e">
        <f>AND(Bills!Z83,"AAAAAHY9/Eg=")</f>
        <v>#VALUE!</v>
      </c>
      <c r="BV63" t="e">
        <f>AND(Bills!#REF!,"AAAAAHY9/Ek=")</f>
        <v>#REF!</v>
      </c>
      <c r="BW63" t="e">
        <f>AND(Bills!#REF!,"AAAAAHY9/Eo=")</f>
        <v>#REF!</v>
      </c>
      <c r="BX63" t="e">
        <f>AND(Bills!#REF!,"AAAAAHY9/Es=")</f>
        <v>#REF!</v>
      </c>
      <c r="BY63" t="e">
        <f>AND(Bills!AA83,"AAAAAHY9/Ew=")</f>
        <v>#VALUE!</v>
      </c>
      <c r="BZ63" t="e">
        <f>AND(Bills!AB83,"AAAAAHY9/E0=")</f>
        <v>#VALUE!</v>
      </c>
      <c r="CA63" t="e">
        <f>AND(Bills!#REF!,"AAAAAHY9/E4=")</f>
        <v>#REF!</v>
      </c>
      <c r="CB63">
        <f>IF(Bills!84:84,"AAAAAHY9/E8=",0)</f>
        <v>0</v>
      </c>
      <c r="CC63" t="e">
        <f>AND(Bills!B84,"AAAAAHY9/FA=")</f>
        <v>#VALUE!</v>
      </c>
      <c r="CD63" t="e">
        <f>AND(Bills!#REF!,"AAAAAHY9/FE=")</f>
        <v>#REF!</v>
      </c>
      <c r="CE63" t="e">
        <f>AND(Bills!C84,"AAAAAHY9/FI=")</f>
        <v>#VALUE!</v>
      </c>
      <c r="CF63" t="e">
        <f>AND(Bills!#REF!,"AAAAAHY9/FM=")</f>
        <v>#REF!</v>
      </c>
      <c r="CG63" t="e">
        <f>AND(Bills!#REF!,"AAAAAHY9/FQ=")</f>
        <v>#REF!</v>
      </c>
      <c r="CH63" t="e">
        <f>AND(Bills!#REF!,"AAAAAHY9/FU=")</f>
        <v>#REF!</v>
      </c>
      <c r="CI63" t="e">
        <f>AND(Bills!#REF!,"AAAAAHY9/FY=")</f>
        <v>#REF!</v>
      </c>
      <c r="CJ63" t="e">
        <f>AND(Bills!#REF!,"AAAAAHY9/Fc=")</f>
        <v>#REF!</v>
      </c>
      <c r="CK63" t="e">
        <f>AND(Bills!D84,"AAAAAHY9/Fg=")</f>
        <v>#VALUE!</v>
      </c>
      <c r="CL63" t="e">
        <f>AND(Bills!#REF!,"AAAAAHY9/Fk=")</f>
        <v>#REF!</v>
      </c>
      <c r="CM63" t="e">
        <f>AND(Bills!E84,"AAAAAHY9/Fo=")</f>
        <v>#VALUE!</v>
      </c>
      <c r="CN63" t="e">
        <f>AND(Bills!F84,"AAAAAHY9/Fs=")</f>
        <v>#VALUE!</v>
      </c>
      <c r="CO63" t="e">
        <f>AND(Bills!G84,"AAAAAHY9/Fw=")</f>
        <v>#VALUE!</v>
      </c>
      <c r="CP63" t="e">
        <f>AND(Bills!H84,"AAAAAHY9/F0=")</f>
        <v>#VALUE!</v>
      </c>
      <c r="CQ63" t="e">
        <f>AND(Bills!I84,"AAAAAHY9/F4=")</f>
        <v>#VALUE!</v>
      </c>
      <c r="CR63" t="e">
        <f>AND(Bills!J84,"AAAAAHY9/F8=")</f>
        <v>#VALUE!</v>
      </c>
      <c r="CS63" t="e">
        <f>AND(Bills!#REF!,"AAAAAHY9/GA=")</f>
        <v>#REF!</v>
      </c>
      <c r="CT63" t="e">
        <f>AND(Bills!K84,"AAAAAHY9/GE=")</f>
        <v>#VALUE!</v>
      </c>
      <c r="CU63" t="e">
        <f>AND(Bills!L84,"AAAAAHY9/GI=")</f>
        <v>#VALUE!</v>
      </c>
      <c r="CV63" t="e">
        <f>AND(Bills!M84,"AAAAAHY9/GM=")</f>
        <v>#VALUE!</v>
      </c>
      <c r="CW63" t="e">
        <f>AND(Bills!N84,"AAAAAHY9/GQ=")</f>
        <v>#VALUE!</v>
      </c>
      <c r="CX63" t="e">
        <f>AND(Bills!O84,"AAAAAHY9/GU=")</f>
        <v>#VALUE!</v>
      </c>
      <c r="CY63" t="e">
        <f>AND(Bills!P84,"AAAAAHY9/GY=")</f>
        <v>#VALUE!</v>
      </c>
      <c r="CZ63" t="e">
        <f>AND(Bills!Q84,"AAAAAHY9/Gc=")</f>
        <v>#VALUE!</v>
      </c>
      <c r="DA63" t="e">
        <f>AND(Bills!R84,"AAAAAHY9/Gg=")</f>
        <v>#VALUE!</v>
      </c>
      <c r="DB63" t="e">
        <f>AND(Bills!#REF!,"AAAAAHY9/Gk=")</f>
        <v>#REF!</v>
      </c>
      <c r="DC63" t="e">
        <f>AND(Bills!S84,"AAAAAHY9/Go=")</f>
        <v>#VALUE!</v>
      </c>
      <c r="DD63" t="e">
        <f>AND(Bills!T84,"AAAAAHY9/Gs=")</f>
        <v>#VALUE!</v>
      </c>
      <c r="DE63" t="e">
        <f>AND(Bills!U84,"AAAAAHY9/Gw=")</f>
        <v>#VALUE!</v>
      </c>
      <c r="DF63" t="e">
        <f>AND(Bills!#REF!,"AAAAAHY9/G0=")</f>
        <v>#REF!</v>
      </c>
      <c r="DG63" t="e">
        <f>AND(Bills!#REF!,"AAAAAHY9/G4=")</f>
        <v>#REF!</v>
      </c>
      <c r="DH63" t="e">
        <f>AND(Bills!W84,"AAAAAHY9/G8=")</f>
        <v>#VALUE!</v>
      </c>
      <c r="DI63" t="e">
        <f>AND(Bills!X84,"AAAAAHY9/HA=")</f>
        <v>#VALUE!</v>
      </c>
      <c r="DJ63" t="e">
        <f>AND(Bills!#REF!,"AAAAAHY9/HE=")</f>
        <v>#REF!</v>
      </c>
      <c r="DK63" t="e">
        <f>AND(Bills!#REF!,"AAAAAHY9/HI=")</f>
        <v>#REF!</v>
      </c>
      <c r="DL63" t="e">
        <f>AND(Bills!#REF!,"AAAAAHY9/HM=")</f>
        <v>#REF!</v>
      </c>
      <c r="DM63" t="e">
        <f>AND(Bills!#REF!,"AAAAAHY9/HQ=")</f>
        <v>#REF!</v>
      </c>
      <c r="DN63" t="e">
        <f>AND(Bills!#REF!,"AAAAAHY9/HU=")</f>
        <v>#REF!</v>
      </c>
      <c r="DO63" t="e">
        <f>AND(Bills!#REF!,"AAAAAHY9/HY=")</f>
        <v>#REF!</v>
      </c>
      <c r="DP63" t="e">
        <f>AND(Bills!#REF!,"AAAAAHY9/Hc=")</f>
        <v>#REF!</v>
      </c>
      <c r="DQ63" t="e">
        <f>AND(Bills!#REF!,"AAAAAHY9/Hg=")</f>
        <v>#REF!</v>
      </c>
      <c r="DR63" t="e">
        <f>AND(Bills!#REF!,"AAAAAHY9/Hk=")</f>
        <v>#REF!</v>
      </c>
      <c r="DS63" t="e">
        <f>AND(Bills!Y84,"AAAAAHY9/Ho=")</f>
        <v>#VALUE!</v>
      </c>
      <c r="DT63" t="e">
        <f>AND(Bills!Z84,"AAAAAHY9/Hs=")</f>
        <v>#VALUE!</v>
      </c>
      <c r="DU63" t="e">
        <f>AND(Bills!#REF!,"AAAAAHY9/Hw=")</f>
        <v>#REF!</v>
      </c>
      <c r="DV63" t="e">
        <f>AND(Bills!#REF!,"AAAAAHY9/H0=")</f>
        <v>#REF!</v>
      </c>
      <c r="DW63" t="e">
        <f>AND(Bills!#REF!,"AAAAAHY9/H4=")</f>
        <v>#REF!</v>
      </c>
      <c r="DX63" t="e">
        <f>AND(Bills!AA84,"AAAAAHY9/H8=")</f>
        <v>#VALUE!</v>
      </c>
      <c r="DY63" t="e">
        <f>AND(Bills!AB84,"AAAAAHY9/IA=")</f>
        <v>#VALUE!</v>
      </c>
      <c r="DZ63" t="e">
        <f>AND(Bills!#REF!,"AAAAAHY9/IE=")</f>
        <v>#REF!</v>
      </c>
      <c r="EA63">
        <f>IF(Bills!85:85,"AAAAAHY9/II=",0)</f>
        <v>0</v>
      </c>
      <c r="EB63" t="e">
        <f>AND(Bills!B85,"AAAAAHY9/IM=")</f>
        <v>#VALUE!</v>
      </c>
      <c r="EC63" t="e">
        <f>AND(Bills!#REF!,"AAAAAHY9/IQ=")</f>
        <v>#REF!</v>
      </c>
      <c r="ED63" t="e">
        <f>AND(Bills!C85,"AAAAAHY9/IU=")</f>
        <v>#VALUE!</v>
      </c>
      <c r="EE63" t="e">
        <f>AND(Bills!#REF!,"AAAAAHY9/IY=")</f>
        <v>#REF!</v>
      </c>
      <c r="EF63" t="e">
        <f>AND(Bills!#REF!,"AAAAAHY9/Ic=")</f>
        <v>#REF!</v>
      </c>
      <c r="EG63" t="e">
        <f>AND(Bills!#REF!,"AAAAAHY9/Ig=")</f>
        <v>#REF!</v>
      </c>
      <c r="EH63" t="e">
        <f>AND(Bills!#REF!,"AAAAAHY9/Ik=")</f>
        <v>#REF!</v>
      </c>
      <c r="EI63" t="e">
        <f>AND(Bills!#REF!,"AAAAAHY9/Io=")</f>
        <v>#REF!</v>
      </c>
      <c r="EJ63" t="e">
        <f>AND(Bills!D85,"AAAAAHY9/Is=")</f>
        <v>#VALUE!</v>
      </c>
      <c r="EK63" t="e">
        <f>AND(Bills!#REF!,"AAAAAHY9/Iw=")</f>
        <v>#REF!</v>
      </c>
      <c r="EL63" t="e">
        <f>AND(Bills!E85,"AAAAAHY9/I0=")</f>
        <v>#VALUE!</v>
      </c>
      <c r="EM63" t="e">
        <f>AND(Bills!F85,"AAAAAHY9/I4=")</f>
        <v>#VALUE!</v>
      </c>
      <c r="EN63" t="e">
        <f>AND(Bills!G85,"AAAAAHY9/I8=")</f>
        <v>#VALUE!</v>
      </c>
      <c r="EO63" t="e">
        <f>AND(Bills!H85,"AAAAAHY9/JA=")</f>
        <v>#VALUE!</v>
      </c>
      <c r="EP63" t="e">
        <f>AND(Bills!I85,"AAAAAHY9/JE=")</f>
        <v>#VALUE!</v>
      </c>
      <c r="EQ63" t="e">
        <f>AND(Bills!J85,"AAAAAHY9/JI=")</f>
        <v>#VALUE!</v>
      </c>
      <c r="ER63" t="e">
        <f>AND(Bills!#REF!,"AAAAAHY9/JM=")</f>
        <v>#REF!</v>
      </c>
      <c r="ES63" t="e">
        <f>AND(Bills!K85,"AAAAAHY9/JQ=")</f>
        <v>#VALUE!</v>
      </c>
      <c r="ET63" t="e">
        <f>AND(Bills!L85,"AAAAAHY9/JU=")</f>
        <v>#VALUE!</v>
      </c>
      <c r="EU63" t="e">
        <f>AND(Bills!M85,"AAAAAHY9/JY=")</f>
        <v>#VALUE!</v>
      </c>
      <c r="EV63" t="e">
        <f>AND(Bills!N85,"AAAAAHY9/Jc=")</f>
        <v>#VALUE!</v>
      </c>
      <c r="EW63" t="e">
        <f>AND(Bills!O85,"AAAAAHY9/Jg=")</f>
        <v>#VALUE!</v>
      </c>
      <c r="EX63" t="e">
        <f>AND(Bills!P85,"AAAAAHY9/Jk=")</f>
        <v>#VALUE!</v>
      </c>
      <c r="EY63" t="e">
        <f>AND(Bills!Q85,"AAAAAHY9/Jo=")</f>
        <v>#VALUE!</v>
      </c>
      <c r="EZ63" t="e">
        <f>AND(Bills!R85,"AAAAAHY9/Js=")</f>
        <v>#VALUE!</v>
      </c>
      <c r="FA63" t="e">
        <f>AND(Bills!#REF!,"AAAAAHY9/Jw=")</f>
        <v>#REF!</v>
      </c>
      <c r="FB63" t="e">
        <f>AND(Bills!S85,"AAAAAHY9/J0=")</f>
        <v>#VALUE!</v>
      </c>
      <c r="FC63" t="e">
        <f>AND(Bills!T85,"AAAAAHY9/J4=")</f>
        <v>#VALUE!</v>
      </c>
      <c r="FD63" t="e">
        <f>AND(Bills!U85,"AAAAAHY9/J8=")</f>
        <v>#VALUE!</v>
      </c>
      <c r="FE63" t="e">
        <f>AND(Bills!#REF!,"AAAAAHY9/KA=")</f>
        <v>#REF!</v>
      </c>
      <c r="FF63" t="e">
        <f>AND(Bills!#REF!,"AAAAAHY9/KE=")</f>
        <v>#REF!</v>
      </c>
      <c r="FG63" t="e">
        <f>AND(Bills!W85,"AAAAAHY9/KI=")</f>
        <v>#VALUE!</v>
      </c>
      <c r="FH63" t="e">
        <f>AND(Bills!X85,"AAAAAHY9/KM=")</f>
        <v>#VALUE!</v>
      </c>
      <c r="FI63" t="e">
        <f>AND(Bills!#REF!,"AAAAAHY9/KQ=")</f>
        <v>#REF!</v>
      </c>
      <c r="FJ63" t="e">
        <f>AND(Bills!#REF!,"AAAAAHY9/KU=")</f>
        <v>#REF!</v>
      </c>
      <c r="FK63" t="e">
        <f>AND(Bills!#REF!,"AAAAAHY9/KY=")</f>
        <v>#REF!</v>
      </c>
      <c r="FL63" t="e">
        <f>AND(Bills!#REF!,"AAAAAHY9/Kc=")</f>
        <v>#REF!</v>
      </c>
      <c r="FM63" t="e">
        <f>AND(Bills!#REF!,"AAAAAHY9/Kg=")</f>
        <v>#REF!</v>
      </c>
      <c r="FN63" t="e">
        <f>AND(Bills!#REF!,"AAAAAHY9/Kk=")</f>
        <v>#REF!</v>
      </c>
      <c r="FO63" t="e">
        <f>AND(Bills!#REF!,"AAAAAHY9/Ko=")</f>
        <v>#REF!</v>
      </c>
      <c r="FP63" t="e">
        <f>AND(Bills!#REF!,"AAAAAHY9/Ks=")</f>
        <v>#REF!</v>
      </c>
      <c r="FQ63" t="e">
        <f>AND(Bills!#REF!,"AAAAAHY9/Kw=")</f>
        <v>#REF!</v>
      </c>
      <c r="FR63" t="e">
        <f>AND(Bills!Y85,"AAAAAHY9/K0=")</f>
        <v>#VALUE!</v>
      </c>
      <c r="FS63" t="e">
        <f>AND(Bills!Z85,"AAAAAHY9/K4=")</f>
        <v>#VALUE!</v>
      </c>
      <c r="FT63" t="e">
        <f>AND(Bills!#REF!,"AAAAAHY9/K8=")</f>
        <v>#REF!</v>
      </c>
      <c r="FU63" t="e">
        <f>AND(Bills!#REF!,"AAAAAHY9/LA=")</f>
        <v>#REF!</v>
      </c>
      <c r="FV63" t="e">
        <f>AND(Bills!#REF!,"AAAAAHY9/LE=")</f>
        <v>#REF!</v>
      </c>
      <c r="FW63" t="e">
        <f>AND(Bills!AA85,"AAAAAHY9/LI=")</f>
        <v>#VALUE!</v>
      </c>
      <c r="FX63" t="e">
        <f>AND(Bills!AB85,"AAAAAHY9/LM=")</f>
        <v>#VALUE!</v>
      </c>
      <c r="FY63" t="e">
        <f>AND(Bills!#REF!,"AAAAAHY9/LQ=")</f>
        <v>#REF!</v>
      </c>
      <c r="FZ63">
        <f>IF(Bills!86:86,"AAAAAHY9/LU=",0)</f>
        <v>0</v>
      </c>
      <c r="GA63" t="e">
        <f>AND(Bills!B86,"AAAAAHY9/LY=")</f>
        <v>#VALUE!</v>
      </c>
      <c r="GB63" t="e">
        <f>AND(Bills!#REF!,"AAAAAHY9/Lc=")</f>
        <v>#REF!</v>
      </c>
      <c r="GC63" t="e">
        <f>AND(Bills!C86,"AAAAAHY9/Lg=")</f>
        <v>#VALUE!</v>
      </c>
      <c r="GD63" t="e">
        <f>AND(Bills!#REF!,"AAAAAHY9/Lk=")</f>
        <v>#REF!</v>
      </c>
      <c r="GE63" t="e">
        <f>AND(Bills!#REF!,"AAAAAHY9/Lo=")</f>
        <v>#REF!</v>
      </c>
      <c r="GF63" t="e">
        <f>AND(Bills!#REF!,"AAAAAHY9/Ls=")</f>
        <v>#REF!</v>
      </c>
      <c r="GG63" t="e">
        <f>AND(Bills!#REF!,"AAAAAHY9/Lw=")</f>
        <v>#REF!</v>
      </c>
      <c r="GH63" t="e">
        <f>AND(Bills!#REF!,"AAAAAHY9/L0=")</f>
        <v>#REF!</v>
      </c>
      <c r="GI63" t="e">
        <f>AND(Bills!D86,"AAAAAHY9/L4=")</f>
        <v>#VALUE!</v>
      </c>
      <c r="GJ63" t="e">
        <f>AND(Bills!#REF!,"AAAAAHY9/L8=")</f>
        <v>#REF!</v>
      </c>
      <c r="GK63" t="e">
        <f>AND(Bills!E86,"AAAAAHY9/MA=")</f>
        <v>#VALUE!</v>
      </c>
      <c r="GL63" t="e">
        <f>AND(Bills!F86,"AAAAAHY9/ME=")</f>
        <v>#VALUE!</v>
      </c>
      <c r="GM63" t="e">
        <f>AND(Bills!G86,"AAAAAHY9/MI=")</f>
        <v>#VALUE!</v>
      </c>
      <c r="GN63" t="e">
        <f>AND(Bills!H86,"AAAAAHY9/MM=")</f>
        <v>#VALUE!</v>
      </c>
      <c r="GO63" t="e">
        <f>AND(Bills!I86,"AAAAAHY9/MQ=")</f>
        <v>#VALUE!</v>
      </c>
      <c r="GP63" t="e">
        <f>AND(Bills!J86,"AAAAAHY9/MU=")</f>
        <v>#VALUE!</v>
      </c>
      <c r="GQ63" t="e">
        <f>AND(Bills!#REF!,"AAAAAHY9/MY=")</f>
        <v>#REF!</v>
      </c>
      <c r="GR63" t="e">
        <f>AND(Bills!K86,"AAAAAHY9/Mc=")</f>
        <v>#VALUE!</v>
      </c>
      <c r="GS63" t="e">
        <f>AND(Bills!L86,"AAAAAHY9/Mg=")</f>
        <v>#VALUE!</v>
      </c>
      <c r="GT63" t="e">
        <f>AND(Bills!M86,"AAAAAHY9/Mk=")</f>
        <v>#VALUE!</v>
      </c>
      <c r="GU63" t="e">
        <f>AND(Bills!N86,"AAAAAHY9/Mo=")</f>
        <v>#VALUE!</v>
      </c>
      <c r="GV63" t="e">
        <f>AND(Bills!O86,"AAAAAHY9/Ms=")</f>
        <v>#VALUE!</v>
      </c>
      <c r="GW63" t="e">
        <f>AND(Bills!P86,"AAAAAHY9/Mw=")</f>
        <v>#VALUE!</v>
      </c>
      <c r="GX63" t="e">
        <f>AND(Bills!Q86,"AAAAAHY9/M0=")</f>
        <v>#VALUE!</v>
      </c>
      <c r="GY63" t="e">
        <f>AND(Bills!R86,"AAAAAHY9/M4=")</f>
        <v>#VALUE!</v>
      </c>
      <c r="GZ63" t="e">
        <f>AND(Bills!#REF!,"AAAAAHY9/M8=")</f>
        <v>#REF!</v>
      </c>
      <c r="HA63" t="e">
        <f>AND(Bills!S86,"AAAAAHY9/NA=")</f>
        <v>#VALUE!</v>
      </c>
      <c r="HB63" t="e">
        <f>AND(Bills!T86,"AAAAAHY9/NE=")</f>
        <v>#VALUE!</v>
      </c>
      <c r="HC63" t="e">
        <f>AND(Bills!U86,"AAAAAHY9/NI=")</f>
        <v>#VALUE!</v>
      </c>
      <c r="HD63" t="e">
        <f>AND(Bills!#REF!,"AAAAAHY9/NM=")</f>
        <v>#REF!</v>
      </c>
      <c r="HE63" t="e">
        <f>AND(Bills!#REF!,"AAAAAHY9/NQ=")</f>
        <v>#REF!</v>
      </c>
      <c r="HF63" t="e">
        <f>AND(Bills!W86,"AAAAAHY9/NU=")</f>
        <v>#VALUE!</v>
      </c>
      <c r="HG63" t="e">
        <f>AND(Bills!X86,"AAAAAHY9/NY=")</f>
        <v>#VALUE!</v>
      </c>
      <c r="HH63" t="e">
        <f>AND(Bills!#REF!,"AAAAAHY9/Nc=")</f>
        <v>#REF!</v>
      </c>
      <c r="HI63" t="e">
        <f>AND(Bills!#REF!,"AAAAAHY9/Ng=")</f>
        <v>#REF!</v>
      </c>
      <c r="HJ63" t="e">
        <f>AND(Bills!#REF!,"AAAAAHY9/Nk=")</f>
        <v>#REF!</v>
      </c>
      <c r="HK63" t="e">
        <f>AND(Bills!#REF!,"AAAAAHY9/No=")</f>
        <v>#REF!</v>
      </c>
      <c r="HL63" t="e">
        <f>AND(Bills!#REF!,"AAAAAHY9/Ns=")</f>
        <v>#REF!</v>
      </c>
      <c r="HM63" t="e">
        <f>AND(Bills!#REF!,"AAAAAHY9/Nw=")</f>
        <v>#REF!</v>
      </c>
      <c r="HN63" t="e">
        <f>AND(Bills!#REF!,"AAAAAHY9/N0=")</f>
        <v>#REF!</v>
      </c>
      <c r="HO63" t="e">
        <f>AND(Bills!#REF!,"AAAAAHY9/N4=")</f>
        <v>#REF!</v>
      </c>
      <c r="HP63" t="e">
        <f>AND(Bills!#REF!,"AAAAAHY9/N8=")</f>
        <v>#REF!</v>
      </c>
      <c r="HQ63" t="e">
        <f>AND(Bills!Y86,"AAAAAHY9/OA=")</f>
        <v>#VALUE!</v>
      </c>
      <c r="HR63" t="e">
        <f>AND(Bills!Z86,"AAAAAHY9/OE=")</f>
        <v>#VALUE!</v>
      </c>
      <c r="HS63" t="e">
        <f>AND(Bills!#REF!,"AAAAAHY9/OI=")</f>
        <v>#REF!</v>
      </c>
      <c r="HT63" t="e">
        <f>AND(Bills!#REF!,"AAAAAHY9/OM=")</f>
        <v>#REF!</v>
      </c>
      <c r="HU63" t="e">
        <f>AND(Bills!#REF!,"AAAAAHY9/OQ=")</f>
        <v>#REF!</v>
      </c>
      <c r="HV63" t="e">
        <f>AND(Bills!AA86,"AAAAAHY9/OU=")</f>
        <v>#VALUE!</v>
      </c>
      <c r="HW63" t="e">
        <f>AND(Bills!AB86,"AAAAAHY9/OY=")</f>
        <v>#VALUE!</v>
      </c>
      <c r="HX63" t="e">
        <f>AND(Bills!#REF!,"AAAAAHY9/Oc=")</f>
        <v>#REF!</v>
      </c>
      <c r="HY63">
        <f>IF(Bills!87:87,"AAAAAHY9/Og=",0)</f>
        <v>0</v>
      </c>
      <c r="HZ63" t="e">
        <f>AND(Bills!B87,"AAAAAHY9/Ok=")</f>
        <v>#VALUE!</v>
      </c>
      <c r="IA63" t="e">
        <f>AND(Bills!#REF!,"AAAAAHY9/Oo=")</f>
        <v>#REF!</v>
      </c>
      <c r="IB63" t="e">
        <f>AND(Bills!C87,"AAAAAHY9/Os=")</f>
        <v>#VALUE!</v>
      </c>
      <c r="IC63" t="e">
        <f>AND(Bills!#REF!,"AAAAAHY9/Ow=")</f>
        <v>#REF!</v>
      </c>
      <c r="ID63" t="e">
        <f>AND(Bills!#REF!,"AAAAAHY9/O0=")</f>
        <v>#REF!</v>
      </c>
      <c r="IE63" t="e">
        <f>AND(Bills!#REF!,"AAAAAHY9/O4=")</f>
        <v>#REF!</v>
      </c>
      <c r="IF63" t="e">
        <f>AND(Bills!#REF!,"AAAAAHY9/O8=")</f>
        <v>#REF!</v>
      </c>
      <c r="IG63" t="e">
        <f>AND(Bills!#REF!,"AAAAAHY9/PA=")</f>
        <v>#REF!</v>
      </c>
      <c r="IH63" t="e">
        <f>AND(Bills!D87,"AAAAAHY9/PE=")</f>
        <v>#VALUE!</v>
      </c>
      <c r="II63" t="e">
        <f>AND(Bills!#REF!,"AAAAAHY9/PI=")</f>
        <v>#REF!</v>
      </c>
      <c r="IJ63" t="e">
        <f>AND(Bills!E87,"AAAAAHY9/PM=")</f>
        <v>#VALUE!</v>
      </c>
      <c r="IK63" t="e">
        <f>AND(Bills!F87,"AAAAAHY9/PQ=")</f>
        <v>#VALUE!</v>
      </c>
      <c r="IL63" t="e">
        <f>AND(Bills!G87,"AAAAAHY9/PU=")</f>
        <v>#VALUE!</v>
      </c>
      <c r="IM63" t="e">
        <f>AND(Bills!H87,"AAAAAHY9/PY=")</f>
        <v>#VALUE!</v>
      </c>
      <c r="IN63" t="e">
        <f>AND(Bills!I87,"AAAAAHY9/Pc=")</f>
        <v>#VALUE!</v>
      </c>
      <c r="IO63" t="e">
        <f>AND(Bills!J87,"AAAAAHY9/Pg=")</f>
        <v>#VALUE!</v>
      </c>
      <c r="IP63" t="e">
        <f>AND(Bills!#REF!,"AAAAAHY9/Pk=")</f>
        <v>#REF!</v>
      </c>
      <c r="IQ63" t="e">
        <f>AND(Bills!K87,"AAAAAHY9/Po=")</f>
        <v>#VALUE!</v>
      </c>
      <c r="IR63" t="e">
        <f>AND(Bills!L87,"AAAAAHY9/Ps=")</f>
        <v>#VALUE!</v>
      </c>
      <c r="IS63" t="e">
        <f>AND(Bills!M87,"AAAAAHY9/Pw=")</f>
        <v>#VALUE!</v>
      </c>
      <c r="IT63" t="e">
        <f>AND(Bills!N87,"AAAAAHY9/P0=")</f>
        <v>#VALUE!</v>
      </c>
      <c r="IU63" t="e">
        <f>AND(Bills!O87,"AAAAAHY9/P4=")</f>
        <v>#VALUE!</v>
      </c>
      <c r="IV63" t="e">
        <f>AND(Bills!P87,"AAAAAHY9/P8=")</f>
        <v>#VALUE!</v>
      </c>
    </row>
    <row r="64" spans="1:256">
      <c r="A64" t="e">
        <f>AND(Bills!Q87,"AAAAAHP7fgA=")</f>
        <v>#VALUE!</v>
      </c>
      <c r="B64" t="e">
        <f>AND(Bills!R87,"AAAAAHP7fgE=")</f>
        <v>#VALUE!</v>
      </c>
      <c r="C64" t="e">
        <f>AND(Bills!#REF!,"AAAAAHP7fgI=")</f>
        <v>#REF!</v>
      </c>
      <c r="D64" t="e">
        <f>AND(Bills!S87,"AAAAAHP7fgM=")</f>
        <v>#VALUE!</v>
      </c>
      <c r="E64" t="e">
        <f>AND(Bills!T87,"AAAAAHP7fgQ=")</f>
        <v>#VALUE!</v>
      </c>
      <c r="F64" t="e">
        <f>AND(Bills!U87,"AAAAAHP7fgU=")</f>
        <v>#VALUE!</v>
      </c>
      <c r="G64" t="e">
        <f>AND(Bills!#REF!,"AAAAAHP7fgY=")</f>
        <v>#REF!</v>
      </c>
      <c r="H64" t="e">
        <f>AND(Bills!#REF!,"AAAAAHP7fgc=")</f>
        <v>#REF!</v>
      </c>
      <c r="I64" t="e">
        <f>AND(Bills!W87,"AAAAAHP7fgg=")</f>
        <v>#VALUE!</v>
      </c>
      <c r="J64" t="e">
        <f>AND(Bills!X87,"AAAAAHP7fgk=")</f>
        <v>#VALUE!</v>
      </c>
      <c r="K64" t="e">
        <f>AND(Bills!#REF!,"AAAAAHP7fgo=")</f>
        <v>#REF!</v>
      </c>
      <c r="L64" t="e">
        <f>AND(Bills!#REF!,"AAAAAHP7fgs=")</f>
        <v>#REF!</v>
      </c>
      <c r="M64" t="e">
        <f>AND(Bills!#REF!,"AAAAAHP7fgw=")</f>
        <v>#REF!</v>
      </c>
      <c r="N64" t="e">
        <f>AND(Bills!#REF!,"AAAAAHP7fg0=")</f>
        <v>#REF!</v>
      </c>
      <c r="O64" t="e">
        <f>AND(Bills!#REF!,"AAAAAHP7fg4=")</f>
        <v>#REF!</v>
      </c>
      <c r="P64" t="e">
        <f>AND(Bills!#REF!,"AAAAAHP7fg8=")</f>
        <v>#REF!</v>
      </c>
      <c r="Q64" t="e">
        <f>AND(Bills!#REF!,"AAAAAHP7fhA=")</f>
        <v>#REF!</v>
      </c>
      <c r="R64" t="e">
        <f>AND(Bills!#REF!,"AAAAAHP7fhE=")</f>
        <v>#REF!</v>
      </c>
      <c r="S64" t="e">
        <f>AND(Bills!#REF!,"AAAAAHP7fhI=")</f>
        <v>#REF!</v>
      </c>
      <c r="T64" t="e">
        <f>AND(Bills!Y87,"AAAAAHP7fhM=")</f>
        <v>#VALUE!</v>
      </c>
      <c r="U64" t="e">
        <f>AND(Bills!Z87,"AAAAAHP7fhQ=")</f>
        <v>#VALUE!</v>
      </c>
      <c r="V64" t="e">
        <f>AND(Bills!#REF!,"AAAAAHP7fhU=")</f>
        <v>#REF!</v>
      </c>
      <c r="W64" t="e">
        <f>AND(Bills!#REF!,"AAAAAHP7fhY=")</f>
        <v>#REF!</v>
      </c>
      <c r="X64" t="e">
        <f>AND(Bills!#REF!,"AAAAAHP7fhc=")</f>
        <v>#REF!</v>
      </c>
      <c r="Y64" t="e">
        <f>AND(Bills!AA87,"AAAAAHP7fhg=")</f>
        <v>#VALUE!</v>
      </c>
      <c r="Z64" t="e">
        <f>AND(Bills!AB87,"AAAAAHP7fhk=")</f>
        <v>#VALUE!</v>
      </c>
      <c r="AA64" t="e">
        <f>AND(Bills!#REF!,"AAAAAHP7fho=")</f>
        <v>#REF!</v>
      </c>
      <c r="AB64">
        <f>IF(Bills!88:88,"AAAAAHP7fhs=",0)</f>
        <v>0</v>
      </c>
      <c r="AC64" t="e">
        <f>AND(Bills!B88,"AAAAAHP7fhw=")</f>
        <v>#VALUE!</v>
      </c>
      <c r="AD64" t="e">
        <f>AND(Bills!#REF!,"AAAAAHP7fh0=")</f>
        <v>#REF!</v>
      </c>
      <c r="AE64" t="e">
        <f>AND(Bills!C88,"AAAAAHP7fh4=")</f>
        <v>#VALUE!</v>
      </c>
      <c r="AF64" t="e">
        <f>AND(Bills!#REF!,"AAAAAHP7fh8=")</f>
        <v>#REF!</v>
      </c>
      <c r="AG64" t="e">
        <f>AND(Bills!#REF!,"AAAAAHP7fiA=")</f>
        <v>#REF!</v>
      </c>
      <c r="AH64" t="e">
        <f>AND(Bills!#REF!,"AAAAAHP7fiE=")</f>
        <v>#REF!</v>
      </c>
      <c r="AI64" t="e">
        <f>AND(Bills!#REF!,"AAAAAHP7fiI=")</f>
        <v>#REF!</v>
      </c>
      <c r="AJ64" t="e">
        <f>AND(Bills!#REF!,"AAAAAHP7fiM=")</f>
        <v>#REF!</v>
      </c>
      <c r="AK64" t="e">
        <f>AND(Bills!D88,"AAAAAHP7fiQ=")</f>
        <v>#VALUE!</v>
      </c>
      <c r="AL64" t="e">
        <f>AND(Bills!#REF!,"AAAAAHP7fiU=")</f>
        <v>#REF!</v>
      </c>
      <c r="AM64" t="e">
        <f>AND(Bills!E88,"AAAAAHP7fiY=")</f>
        <v>#VALUE!</v>
      </c>
      <c r="AN64" t="e">
        <f>AND(Bills!F88,"AAAAAHP7fic=")</f>
        <v>#VALUE!</v>
      </c>
      <c r="AO64" t="e">
        <f>AND(Bills!G88,"AAAAAHP7fig=")</f>
        <v>#VALUE!</v>
      </c>
      <c r="AP64" t="e">
        <f>AND(Bills!H88,"AAAAAHP7fik=")</f>
        <v>#VALUE!</v>
      </c>
      <c r="AQ64" t="e">
        <f>AND(Bills!I88,"AAAAAHP7fio=")</f>
        <v>#VALUE!</v>
      </c>
      <c r="AR64" t="e">
        <f>AND(Bills!J88,"AAAAAHP7fis=")</f>
        <v>#VALUE!</v>
      </c>
      <c r="AS64" t="e">
        <f>AND(Bills!#REF!,"AAAAAHP7fiw=")</f>
        <v>#REF!</v>
      </c>
      <c r="AT64" t="e">
        <f>AND(Bills!K88,"AAAAAHP7fi0=")</f>
        <v>#VALUE!</v>
      </c>
      <c r="AU64" t="e">
        <f>AND(Bills!L88,"AAAAAHP7fi4=")</f>
        <v>#VALUE!</v>
      </c>
      <c r="AV64" t="e">
        <f>AND(Bills!M88,"AAAAAHP7fi8=")</f>
        <v>#VALUE!</v>
      </c>
      <c r="AW64" t="e">
        <f>AND(Bills!N88,"AAAAAHP7fjA=")</f>
        <v>#VALUE!</v>
      </c>
      <c r="AX64" t="e">
        <f>AND(Bills!O88,"AAAAAHP7fjE=")</f>
        <v>#VALUE!</v>
      </c>
      <c r="AY64" t="e">
        <f>AND(Bills!P88,"AAAAAHP7fjI=")</f>
        <v>#VALUE!</v>
      </c>
      <c r="AZ64" t="e">
        <f>AND(Bills!Q88,"AAAAAHP7fjM=")</f>
        <v>#VALUE!</v>
      </c>
      <c r="BA64" t="e">
        <f>AND(Bills!R88,"AAAAAHP7fjQ=")</f>
        <v>#VALUE!</v>
      </c>
      <c r="BB64" t="e">
        <f>AND(Bills!#REF!,"AAAAAHP7fjU=")</f>
        <v>#REF!</v>
      </c>
      <c r="BC64" t="e">
        <f>AND(Bills!S88,"AAAAAHP7fjY=")</f>
        <v>#VALUE!</v>
      </c>
      <c r="BD64" t="e">
        <f>AND(Bills!T88,"AAAAAHP7fjc=")</f>
        <v>#VALUE!</v>
      </c>
      <c r="BE64" t="e">
        <f>AND(Bills!U88,"AAAAAHP7fjg=")</f>
        <v>#VALUE!</v>
      </c>
      <c r="BF64" t="e">
        <f>AND(Bills!#REF!,"AAAAAHP7fjk=")</f>
        <v>#REF!</v>
      </c>
      <c r="BG64" t="e">
        <f>AND(Bills!#REF!,"AAAAAHP7fjo=")</f>
        <v>#REF!</v>
      </c>
      <c r="BH64" t="e">
        <f>AND(Bills!W88,"AAAAAHP7fjs=")</f>
        <v>#VALUE!</v>
      </c>
      <c r="BI64" t="e">
        <f>AND(Bills!X88,"AAAAAHP7fjw=")</f>
        <v>#VALUE!</v>
      </c>
      <c r="BJ64" t="e">
        <f>AND(Bills!#REF!,"AAAAAHP7fj0=")</f>
        <v>#REF!</v>
      </c>
      <c r="BK64" t="e">
        <f>AND(Bills!#REF!,"AAAAAHP7fj4=")</f>
        <v>#REF!</v>
      </c>
      <c r="BL64" t="e">
        <f>AND(Bills!#REF!,"AAAAAHP7fj8=")</f>
        <v>#REF!</v>
      </c>
      <c r="BM64" t="e">
        <f>AND(Bills!#REF!,"AAAAAHP7fkA=")</f>
        <v>#REF!</v>
      </c>
      <c r="BN64" t="e">
        <f>AND(Bills!#REF!,"AAAAAHP7fkE=")</f>
        <v>#REF!</v>
      </c>
      <c r="BO64" t="e">
        <f>AND(Bills!#REF!,"AAAAAHP7fkI=")</f>
        <v>#REF!</v>
      </c>
      <c r="BP64" t="e">
        <f>AND(Bills!#REF!,"AAAAAHP7fkM=")</f>
        <v>#REF!</v>
      </c>
      <c r="BQ64" t="e">
        <f>AND(Bills!#REF!,"AAAAAHP7fkQ=")</f>
        <v>#REF!</v>
      </c>
      <c r="BR64" t="e">
        <f>AND(Bills!#REF!,"AAAAAHP7fkU=")</f>
        <v>#REF!</v>
      </c>
      <c r="BS64" t="e">
        <f>AND(Bills!Y88,"AAAAAHP7fkY=")</f>
        <v>#VALUE!</v>
      </c>
      <c r="BT64" t="e">
        <f>AND(Bills!Z88,"AAAAAHP7fkc=")</f>
        <v>#VALUE!</v>
      </c>
      <c r="BU64" t="e">
        <f>AND(Bills!#REF!,"AAAAAHP7fkg=")</f>
        <v>#REF!</v>
      </c>
      <c r="BV64" t="e">
        <f>AND(Bills!#REF!,"AAAAAHP7fkk=")</f>
        <v>#REF!</v>
      </c>
      <c r="BW64" t="e">
        <f>AND(Bills!#REF!,"AAAAAHP7fko=")</f>
        <v>#REF!</v>
      </c>
      <c r="BX64" t="e">
        <f>AND(Bills!AA88,"AAAAAHP7fks=")</f>
        <v>#VALUE!</v>
      </c>
      <c r="BY64" t="e">
        <f>AND(Bills!AB88,"AAAAAHP7fkw=")</f>
        <v>#VALUE!</v>
      </c>
      <c r="BZ64" t="e">
        <f>AND(Bills!#REF!,"AAAAAHP7fk0=")</f>
        <v>#REF!</v>
      </c>
      <c r="CA64">
        <f>IF(Bills!89:89,"AAAAAHP7fk4=",0)</f>
        <v>0</v>
      </c>
      <c r="CB64" t="e">
        <f>AND(Bills!B89,"AAAAAHP7fk8=")</f>
        <v>#VALUE!</v>
      </c>
      <c r="CC64" t="e">
        <f>AND(Bills!#REF!,"AAAAAHP7flA=")</f>
        <v>#REF!</v>
      </c>
      <c r="CD64" t="e">
        <f>AND(Bills!C89,"AAAAAHP7flE=")</f>
        <v>#VALUE!</v>
      </c>
      <c r="CE64" t="e">
        <f>AND(Bills!#REF!,"AAAAAHP7flI=")</f>
        <v>#REF!</v>
      </c>
      <c r="CF64" t="e">
        <f>AND(Bills!#REF!,"AAAAAHP7flM=")</f>
        <v>#REF!</v>
      </c>
      <c r="CG64" t="e">
        <f>AND(Bills!#REF!,"AAAAAHP7flQ=")</f>
        <v>#REF!</v>
      </c>
      <c r="CH64" t="e">
        <f>AND(Bills!#REF!,"AAAAAHP7flU=")</f>
        <v>#REF!</v>
      </c>
      <c r="CI64" t="e">
        <f>AND(Bills!#REF!,"AAAAAHP7flY=")</f>
        <v>#REF!</v>
      </c>
      <c r="CJ64" t="e">
        <f>AND(Bills!D89,"AAAAAHP7flc=")</f>
        <v>#VALUE!</v>
      </c>
      <c r="CK64" t="e">
        <f>AND(Bills!#REF!,"AAAAAHP7flg=")</f>
        <v>#REF!</v>
      </c>
      <c r="CL64" t="e">
        <f>AND(Bills!E89,"AAAAAHP7flk=")</f>
        <v>#VALUE!</v>
      </c>
      <c r="CM64" t="e">
        <f>AND(Bills!F89,"AAAAAHP7flo=")</f>
        <v>#VALUE!</v>
      </c>
      <c r="CN64" t="e">
        <f>AND(Bills!G89,"AAAAAHP7fls=")</f>
        <v>#VALUE!</v>
      </c>
      <c r="CO64" t="e">
        <f>AND(Bills!H89,"AAAAAHP7flw=")</f>
        <v>#VALUE!</v>
      </c>
      <c r="CP64" t="e">
        <f>AND(Bills!I89,"AAAAAHP7fl0=")</f>
        <v>#VALUE!</v>
      </c>
      <c r="CQ64" t="e">
        <f>AND(Bills!J89,"AAAAAHP7fl4=")</f>
        <v>#VALUE!</v>
      </c>
      <c r="CR64" t="e">
        <f>AND(Bills!#REF!,"AAAAAHP7fl8=")</f>
        <v>#REF!</v>
      </c>
      <c r="CS64" t="e">
        <f>AND(Bills!K89,"AAAAAHP7fmA=")</f>
        <v>#VALUE!</v>
      </c>
      <c r="CT64" t="e">
        <f>AND(Bills!L89,"AAAAAHP7fmE=")</f>
        <v>#VALUE!</v>
      </c>
      <c r="CU64" t="e">
        <f>AND(Bills!M89,"AAAAAHP7fmI=")</f>
        <v>#VALUE!</v>
      </c>
      <c r="CV64" t="e">
        <f>AND(Bills!N89,"AAAAAHP7fmM=")</f>
        <v>#VALUE!</v>
      </c>
      <c r="CW64" t="e">
        <f>AND(Bills!O89,"AAAAAHP7fmQ=")</f>
        <v>#VALUE!</v>
      </c>
      <c r="CX64" t="e">
        <f>AND(Bills!P89,"AAAAAHP7fmU=")</f>
        <v>#VALUE!</v>
      </c>
      <c r="CY64" t="e">
        <f>AND(Bills!Q89,"AAAAAHP7fmY=")</f>
        <v>#VALUE!</v>
      </c>
      <c r="CZ64" t="e">
        <f>AND(Bills!R89,"AAAAAHP7fmc=")</f>
        <v>#VALUE!</v>
      </c>
      <c r="DA64" t="e">
        <f>AND(Bills!#REF!,"AAAAAHP7fmg=")</f>
        <v>#REF!</v>
      </c>
      <c r="DB64" t="e">
        <f>AND(Bills!S89,"AAAAAHP7fmk=")</f>
        <v>#VALUE!</v>
      </c>
      <c r="DC64" t="e">
        <f>AND(Bills!T89,"AAAAAHP7fmo=")</f>
        <v>#VALUE!</v>
      </c>
      <c r="DD64" t="e">
        <f>AND(Bills!U89,"AAAAAHP7fms=")</f>
        <v>#VALUE!</v>
      </c>
      <c r="DE64" t="e">
        <f>AND(Bills!#REF!,"AAAAAHP7fmw=")</f>
        <v>#REF!</v>
      </c>
      <c r="DF64" t="e">
        <f>AND(Bills!#REF!,"AAAAAHP7fm0=")</f>
        <v>#REF!</v>
      </c>
      <c r="DG64" t="e">
        <f>AND(Bills!W89,"AAAAAHP7fm4=")</f>
        <v>#VALUE!</v>
      </c>
      <c r="DH64" t="e">
        <f>AND(Bills!X89,"AAAAAHP7fm8=")</f>
        <v>#VALUE!</v>
      </c>
      <c r="DI64" t="e">
        <f>AND(Bills!#REF!,"AAAAAHP7fnA=")</f>
        <v>#REF!</v>
      </c>
      <c r="DJ64" t="e">
        <f>AND(Bills!#REF!,"AAAAAHP7fnE=")</f>
        <v>#REF!</v>
      </c>
      <c r="DK64" t="e">
        <f>AND(Bills!#REF!,"AAAAAHP7fnI=")</f>
        <v>#REF!</v>
      </c>
      <c r="DL64" t="e">
        <f>AND(Bills!#REF!,"AAAAAHP7fnM=")</f>
        <v>#REF!</v>
      </c>
      <c r="DM64" t="e">
        <f>AND(Bills!#REF!,"AAAAAHP7fnQ=")</f>
        <v>#REF!</v>
      </c>
      <c r="DN64" t="e">
        <f>AND(Bills!#REF!,"AAAAAHP7fnU=")</f>
        <v>#REF!</v>
      </c>
      <c r="DO64" t="e">
        <f>AND(Bills!#REF!,"AAAAAHP7fnY=")</f>
        <v>#REF!</v>
      </c>
      <c r="DP64" t="e">
        <f>AND(Bills!#REF!,"AAAAAHP7fnc=")</f>
        <v>#REF!</v>
      </c>
      <c r="DQ64" t="e">
        <f>AND(Bills!#REF!,"AAAAAHP7fng=")</f>
        <v>#REF!</v>
      </c>
      <c r="DR64" t="e">
        <f>AND(Bills!Y89,"AAAAAHP7fnk=")</f>
        <v>#VALUE!</v>
      </c>
      <c r="DS64" t="e">
        <f>AND(Bills!Z89,"AAAAAHP7fno=")</f>
        <v>#VALUE!</v>
      </c>
      <c r="DT64" t="e">
        <f>AND(Bills!#REF!,"AAAAAHP7fns=")</f>
        <v>#REF!</v>
      </c>
      <c r="DU64" t="e">
        <f>AND(Bills!#REF!,"AAAAAHP7fnw=")</f>
        <v>#REF!</v>
      </c>
      <c r="DV64" t="e">
        <f>AND(Bills!#REF!,"AAAAAHP7fn0=")</f>
        <v>#REF!</v>
      </c>
      <c r="DW64" t="e">
        <f>AND(Bills!AA89,"AAAAAHP7fn4=")</f>
        <v>#VALUE!</v>
      </c>
      <c r="DX64" t="e">
        <f>AND(Bills!AB89,"AAAAAHP7fn8=")</f>
        <v>#VALUE!</v>
      </c>
      <c r="DY64" t="e">
        <f>AND(Bills!#REF!,"AAAAAHP7foA=")</f>
        <v>#REF!</v>
      </c>
      <c r="DZ64">
        <f>IF(Bills!90:90,"AAAAAHP7foE=",0)</f>
        <v>0</v>
      </c>
      <c r="EA64" t="e">
        <f>AND(Bills!B90,"AAAAAHP7foI=")</f>
        <v>#VALUE!</v>
      </c>
      <c r="EB64" t="e">
        <f>AND(Bills!#REF!,"AAAAAHP7foM=")</f>
        <v>#REF!</v>
      </c>
      <c r="EC64" t="e">
        <f>AND(Bills!C90,"AAAAAHP7foQ=")</f>
        <v>#VALUE!</v>
      </c>
      <c r="ED64" t="e">
        <f>AND(Bills!#REF!,"AAAAAHP7foU=")</f>
        <v>#REF!</v>
      </c>
      <c r="EE64" t="e">
        <f>AND(Bills!#REF!,"AAAAAHP7foY=")</f>
        <v>#REF!</v>
      </c>
      <c r="EF64" t="e">
        <f>AND(Bills!#REF!,"AAAAAHP7foc=")</f>
        <v>#REF!</v>
      </c>
      <c r="EG64" t="e">
        <f>AND(Bills!#REF!,"AAAAAHP7fog=")</f>
        <v>#REF!</v>
      </c>
      <c r="EH64" t="e">
        <f>AND(Bills!#REF!,"AAAAAHP7fok=")</f>
        <v>#REF!</v>
      </c>
      <c r="EI64" t="e">
        <f>AND(Bills!D90,"AAAAAHP7foo=")</f>
        <v>#VALUE!</v>
      </c>
      <c r="EJ64" t="e">
        <f>AND(Bills!#REF!,"AAAAAHP7fos=")</f>
        <v>#REF!</v>
      </c>
      <c r="EK64" t="e">
        <f>AND(Bills!E90,"AAAAAHP7fow=")</f>
        <v>#VALUE!</v>
      </c>
      <c r="EL64" t="e">
        <f>AND(Bills!F90,"AAAAAHP7fo0=")</f>
        <v>#VALUE!</v>
      </c>
      <c r="EM64" t="e">
        <f>AND(Bills!G90,"AAAAAHP7fo4=")</f>
        <v>#VALUE!</v>
      </c>
      <c r="EN64" t="e">
        <f>AND(Bills!H90,"AAAAAHP7fo8=")</f>
        <v>#VALUE!</v>
      </c>
      <c r="EO64" t="e">
        <f>AND(Bills!I90,"AAAAAHP7fpA=")</f>
        <v>#VALUE!</v>
      </c>
      <c r="EP64" t="e">
        <f>AND(Bills!J90,"AAAAAHP7fpE=")</f>
        <v>#VALUE!</v>
      </c>
      <c r="EQ64" t="e">
        <f>AND(Bills!#REF!,"AAAAAHP7fpI=")</f>
        <v>#REF!</v>
      </c>
      <c r="ER64" t="e">
        <f>AND(Bills!K90,"AAAAAHP7fpM=")</f>
        <v>#VALUE!</v>
      </c>
      <c r="ES64" t="e">
        <f>AND(Bills!L90,"AAAAAHP7fpQ=")</f>
        <v>#VALUE!</v>
      </c>
      <c r="ET64" t="e">
        <f>AND(Bills!M90,"AAAAAHP7fpU=")</f>
        <v>#VALUE!</v>
      </c>
      <c r="EU64" t="e">
        <f>AND(Bills!N90,"AAAAAHP7fpY=")</f>
        <v>#VALUE!</v>
      </c>
      <c r="EV64" t="e">
        <f>AND(Bills!O90,"AAAAAHP7fpc=")</f>
        <v>#VALUE!</v>
      </c>
      <c r="EW64" t="e">
        <f>AND(Bills!P90,"AAAAAHP7fpg=")</f>
        <v>#VALUE!</v>
      </c>
      <c r="EX64" t="e">
        <f>AND(Bills!Q90,"AAAAAHP7fpk=")</f>
        <v>#VALUE!</v>
      </c>
      <c r="EY64" t="e">
        <f>AND(Bills!R90,"AAAAAHP7fpo=")</f>
        <v>#VALUE!</v>
      </c>
      <c r="EZ64" t="e">
        <f>AND(Bills!#REF!,"AAAAAHP7fps=")</f>
        <v>#REF!</v>
      </c>
      <c r="FA64" t="e">
        <f>AND(Bills!S90,"AAAAAHP7fpw=")</f>
        <v>#VALUE!</v>
      </c>
      <c r="FB64" t="e">
        <f>AND(Bills!T90,"AAAAAHP7fp0=")</f>
        <v>#VALUE!</v>
      </c>
      <c r="FC64" t="e">
        <f>AND(Bills!U90,"AAAAAHP7fp4=")</f>
        <v>#VALUE!</v>
      </c>
      <c r="FD64" t="e">
        <f>AND(Bills!#REF!,"AAAAAHP7fp8=")</f>
        <v>#REF!</v>
      </c>
      <c r="FE64" t="e">
        <f>AND(Bills!#REF!,"AAAAAHP7fqA=")</f>
        <v>#REF!</v>
      </c>
      <c r="FF64" t="e">
        <f>AND(Bills!W90,"AAAAAHP7fqE=")</f>
        <v>#VALUE!</v>
      </c>
      <c r="FG64" t="e">
        <f>AND(Bills!X90,"AAAAAHP7fqI=")</f>
        <v>#VALUE!</v>
      </c>
      <c r="FH64" t="e">
        <f>AND(Bills!#REF!,"AAAAAHP7fqM=")</f>
        <v>#REF!</v>
      </c>
      <c r="FI64" t="e">
        <f>AND(Bills!#REF!,"AAAAAHP7fqQ=")</f>
        <v>#REF!</v>
      </c>
      <c r="FJ64" t="e">
        <f>AND(Bills!#REF!,"AAAAAHP7fqU=")</f>
        <v>#REF!</v>
      </c>
      <c r="FK64" t="e">
        <f>AND(Bills!#REF!,"AAAAAHP7fqY=")</f>
        <v>#REF!</v>
      </c>
      <c r="FL64" t="e">
        <f>AND(Bills!#REF!,"AAAAAHP7fqc=")</f>
        <v>#REF!</v>
      </c>
      <c r="FM64" t="e">
        <f>AND(Bills!#REF!,"AAAAAHP7fqg=")</f>
        <v>#REF!</v>
      </c>
      <c r="FN64" t="e">
        <f>AND(Bills!#REF!,"AAAAAHP7fqk=")</f>
        <v>#REF!</v>
      </c>
      <c r="FO64" t="e">
        <f>AND(Bills!#REF!,"AAAAAHP7fqo=")</f>
        <v>#REF!</v>
      </c>
      <c r="FP64" t="e">
        <f>AND(Bills!#REF!,"AAAAAHP7fqs=")</f>
        <v>#REF!</v>
      </c>
      <c r="FQ64" t="e">
        <f>AND(Bills!Y90,"AAAAAHP7fqw=")</f>
        <v>#VALUE!</v>
      </c>
      <c r="FR64" t="e">
        <f>AND(Bills!Z90,"AAAAAHP7fq0=")</f>
        <v>#VALUE!</v>
      </c>
      <c r="FS64" t="e">
        <f>AND(Bills!#REF!,"AAAAAHP7fq4=")</f>
        <v>#REF!</v>
      </c>
      <c r="FT64" t="e">
        <f>AND(Bills!#REF!,"AAAAAHP7fq8=")</f>
        <v>#REF!</v>
      </c>
      <c r="FU64" t="e">
        <f>AND(Bills!#REF!,"AAAAAHP7frA=")</f>
        <v>#REF!</v>
      </c>
      <c r="FV64" t="e">
        <f>AND(Bills!AA90,"AAAAAHP7frE=")</f>
        <v>#VALUE!</v>
      </c>
      <c r="FW64" t="e">
        <f>AND(Bills!AB90,"AAAAAHP7frI=")</f>
        <v>#VALUE!</v>
      </c>
      <c r="FX64" t="e">
        <f>AND(Bills!#REF!,"AAAAAHP7frM=")</f>
        <v>#REF!</v>
      </c>
      <c r="FY64">
        <f>IF(Bills!91:91,"AAAAAHP7frQ=",0)</f>
        <v>0</v>
      </c>
      <c r="FZ64" t="e">
        <f>AND(Bills!B91,"AAAAAHP7frU=")</f>
        <v>#VALUE!</v>
      </c>
      <c r="GA64" t="e">
        <f>AND(Bills!#REF!,"AAAAAHP7frY=")</f>
        <v>#REF!</v>
      </c>
      <c r="GB64" t="e">
        <f>AND(Bills!C91,"AAAAAHP7frc=")</f>
        <v>#VALUE!</v>
      </c>
      <c r="GC64" t="e">
        <f>AND(Bills!#REF!,"AAAAAHP7frg=")</f>
        <v>#REF!</v>
      </c>
      <c r="GD64" t="e">
        <f>AND(Bills!#REF!,"AAAAAHP7frk=")</f>
        <v>#REF!</v>
      </c>
      <c r="GE64" t="e">
        <f>AND(Bills!#REF!,"AAAAAHP7fro=")</f>
        <v>#REF!</v>
      </c>
      <c r="GF64" t="e">
        <f>AND(Bills!#REF!,"AAAAAHP7frs=")</f>
        <v>#REF!</v>
      </c>
      <c r="GG64" t="e">
        <f>AND(Bills!#REF!,"AAAAAHP7frw=")</f>
        <v>#REF!</v>
      </c>
      <c r="GH64" t="e">
        <f>AND(Bills!D91,"AAAAAHP7fr0=")</f>
        <v>#VALUE!</v>
      </c>
      <c r="GI64" t="e">
        <f>AND(Bills!#REF!,"AAAAAHP7fr4=")</f>
        <v>#REF!</v>
      </c>
      <c r="GJ64" t="e">
        <f>AND(Bills!E91,"AAAAAHP7fr8=")</f>
        <v>#VALUE!</v>
      </c>
      <c r="GK64" t="e">
        <f>AND(Bills!F91,"AAAAAHP7fsA=")</f>
        <v>#VALUE!</v>
      </c>
      <c r="GL64" t="e">
        <f>AND(Bills!G91,"AAAAAHP7fsE=")</f>
        <v>#VALUE!</v>
      </c>
      <c r="GM64" t="e">
        <f>AND(Bills!H91,"AAAAAHP7fsI=")</f>
        <v>#VALUE!</v>
      </c>
      <c r="GN64" t="e">
        <f>AND(Bills!I91,"AAAAAHP7fsM=")</f>
        <v>#VALUE!</v>
      </c>
      <c r="GO64" t="e">
        <f>AND(Bills!J91,"AAAAAHP7fsQ=")</f>
        <v>#VALUE!</v>
      </c>
      <c r="GP64" t="e">
        <f>AND(Bills!#REF!,"AAAAAHP7fsU=")</f>
        <v>#REF!</v>
      </c>
      <c r="GQ64" t="e">
        <f>AND(Bills!K91,"AAAAAHP7fsY=")</f>
        <v>#VALUE!</v>
      </c>
      <c r="GR64" t="e">
        <f>AND(Bills!L91,"AAAAAHP7fsc=")</f>
        <v>#VALUE!</v>
      </c>
      <c r="GS64" t="e">
        <f>AND(Bills!M91,"AAAAAHP7fsg=")</f>
        <v>#VALUE!</v>
      </c>
      <c r="GT64" t="e">
        <f>AND(Bills!N91,"AAAAAHP7fsk=")</f>
        <v>#VALUE!</v>
      </c>
      <c r="GU64" t="e">
        <f>AND(Bills!O91,"AAAAAHP7fso=")</f>
        <v>#VALUE!</v>
      </c>
      <c r="GV64" t="e">
        <f>AND(Bills!P91,"AAAAAHP7fss=")</f>
        <v>#VALUE!</v>
      </c>
      <c r="GW64" t="e">
        <f>AND(Bills!Q91,"AAAAAHP7fsw=")</f>
        <v>#VALUE!</v>
      </c>
      <c r="GX64" t="e">
        <f>AND(Bills!R91,"AAAAAHP7fs0=")</f>
        <v>#VALUE!</v>
      </c>
      <c r="GY64" t="e">
        <f>AND(Bills!#REF!,"AAAAAHP7fs4=")</f>
        <v>#REF!</v>
      </c>
      <c r="GZ64" t="e">
        <f>AND(Bills!S91,"AAAAAHP7fs8=")</f>
        <v>#VALUE!</v>
      </c>
      <c r="HA64" t="e">
        <f>AND(Bills!T91,"AAAAAHP7ftA=")</f>
        <v>#VALUE!</v>
      </c>
      <c r="HB64" t="e">
        <f>AND(Bills!U91,"AAAAAHP7ftE=")</f>
        <v>#VALUE!</v>
      </c>
      <c r="HC64" t="e">
        <f>AND(Bills!#REF!,"AAAAAHP7ftI=")</f>
        <v>#REF!</v>
      </c>
      <c r="HD64" t="e">
        <f>AND(Bills!#REF!,"AAAAAHP7ftM=")</f>
        <v>#REF!</v>
      </c>
      <c r="HE64" t="e">
        <f>AND(Bills!W91,"AAAAAHP7ftQ=")</f>
        <v>#VALUE!</v>
      </c>
      <c r="HF64" t="e">
        <f>AND(Bills!X91,"AAAAAHP7ftU=")</f>
        <v>#VALUE!</v>
      </c>
      <c r="HG64" t="e">
        <f>AND(Bills!#REF!,"AAAAAHP7ftY=")</f>
        <v>#REF!</v>
      </c>
      <c r="HH64" t="e">
        <f>AND(Bills!#REF!,"AAAAAHP7ftc=")</f>
        <v>#REF!</v>
      </c>
      <c r="HI64" t="e">
        <f>AND(Bills!#REF!,"AAAAAHP7ftg=")</f>
        <v>#REF!</v>
      </c>
      <c r="HJ64" t="e">
        <f>AND(Bills!#REF!,"AAAAAHP7ftk=")</f>
        <v>#REF!</v>
      </c>
      <c r="HK64" t="e">
        <f>AND(Bills!#REF!,"AAAAAHP7fto=")</f>
        <v>#REF!</v>
      </c>
      <c r="HL64" t="e">
        <f>AND(Bills!#REF!,"AAAAAHP7fts=")</f>
        <v>#REF!</v>
      </c>
      <c r="HM64" t="e">
        <f>AND(Bills!#REF!,"AAAAAHP7ftw=")</f>
        <v>#REF!</v>
      </c>
      <c r="HN64" t="e">
        <f>AND(Bills!#REF!,"AAAAAHP7ft0=")</f>
        <v>#REF!</v>
      </c>
      <c r="HO64" t="e">
        <f>AND(Bills!#REF!,"AAAAAHP7ft4=")</f>
        <v>#REF!</v>
      </c>
      <c r="HP64" t="e">
        <f>AND(Bills!Y91,"AAAAAHP7ft8=")</f>
        <v>#VALUE!</v>
      </c>
      <c r="HQ64" t="e">
        <f>AND(Bills!Z91,"AAAAAHP7fuA=")</f>
        <v>#VALUE!</v>
      </c>
      <c r="HR64" t="e">
        <f>AND(Bills!#REF!,"AAAAAHP7fuE=")</f>
        <v>#REF!</v>
      </c>
      <c r="HS64" t="e">
        <f>AND(Bills!#REF!,"AAAAAHP7fuI=")</f>
        <v>#REF!</v>
      </c>
      <c r="HT64" t="e">
        <f>AND(Bills!#REF!,"AAAAAHP7fuM=")</f>
        <v>#REF!</v>
      </c>
      <c r="HU64" t="e">
        <f>AND(Bills!AA91,"AAAAAHP7fuQ=")</f>
        <v>#VALUE!</v>
      </c>
      <c r="HV64" t="e">
        <f>AND(Bills!AB91,"AAAAAHP7fuU=")</f>
        <v>#VALUE!</v>
      </c>
      <c r="HW64" t="e">
        <f>AND(Bills!#REF!,"AAAAAHP7fuY=")</f>
        <v>#REF!</v>
      </c>
      <c r="HX64">
        <f>IF(Bills!92:92,"AAAAAHP7fuc=",0)</f>
        <v>0</v>
      </c>
      <c r="HY64" t="e">
        <f>AND(Bills!B92,"AAAAAHP7fug=")</f>
        <v>#VALUE!</v>
      </c>
      <c r="HZ64" t="e">
        <f>AND(Bills!#REF!,"AAAAAHP7fuk=")</f>
        <v>#REF!</v>
      </c>
      <c r="IA64" t="e">
        <f>AND(Bills!C92,"AAAAAHP7fuo=")</f>
        <v>#VALUE!</v>
      </c>
      <c r="IB64" t="e">
        <f>AND(Bills!#REF!,"AAAAAHP7fus=")</f>
        <v>#REF!</v>
      </c>
      <c r="IC64" t="e">
        <f>AND(Bills!#REF!,"AAAAAHP7fuw=")</f>
        <v>#REF!</v>
      </c>
      <c r="ID64" t="e">
        <f>AND(Bills!#REF!,"AAAAAHP7fu0=")</f>
        <v>#REF!</v>
      </c>
      <c r="IE64" t="e">
        <f>AND(Bills!#REF!,"AAAAAHP7fu4=")</f>
        <v>#REF!</v>
      </c>
      <c r="IF64" t="e">
        <f>AND(Bills!#REF!,"AAAAAHP7fu8=")</f>
        <v>#REF!</v>
      </c>
      <c r="IG64" t="e">
        <f>AND(Bills!D92,"AAAAAHP7fvA=")</f>
        <v>#VALUE!</v>
      </c>
      <c r="IH64" t="e">
        <f>AND(Bills!#REF!,"AAAAAHP7fvE=")</f>
        <v>#REF!</v>
      </c>
      <c r="II64" t="e">
        <f>AND(Bills!E92,"AAAAAHP7fvI=")</f>
        <v>#VALUE!</v>
      </c>
      <c r="IJ64" t="e">
        <f>AND(Bills!F92,"AAAAAHP7fvM=")</f>
        <v>#VALUE!</v>
      </c>
      <c r="IK64" t="e">
        <f>AND(Bills!G92,"AAAAAHP7fvQ=")</f>
        <v>#VALUE!</v>
      </c>
      <c r="IL64" t="e">
        <f>AND(Bills!H92,"AAAAAHP7fvU=")</f>
        <v>#VALUE!</v>
      </c>
      <c r="IM64" t="e">
        <f>AND(Bills!I92,"AAAAAHP7fvY=")</f>
        <v>#VALUE!</v>
      </c>
      <c r="IN64" t="e">
        <f>AND(Bills!J92,"AAAAAHP7fvc=")</f>
        <v>#VALUE!</v>
      </c>
      <c r="IO64" t="e">
        <f>AND(Bills!#REF!,"AAAAAHP7fvg=")</f>
        <v>#REF!</v>
      </c>
      <c r="IP64" t="e">
        <f>AND(Bills!K92,"AAAAAHP7fvk=")</f>
        <v>#VALUE!</v>
      </c>
      <c r="IQ64" t="e">
        <f>AND(Bills!L92,"AAAAAHP7fvo=")</f>
        <v>#VALUE!</v>
      </c>
      <c r="IR64" t="e">
        <f>AND(Bills!M92,"AAAAAHP7fvs=")</f>
        <v>#VALUE!</v>
      </c>
      <c r="IS64" t="e">
        <f>AND(Bills!N92,"AAAAAHP7fvw=")</f>
        <v>#VALUE!</v>
      </c>
      <c r="IT64" t="e">
        <f>AND(Bills!O92,"AAAAAHP7fv0=")</f>
        <v>#VALUE!</v>
      </c>
      <c r="IU64" t="e">
        <f>AND(Bills!P92,"AAAAAHP7fv4=")</f>
        <v>#VALUE!</v>
      </c>
      <c r="IV64" t="e">
        <f>AND(Bills!Q92,"AAAAAHP7fv8=")</f>
        <v>#VALUE!</v>
      </c>
    </row>
    <row r="65" spans="1:256">
      <c r="A65" t="e">
        <f>AND(Bills!R92,"AAAAAGN+1gA=")</f>
        <v>#VALUE!</v>
      </c>
      <c r="B65" t="e">
        <f>AND(Bills!#REF!,"AAAAAGN+1gE=")</f>
        <v>#REF!</v>
      </c>
      <c r="C65" t="e">
        <f>AND(Bills!S92,"AAAAAGN+1gI=")</f>
        <v>#VALUE!</v>
      </c>
      <c r="D65" t="e">
        <f>AND(Bills!T92,"AAAAAGN+1gM=")</f>
        <v>#VALUE!</v>
      </c>
      <c r="E65" t="e">
        <f>AND(Bills!U92,"AAAAAGN+1gQ=")</f>
        <v>#VALUE!</v>
      </c>
      <c r="F65" t="e">
        <f>AND(Bills!#REF!,"AAAAAGN+1gU=")</f>
        <v>#REF!</v>
      </c>
      <c r="G65" t="e">
        <f>AND(Bills!#REF!,"AAAAAGN+1gY=")</f>
        <v>#REF!</v>
      </c>
      <c r="H65" t="e">
        <f>AND(Bills!W92,"AAAAAGN+1gc=")</f>
        <v>#VALUE!</v>
      </c>
      <c r="I65" t="e">
        <f>AND(Bills!X92,"AAAAAGN+1gg=")</f>
        <v>#VALUE!</v>
      </c>
      <c r="J65" t="e">
        <f>AND(Bills!#REF!,"AAAAAGN+1gk=")</f>
        <v>#REF!</v>
      </c>
      <c r="K65" t="e">
        <f>AND(Bills!#REF!,"AAAAAGN+1go=")</f>
        <v>#REF!</v>
      </c>
      <c r="L65" t="e">
        <f>AND(Bills!#REF!,"AAAAAGN+1gs=")</f>
        <v>#REF!</v>
      </c>
      <c r="M65" t="e">
        <f>AND(Bills!#REF!,"AAAAAGN+1gw=")</f>
        <v>#REF!</v>
      </c>
      <c r="N65" t="e">
        <f>AND(Bills!#REF!,"AAAAAGN+1g0=")</f>
        <v>#REF!</v>
      </c>
      <c r="O65" t="e">
        <f>AND(Bills!#REF!,"AAAAAGN+1g4=")</f>
        <v>#REF!</v>
      </c>
      <c r="P65" t="e">
        <f>AND(Bills!#REF!,"AAAAAGN+1g8=")</f>
        <v>#REF!</v>
      </c>
      <c r="Q65" t="e">
        <f>AND(Bills!#REF!,"AAAAAGN+1hA=")</f>
        <v>#REF!</v>
      </c>
      <c r="R65" t="e">
        <f>AND(Bills!#REF!,"AAAAAGN+1hE=")</f>
        <v>#REF!</v>
      </c>
      <c r="S65" t="e">
        <f>AND(Bills!Y92,"AAAAAGN+1hI=")</f>
        <v>#VALUE!</v>
      </c>
      <c r="T65" t="e">
        <f>AND(Bills!Z92,"AAAAAGN+1hM=")</f>
        <v>#VALUE!</v>
      </c>
      <c r="U65" t="e">
        <f>AND(Bills!#REF!,"AAAAAGN+1hQ=")</f>
        <v>#REF!</v>
      </c>
      <c r="V65" t="e">
        <f>AND(Bills!#REF!,"AAAAAGN+1hU=")</f>
        <v>#REF!</v>
      </c>
      <c r="W65" t="e">
        <f>AND(Bills!#REF!,"AAAAAGN+1hY=")</f>
        <v>#REF!</v>
      </c>
      <c r="X65" t="e">
        <f>AND(Bills!AA92,"AAAAAGN+1hc=")</f>
        <v>#VALUE!</v>
      </c>
      <c r="Y65" t="e">
        <f>AND(Bills!AB92,"AAAAAGN+1hg=")</f>
        <v>#VALUE!</v>
      </c>
      <c r="Z65" t="e">
        <f>AND(Bills!#REF!,"AAAAAGN+1hk=")</f>
        <v>#REF!</v>
      </c>
      <c r="AA65">
        <f>IF(Bills!93:93,"AAAAAGN+1ho=",0)</f>
        <v>0</v>
      </c>
      <c r="AB65" t="e">
        <f>AND(Bills!B93,"AAAAAGN+1hs=")</f>
        <v>#VALUE!</v>
      </c>
      <c r="AC65" t="e">
        <f>AND(Bills!#REF!,"AAAAAGN+1hw=")</f>
        <v>#REF!</v>
      </c>
      <c r="AD65" t="e">
        <f>AND(Bills!C93,"AAAAAGN+1h0=")</f>
        <v>#VALUE!</v>
      </c>
      <c r="AE65" t="e">
        <f>AND(Bills!#REF!,"AAAAAGN+1h4=")</f>
        <v>#REF!</v>
      </c>
      <c r="AF65" t="e">
        <f>AND(Bills!#REF!,"AAAAAGN+1h8=")</f>
        <v>#REF!</v>
      </c>
      <c r="AG65" t="e">
        <f>AND(Bills!#REF!,"AAAAAGN+1iA=")</f>
        <v>#REF!</v>
      </c>
      <c r="AH65" t="e">
        <f>AND(Bills!#REF!,"AAAAAGN+1iE=")</f>
        <v>#REF!</v>
      </c>
      <c r="AI65" t="e">
        <f>AND(Bills!#REF!,"AAAAAGN+1iI=")</f>
        <v>#REF!</v>
      </c>
      <c r="AJ65" t="e">
        <f>AND(Bills!D93,"AAAAAGN+1iM=")</f>
        <v>#VALUE!</v>
      </c>
      <c r="AK65" t="e">
        <f>AND(Bills!#REF!,"AAAAAGN+1iQ=")</f>
        <v>#REF!</v>
      </c>
      <c r="AL65" t="e">
        <f>AND(Bills!E93,"AAAAAGN+1iU=")</f>
        <v>#VALUE!</v>
      </c>
      <c r="AM65" t="e">
        <f>AND(Bills!F93,"AAAAAGN+1iY=")</f>
        <v>#VALUE!</v>
      </c>
      <c r="AN65" t="e">
        <f>AND(Bills!G93,"AAAAAGN+1ic=")</f>
        <v>#VALUE!</v>
      </c>
      <c r="AO65" t="e">
        <f>AND(Bills!H93,"AAAAAGN+1ig=")</f>
        <v>#VALUE!</v>
      </c>
      <c r="AP65" t="e">
        <f>AND(Bills!I93,"AAAAAGN+1ik=")</f>
        <v>#VALUE!</v>
      </c>
      <c r="AQ65" t="e">
        <f>AND(Bills!J93,"AAAAAGN+1io=")</f>
        <v>#VALUE!</v>
      </c>
      <c r="AR65" t="e">
        <f>AND(Bills!#REF!,"AAAAAGN+1is=")</f>
        <v>#REF!</v>
      </c>
      <c r="AS65" t="e">
        <f>AND(Bills!K93,"AAAAAGN+1iw=")</f>
        <v>#VALUE!</v>
      </c>
      <c r="AT65" t="e">
        <f>AND(Bills!L93,"AAAAAGN+1i0=")</f>
        <v>#VALUE!</v>
      </c>
      <c r="AU65" t="e">
        <f>AND(Bills!M93,"AAAAAGN+1i4=")</f>
        <v>#VALUE!</v>
      </c>
      <c r="AV65" t="e">
        <f>AND(Bills!N93,"AAAAAGN+1i8=")</f>
        <v>#VALUE!</v>
      </c>
      <c r="AW65" t="e">
        <f>AND(Bills!O93,"AAAAAGN+1jA=")</f>
        <v>#VALUE!</v>
      </c>
      <c r="AX65" t="e">
        <f>AND(Bills!P93,"AAAAAGN+1jE=")</f>
        <v>#VALUE!</v>
      </c>
      <c r="AY65" t="e">
        <f>AND(Bills!Q93,"AAAAAGN+1jI=")</f>
        <v>#VALUE!</v>
      </c>
      <c r="AZ65" t="e">
        <f>AND(Bills!R93,"AAAAAGN+1jM=")</f>
        <v>#VALUE!</v>
      </c>
      <c r="BA65" t="e">
        <f>AND(Bills!#REF!,"AAAAAGN+1jQ=")</f>
        <v>#REF!</v>
      </c>
      <c r="BB65" t="e">
        <f>AND(Bills!S93,"AAAAAGN+1jU=")</f>
        <v>#VALUE!</v>
      </c>
      <c r="BC65" t="e">
        <f>AND(Bills!T93,"AAAAAGN+1jY=")</f>
        <v>#VALUE!</v>
      </c>
      <c r="BD65" t="e">
        <f>AND(Bills!U93,"AAAAAGN+1jc=")</f>
        <v>#VALUE!</v>
      </c>
      <c r="BE65" t="e">
        <f>AND(Bills!#REF!,"AAAAAGN+1jg=")</f>
        <v>#REF!</v>
      </c>
      <c r="BF65" t="e">
        <f>AND(Bills!#REF!,"AAAAAGN+1jk=")</f>
        <v>#REF!</v>
      </c>
      <c r="BG65" t="e">
        <f>AND(Bills!W93,"AAAAAGN+1jo=")</f>
        <v>#VALUE!</v>
      </c>
      <c r="BH65" t="e">
        <f>AND(Bills!X93,"AAAAAGN+1js=")</f>
        <v>#VALUE!</v>
      </c>
      <c r="BI65" t="e">
        <f>AND(Bills!#REF!,"AAAAAGN+1jw=")</f>
        <v>#REF!</v>
      </c>
      <c r="BJ65" t="e">
        <f>AND(Bills!#REF!,"AAAAAGN+1j0=")</f>
        <v>#REF!</v>
      </c>
      <c r="BK65" t="e">
        <f>AND(Bills!#REF!,"AAAAAGN+1j4=")</f>
        <v>#REF!</v>
      </c>
      <c r="BL65" t="e">
        <f>AND(Bills!#REF!,"AAAAAGN+1j8=")</f>
        <v>#REF!</v>
      </c>
      <c r="BM65" t="e">
        <f>AND(Bills!#REF!,"AAAAAGN+1kA=")</f>
        <v>#REF!</v>
      </c>
      <c r="BN65" t="e">
        <f>AND(Bills!#REF!,"AAAAAGN+1kE=")</f>
        <v>#REF!</v>
      </c>
      <c r="BO65" t="e">
        <f>AND(Bills!#REF!,"AAAAAGN+1kI=")</f>
        <v>#REF!</v>
      </c>
      <c r="BP65" t="e">
        <f>AND(Bills!#REF!,"AAAAAGN+1kM=")</f>
        <v>#REF!</v>
      </c>
      <c r="BQ65" t="e">
        <f>AND(Bills!#REF!,"AAAAAGN+1kQ=")</f>
        <v>#REF!</v>
      </c>
      <c r="BR65" t="e">
        <f>AND(Bills!Y93,"AAAAAGN+1kU=")</f>
        <v>#VALUE!</v>
      </c>
      <c r="BS65" t="e">
        <f>AND(Bills!Z93,"AAAAAGN+1kY=")</f>
        <v>#VALUE!</v>
      </c>
      <c r="BT65" t="e">
        <f>AND(Bills!#REF!,"AAAAAGN+1kc=")</f>
        <v>#REF!</v>
      </c>
      <c r="BU65" t="e">
        <f>AND(Bills!#REF!,"AAAAAGN+1kg=")</f>
        <v>#REF!</v>
      </c>
      <c r="BV65" t="e">
        <f>AND(Bills!#REF!,"AAAAAGN+1kk=")</f>
        <v>#REF!</v>
      </c>
      <c r="BW65" t="e">
        <f>AND(Bills!AA93,"AAAAAGN+1ko=")</f>
        <v>#VALUE!</v>
      </c>
      <c r="BX65" t="e">
        <f>AND(Bills!AB93,"AAAAAGN+1ks=")</f>
        <v>#VALUE!</v>
      </c>
      <c r="BY65" t="e">
        <f>AND(Bills!#REF!,"AAAAAGN+1kw=")</f>
        <v>#REF!</v>
      </c>
      <c r="BZ65">
        <f>IF(Bills!94:94,"AAAAAGN+1k0=",0)</f>
        <v>0</v>
      </c>
      <c r="CA65" t="e">
        <f>AND(Bills!B94,"AAAAAGN+1k4=")</f>
        <v>#VALUE!</v>
      </c>
      <c r="CB65" t="e">
        <f>AND(Bills!#REF!,"AAAAAGN+1k8=")</f>
        <v>#REF!</v>
      </c>
      <c r="CC65" t="e">
        <f>AND(Bills!C94,"AAAAAGN+1lA=")</f>
        <v>#VALUE!</v>
      </c>
      <c r="CD65" t="e">
        <f>AND(Bills!#REF!,"AAAAAGN+1lE=")</f>
        <v>#REF!</v>
      </c>
      <c r="CE65" t="e">
        <f>AND(Bills!#REF!,"AAAAAGN+1lI=")</f>
        <v>#REF!</v>
      </c>
      <c r="CF65" t="e">
        <f>AND(Bills!#REF!,"AAAAAGN+1lM=")</f>
        <v>#REF!</v>
      </c>
      <c r="CG65" t="e">
        <f>AND(Bills!#REF!,"AAAAAGN+1lQ=")</f>
        <v>#REF!</v>
      </c>
      <c r="CH65" t="e">
        <f>AND(Bills!#REF!,"AAAAAGN+1lU=")</f>
        <v>#REF!</v>
      </c>
      <c r="CI65" t="e">
        <f>AND(Bills!D94,"AAAAAGN+1lY=")</f>
        <v>#VALUE!</v>
      </c>
      <c r="CJ65" t="e">
        <f>AND(Bills!#REF!,"AAAAAGN+1lc=")</f>
        <v>#REF!</v>
      </c>
      <c r="CK65" t="e">
        <f>AND(Bills!E94,"AAAAAGN+1lg=")</f>
        <v>#VALUE!</v>
      </c>
      <c r="CL65" t="e">
        <f>AND(Bills!F94,"AAAAAGN+1lk=")</f>
        <v>#VALUE!</v>
      </c>
      <c r="CM65" t="e">
        <f>AND(Bills!G94,"AAAAAGN+1lo=")</f>
        <v>#VALUE!</v>
      </c>
      <c r="CN65" t="e">
        <f>AND(Bills!H94,"AAAAAGN+1ls=")</f>
        <v>#VALUE!</v>
      </c>
      <c r="CO65" t="e">
        <f>AND(Bills!I94,"AAAAAGN+1lw=")</f>
        <v>#VALUE!</v>
      </c>
      <c r="CP65" t="e">
        <f>AND(Bills!J94,"AAAAAGN+1l0=")</f>
        <v>#VALUE!</v>
      </c>
      <c r="CQ65" t="e">
        <f>AND(Bills!#REF!,"AAAAAGN+1l4=")</f>
        <v>#REF!</v>
      </c>
      <c r="CR65" t="e">
        <f>AND(Bills!K94,"AAAAAGN+1l8=")</f>
        <v>#VALUE!</v>
      </c>
      <c r="CS65" t="e">
        <f>AND(Bills!L94,"AAAAAGN+1mA=")</f>
        <v>#VALUE!</v>
      </c>
      <c r="CT65" t="e">
        <f>AND(Bills!M94,"AAAAAGN+1mE=")</f>
        <v>#VALUE!</v>
      </c>
      <c r="CU65" t="e">
        <f>AND(Bills!N94,"AAAAAGN+1mI=")</f>
        <v>#VALUE!</v>
      </c>
      <c r="CV65" t="e">
        <f>AND(Bills!O94,"AAAAAGN+1mM=")</f>
        <v>#VALUE!</v>
      </c>
      <c r="CW65" t="e">
        <f>AND(Bills!P94,"AAAAAGN+1mQ=")</f>
        <v>#VALUE!</v>
      </c>
      <c r="CX65" t="e">
        <f>AND(Bills!Q94,"AAAAAGN+1mU=")</f>
        <v>#VALUE!</v>
      </c>
      <c r="CY65" t="e">
        <f>AND(Bills!R94,"AAAAAGN+1mY=")</f>
        <v>#VALUE!</v>
      </c>
      <c r="CZ65" t="e">
        <f>AND(Bills!#REF!,"AAAAAGN+1mc=")</f>
        <v>#REF!</v>
      </c>
      <c r="DA65" t="e">
        <f>AND(Bills!S94,"AAAAAGN+1mg=")</f>
        <v>#VALUE!</v>
      </c>
      <c r="DB65" t="e">
        <f>AND(Bills!T94,"AAAAAGN+1mk=")</f>
        <v>#VALUE!</v>
      </c>
      <c r="DC65" t="e">
        <f>AND(Bills!U94,"AAAAAGN+1mo=")</f>
        <v>#VALUE!</v>
      </c>
      <c r="DD65" t="e">
        <f>AND(Bills!#REF!,"AAAAAGN+1ms=")</f>
        <v>#REF!</v>
      </c>
      <c r="DE65" t="e">
        <f>AND(Bills!#REF!,"AAAAAGN+1mw=")</f>
        <v>#REF!</v>
      </c>
      <c r="DF65" t="e">
        <f>AND(Bills!W94,"AAAAAGN+1m0=")</f>
        <v>#VALUE!</v>
      </c>
      <c r="DG65" t="e">
        <f>AND(Bills!X94,"AAAAAGN+1m4=")</f>
        <v>#VALUE!</v>
      </c>
      <c r="DH65" t="e">
        <f>AND(Bills!#REF!,"AAAAAGN+1m8=")</f>
        <v>#REF!</v>
      </c>
      <c r="DI65" t="e">
        <f>AND(Bills!#REF!,"AAAAAGN+1nA=")</f>
        <v>#REF!</v>
      </c>
      <c r="DJ65" t="e">
        <f>AND(Bills!#REF!,"AAAAAGN+1nE=")</f>
        <v>#REF!</v>
      </c>
      <c r="DK65" t="e">
        <f>AND(Bills!#REF!,"AAAAAGN+1nI=")</f>
        <v>#REF!</v>
      </c>
      <c r="DL65" t="e">
        <f>AND(Bills!#REF!,"AAAAAGN+1nM=")</f>
        <v>#REF!</v>
      </c>
      <c r="DM65" t="e">
        <f>AND(Bills!#REF!,"AAAAAGN+1nQ=")</f>
        <v>#REF!</v>
      </c>
      <c r="DN65" t="e">
        <f>AND(Bills!#REF!,"AAAAAGN+1nU=")</f>
        <v>#REF!</v>
      </c>
      <c r="DO65" t="e">
        <f>AND(Bills!#REF!,"AAAAAGN+1nY=")</f>
        <v>#REF!</v>
      </c>
      <c r="DP65" t="e">
        <f>AND(Bills!#REF!,"AAAAAGN+1nc=")</f>
        <v>#REF!</v>
      </c>
      <c r="DQ65" t="e">
        <f>AND(Bills!Y94,"AAAAAGN+1ng=")</f>
        <v>#VALUE!</v>
      </c>
      <c r="DR65" t="e">
        <f>AND(Bills!Z94,"AAAAAGN+1nk=")</f>
        <v>#VALUE!</v>
      </c>
      <c r="DS65" t="e">
        <f>AND(Bills!#REF!,"AAAAAGN+1no=")</f>
        <v>#REF!</v>
      </c>
      <c r="DT65" t="e">
        <f>AND(Bills!#REF!,"AAAAAGN+1ns=")</f>
        <v>#REF!</v>
      </c>
      <c r="DU65" t="e">
        <f>AND(Bills!#REF!,"AAAAAGN+1nw=")</f>
        <v>#REF!</v>
      </c>
      <c r="DV65" t="e">
        <f>AND(Bills!AA94,"AAAAAGN+1n0=")</f>
        <v>#VALUE!</v>
      </c>
      <c r="DW65" t="e">
        <f>AND(Bills!AB94,"AAAAAGN+1n4=")</f>
        <v>#VALUE!</v>
      </c>
      <c r="DX65" t="e">
        <f>AND(Bills!#REF!,"AAAAAGN+1n8=")</f>
        <v>#REF!</v>
      </c>
      <c r="DY65">
        <f>IF(Bills!95:95,"AAAAAGN+1oA=",0)</f>
        <v>0</v>
      </c>
      <c r="DZ65" t="e">
        <f>AND(Bills!B95,"AAAAAGN+1oE=")</f>
        <v>#VALUE!</v>
      </c>
      <c r="EA65" t="e">
        <f>AND(Bills!#REF!,"AAAAAGN+1oI=")</f>
        <v>#REF!</v>
      </c>
      <c r="EB65" t="e">
        <f>AND(Bills!C95,"AAAAAGN+1oM=")</f>
        <v>#VALUE!</v>
      </c>
      <c r="EC65" t="e">
        <f>AND(Bills!#REF!,"AAAAAGN+1oQ=")</f>
        <v>#REF!</v>
      </c>
      <c r="ED65" t="e">
        <f>AND(Bills!#REF!,"AAAAAGN+1oU=")</f>
        <v>#REF!</v>
      </c>
      <c r="EE65" t="e">
        <f>AND(Bills!#REF!,"AAAAAGN+1oY=")</f>
        <v>#REF!</v>
      </c>
      <c r="EF65" t="e">
        <f>AND(Bills!#REF!,"AAAAAGN+1oc=")</f>
        <v>#REF!</v>
      </c>
      <c r="EG65" t="e">
        <f>AND(Bills!#REF!,"AAAAAGN+1og=")</f>
        <v>#REF!</v>
      </c>
      <c r="EH65" t="e">
        <f>AND(Bills!D95,"AAAAAGN+1ok=")</f>
        <v>#VALUE!</v>
      </c>
      <c r="EI65" t="e">
        <f>AND(Bills!#REF!,"AAAAAGN+1oo=")</f>
        <v>#REF!</v>
      </c>
      <c r="EJ65" t="e">
        <f>AND(Bills!E95,"AAAAAGN+1os=")</f>
        <v>#VALUE!</v>
      </c>
      <c r="EK65" t="e">
        <f>AND(Bills!F95,"AAAAAGN+1ow=")</f>
        <v>#VALUE!</v>
      </c>
      <c r="EL65" t="e">
        <f>AND(Bills!G95,"AAAAAGN+1o0=")</f>
        <v>#VALUE!</v>
      </c>
      <c r="EM65" t="e">
        <f>AND(Bills!H95,"AAAAAGN+1o4=")</f>
        <v>#VALUE!</v>
      </c>
      <c r="EN65" t="e">
        <f>AND(Bills!I95,"AAAAAGN+1o8=")</f>
        <v>#VALUE!</v>
      </c>
      <c r="EO65" t="e">
        <f>AND(Bills!J95,"AAAAAGN+1pA=")</f>
        <v>#VALUE!</v>
      </c>
      <c r="EP65" t="e">
        <f>AND(Bills!#REF!,"AAAAAGN+1pE=")</f>
        <v>#REF!</v>
      </c>
      <c r="EQ65" t="e">
        <f>AND(Bills!K95,"AAAAAGN+1pI=")</f>
        <v>#VALUE!</v>
      </c>
      <c r="ER65" t="e">
        <f>AND(Bills!L95,"AAAAAGN+1pM=")</f>
        <v>#VALUE!</v>
      </c>
      <c r="ES65" t="e">
        <f>AND(Bills!M95,"AAAAAGN+1pQ=")</f>
        <v>#VALUE!</v>
      </c>
      <c r="ET65" t="e">
        <f>AND(Bills!N95,"AAAAAGN+1pU=")</f>
        <v>#VALUE!</v>
      </c>
      <c r="EU65" t="e">
        <f>AND(Bills!O95,"AAAAAGN+1pY=")</f>
        <v>#VALUE!</v>
      </c>
      <c r="EV65" t="e">
        <f>AND(Bills!P95,"AAAAAGN+1pc=")</f>
        <v>#VALUE!</v>
      </c>
      <c r="EW65" t="e">
        <f>AND(Bills!Q95,"AAAAAGN+1pg=")</f>
        <v>#VALUE!</v>
      </c>
      <c r="EX65" t="e">
        <f>AND(Bills!R95,"AAAAAGN+1pk=")</f>
        <v>#VALUE!</v>
      </c>
      <c r="EY65" t="e">
        <f>AND(Bills!#REF!,"AAAAAGN+1po=")</f>
        <v>#REF!</v>
      </c>
      <c r="EZ65" t="e">
        <f>AND(Bills!S95,"AAAAAGN+1ps=")</f>
        <v>#VALUE!</v>
      </c>
      <c r="FA65" t="e">
        <f>AND(Bills!T95,"AAAAAGN+1pw=")</f>
        <v>#VALUE!</v>
      </c>
      <c r="FB65" t="e">
        <f>AND(Bills!U95,"AAAAAGN+1p0=")</f>
        <v>#VALUE!</v>
      </c>
      <c r="FC65" t="e">
        <f>AND(Bills!#REF!,"AAAAAGN+1p4=")</f>
        <v>#REF!</v>
      </c>
      <c r="FD65" t="e">
        <f>AND(Bills!#REF!,"AAAAAGN+1p8=")</f>
        <v>#REF!</v>
      </c>
      <c r="FE65" t="e">
        <f>AND(Bills!W95,"AAAAAGN+1qA=")</f>
        <v>#VALUE!</v>
      </c>
      <c r="FF65" t="e">
        <f>AND(Bills!X95,"AAAAAGN+1qE=")</f>
        <v>#VALUE!</v>
      </c>
      <c r="FG65" t="e">
        <f>AND(Bills!#REF!,"AAAAAGN+1qI=")</f>
        <v>#REF!</v>
      </c>
      <c r="FH65" t="e">
        <f>AND(Bills!#REF!,"AAAAAGN+1qM=")</f>
        <v>#REF!</v>
      </c>
      <c r="FI65" t="e">
        <f>AND(Bills!#REF!,"AAAAAGN+1qQ=")</f>
        <v>#REF!</v>
      </c>
      <c r="FJ65" t="e">
        <f>AND(Bills!#REF!,"AAAAAGN+1qU=")</f>
        <v>#REF!</v>
      </c>
      <c r="FK65" t="e">
        <f>AND(Bills!#REF!,"AAAAAGN+1qY=")</f>
        <v>#REF!</v>
      </c>
      <c r="FL65" t="e">
        <f>AND(Bills!#REF!,"AAAAAGN+1qc=")</f>
        <v>#REF!</v>
      </c>
      <c r="FM65" t="e">
        <f>AND(Bills!#REF!,"AAAAAGN+1qg=")</f>
        <v>#REF!</v>
      </c>
      <c r="FN65" t="e">
        <f>AND(Bills!#REF!,"AAAAAGN+1qk=")</f>
        <v>#REF!</v>
      </c>
      <c r="FO65" t="e">
        <f>AND(Bills!#REF!,"AAAAAGN+1qo=")</f>
        <v>#REF!</v>
      </c>
      <c r="FP65" t="e">
        <f>AND(Bills!Y95,"AAAAAGN+1qs=")</f>
        <v>#VALUE!</v>
      </c>
      <c r="FQ65" t="e">
        <f>AND(Bills!Z95,"AAAAAGN+1qw=")</f>
        <v>#VALUE!</v>
      </c>
      <c r="FR65" t="e">
        <f>AND(Bills!#REF!,"AAAAAGN+1q0=")</f>
        <v>#REF!</v>
      </c>
      <c r="FS65" t="e">
        <f>AND(Bills!#REF!,"AAAAAGN+1q4=")</f>
        <v>#REF!</v>
      </c>
      <c r="FT65" t="e">
        <f>AND(Bills!#REF!,"AAAAAGN+1q8=")</f>
        <v>#REF!</v>
      </c>
      <c r="FU65" t="e">
        <f>AND(Bills!AA95,"AAAAAGN+1rA=")</f>
        <v>#VALUE!</v>
      </c>
      <c r="FV65" t="e">
        <f>AND(Bills!AB95,"AAAAAGN+1rE=")</f>
        <v>#VALUE!</v>
      </c>
      <c r="FW65" t="e">
        <f>AND(Bills!#REF!,"AAAAAGN+1rI=")</f>
        <v>#REF!</v>
      </c>
      <c r="FX65">
        <f>IF(Bills!96:96,"AAAAAGN+1rM=",0)</f>
        <v>0</v>
      </c>
      <c r="FY65" t="e">
        <f>AND(Bills!B96,"AAAAAGN+1rQ=")</f>
        <v>#VALUE!</v>
      </c>
      <c r="FZ65" t="e">
        <f>AND(Bills!#REF!,"AAAAAGN+1rU=")</f>
        <v>#REF!</v>
      </c>
      <c r="GA65" t="e">
        <f>AND(Bills!C96,"AAAAAGN+1rY=")</f>
        <v>#VALUE!</v>
      </c>
      <c r="GB65" t="e">
        <f>AND(Bills!#REF!,"AAAAAGN+1rc=")</f>
        <v>#REF!</v>
      </c>
      <c r="GC65" t="e">
        <f>AND(Bills!#REF!,"AAAAAGN+1rg=")</f>
        <v>#REF!</v>
      </c>
      <c r="GD65" t="e">
        <f>AND(Bills!#REF!,"AAAAAGN+1rk=")</f>
        <v>#REF!</v>
      </c>
      <c r="GE65" t="e">
        <f>AND(Bills!#REF!,"AAAAAGN+1ro=")</f>
        <v>#REF!</v>
      </c>
      <c r="GF65" t="e">
        <f>AND(Bills!#REF!,"AAAAAGN+1rs=")</f>
        <v>#REF!</v>
      </c>
      <c r="GG65" t="e">
        <f>AND(Bills!D96,"AAAAAGN+1rw=")</f>
        <v>#VALUE!</v>
      </c>
      <c r="GH65" t="e">
        <f>AND(Bills!#REF!,"AAAAAGN+1r0=")</f>
        <v>#REF!</v>
      </c>
      <c r="GI65" t="e">
        <f>AND(Bills!E96,"AAAAAGN+1r4=")</f>
        <v>#VALUE!</v>
      </c>
      <c r="GJ65" t="e">
        <f>AND(Bills!F96,"AAAAAGN+1r8=")</f>
        <v>#VALUE!</v>
      </c>
      <c r="GK65" t="e">
        <f>AND(Bills!G96,"AAAAAGN+1sA=")</f>
        <v>#VALUE!</v>
      </c>
      <c r="GL65" t="e">
        <f>AND(Bills!H96,"AAAAAGN+1sE=")</f>
        <v>#VALUE!</v>
      </c>
      <c r="GM65" t="e">
        <f>AND(Bills!I96,"AAAAAGN+1sI=")</f>
        <v>#VALUE!</v>
      </c>
      <c r="GN65" t="e">
        <f>AND(Bills!J96,"AAAAAGN+1sM=")</f>
        <v>#VALUE!</v>
      </c>
      <c r="GO65" t="e">
        <f>AND(Bills!#REF!,"AAAAAGN+1sQ=")</f>
        <v>#REF!</v>
      </c>
      <c r="GP65" t="e">
        <f>AND(Bills!K96,"AAAAAGN+1sU=")</f>
        <v>#VALUE!</v>
      </c>
      <c r="GQ65" t="e">
        <f>AND(Bills!L96,"AAAAAGN+1sY=")</f>
        <v>#VALUE!</v>
      </c>
      <c r="GR65" t="e">
        <f>AND(Bills!M96,"AAAAAGN+1sc=")</f>
        <v>#VALUE!</v>
      </c>
      <c r="GS65" t="e">
        <f>AND(Bills!N96,"AAAAAGN+1sg=")</f>
        <v>#VALUE!</v>
      </c>
      <c r="GT65" t="e">
        <f>AND(Bills!O96,"AAAAAGN+1sk=")</f>
        <v>#VALUE!</v>
      </c>
      <c r="GU65" t="e">
        <f>AND(Bills!P96,"AAAAAGN+1so=")</f>
        <v>#VALUE!</v>
      </c>
      <c r="GV65" t="e">
        <f>AND(Bills!Q96,"AAAAAGN+1ss=")</f>
        <v>#VALUE!</v>
      </c>
      <c r="GW65" t="e">
        <f>AND(Bills!R96,"AAAAAGN+1sw=")</f>
        <v>#VALUE!</v>
      </c>
      <c r="GX65" t="e">
        <f>AND(Bills!#REF!,"AAAAAGN+1s0=")</f>
        <v>#REF!</v>
      </c>
      <c r="GY65" t="e">
        <f>AND(Bills!S96,"AAAAAGN+1s4=")</f>
        <v>#VALUE!</v>
      </c>
      <c r="GZ65" t="e">
        <f>AND(Bills!T96,"AAAAAGN+1s8=")</f>
        <v>#VALUE!</v>
      </c>
      <c r="HA65" t="e">
        <f>AND(Bills!U96,"AAAAAGN+1tA=")</f>
        <v>#VALUE!</v>
      </c>
      <c r="HB65" t="e">
        <f>AND(Bills!#REF!,"AAAAAGN+1tE=")</f>
        <v>#REF!</v>
      </c>
      <c r="HC65" t="e">
        <f>AND(Bills!#REF!,"AAAAAGN+1tI=")</f>
        <v>#REF!</v>
      </c>
      <c r="HD65" t="e">
        <f>AND(Bills!W96,"AAAAAGN+1tM=")</f>
        <v>#VALUE!</v>
      </c>
      <c r="HE65" t="e">
        <f>AND(Bills!X96,"AAAAAGN+1tQ=")</f>
        <v>#VALUE!</v>
      </c>
      <c r="HF65" t="e">
        <f>AND(Bills!#REF!,"AAAAAGN+1tU=")</f>
        <v>#REF!</v>
      </c>
      <c r="HG65" t="e">
        <f>AND(Bills!#REF!,"AAAAAGN+1tY=")</f>
        <v>#REF!</v>
      </c>
      <c r="HH65" t="e">
        <f>AND(Bills!#REF!,"AAAAAGN+1tc=")</f>
        <v>#REF!</v>
      </c>
      <c r="HI65" t="e">
        <f>AND(Bills!#REF!,"AAAAAGN+1tg=")</f>
        <v>#REF!</v>
      </c>
      <c r="HJ65" t="e">
        <f>AND(Bills!#REF!,"AAAAAGN+1tk=")</f>
        <v>#REF!</v>
      </c>
      <c r="HK65" t="e">
        <f>AND(Bills!#REF!,"AAAAAGN+1to=")</f>
        <v>#REF!</v>
      </c>
      <c r="HL65" t="e">
        <f>AND(Bills!#REF!,"AAAAAGN+1ts=")</f>
        <v>#REF!</v>
      </c>
      <c r="HM65" t="e">
        <f>AND(Bills!#REF!,"AAAAAGN+1tw=")</f>
        <v>#REF!</v>
      </c>
      <c r="HN65" t="e">
        <f>AND(Bills!#REF!,"AAAAAGN+1t0=")</f>
        <v>#REF!</v>
      </c>
      <c r="HO65" t="e">
        <f>AND(Bills!Y96,"AAAAAGN+1t4=")</f>
        <v>#VALUE!</v>
      </c>
      <c r="HP65" t="e">
        <f>AND(Bills!Z96,"AAAAAGN+1t8=")</f>
        <v>#VALUE!</v>
      </c>
      <c r="HQ65" t="e">
        <f>AND(Bills!#REF!,"AAAAAGN+1uA=")</f>
        <v>#REF!</v>
      </c>
      <c r="HR65" t="e">
        <f>AND(Bills!#REF!,"AAAAAGN+1uE=")</f>
        <v>#REF!</v>
      </c>
      <c r="HS65" t="e">
        <f>AND(Bills!#REF!,"AAAAAGN+1uI=")</f>
        <v>#REF!</v>
      </c>
      <c r="HT65" t="e">
        <f>AND(Bills!AA96,"AAAAAGN+1uM=")</f>
        <v>#VALUE!</v>
      </c>
      <c r="HU65" t="e">
        <f>AND(Bills!AB96,"AAAAAGN+1uQ=")</f>
        <v>#VALUE!</v>
      </c>
      <c r="HV65" t="e">
        <f>AND(Bills!#REF!,"AAAAAGN+1uU=")</f>
        <v>#REF!</v>
      </c>
      <c r="HW65">
        <f>IF(Bills!97:97,"AAAAAGN+1uY=",0)</f>
        <v>0</v>
      </c>
      <c r="HX65" t="e">
        <f>AND(Bills!B97,"AAAAAGN+1uc=")</f>
        <v>#VALUE!</v>
      </c>
      <c r="HY65" t="e">
        <f>AND(Bills!#REF!,"AAAAAGN+1ug=")</f>
        <v>#REF!</v>
      </c>
      <c r="HZ65" t="e">
        <f>AND(Bills!C97,"AAAAAGN+1uk=")</f>
        <v>#VALUE!</v>
      </c>
      <c r="IA65" t="e">
        <f>AND(Bills!#REF!,"AAAAAGN+1uo=")</f>
        <v>#REF!</v>
      </c>
      <c r="IB65" t="e">
        <f>AND(Bills!#REF!,"AAAAAGN+1us=")</f>
        <v>#REF!</v>
      </c>
      <c r="IC65" t="e">
        <f>AND(Bills!#REF!,"AAAAAGN+1uw=")</f>
        <v>#REF!</v>
      </c>
      <c r="ID65" t="e">
        <f>AND(Bills!#REF!,"AAAAAGN+1u0=")</f>
        <v>#REF!</v>
      </c>
      <c r="IE65" t="e">
        <f>AND(Bills!#REF!,"AAAAAGN+1u4=")</f>
        <v>#REF!</v>
      </c>
      <c r="IF65" t="e">
        <f>AND(Bills!D97,"AAAAAGN+1u8=")</f>
        <v>#VALUE!</v>
      </c>
      <c r="IG65" t="e">
        <f>AND(Bills!#REF!,"AAAAAGN+1vA=")</f>
        <v>#REF!</v>
      </c>
      <c r="IH65" t="e">
        <f>AND(Bills!E97,"AAAAAGN+1vE=")</f>
        <v>#VALUE!</v>
      </c>
      <c r="II65" t="e">
        <f>AND(Bills!F97,"AAAAAGN+1vI=")</f>
        <v>#VALUE!</v>
      </c>
      <c r="IJ65" t="e">
        <f>AND(Bills!G97,"AAAAAGN+1vM=")</f>
        <v>#VALUE!</v>
      </c>
      <c r="IK65" t="e">
        <f>AND(Bills!H97,"AAAAAGN+1vQ=")</f>
        <v>#VALUE!</v>
      </c>
      <c r="IL65" t="e">
        <f>AND(Bills!I97,"AAAAAGN+1vU=")</f>
        <v>#VALUE!</v>
      </c>
      <c r="IM65" t="e">
        <f>AND(Bills!J97,"AAAAAGN+1vY=")</f>
        <v>#VALUE!</v>
      </c>
      <c r="IN65" t="e">
        <f>AND(Bills!#REF!,"AAAAAGN+1vc=")</f>
        <v>#REF!</v>
      </c>
      <c r="IO65" t="e">
        <f>AND(Bills!K97,"AAAAAGN+1vg=")</f>
        <v>#VALUE!</v>
      </c>
      <c r="IP65" t="e">
        <f>AND(Bills!L97,"AAAAAGN+1vk=")</f>
        <v>#VALUE!</v>
      </c>
      <c r="IQ65" t="e">
        <f>AND(Bills!M97,"AAAAAGN+1vo=")</f>
        <v>#VALUE!</v>
      </c>
      <c r="IR65" t="e">
        <f>AND(Bills!N97,"AAAAAGN+1vs=")</f>
        <v>#VALUE!</v>
      </c>
      <c r="IS65" t="e">
        <f>AND(Bills!O97,"AAAAAGN+1vw=")</f>
        <v>#VALUE!</v>
      </c>
      <c r="IT65" t="e">
        <f>AND(Bills!P97,"AAAAAGN+1v0=")</f>
        <v>#VALUE!</v>
      </c>
      <c r="IU65" t="e">
        <f>AND(Bills!Q97,"AAAAAGN+1v4=")</f>
        <v>#VALUE!</v>
      </c>
      <c r="IV65" t="e">
        <f>AND(Bills!R97,"AAAAAGN+1v8=")</f>
        <v>#VALUE!</v>
      </c>
    </row>
    <row r="66" spans="1:256">
      <c r="A66" t="e">
        <f>AND(Bills!#REF!,"AAAAAD3/7gA=")</f>
        <v>#REF!</v>
      </c>
      <c r="B66" t="e">
        <f>AND(Bills!S97,"AAAAAD3/7gE=")</f>
        <v>#VALUE!</v>
      </c>
      <c r="C66" t="e">
        <f>AND(Bills!T97,"AAAAAD3/7gI=")</f>
        <v>#VALUE!</v>
      </c>
      <c r="D66" t="e">
        <f>AND(Bills!U97,"AAAAAD3/7gM=")</f>
        <v>#VALUE!</v>
      </c>
      <c r="E66" t="e">
        <f>AND(Bills!#REF!,"AAAAAD3/7gQ=")</f>
        <v>#REF!</v>
      </c>
      <c r="F66" t="e">
        <f>AND(Bills!#REF!,"AAAAAD3/7gU=")</f>
        <v>#REF!</v>
      </c>
      <c r="G66" t="e">
        <f>AND(Bills!W97,"AAAAAD3/7gY=")</f>
        <v>#VALUE!</v>
      </c>
      <c r="H66" t="e">
        <f>AND(Bills!X97,"AAAAAD3/7gc=")</f>
        <v>#VALUE!</v>
      </c>
      <c r="I66" t="e">
        <f>AND(Bills!#REF!,"AAAAAD3/7gg=")</f>
        <v>#REF!</v>
      </c>
      <c r="J66" t="e">
        <f>AND(Bills!#REF!,"AAAAAD3/7gk=")</f>
        <v>#REF!</v>
      </c>
      <c r="K66" t="e">
        <f>AND(Bills!#REF!,"AAAAAD3/7go=")</f>
        <v>#REF!</v>
      </c>
      <c r="L66" t="e">
        <f>AND(Bills!#REF!,"AAAAAD3/7gs=")</f>
        <v>#REF!</v>
      </c>
      <c r="M66" t="e">
        <f>AND(Bills!#REF!,"AAAAAD3/7gw=")</f>
        <v>#REF!</v>
      </c>
      <c r="N66" t="e">
        <f>AND(Bills!#REF!,"AAAAAD3/7g0=")</f>
        <v>#REF!</v>
      </c>
      <c r="O66" t="e">
        <f>AND(Bills!#REF!,"AAAAAD3/7g4=")</f>
        <v>#REF!</v>
      </c>
      <c r="P66" t="e">
        <f>AND(Bills!#REF!,"AAAAAD3/7g8=")</f>
        <v>#REF!</v>
      </c>
      <c r="Q66" t="e">
        <f>AND(Bills!#REF!,"AAAAAD3/7hA=")</f>
        <v>#REF!</v>
      </c>
      <c r="R66" t="e">
        <f>AND(Bills!Y97,"AAAAAD3/7hE=")</f>
        <v>#VALUE!</v>
      </c>
      <c r="S66" t="e">
        <f>AND(Bills!Z97,"AAAAAD3/7hI=")</f>
        <v>#VALUE!</v>
      </c>
      <c r="T66" t="e">
        <f>AND(Bills!#REF!,"AAAAAD3/7hM=")</f>
        <v>#REF!</v>
      </c>
      <c r="U66" t="e">
        <f>AND(Bills!#REF!,"AAAAAD3/7hQ=")</f>
        <v>#REF!</v>
      </c>
      <c r="V66" t="e">
        <f>AND(Bills!#REF!,"AAAAAD3/7hU=")</f>
        <v>#REF!</v>
      </c>
      <c r="W66" t="e">
        <f>AND(Bills!AA97,"AAAAAD3/7hY=")</f>
        <v>#VALUE!</v>
      </c>
      <c r="X66" t="e">
        <f>AND(Bills!AB97,"AAAAAD3/7hc=")</f>
        <v>#VALUE!</v>
      </c>
      <c r="Y66" t="e">
        <f>AND(Bills!#REF!,"AAAAAD3/7hg=")</f>
        <v>#REF!</v>
      </c>
      <c r="Z66">
        <f>IF(Bills!98:98,"AAAAAD3/7hk=",0)</f>
        <v>0</v>
      </c>
      <c r="AA66" t="e">
        <f>AND(Bills!B98,"AAAAAD3/7ho=")</f>
        <v>#VALUE!</v>
      </c>
      <c r="AB66" t="e">
        <f>AND(Bills!#REF!,"AAAAAD3/7hs=")</f>
        <v>#REF!</v>
      </c>
      <c r="AC66" t="e">
        <f>AND(Bills!C98,"AAAAAD3/7hw=")</f>
        <v>#VALUE!</v>
      </c>
      <c r="AD66" t="e">
        <f>AND(Bills!#REF!,"AAAAAD3/7h0=")</f>
        <v>#REF!</v>
      </c>
      <c r="AE66" t="e">
        <f>AND(Bills!#REF!,"AAAAAD3/7h4=")</f>
        <v>#REF!</v>
      </c>
      <c r="AF66" t="e">
        <f>AND(Bills!#REF!,"AAAAAD3/7h8=")</f>
        <v>#REF!</v>
      </c>
      <c r="AG66" t="e">
        <f>AND(Bills!#REF!,"AAAAAD3/7iA=")</f>
        <v>#REF!</v>
      </c>
      <c r="AH66" t="e">
        <f>AND(Bills!#REF!,"AAAAAD3/7iE=")</f>
        <v>#REF!</v>
      </c>
      <c r="AI66" t="e">
        <f>AND(Bills!D98,"AAAAAD3/7iI=")</f>
        <v>#VALUE!</v>
      </c>
      <c r="AJ66" t="e">
        <f>AND(Bills!#REF!,"AAAAAD3/7iM=")</f>
        <v>#REF!</v>
      </c>
      <c r="AK66" t="e">
        <f>AND(Bills!E98,"AAAAAD3/7iQ=")</f>
        <v>#VALUE!</v>
      </c>
      <c r="AL66" t="e">
        <f>AND(Bills!F98,"AAAAAD3/7iU=")</f>
        <v>#VALUE!</v>
      </c>
      <c r="AM66" t="e">
        <f>AND(Bills!G98,"AAAAAD3/7iY=")</f>
        <v>#VALUE!</v>
      </c>
      <c r="AN66" t="e">
        <f>AND(Bills!H98,"AAAAAD3/7ic=")</f>
        <v>#VALUE!</v>
      </c>
      <c r="AO66" t="e">
        <f>AND(Bills!I98,"AAAAAD3/7ig=")</f>
        <v>#VALUE!</v>
      </c>
      <c r="AP66" t="e">
        <f>AND(Bills!J98,"AAAAAD3/7ik=")</f>
        <v>#VALUE!</v>
      </c>
      <c r="AQ66" t="e">
        <f>AND(Bills!#REF!,"AAAAAD3/7io=")</f>
        <v>#REF!</v>
      </c>
      <c r="AR66" t="e">
        <f>AND(Bills!K98,"AAAAAD3/7is=")</f>
        <v>#VALUE!</v>
      </c>
      <c r="AS66" t="e">
        <f>AND(Bills!L98,"AAAAAD3/7iw=")</f>
        <v>#VALUE!</v>
      </c>
      <c r="AT66" t="e">
        <f>AND(Bills!M98,"AAAAAD3/7i0=")</f>
        <v>#VALUE!</v>
      </c>
      <c r="AU66" t="e">
        <f>AND(Bills!N98,"AAAAAD3/7i4=")</f>
        <v>#VALUE!</v>
      </c>
      <c r="AV66" t="e">
        <f>AND(Bills!O98,"AAAAAD3/7i8=")</f>
        <v>#VALUE!</v>
      </c>
      <c r="AW66" t="e">
        <f>AND(Bills!P98,"AAAAAD3/7jA=")</f>
        <v>#VALUE!</v>
      </c>
      <c r="AX66" t="e">
        <f>AND(Bills!Q98,"AAAAAD3/7jE=")</f>
        <v>#VALUE!</v>
      </c>
      <c r="AY66" t="e">
        <f>AND(Bills!R98,"AAAAAD3/7jI=")</f>
        <v>#VALUE!</v>
      </c>
      <c r="AZ66" t="e">
        <f>AND(Bills!#REF!,"AAAAAD3/7jM=")</f>
        <v>#REF!</v>
      </c>
      <c r="BA66" t="e">
        <f>AND(Bills!S98,"AAAAAD3/7jQ=")</f>
        <v>#VALUE!</v>
      </c>
      <c r="BB66" t="e">
        <f>AND(Bills!T98,"AAAAAD3/7jU=")</f>
        <v>#VALUE!</v>
      </c>
      <c r="BC66" t="e">
        <f>AND(Bills!U98,"AAAAAD3/7jY=")</f>
        <v>#VALUE!</v>
      </c>
      <c r="BD66" t="e">
        <f>AND(Bills!#REF!,"AAAAAD3/7jc=")</f>
        <v>#REF!</v>
      </c>
      <c r="BE66" t="e">
        <f>AND(Bills!#REF!,"AAAAAD3/7jg=")</f>
        <v>#REF!</v>
      </c>
      <c r="BF66" t="e">
        <f>AND(Bills!W98,"AAAAAD3/7jk=")</f>
        <v>#VALUE!</v>
      </c>
      <c r="BG66" t="e">
        <f>AND(Bills!X98,"AAAAAD3/7jo=")</f>
        <v>#VALUE!</v>
      </c>
      <c r="BH66" t="e">
        <f>AND(Bills!#REF!,"AAAAAD3/7js=")</f>
        <v>#REF!</v>
      </c>
      <c r="BI66" t="e">
        <f>AND(Bills!#REF!,"AAAAAD3/7jw=")</f>
        <v>#REF!</v>
      </c>
      <c r="BJ66" t="e">
        <f>AND(Bills!#REF!,"AAAAAD3/7j0=")</f>
        <v>#REF!</v>
      </c>
      <c r="BK66" t="e">
        <f>AND(Bills!#REF!,"AAAAAD3/7j4=")</f>
        <v>#REF!</v>
      </c>
      <c r="BL66" t="e">
        <f>AND(Bills!#REF!,"AAAAAD3/7j8=")</f>
        <v>#REF!</v>
      </c>
      <c r="BM66" t="e">
        <f>AND(Bills!#REF!,"AAAAAD3/7kA=")</f>
        <v>#REF!</v>
      </c>
      <c r="BN66" t="e">
        <f>AND(Bills!#REF!,"AAAAAD3/7kE=")</f>
        <v>#REF!</v>
      </c>
      <c r="BO66" t="e">
        <f>AND(Bills!#REF!,"AAAAAD3/7kI=")</f>
        <v>#REF!</v>
      </c>
      <c r="BP66" t="e">
        <f>AND(Bills!#REF!,"AAAAAD3/7kM=")</f>
        <v>#REF!</v>
      </c>
      <c r="BQ66" t="e">
        <f>AND(Bills!Y98,"AAAAAD3/7kQ=")</f>
        <v>#VALUE!</v>
      </c>
      <c r="BR66" t="e">
        <f>AND(Bills!Z98,"AAAAAD3/7kU=")</f>
        <v>#VALUE!</v>
      </c>
      <c r="BS66" t="e">
        <f>AND(Bills!#REF!,"AAAAAD3/7kY=")</f>
        <v>#REF!</v>
      </c>
      <c r="BT66" t="e">
        <f>AND(Bills!#REF!,"AAAAAD3/7kc=")</f>
        <v>#REF!</v>
      </c>
      <c r="BU66" t="e">
        <f>AND(Bills!#REF!,"AAAAAD3/7kg=")</f>
        <v>#REF!</v>
      </c>
      <c r="BV66" t="e">
        <f>AND(Bills!AA98,"AAAAAD3/7kk=")</f>
        <v>#VALUE!</v>
      </c>
      <c r="BW66" t="e">
        <f>AND(Bills!AB98,"AAAAAD3/7ko=")</f>
        <v>#VALUE!</v>
      </c>
      <c r="BX66" t="e">
        <f>AND(Bills!#REF!,"AAAAAD3/7ks=")</f>
        <v>#REF!</v>
      </c>
      <c r="BY66">
        <f>IF(Bills!99:99,"AAAAAD3/7kw=",0)</f>
        <v>0</v>
      </c>
      <c r="BZ66" t="e">
        <f>AND(Bills!B99,"AAAAAD3/7k0=")</f>
        <v>#VALUE!</v>
      </c>
      <c r="CA66" t="e">
        <f>AND(Bills!#REF!,"AAAAAD3/7k4=")</f>
        <v>#REF!</v>
      </c>
      <c r="CB66" t="e">
        <f>AND(Bills!C99,"AAAAAD3/7k8=")</f>
        <v>#VALUE!</v>
      </c>
      <c r="CC66" t="e">
        <f>AND(Bills!#REF!,"AAAAAD3/7lA=")</f>
        <v>#REF!</v>
      </c>
      <c r="CD66" t="e">
        <f>AND(Bills!#REF!,"AAAAAD3/7lE=")</f>
        <v>#REF!</v>
      </c>
      <c r="CE66" t="e">
        <f>AND(Bills!#REF!,"AAAAAD3/7lI=")</f>
        <v>#REF!</v>
      </c>
      <c r="CF66" t="e">
        <f>AND(Bills!#REF!,"AAAAAD3/7lM=")</f>
        <v>#REF!</v>
      </c>
      <c r="CG66" t="e">
        <f>AND(Bills!#REF!,"AAAAAD3/7lQ=")</f>
        <v>#REF!</v>
      </c>
      <c r="CH66" t="e">
        <f>AND(Bills!D99,"AAAAAD3/7lU=")</f>
        <v>#VALUE!</v>
      </c>
      <c r="CI66" t="e">
        <f>AND(Bills!#REF!,"AAAAAD3/7lY=")</f>
        <v>#REF!</v>
      </c>
      <c r="CJ66" t="e">
        <f>AND(Bills!E99,"AAAAAD3/7lc=")</f>
        <v>#VALUE!</v>
      </c>
      <c r="CK66" t="e">
        <f>AND(Bills!F99,"AAAAAD3/7lg=")</f>
        <v>#VALUE!</v>
      </c>
      <c r="CL66" t="e">
        <f>AND(Bills!G99,"AAAAAD3/7lk=")</f>
        <v>#VALUE!</v>
      </c>
      <c r="CM66" t="e">
        <f>AND(Bills!H99,"AAAAAD3/7lo=")</f>
        <v>#VALUE!</v>
      </c>
      <c r="CN66" t="e">
        <f>AND(Bills!I99,"AAAAAD3/7ls=")</f>
        <v>#VALUE!</v>
      </c>
      <c r="CO66" t="e">
        <f>AND(Bills!J99,"AAAAAD3/7lw=")</f>
        <v>#VALUE!</v>
      </c>
      <c r="CP66" t="e">
        <f>AND(Bills!#REF!,"AAAAAD3/7l0=")</f>
        <v>#REF!</v>
      </c>
      <c r="CQ66" t="e">
        <f>AND(Bills!K99,"AAAAAD3/7l4=")</f>
        <v>#VALUE!</v>
      </c>
      <c r="CR66" t="e">
        <f>AND(Bills!L99,"AAAAAD3/7l8=")</f>
        <v>#VALUE!</v>
      </c>
      <c r="CS66" t="e">
        <f>AND(Bills!M99,"AAAAAD3/7mA=")</f>
        <v>#VALUE!</v>
      </c>
      <c r="CT66" t="e">
        <f>AND(Bills!N99,"AAAAAD3/7mE=")</f>
        <v>#VALUE!</v>
      </c>
      <c r="CU66" t="e">
        <f>AND(Bills!O99,"AAAAAD3/7mI=")</f>
        <v>#VALUE!</v>
      </c>
      <c r="CV66" t="e">
        <f>AND(Bills!P99,"AAAAAD3/7mM=")</f>
        <v>#VALUE!</v>
      </c>
      <c r="CW66" t="e">
        <f>AND(Bills!Q99,"AAAAAD3/7mQ=")</f>
        <v>#VALUE!</v>
      </c>
      <c r="CX66" t="e">
        <f>AND(Bills!R99,"AAAAAD3/7mU=")</f>
        <v>#VALUE!</v>
      </c>
      <c r="CY66" t="e">
        <f>AND(Bills!#REF!,"AAAAAD3/7mY=")</f>
        <v>#REF!</v>
      </c>
      <c r="CZ66" t="e">
        <f>AND(Bills!S99,"AAAAAD3/7mc=")</f>
        <v>#VALUE!</v>
      </c>
      <c r="DA66" t="e">
        <f>AND(Bills!T99,"AAAAAD3/7mg=")</f>
        <v>#VALUE!</v>
      </c>
      <c r="DB66" t="e">
        <f>AND(Bills!U99,"AAAAAD3/7mk=")</f>
        <v>#VALUE!</v>
      </c>
      <c r="DC66" t="e">
        <f>AND(Bills!#REF!,"AAAAAD3/7mo=")</f>
        <v>#REF!</v>
      </c>
      <c r="DD66" t="e">
        <f>AND(Bills!#REF!,"AAAAAD3/7ms=")</f>
        <v>#REF!</v>
      </c>
      <c r="DE66" t="e">
        <f>AND(Bills!W99,"AAAAAD3/7mw=")</f>
        <v>#VALUE!</v>
      </c>
      <c r="DF66" t="e">
        <f>AND(Bills!X99,"AAAAAD3/7m0=")</f>
        <v>#VALUE!</v>
      </c>
      <c r="DG66" t="e">
        <f>AND(Bills!#REF!,"AAAAAD3/7m4=")</f>
        <v>#REF!</v>
      </c>
      <c r="DH66" t="e">
        <f>AND(Bills!#REF!,"AAAAAD3/7m8=")</f>
        <v>#REF!</v>
      </c>
      <c r="DI66" t="e">
        <f>AND(Bills!#REF!,"AAAAAD3/7nA=")</f>
        <v>#REF!</v>
      </c>
      <c r="DJ66" t="e">
        <f>AND(Bills!#REF!,"AAAAAD3/7nE=")</f>
        <v>#REF!</v>
      </c>
      <c r="DK66" t="e">
        <f>AND(Bills!#REF!,"AAAAAD3/7nI=")</f>
        <v>#REF!</v>
      </c>
      <c r="DL66" t="e">
        <f>AND(Bills!#REF!,"AAAAAD3/7nM=")</f>
        <v>#REF!</v>
      </c>
      <c r="DM66" t="e">
        <f>AND(Bills!#REF!,"AAAAAD3/7nQ=")</f>
        <v>#REF!</v>
      </c>
      <c r="DN66" t="e">
        <f>AND(Bills!#REF!,"AAAAAD3/7nU=")</f>
        <v>#REF!</v>
      </c>
      <c r="DO66" t="e">
        <f>AND(Bills!#REF!,"AAAAAD3/7nY=")</f>
        <v>#REF!</v>
      </c>
      <c r="DP66" t="e">
        <f>AND(Bills!Y99,"AAAAAD3/7nc=")</f>
        <v>#VALUE!</v>
      </c>
      <c r="DQ66" t="e">
        <f>AND(Bills!Z99,"AAAAAD3/7ng=")</f>
        <v>#VALUE!</v>
      </c>
      <c r="DR66" t="e">
        <f>AND(Bills!#REF!,"AAAAAD3/7nk=")</f>
        <v>#REF!</v>
      </c>
      <c r="DS66" t="e">
        <f>AND(Bills!#REF!,"AAAAAD3/7no=")</f>
        <v>#REF!</v>
      </c>
      <c r="DT66" t="e">
        <f>AND(Bills!#REF!,"AAAAAD3/7ns=")</f>
        <v>#REF!</v>
      </c>
      <c r="DU66" t="e">
        <f>AND(Bills!AA99,"AAAAAD3/7nw=")</f>
        <v>#VALUE!</v>
      </c>
      <c r="DV66" t="e">
        <f>AND(Bills!AB99,"AAAAAD3/7n0=")</f>
        <v>#VALUE!</v>
      </c>
      <c r="DW66" t="e">
        <f>AND(Bills!#REF!,"AAAAAD3/7n4=")</f>
        <v>#REF!</v>
      </c>
      <c r="DX66">
        <f>IF(Bills!100:100,"AAAAAD3/7n8=",0)</f>
        <v>0</v>
      </c>
      <c r="DY66" t="e">
        <f>AND(Bills!B100,"AAAAAD3/7oA=")</f>
        <v>#VALUE!</v>
      </c>
      <c r="DZ66" t="e">
        <f>AND(Bills!#REF!,"AAAAAD3/7oE=")</f>
        <v>#REF!</v>
      </c>
      <c r="EA66" t="e">
        <f>AND(Bills!C100,"AAAAAD3/7oI=")</f>
        <v>#VALUE!</v>
      </c>
      <c r="EB66" t="e">
        <f>AND(Bills!#REF!,"AAAAAD3/7oM=")</f>
        <v>#REF!</v>
      </c>
      <c r="EC66" t="e">
        <f>AND(Bills!#REF!,"AAAAAD3/7oQ=")</f>
        <v>#REF!</v>
      </c>
      <c r="ED66" t="e">
        <f>AND(Bills!#REF!,"AAAAAD3/7oU=")</f>
        <v>#REF!</v>
      </c>
      <c r="EE66" t="e">
        <f>AND(Bills!#REF!,"AAAAAD3/7oY=")</f>
        <v>#REF!</v>
      </c>
      <c r="EF66" t="e">
        <f>AND(Bills!#REF!,"AAAAAD3/7oc=")</f>
        <v>#REF!</v>
      </c>
      <c r="EG66" t="e">
        <f>AND(Bills!D100,"AAAAAD3/7og=")</f>
        <v>#VALUE!</v>
      </c>
      <c r="EH66" t="e">
        <f>AND(Bills!#REF!,"AAAAAD3/7ok=")</f>
        <v>#REF!</v>
      </c>
      <c r="EI66" t="e">
        <f>AND(Bills!E100,"AAAAAD3/7oo=")</f>
        <v>#VALUE!</v>
      </c>
      <c r="EJ66" t="e">
        <f>AND(Bills!F100,"AAAAAD3/7os=")</f>
        <v>#VALUE!</v>
      </c>
      <c r="EK66" t="e">
        <f>AND(Bills!G100,"AAAAAD3/7ow=")</f>
        <v>#VALUE!</v>
      </c>
      <c r="EL66" t="e">
        <f>AND(Bills!H100,"AAAAAD3/7o0=")</f>
        <v>#VALUE!</v>
      </c>
      <c r="EM66" t="e">
        <f>AND(Bills!I100,"AAAAAD3/7o4=")</f>
        <v>#VALUE!</v>
      </c>
      <c r="EN66" t="e">
        <f>AND(Bills!J100,"AAAAAD3/7o8=")</f>
        <v>#VALUE!</v>
      </c>
      <c r="EO66" t="e">
        <f>AND(Bills!#REF!,"AAAAAD3/7pA=")</f>
        <v>#REF!</v>
      </c>
      <c r="EP66" t="e">
        <f>AND(Bills!K100,"AAAAAD3/7pE=")</f>
        <v>#VALUE!</v>
      </c>
      <c r="EQ66" t="e">
        <f>AND(Bills!L100,"AAAAAD3/7pI=")</f>
        <v>#VALUE!</v>
      </c>
      <c r="ER66" t="e">
        <f>AND(Bills!M100,"AAAAAD3/7pM=")</f>
        <v>#VALUE!</v>
      </c>
      <c r="ES66" t="e">
        <f>AND(Bills!N100,"AAAAAD3/7pQ=")</f>
        <v>#VALUE!</v>
      </c>
      <c r="ET66" t="e">
        <f>AND(Bills!O100,"AAAAAD3/7pU=")</f>
        <v>#VALUE!</v>
      </c>
      <c r="EU66" t="e">
        <f>AND(Bills!P100,"AAAAAD3/7pY=")</f>
        <v>#VALUE!</v>
      </c>
      <c r="EV66" t="e">
        <f>AND(Bills!Q100,"AAAAAD3/7pc=")</f>
        <v>#VALUE!</v>
      </c>
      <c r="EW66" t="e">
        <f>AND(Bills!R100,"AAAAAD3/7pg=")</f>
        <v>#VALUE!</v>
      </c>
      <c r="EX66" t="e">
        <f>AND(Bills!#REF!,"AAAAAD3/7pk=")</f>
        <v>#REF!</v>
      </c>
      <c r="EY66" t="e">
        <f>AND(Bills!S100,"AAAAAD3/7po=")</f>
        <v>#VALUE!</v>
      </c>
      <c r="EZ66" t="e">
        <f>AND(Bills!T100,"AAAAAD3/7ps=")</f>
        <v>#VALUE!</v>
      </c>
      <c r="FA66" t="e">
        <f>AND(Bills!U100,"AAAAAD3/7pw=")</f>
        <v>#VALUE!</v>
      </c>
      <c r="FB66" t="e">
        <f>AND(Bills!#REF!,"AAAAAD3/7p0=")</f>
        <v>#REF!</v>
      </c>
      <c r="FC66" t="e">
        <f>AND(Bills!#REF!,"AAAAAD3/7p4=")</f>
        <v>#REF!</v>
      </c>
      <c r="FD66" t="e">
        <f>AND(Bills!W100,"AAAAAD3/7p8=")</f>
        <v>#VALUE!</v>
      </c>
      <c r="FE66" t="e">
        <f>AND(Bills!X100,"AAAAAD3/7qA=")</f>
        <v>#VALUE!</v>
      </c>
      <c r="FF66" t="e">
        <f>AND(Bills!#REF!,"AAAAAD3/7qE=")</f>
        <v>#REF!</v>
      </c>
      <c r="FG66" t="e">
        <f>AND(Bills!#REF!,"AAAAAD3/7qI=")</f>
        <v>#REF!</v>
      </c>
      <c r="FH66" t="e">
        <f>AND(Bills!#REF!,"AAAAAD3/7qM=")</f>
        <v>#REF!</v>
      </c>
      <c r="FI66" t="e">
        <f>AND(Bills!#REF!,"AAAAAD3/7qQ=")</f>
        <v>#REF!</v>
      </c>
      <c r="FJ66" t="e">
        <f>AND(Bills!#REF!,"AAAAAD3/7qU=")</f>
        <v>#REF!</v>
      </c>
      <c r="FK66" t="e">
        <f>AND(Bills!#REF!,"AAAAAD3/7qY=")</f>
        <v>#REF!</v>
      </c>
      <c r="FL66" t="e">
        <f>AND(Bills!#REF!,"AAAAAD3/7qc=")</f>
        <v>#REF!</v>
      </c>
      <c r="FM66" t="e">
        <f>AND(Bills!#REF!,"AAAAAD3/7qg=")</f>
        <v>#REF!</v>
      </c>
      <c r="FN66" t="e">
        <f>AND(Bills!#REF!,"AAAAAD3/7qk=")</f>
        <v>#REF!</v>
      </c>
      <c r="FO66" t="e">
        <f>AND(Bills!Y100,"AAAAAD3/7qo=")</f>
        <v>#VALUE!</v>
      </c>
      <c r="FP66" t="e">
        <f>AND(Bills!Z100,"AAAAAD3/7qs=")</f>
        <v>#VALUE!</v>
      </c>
      <c r="FQ66" t="e">
        <f>AND(Bills!#REF!,"AAAAAD3/7qw=")</f>
        <v>#REF!</v>
      </c>
      <c r="FR66" t="e">
        <f>AND(Bills!#REF!,"AAAAAD3/7q0=")</f>
        <v>#REF!</v>
      </c>
      <c r="FS66" t="e">
        <f>AND(Bills!#REF!,"AAAAAD3/7q4=")</f>
        <v>#REF!</v>
      </c>
      <c r="FT66" t="e">
        <f>AND(Bills!AA100,"AAAAAD3/7q8=")</f>
        <v>#VALUE!</v>
      </c>
      <c r="FU66" t="e">
        <f>AND(Bills!AB100,"AAAAAD3/7rA=")</f>
        <v>#VALUE!</v>
      </c>
      <c r="FV66" t="e">
        <f>AND(Bills!#REF!,"AAAAAD3/7rE=")</f>
        <v>#REF!</v>
      </c>
      <c r="FW66">
        <f>IF(Bills!101:101,"AAAAAD3/7rI=",0)</f>
        <v>0</v>
      </c>
      <c r="FX66" t="e">
        <f>AND(Bills!B101,"AAAAAD3/7rM=")</f>
        <v>#VALUE!</v>
      </c>
      <c r="FY66" t="e">
        <f>AND(Bills!#REF!,"AAAAAD3/7rQ=")</f>
        <v>#REF!</v>
      </c>
      <c r="FZ66" t="e">
        <f>AND(Bills!C101,"AAAAAD3/7rU=")</f>
        <v>#VALUE!</v>
      </c>
      <c r="GA66" t="e">
        <f>AND(Bills!#REF!,"AAAAAD3/7rY=")</f>
        <v>#REF!</v>
      </c>
      <c r="GB66" t="e">
        <f>AND(Bills!#REF!,"AAAAAD3/7rc=")</f>
        <v>#REF!</v>
      </c>
      <c r="GC66" t="e">
        <f>AND(Bills!#REF!,"AAAAAD3/7rg=")</f>
        <v>#REF!</v>
      </c>
      <c r="GD66" t="e">
        <f>AND(Bills!#REF!,"AAAAAD3/7rk=")</f>
        <v>#REF!</v>
      </c>
      <c r="GE66" t="e">
        <f>AND(Bills!#REF!,"AAAAAD3/7ro=")</f>
        <v>#REF!</v>
      </c>
      <c r="GF66" t="e">
        <f>AND(Bills!D101,"AAAAAD3/7rs=")</f>
        <v>#VALUE!</v>
      </c>
      <c r="GG66" t="e">
        <f>AND(Bills!#REF!,"AAAAAD3/7rw=")</f>
        <v>#REF!</v>
      </c>
      <c r="GH66" t="e">
        <f>AND(Bills!E101,"AAAAAD3/7r0=")</f>
        <v>#VALUE!</v>
      </c>
      <c r="GI66" t="e">
        <f>AND(Bills!F101,"AAAAAD3/7r4=")</f>
        <v>#VALUE!</v>
      </c>
      <c r="GJ66" t="e">
        <f>AND(Bills!G101,"AAAAAD3/7r8=")</f>
        <v>#VALUE!</v>
      </c>
      <c r="GK66" t="e">
        <f>AND(Bills!H101,"AAAAAD3/7sA=")</f>
        <v>#VALUE!</v>
      </c>
      <c r="GL66" t="e">
        <f>AND(Bills!I101,"AAAAAD3/7sE=")</f>
        <v>#VALUE!</v>
      </c>
      <c r="GM66" t="e">
        <f>AND(Bills!J101,"AAAAAD3/7sI=")</f>
        <v>#VALUE!</v>
      </c>
      <c r="GN66" t="e">
        <f>AND(Bills!#REF!,"AAAAAD3/7sM=")</f>
        <v>#REF!</v>
      </c>
      <c r="GO66" t="e">
        <f>AND(Bills!K101,"AAAAAD3/7sQ=")</f>
        <v>#VALUE!</v>
      </c>
      <c r="GP66" t="e">
        <f>AND(Bills!L101,"AAAAAD3/7sU=")</f>
        <v>#VALUE!</v>
      </c>
      <c r="GQ66" t="e">
        <f>AND(Bills!M101,"AAAAAD3/7sY=")</f>
        <v>#VALUE!</v>
      </c>
      <c r="GR66" t="e">
        <f>AND(Bills!N101,"AAAAAD3/7sc=")</f>
        <v>#VALUE!</v>
      </c>
      <c r="GS66" t="e">
        <f>AND(Bills!O101,"AAAAAD3/7sg=")</f>
        <v>#VALUE!</v>
      </c>
      <c r="GT66" t="e">
        <f>AND(Bills!P101,"AAAAAD3/7sk=")</f>
        <v>#VALUE!</v>
      </c>
      <c r="GU66" t="e">
        <f>AND(Bills!Q101,"AAAAAD3/7so=")</f>
        <v>#VALUE!</v>
      </c>
      <c r="GV66" t="e">
        <f>AND(Bills!R101,"AAAAAD3/7ss=")</f>
        <v>#VALUE!</v>
      </c>
      <c r="GW66" t="e">
        <f>AND(Bills!#REF!,"AAAAAD3/7sw=")</f>
        <v>#REF!</v>
      </c>
      <c r="GX66" t="e">
        <f>AND(Bills!S101,"AAAAAD3/7s0=")</f>
        <v>#VALUE!</v>
      </c>
      <c r="GY66" t="e">
        <f>AND(Bills!T101,"AAAAAD3/7s4=")</f>
        <v>#VALUE!</v>
      </c>
      <c r="GZ66" t="e">
        <f>AND(Bills!U101,"AAAAAD3/7s8=")</f>
        <v>#VALUE!</v>
      </c>
      <c r="HA66" t="e">
        <f>AND(Bills!#REF!,"AAAAAD3/7tA=")</f>
        <v>#REF!</v>
      </c>
      <c r="HB66" t="e">
        <f>AND(Bills!#REF!,"AAAAAD3/7tE=")</f>
        <v>#REF!</v>
      </c>
      <c r="HC66" t="e">
        <f>AND(Bills!W101,"AAAAAD3/7tI=")</f>
        <v>#VALUE!</v>
      </c>
      <c r="HD66" t="e">
        <f>AND(Bills!X101,"AAAAAD3/7tM=")</f>
        <v>#VALUE!</v>
      </c>
      <c r="HE66" t="e">
        <f>AND(Bills!#REF!,"AAAAAD3/7tQ=")</f>
        <v>#REF!</v>
      </c>
      <c r="HF66" t="e">
        <f>AND(Bills!#REF!,"AAAAAD3/7tU=")</f>
        <v>#REF!</v>
      </c>
      <c r="HG66" t="e">
        <f>AND(Bills!#REF!,"AAAAAD3/7tY=")</f>
        <v>#REF!</v>
      </c>
      <c r="HH66" t="e">
        <f>AND(Bills!#REF!,"AAAAAD3/7tc=")</f>
        <v>#REF!</v>
      </c>
      <c r="HI66" t="e">
        <f>AND(Bills!#REF!,"AAAAAD3/7tg=")</f>
        <v>#REF!</v>
      </c>
      <c r="HJ66" t="e">
        <f>AND(Bills!#REF!,"AAAAAD3/7tk=")</f>
        <v>#REF!</v>
      </c>
      <c r="HK66" t="e">
        <f>AND(Bills!#REF!,"AAAAAD3/7to=")</f>
        <v>#REF!</v>
      </c>
      <c r="HL66" t="e">
        <f>AND(Bills!#REF!,"AAAAAD3/7ts=")</f>
        <v>#REF!</v>
      </c>
      <c r="HM66" t="e">
        <f>AND(Bills!#REF!,"AAAAAD3/7tw=")</f>
        <v>#REF!</v>
      </c>
      <c r="HN66" t="e">
        <f>AND(Bills!Y101,"AAAAAD3/7t0=")</f>
        <v>#VALUE!</v>
      </c>
      <c r="HO66" t="e">
        <f>AND(Bills!Z101,"AAAAAD3/7t4=")</f>
        <v>#VALUE!</v>
      </c>
      <c r="HP66" t="e">
        <f>AND(Bills!#REF!,"AAAAAD3/7t8=")</f>
        <v>#REF!</v>
      </c>
      <c r="HQ66" t="e">
        <f>AND(Bills!#REF!,"AAAAAD3/7uA=")</f>
        <v>#REF!</v>
      </c>
      <c r="HR66" t="e">
        <f>AND(Bills!#REF!,"AAAAAD3/7uE=")</f>
        <v>#REF!</v>
      </c>
      <c r="HS66" t="e">
        <f>AND(Bills!AA101,"AAAAAD3/7uI=")</f>
        <v>#VALUE!</v>
      </c>
      <c r="HT66" t="e">
        <f>AND(Bills!AB101,"AAAAAD3/7uM=")</f>
        <v>#VALUE!</v>
      </c>
      <c r="HU66" t="e">
        <f>AND(Bills!#REF!,"AAAAAD3/7uQ=")</f>
        <v>#REF!</v>
      </c>
      <c r="HV66">
        <f>IF(Bills!102:102,"AAAAAD3/7uU=",0)</f>
        <v>0</v>
      </c>
      <c r="HW66" t="e">
        <f>AND(Bills!B102,"AAAAAD3/7uY=")</f>
        <v>#VALUE!</v>
      </c>
      <c r="HX66" t="e">
        <f>AND(Bills!#REF!,"AAAAAD3/7uc=")</f>
        <v>#REF!</v>
      </c>
      <c r="HY66" t="e">
        <f>AND(Bills!C102,"AAAAAD3/7ug=")</f>
        <v>#VALUE!</v>
      </c>
      <c r="HZ66" t="e">
        <f>AND(Bills!#REF!,"AAAAAD3/7uk=")</f>
        <v>#REF!</v>
      </c>
      <c r="IA66" t="e">
        <f>AND(Bills!#REF!,"AAAAAD3/7uo=")</f>
        <v>#REF!</v>
      </c>
      <c r="IB66" t="e">
        <f>AND(Bills!#REF!,"AAAAAD3/7us=")</f>
        <v>#REF!</v>
      </c>
      <c r="IC66" t="e">
        <f>AND(Bills!#REF!,"AAAAAD3/7uw=")</f>
        <v>#REF!</v>
      </c>
      <c r="ID66" t="e">
        <f>AND(Bills!#REF!,"AAAAAD3/7u0=")</f>
        <v>#REF!</v>
      </c>
      <c r="IE66" t="e">
        <f>AND(Bills!D102,"AAAAAD3/7u4=")</f>
        <v>#VALUE!</v>
      </c>
      <c r="IF66" t="e">
        <f>AND(Bills!#REF!,"AAAAAD3/7u8=")</f>
        <v>#REF!</v>
      </c>
      <c r="IG66" t="e">
        <f>AND(Bills!E102,"AAAAAD3/7vA=")</f>
        <v>#VALUE!</v>
      </c>
      <c r="IH66" t="e">
        <f>AND(Bills!F102,"AAAAAD3/7vE=")</f>
        <v>#VALUE!</v>
      </c>
      <c r="II66" t="e">
        <f>AND(Bills!G102,"AAAAAD3/7vI=")</f>
        <v>#VALUE!</v>
      </c>
      <c r="IJ66" t="e">
        <f>AND(Bills!H102,"AAAAAD3/7vM=")</f>
        <v>#VALUE!</v>
      </c>
      <c r="IK66" t="e">
        <f>AND(Bills!I102,"AAAAAD3/7vQ=")</f>
        <v>#VALUE!</v>
      </c>
      <c r="IL66" t="e">
        <f>AND(Bills!J102,"AAAAAD3/7vU=")</f>
        <v>#VALUE!</v>
      </c>
      <c r="IM66" t="e">
        <f>AND(Bills!#REF!,"AAAAAD3/7vY=")</f>
        <v>#REF!</v>
      </c>
      <c r="IN66" t="e">
        <f>AND(Bills!K102,"AAAAAD3/7vc=")</f>
        <v>#VALUE!</v>
      </c>
      <c r="IO66" t="e">
        <f>AND(Bills!L102,"AAAAAD3/7vg=")</f>
        <v>#VALUE!</v>
      </c>
      <c r="IP66" t="e">
        <f>AND(Bills!M102,"AAAAAD3/7vk=")</f>
        <v>#VALUE!</v>
      </c>
      <c r="IQ66" t="e">
        <f>AND(Bills!N102,"AAAAAD3/7vo=")</f>
        <v>#VALUE!</v>
      </c>
      <c r="IR66" t="e">
        <f>AND(Bills!O102,"AAAAAD3/7vs=")</f>
        <v>#VALUE!</v>
      </c>
      <c r="IS66" t="e">
        <f>AND(Bills!P102,"AAAAAD3/7vw=")</f>
        <v>#VALUE!</v>
      </c>
      <c r="IT66" t="e">
        <f>AND(Bills!Q102,"AAAAAD3/7v0=")</f>
        <v>#VALUE!</v>
      </c>
      <c r="IU66" t="e">
        <f>AND(Bills!R102,"AAAAAD3/7v4=")</f>
        <v>#VALUE!</v>
      </c>
      <c r="IV66" t="e">
        <f>AND(Bills!#REF!,"AAAAAD3/7v8=")</f>
        <v>#REF!</v>
      </c>
    </row>
    <row r="67" spans="1:256">
      <c r="A67" t="e">
        <f>AND(Bills!S102,"AAAAADu/TwA=")</f>
        <v>#VALUE!</v>
      </c>
      <c r="B67" t="e">
        <f>AND(Bills!T102,"AAAAADu/TwE=")</f>
        <v>#VALUE!</v>
      </c>
      <c r="C67" t="e">
        <f>AND(Bills!U102,"AAAAADu/TwI=")</f>
        <v>#VALUE!</v>
      </c>
      <c r="D67" t="e">
        <f>AND(Bills!#REF!,"AAAAADu/TwM=")</f>
        <v>#REF!</v>
      </c>
      <c r="E67" t="e">
        <f>AND(Bills!#REF!,"AAAAADu/TwQ=")</f>
        <v>#REF!</v>
      </c>
      <c r="F67" t="e">
        <f>AND(Bills!W102,"AAAAADu/TwU=")</f>
        <v>#VALUE!</v>
      </c>
      <c r="G67" t="e">
        <f>AND(Bills!X102,"AAAAADu/TwY=")</f>
        <v>#VALUE!</v>
      </c>
      <c r="H67" t="e">
        <f>AND(Bills!#REF!,"AAAAADu/Twc=")</f>
        <v>#REF!</v>
      </c>
      <c r="I67" t="e">
        <f>AND(Bills!#REF!,"AAAAADu/Twg=")</f>
        <v>#REF!</v>
      </c>
      <c r="J67" t="e">
        <f>AND(Bills!#REF!,"AAAAADu/Twk=")</f>
        <v>#REF!</v>
      </c>
      <c r="K67" t="e">
        <f>AND(Bills!#REF!,"AAAAADu/Two=")</f>
        <v>#REF!</v>
      </c>
      <c r="L67" t="e">
        <f>AND(Bills!#REF!,"AAAAADu/Tws=")</f>
        <v>#REF!</v>
      </c>
      <c r="M67" t="e">
        <f>AND(Bills!#REF!,"AAAAADu/Tww=")</f>
        <v>#REF!</v>
      </c>
      <c r="N67" t="e">
        <f>AND(Bills!#REF!,"AAAAADu/Tw0=")</f>
        <v>#REF!</v>
      </c>
      <c r="O67" t="e">
        <f>AND(Bills!#REF!,"AAAAADu/Tw4=")</f>
        <v>#REF!</v>
      </c>
      <c r="P67" t="e">
        <f>AND(Bills!#REF!,"AAAAADu/Tw8=")</f>
        <v>#REF!</v>
      </c>
      <c r="Q67" t="e">
        <f>AND(Bills!Y102,"AAAAADu/TxA=")</f>
        <v>#VALUE!</v>
      </c>
      <c r="R67" t="e">
        <f>AND(Bills!Z102,"AAAAADu/TxE=")</f>
        <v>#VALUE!</v>
      </c>
      <c r="S67" t="e">
        <f>AND(Bills!#REF!,"AAAAADu/TxI=")</f>
        <v>#REF!</v>
      </c>
      <c r="T67" t="e">
        <f>AND(Bills!#REF!,"AAAAADu/TxM=")</f>
        <v>#REF!</v>
      </c>
      <c r="U67" t="e">
        <f>AND(Bills!#REF!,"AAAAADu/TxQ=")</f>
        <v>#REF!</v>
      </c>
      <c r="V67" t="e">
        <f>AND(Bills!AA102,"AAAAADu/TxU=")</f>
        <v>#VALUE!</v>
      </c>
      <c r="W67" t="e">
        <f>AND(Bills!AB102,"AAAAADu/TxY=")</f>
        <v>#VALUE!</v>
      </c>
      <c r="X67" t="e">
        <f>AND(Bills!#REF!,"AAAAADu/Txc=")</f>
        <v>#REF!</v>
      </c>
      <c r="Y67">
        <f>IF(Bills!103:103,"AAAAADu/Txg=",0)</f>
        <v>0</v>
      </c>
      <c r="Z67" t="e">
        <f>AND(Bills!B103,"AAAAADu/Txk=")</f>
        <v>#VALUE!</v>
      </c>
      <c r="AA67" t="e">
        <f>AND(Bills!#REF!,"AAAAADu/Txo=")</f>
        <v>#REF!</v>
      </c>
      <c r="AB67" t="e">
        <f>AND(Bills!C103,"AAAAADu/Txs=")</f>
        <v>#VALUE!</v>
      </c>
      <c r="AC67" t="e">
        <f>AND(Bills!#REF!,"AAAAADu/Txw=")</f>
        <v>#REF!</v>
      </c>
      <c r="AD67" t="e">
        <f>AND(Bills!#REF!,"AAAAADu/Tx0=")</f>
        <v>#REF!</v>
      </c>
      <c r="AE67" t="e">
        <f>AND(Bills!#REF!,"AAAAADu/Tx4=")</f>
        <v>#REF!</v>
      </c>
      <c r="AF67" t="e">
        <f>AND(Bills!#REF!,"AAAAADu/Tx8=")</f>
        <v>#REF!</v>
      </c>
      <c r="AG67" t="e">
        <f>AND(Bills!#REF!,"AAAAADu/TyA=")</f>
        <v>#REF!</v>
      </c>
      <c r="AH67" t="e">
        <f>AND(Bills!D103,"AAAAADu/TyE=")</f>
        <v>#VALUE!</v>
      </c>
      <c r="AI67" t="e">
        <f>AND(Bills!#REF!,"AAAAADu/TyI=")</f>
        <v>#REF!</v>
      </c>
      <c r="AJ67" t="e">
        <f>AND(Bills!E103,"AAAAADu/TyM=")</f>
        <v>#VALUE!</v>
      </c>
      <c r="AK67" t="e">
        <f>AND(Bills!F103,"AAAAADu/TyQ=")</f>
        <v>#VALUE!</v>
      </c>
      <c r="AL67" t="e">
        <f>AND(Bills!G103,"AAAAADu/TyU=")</f>
        <v>#VALUE!</v>
      </c>
      <c r="AM67" t="e">
        <f>AND(Bills!H103,"AAAAADu/TyY=")</f>
        <v>#VALUE!</v>
      </c>
      <c r="AN67" t="e">
        <f>AND(Bills!I103,"AAAAADu/Tyc=")</f>
        <v>#VALUE!</v>
      </c>
      <c r="AO67" t="e">
        <f>AND(Bills!J103,"AAAAADu/Tyg=")</f>
        <v>#VALUE!</v>
      </c>
      <c r="AP67" t="e">
        <f>AND(Bills!#REF!,"AAAAADu/Tyk=")</f>
        <v>#REF!</v>
      </c>
      <c r="AQ67" t="e">
        <f>AND(Bills!K103,"AAAAADu/Tyo=")</f>
        <v>#VALUE!</v>
      </c>
      <c r="AR67" t="e">
        <f>AND(Bills!L103,"AAAAADu/Tys=")</f>
        <v>#VALUE!</v>
      </c>
      <c r="AS67" t="e">
        <f>AND(Bills!M103,"AAAAADu/Tyw=")</f>
        <v>#VALUE!</v>
      </c>
      <c r="AT67" t="e">
        <f>AND(Bills!N103,"AAAAADu/Ty0=")</f>
        <v>#VALUE!</v>
      </c>
      <c r="AU67" t="e">
        <f>AND(Bills!O103,"AAAAADu/Ty4=")</f>
        <v>#VALUE!</v>
      </c>
      <c r="AV67" t="e">
        <f>AND(Bills!P103,"AAAAADu/Ty8=")</f>
        <v>#VALUE!</v>
      </c>
      <c r="AW67" t="e">
        <f>AND(Bills!Q103,"AAAAADu/TzA=")</f>
        <v>#VALUE!</v>
      </c>
      <c r="AX67" t="e">
        <f>AND(Bills!R103,"AAAAADu/TzE=")</f>
        <v>#VALUE!</v>
      </c>
      <c r="AY67" t="e">
        <f>AND(Bills!#REF!,"AAAAADu/TzI=")</f>
        <v>#REF!</v>
      </c>
      <c r="AZ67" t="e">
        <f>AND(Bills!S103,"AAAAADu/TzM=")</f>
        <v>#VALUE!</v>
      </c>
      <c r="BA67" t="e">
        <f>AND(Bills!T103,"AAAAADu/TzQ=")</f>
        <v>#VALUE!</v>
      </c>
      <c r="BB67" t="e">
        <f>AND(Bills!U103,"AAAAADu/TzU=")</f>
        <v>#VALUE!</v>
      </c>
      <c r="BC67" t="e">
        <f>AND(Bills!#REF!,"AAAAADu/TzY=")</f>
        <v>#REF!</v>
      </c>
      <c r="BD67" t="e">
        <f>AND(Bills!#REF!,"AAAAADu/Tzc=")</f>
        <v>#REF!</v>
      </c>
      <c r="BE67" t="e">
        <f>AND(Bills!W103,"AAAAADu/Tzg=")</f>
        <v>#VALUE!</v>
      </c>
      <c r="BF67" t="e">
        <f>AND(Bills!X103,"AAAAADu/Tzk=")</f>
        <v>#VALUE!</v>
      </c>
      <c r="BG67" t="e">
        <f>AND(Bills!#REF!,"AAAAADu/Tzo=")</f>
        <v>#REF!</v>
      </c>
      <c r="BH67" t="e">
        <f>AND(Bills!#REF!,"AAAAADu/Tzs=")</f>
        <v>#REF!</v>
      </c>
      <c r="BI67" t="e">
        <f>AND(Bills!#REF!,"AAAAADu/Tzw=")</f>
        <v>#REF!</v>
      </c>
      <c r="BJ67" t="e">
        <f>AND(Bills!#REF!,"AAAAADu/Tz0=")</f>
        <v>#REF!</v>
      </c>
      <c r="BK67" t="e">
        <f>AND(Bills!#REF!,"AAAAADu/Tz4=")</f>
        <v>#REF!</v>
      </c>
      <c r="BL67" t="e">
        <f>AND(Bills!#REF!,"AAAAADu/Tz8=")</f>
        <v>#REF!</v>
      </c>
      <c r="BM67" t="e">
        <f>AND(Bills!#REF!,"AAAAADu/T0A=")</f>
        <v>#REF!</v>
      </c>
      <c r="BN67" t="e">
        <f>AND(Bills!#REF!,"AAAAADu/T0E=")</f>
        <v>#REF!</v>
      </c>
      <c r="BO67" t="e">
        <f>AND(Bills!#REF!,"AAAAADu/T0I=")</f>
        <v>#REF!</v>
      </c>
      <c r="BP67" t="e">
        <f>AND(Bills!Y103,"AAAAADu/T0M=")</f>
        <v>#VALUE!</v>
      </c>
      <c r="BQ67" t="e">
        <f>AND(Bills!Z103,"AAAAADu/T0Q=")</f>
        <v>#VALUE!</v>
      </c>
      <c r="BR67" t="e">
        <f>AND(Bills!#REF!,"AAAAADu/T0U=")</f>
        <v>#REF!</v>
      </c>
      <c r="BS67" t="e">
        <f>AND(Bills!#REF!,"AAAAADu/T0Y=")</f>
        <v>#REF!</v>
      </c>
      <c r="BT67" t="e">
        <f>AND(Bills!#REF!,"AAAAADu/T0c=")</f>
        <v>#REF!</v>
      </c>
      <c r="BU67" t="e">
        <f>AND(Bills!AA103,"AAAAADu/T0g=")</f>
        <v>#VALUE!</v>
      </c>
      <c r="BV67" t="e">
        <f>AND(Bills!AB103,"AAAAADu/T0k=")</f>
        <v>#VALUE!</v>
      </c>
      <c r="BW67" t="e">
        <f>AND(Bills!#REF!,"AAAAADu/T0o=")</f>
        <v>#REF!</v>
      </c>
      <c r="BX67">
        <f>IF(Bills!104:104,"AAAAADu/T0s=",0)</f>
        <v>0</v>
      </c>
      <c r="BY67" t="e">
        <f>AND(Bills!B104,"AAAAADu/T0w=")</f>
        <v>#VALUE!</v>
      </c>
      <c r="BZ67" t="e">
        <f>AND(Bills!#REF!,"AAAAADu/T00=")</f>
        <v>#REF!</v>
      </c>
      <c r="CA67" t="e">
        <f>AND(Bills!C104,"AAAAADu/T04=")</f>
        <v>#VALUE!</v>
      </c>
      <c r="CB67" t="e">
        <f>AND(Bills!#REF!,"AAAAADu/T08=")</f>
        <v>#REF!</v>
      </c>
      <c r="CC67" t="e">
        <f>AND(Bills!#REF!,"AAAAADu/T1A=")</f>
        <v>#REF!</v>
      </c>
      <c r="CD67" t="e">
        <f>AND(Bills!#REF!,"AAAAADu/T1E=")</f>
        <v>#REF!</v>
      </c>
      <c r="CE67" t="e">
        <f>AND(Bills!#REF!,"AAAAADu/T1I=")</f>
        <v>#REF!</v>
      </c>
      <c r="CF67" t="e">
        <f>AND(Bills!#REF!,"AAAAADu/T1M=")</f>
        <v>#REF!</v>
      </c>
      <c r="CG67" t="e">
        <f>AND(Bills!D104,"AAAAADu/T1Q=")</f>
        <v>#VALUE!</v>
      </c>
      <c r="CH67" t="e">
        <f>AND(Bills!#REF!,"AAAAADu/T1U=")</f>
        <v>#REF!</v>
      </c>
      <c r="CI67" t="e">
        <f>AND(Bills!E104,"AAAAADu/T1Y=")</f>
        <v>#VALUE!</v>
      </c>
      <c r="CJ67" t="e">
        <f>AND(Bills!F104,"AAAAADu/T1c=")</f>
        <v>#VALUE!</v>
      </c>
      <c r="CK67" t="e">
        <f>AND(Bills!G104,"AAAAADu/T1g=")</f>
        <v>#VALUE!</v>
      </c>
      <c r="CL67" t="e">
        <f>AND(Bills!H104,"AAAAADu/T1k=")</f>
        <v>#VALUE!</v>
      </c>
      <c r="CM67" t="e">
        <f>AND(Bills!I104,"AAAAADu/T1o=")</f>
        <v>#VALUE!</v>
      </c>
      <c r="CN67" t="e">
        <f>AND(Bills!J104,"AAAAADu/T1s=")</f>
        <v>#VALUE!</v>
      </c>
      <c r="CO67" t="e">
        <f>AND(Bills!#REF!,"AAAAADu/T1w=")</f>
        <v>#REF!</v>
      </c>
      <c r="CP67" t="e">
        <f>AND(Bills!K104,"AAAAADu/T10=")</f>
        <v>#VALUE!</v>
      </c>
      <c r="CQ67" t="e">
        <f>AND(Bills!L104,"AAAAADu/T14=")</f>
        <v>#VALUE!</v>
      </c>
      <c r="CR67" t="e">
        <f>AND(Bills!M104,"AAAAADu/T18=")</f>
        <v>#VALUE!</v>
      </c>
      <c r="CS67" t="e">
        <f>AND(Bills!N104,"AAAAADu/T2A=")</f>
        <v>#VALUE!</v>
      </c>
      <c r="CT67" t="e">
        <f>AND(Bills!O104,"AAAAADu/T2E=")</f>
        <v>#VALUE!</v>
      </c>
      <c r="CU67" t="e">
        <f>AND(Bills!P104,"AAAAADu/T2I=")</f>
        <v>#VALUE!</v>
      </c>
      <c r="CV67" t="e">
        <f>AND(Bills!Q104,"AAAAADu/T2M=")</f>
        <v>#VALUE!</v>
      </c>
      <c r="CW67" t="e">
        <f>AND(Bills!R104,"AAAAADu/T2Q=")</f>
        <v>#VALUE!</v>
      </c>
      <c r="CX67" t="e">
        <f>AND(Bills!#REF!,"AAAAADu/T2U=")</f>
        <v>#REF!</v>
      </c>
      <c r="CY67" t="e">
        <f>AND(Bills!S104,"AAAAADu/T2Y=")</f>
        <v>#VALUE!</v>
      </c>
      <c r="CZ67" t="e">
        <f>AND(Bills!T104,"AAAAADu/T2c=")</f>
        <v>#VALUE!</v>
      </c>
      <c r="DA67" t="e">
        <f>AND(Bills!U104,"AAAAADu/T2g=")</f>
        <v>#VALUE!</v>
      </c>
      <c r="DB67" t="e">
        <f>AND(Bills!#REF!,"AAAAADu/T2k=")</f>
        <v>#REF!</v>
      </c>
      <c r="DC67" t="e">
        <f>AND(Bills!#REF!,"AAAAADu/T2o=")</f>
        <v>#REF!</v>
      </c>
      <c r="DD67" t="e">
        <f>AND(Bills!W104,"AAAAADu/T2s=")</f>
        <v>#VALUE!</v>
      </c>
      <c r="DE67" t="e">
        <f>AND(Bills!X104,"AAAAADu/T2w=")</f>
        <v>#VALUE!</v>
      </c>
      <c r="DF67" t="e">
        <f>AND(Bills!#REF!,"AAAAADu/T20=")</f>
        <v>#REF!</v>
      </c>
      <c r="DG67" t="e">
        <f>AND(Bills!#REF!,"AAAAADu/T24=")</f>
        <v>#REF!</v>
      </c>
      <c r="DH67" t="e">
        <f>AND(Bills!#REF!,"AAAAADu/T28=")</f>
        <v>#REF!</v>
      </c>
      <c r="DI67" t="e">
        <f>AND(Bills!#REF!,"AAAAADu/T3A=")</f>
        <v>#REF!</v>
      </c>
      <c r="DJ67" t="e">
        <f>AND(Bills!#REF!,"AAAAADu/T3E=")</f>
        <v>#REF!</v>
      </c>
      <c r="DK67" t="e">
        <f>AND(Bills!#REF!,"AAAAADu/T3I=")</f>
        <v>#REF!</v>
      </c>
      <c r="DL67" t="e">
        <f>AND(Bills!#REF!,"AAAAADu/T3M=")</f>
        <v>#REF!</v>
      </c>
      <c r="DM67" t="e">
        <f>AND(Bills!#REF!,"AAAAADu/T3Q=")</f>
        <v>#REF!</v>
      </c>
      <c r="DN67" t="e">
        <f>AND(Bills!#REF!,"AAAAADu/T3U=")</f>
        <v>#REF!</v>
      </c>
      <c r="DO67" t="e">
        <f>AND(Bills!Y104,"AAAAADu/T3Y=")</f>
        <v>#VALUE!</v>
      </c>
      <c r="DP67" t="e">
        <f>AND(Bills!Z104,"AAAAADu/T3c=")</f>
        <v>#VALUE!</v>
      </c>
      <c r="DQ67" t="e">
        <f>AND(Bills!#REF!,"AAAAADu/T3g=")</f>
        <v>#REF!</v>
      </c>
      <c r="DR67" t="e">
        <f>AND(Bills!#REF!,"AAAAADu/T3k=")</f>
        <v>#REF!</v>
      </c>
      <c r="DS67" t="e">
        <f>AND(Bills!#REF!,"AAAAADu/T3o=")</f>
        <v>#REF!</v>
      </c>
      <c r="DT67" t="e">
        <f>AND(Bills!AA104,"AAAAADu/T3s=")</f>
        <v>#VALUE!</v>
      </c>
      <c r="DU67" t="e">
        <f>AND(Bills!AB104,"AAAAADu/T3w=")</f>
        <v>#VALUE!</v>
      </c>
      <c r="DV67" t="e">
        <f>AND(Bills!#REF!,"AAAAADu/T30=")</f>
        <v>#REF!</v>
      </c>
      <c r="DW67">
        <f>IF(Bills!105:105,"AAAAADu/T34=",0)</f>
        <v>0</v>
      </c>
      <c r="DX67" t="e">
        <f>AND(Bills!B105,"AAAAADu/T38=")</f>
        <v>#VALUE!</v>
      </c>
      <c r="DY67" t="e">
        <f>AND(Bills!#REF!,"AAAAADu/T4A=")</f>
        <v>#REF!</v>
      </c>
      <c r="DZ67" t="e">
        <f>AND(Bills!C105,"AAAAADu/T4E=")</f>
        <v>#VALUE!</v>
      </c>
      <c r="EA67" t="e">
        <f>AND(Bills!#REF!,"AAAAADu/T4I=")</f>
        <v>#REF!</v>
      </c>
      <c r="EB67" t="e">
        <f>AND(Bills!#REF!,"AAAAADu/T4M=")</f>
        <v>#REF!</v>
      </c>
      <c r="EC67" t="e">
        <f>AND(Bills!#REF!,"AAAAADu/T4Q=")</f>
        <v>#REF!</v>
      </c>
      <c r="ED67" t="e">
        <f>AND(Bills!#REF!,"AAAAADu/T4U=")</f>
        <v>#REF!</v>
      </c>
      <c r="EE67" t="e">
        <f>AND(Bills!#REF!,"AAAAADu/T4Y=")</f>
        <v>#REF!</v>
      </c>
      <c r="EF67" t="e">
        <f>AND(Bills!D105,"AAAAADu/T4c=")</f>
        <v>#VALUE!</v>
      </c>
      <c r="EG67" t="e">
        <f>AND(Bills!#REF!,"AAAAADu/T4g=")</f>
        <v>#REF!</v>
      </c>
      <c r="EH67" t="e">
        <f>AND(Bills!E105,"AAAAADu/T4k=")</f>
        <v>#VALUE!</v>
      </c>
      <c r="EI67" t="e">
        <f>AND(Bills!F105,"AAAAADu/T4o=")</f>
        <v>#VALUE!</v>
      </c>
      <c r="EJ67" t="e">
        <f>AND(Bills!G105,"AAAAADu/T4s=")</f>
        <v>#VALUE!</v>
      </c>
      <c r="EK67" t="e">
        <f>AND(Bills!H105,"AAAAADu/T4w=")</f>
        <v>#VALUE!</v>
      </c>
      <c r="EL67" t="e">
        <f>AND(Bills!I105,"AAAAADu/T40=")</f>
        <v>#VALUE!</v>
      </c>
      <c r="EM67" t="e">
        <f>AND(Bills!J105,"AAAAADu/T44=")</f>
        <v>#VALUE!</v>
      </c>
      <c r="EN67" t="e">
        <f>AND(Bills!#REF!,"AAAAADu/T48=")</f>
        <v>#REF!</v>
      </c>
      <c r="EO67" t="e">
        <f>AND(Bills!K105,"AAAAADu/T5A=")</f>
        <v>#VALUE!</v>
      </c>
      <c r="EP67" t="e">
        <f>AND(Bills!L105,"AAAAADu/T5E=")</f>
        <v>#VALUE!</v>
      </c>
      <c r="EQ67" t="e">
        <f>AND(Bills!M105,"AAAAADu/T5I=")</f>
        <v>#VALUE!</v>
      </c>
      <c r="ER67" t="e">
        <f>AND(Bills!N105,"AAAAADu/T5M=")</f>
        <v>#VALUE!</v>
      </c>
      <c r="ES67" t="e">
        <f>AND(Bills!O105,"AAAAADu/T5Q=")</f>
        <v>#VALUE!</v>
      </c>
      <c r="ET67" t="e">
        <f>AND(Bills!P105,"AAAAADu/T5U=")</f>
        <v>#VALUE!</v>
      </c>
      <c r="EU67" t="e">
        <f>AND(Bills!Q105,"AAAAADu/T5Y=")</f>
        <v>#VALUE!</v>
      </c>
      <c r="EV67" t="e">
        <f>AND(Bills!R105,"AAAAADu/T5c=")</f>
        <v>#VALUE!</v>
      </c>
      <c r="EW67" t="e">
        <f>AND(Bills!#REF!,"AAAAADu/T5g=")</f>
        <v>#REF!</v>
      </c>
      <c r="EX67" t="e">
        <f>AND(Bills!S105,"AAAAADu/T5k=")</f>
        <v>#VALUE!</v>
      </c>
      <c r="EY67" t="e">
        <f>AND(Bills!T105,"AAAAADu/T5o=")</f>
        <v>#VALUE!</v>
      </c>
      <c r="EZ67" t="e">
        <f>AND(Bills!U105,"AAAAADu/T5s=")</f>
        <v>#VALUE!</v>
      </c>
      <c r="FA67" t="e">
        <f>AND(Bills!#REF!,"AAAAADu/T5w=")</f>
        <v>#REF!</v>
      </c>
      <c r="FB67" t="e">
        <f>AND(Bills!#REF!,"AAAAADu/T50=")</f>
        <v>#REF!</v>
      </c>
      <c r="FC67" t="e">
        <f>AND(Bills!W105,"AAAAADu/T54=")</f>
        <v>#VALUE!</v>
      </c>
      <c r="FD67" t="e">
        <f>AND(Bills!X105,"AAAAADu/T58=")</f>
        <v>#VALUE!</v>
      </c>
      <c r="FE67" t="e">
        <f>AND(Bills!#REF!,"AAAAADu/T6A=")</f>
        <v>#REF!</v>
      </c>
      <c r="FF67" t="e">
        <f>AND(Bills!#REF!,"AAAAADu/T6E=")</f>
        <v>#REF!</v>
      </c>
      <c r="FG67" t="e">
        <f>AND(Bills!#REF!,"AAAAADu/T6I=")</f>
        <v>#REF!</v>
      </c>
      <c r="FH67" t="e">
        <f>AND(Bills!#REF!,"AAAAADu/T6M=")</f>
        <v>#REF!</v>
      </c>
      <c r="FI67" t="e">
        <f>AND(Bills!#REF!,"AAAAADu/T6Q=")</f>
        <v>#REF!</v>
      </c>
      <c r="FJ67" t="e">
        <f>AND(Bills!#REF!,"AAAAADu/T6U=")</f>
        <v>#REF!</v>
      </c>
      <c r="FK67" t="e">
        <f>AND(Bills!#REF!,"AAAAADu/T6Y=")</f>
        <v>#REF!</v>
      </c>
      <c r="FL67" t="e">
        <f>AND(Bills!#REF!,"AAAAADu/T6c=")</f>
        <v>#REF!</v>
      </c>
      <c r="FM67" t="e">
        <f>AND(Bills!#REF!,"AAAAADu/T6g=")</f>
        <v>#REF!</v>
      </c>
      <c r="FN67" t="e">
        <f>AND(Bills!Y105,"AAAAADu/T6k=")</f>
        <v>#VALUE!</v>
      </c>
      <c r="FO67" t="e">
        <f>AND(Bills!Z105,"AAAAADu/T6o=")</f>
        <v>#VALUE!</v>
      </c>
      <c r="FP67" t="e">
        <f>AND(Bills!#REF!,"AAAAADu/T6s=")</f>
        <v>#REF!</v>
      </c>
      <c r="FQ67" t="e">
        <f>AND(Bills!#REF!,"AAAAADu/T6w=")</f>
        <v>#REF!</v>
      </c>
      <c r="FR67" t="e">
        <f>AND(Bills!#REF!,"AAAAADu/T60=")</f>
        <v>#REF!</v>
      </c>
      <c r="FS67" t="e">
        <f>AND(Bills!AA105,"AAAAADu/T64=")</f>
        <v>#VALUE!</v>
      </c>
      <c r="FT67" t="e">
        <f>AND(Bills!AB105,"AAAAADu/T68=")</f>
        <v>#VALUE!</v>
      </c>
      <c r="FU67" t="e">
        <f>AND(Bills!#REF!,"AAAAADu/T7A=")</f>
        <v>#REF!</v>
      </c>
      <c r="FV67">
        <f>IF(Bills!106:106,"AAAAADu/T7E=",0)</f>
        <v>0</v>
      </c>
      <c r="FW67" t="e">
        <f>AND(Bills!B106,"AAAAADu/T7I=")</f>
        <v>#VALUE!</v>
      </c>
      <c r="FX67" t="e">
        <f>AND(Bills!#REF!,"AAAAADu/T7M=")</f>
        <v>#REF!</v>
      </c>
      <c r="FY67" t="e">
        <f>AND(Bills!C106,"AAAAADu/T7Q=")</f>
        <v>#VALUE!</v>
      </c>
      <c r="FZ67" t="e">
        <f>AND(Bills!#REF!,"AAAAADu/T7U=")</f>
        <v>#REF!</v>
      </c>
      <c r="GA67" t="e">
        <f>AND(Bills!#REF!,"AAAAADu/T7Y=")</f>
        <v>#REF!</v>
      </c>
      <c r="GB67" t="e">
        <f>AND(Bills!#REF!,"AAAAADu/T7c=")</f>
        <v>#REF!</v>
      </c>
      <c r="GC67" t="e">
        <f>AND(Bills!#REF!,"AAAAADu/T7g=")</f>
        <v>#REF!</v>
      </c>
      <c r="GD67" t="e">
        <f>AND(Bills!#REF!,"AAAAADu/T7k=")</f>
        <v>#REF!</v>
      </c>
      <c r="GE67" t="e">
        <f>AND(Bills!D106,"AAAAADu/T7o=")</f>
        <v>#VALUE!</v>
      </c>
      <c r="GF67" t="e">
        <f>AND(Bills!#REF!,"AAAAADu/T7s=")</f>
        <v>#REF!</v>
      </c>
      <c r="GG67" t="e">
        <f>AND(Bills!E106,"AAAAADu/T7w=")</f>
        <v>#VALUE!</v>
      </c>
      <c r="GH67" t="e">
        <f>AND(Bills!F106,"AAAAADu/T70=")</f>
        <v>#VALUE!</v>
      </c>
      <c r="GI67" t="e">
        <f>AND(Bills!G106,"AAAAADu/T74=")</f>
        <v>#VALUE!</v>
      </c>
      <c r="GJ67" t="e">
        <f>AND(Bills!H106,"AAAAADu/T78=")</f>
        <v>#VALUE!</v>
      </c>
      <c r="GK67" t="e">
        <f>AND(Bills!I106,"AAAAADu/T8A=")</f>
        <v>#VALUE!</v>
      </c>
      <c r="GL67" t="e">
        <f>AND(Bills!J106,"AAAAADu/T8E=")</f>
        <v>#VALUE!</v>
      </c>
      <c r="GM67" t="e">
        <f>AND(Bills!#REF!,"AAAAADu/T8I=")</f>
        <v>#REF!</v>
      </c>
      <c r="GN67" t="e">
        <f>AND(Bills!K106,"AAAAADu/T8M=")</f>
        <v>#VALUE!</v>
      </c>
      <c r="GO67" t="e">
        <f>AND(Bills!L106,"AAAAADu/T8Q=")</f>
        <v>#VALUE!</v>
      </c>
      <c r="GP67" t="e">
        <f>AND(Bills!M106,"AAAAADu/T8U=")</f>
        <v>#VALUE!</v>
      </c>
      <c r="GQ67" t="e">
        <f>AND(Bills!N106,"AAAAADu/T8Y=")</f>
        <v>#VALUE!</v>
      </c>
      <c r="GR67" t="e">
        <f>AND(Bills!O106,"AAAAADu/T8c=")</f>
        <v>#VALUE!</v>
      </c>
      <c r="GS67" t="e">
        <f>AND(Bills!P106,"AAAAADu/T8g=")</f>
        <v>#VALUE!</v>
      </c>
      <c r="GT67" t="e">
        <f>AND(Bills!Q106,"AAAAADu/T8k=")</f>
        <v>#VALUE!</v>
      </c>
      <c r="GU67" t="e">
        <f>AND(Bills!R106,"AAAAADu/T8o=")</f>
        <v>#VALUE!</v>
      </c>
      <c r="GV67" t="e">
        <f>AND(Bills!#REF!,"AAAAADu/T8s=")</f>
        <v>#REF!</v>
      </c>
      <c r="GW67" t="e">
        <f>AND(Bills!S106,"AAAAADu/T8w=")</f>
        <v>#VALUE!</v>
      </c>
      <c r="GX67" t="e">
        <f>AND(Bills!T106,"AAAAADu/T80=")</f>
        <v>#VALUE!</v>
      </c>
      <c r="GY67" t="e">
        <f>AND(Bills!U106,"AAAAADu/T84=")</f>
        <v>#VALUE!</v>
      </c>
      <c r="GZ67" t="e">
        <f>AND(Bills!#REF!,"AAAAADu/T88=")</f>
        <v>#REF!</v>
      </c>
      <c r="HA67" t="e">
        <f>AND(Bills!#REF!,"AAAAADu/T9A=")</f>
        <v>#REF!</v>
      </c>
      <c r="HB67" t="e">
        <f>AND(Bills!W106,"AAAAADu/T9E=")</f>
        <v>#VALUE!</v>
      </c>
      <c r="HC67" t="e">
        <f>AND(Bills!X106,"AAAAADu/T9I=")</f>
        <v>#VALUE!</v>
      </c>
      <c r="HD67" t="e">
        <f>AND(Bills!#REF!,"AAAAADu/T9M=")</f>
        <v>#REF!</v>
      </c>
      <c r="HE67" t="e">
        <f>AND(Bills!#REF!,"AAAAADu/T9Q=")</f>
        <v>#REF!</v>
      </c>
      <c r="HF67" t="e">
        <f>AND(Bills!#REF!,"AAAAADu/T9U=")</f>
        <v>#REF!</v>
      </c>
      <c r="HG67" t="e">
        <f>AND(Bills!#REF!,"AAAAADu/T9Y=")</f>
        <v>#REF!</v>
      </c>
      <c r="HH67" t="e">
        <f>AND(Bills!#REF!,"AAAAADu/T9c=")</f>
        <v>#REF!</v>
      </c>
      <c r="HI67" t="e">
        <f>AND(Bills!#REF!,"AAAAADu/T9g=")</f>
        <v>#REF!</v>
      </c>
      <c r="HJ67" t="e">
        <f>AND(Bills!#REF!,"AAAAADu/T9k=")</f>
        <v>#REF!</v>
      </c>
      <c r="HK67" t="e">
        <f>AND(Bills!#REF!,"AAAAADu/T9o=")</f>
        <v>#REF!</v>
      </c>
      <c r="HL67" t="e">
        <f>AND(Bills!#REF!,"AAAAADu/T9s=")</f>
        <v>#REF!</v>
      </c>
      <c r="HM67" t="e">
        <f>AND(Bills!Y106,"AAAAADu/T9w=")</f>
        <v>#VALUE!</v>
      </c>
      <c r="HN67" t="e">
        <f>AND(Bills!Z106,"AAAAADu/T90=")</f>
        <v>#VALUE!</v>
      </c>
      <c r="HO67" t="e">
        <f>AND(Bills!#REF!,"AAAAADu/T94=")</f>
        <v>#REF!</v>
      </c>
      <c r="HP67" t="e">
        <f>AND(Bills!#REF!,"AAAAADu/T98=")</f>
        <v>#REF!</v>
      </c>
      <c r="HQ67" t="e">
        <f>AND(Bills!#REF!,"AAAAADu/T+A=")</f>
        <v>#REF!</v>
      </c>
      <c r="HR67" t="e">
        <f>AND(Bills!AA106,"AAAAADu/T+E=")</f>
        <v>#VALUE!</v>
      </c>
      <c r="HS67" t="e">
        <f>AND(Bills!AB106,"AAAAADu/T+I=")</f>
        <v>#VALUE!</v>
      </c>
      <c r="HT67" t="e">
        <f>AND(Bills!#REF!,"AAAAADu/T+M=")</f>
        <v>#REF!</v>
      </c>
      <c r="HU67">
        <f>IF(Bills!107:107,"AAAAADu/T+Q=",0)</f>
        <v>0</v>
      </c>
      <c r="HV67" t="e">
        <f>AND(Bills!B107,"AAAAADu/T+U=")</f>
        <v>#VALUE!</v>
      </c>
      <c r="HW67" t="e">
        <f>AND(Bills!#REF!,"AAAAADu/T+Y=")</f>
        <v>#REF!</v>
      </c>
      <c r="HX67" t="e">
        <f>AND(Bills!C107,"AAAAADu/T+c=")</f>
        <v>#VALUE!</v>
      </c>
      <c r="HY67" t="e">
        <f>AND(Bills!#REF!,"AAAAADu/T+g=")</f>
        <v>#REF!</v>
      </c>
      <c r="HZ67" t="e">
        <f>AND(Bills!#REF!,"AAAAADu/T+k=")</f>
        <v>#REF!</v>
      </c>
      <c r="IA67" t="e">
        <f>AND(Bills!#REF!,"AAAAADu/T+o=")</f>
        <v>#REF!</v>
      </c>
      <c r="IB67" t="e">
        <f>AND(Bills!#REF!,"AAAAADu/T+s=")</f>
        <v>#REF!</v>
      </c>
      <c r="IC67" t="e">
        <f>AND(Bills!#REF!,"AAAAADu/T+w=")</f>
        <v>#REF!</v>
      </c>
      <c r="ID67" t="e">
        <f>AND(Bills!D107,"AAAAADu/T+0=")</f>
        <v>#VALUE!</v>
      </c>
      <c r="IE67" t="e">
        <f>AND(Bills!#REF!,"AAAAADu/T+4=")</f>
        <v>#REF!</v>
      </c>
      <c r="IF67" t="e">
        <f>AND(Bills!E107,"AAAAADu/T+8=")</f>
        <v>#VALUE!</v>
      </c>
      <c r="IG67" t="e">
        <f>AND(Bills!F107,"AAAAADu/T/A=")</f>
        <v>#VALUE!</v>
      </c>
      <c r="IH67" t="e">
        <f>AND(Bills!G107,"AAAAADu/T/E=")</f>
        <v>#VALUE!</v>
      </c>
      <c r="II67" t="e">
        <f>AND(Bills!H107,"AAAAADu/T/I=")</f>
        <v>#VALUE!</v>
      </c>
      <c r="IJ67" t="e">
        <f>AND(Bills!I107,"AAAAADu/T/M=")</f>
        <v>#VALUE!</v>
      </c>
      <c r="IK67" t="e">
        <f>AND(Bills!J107,"AAAAADu/T/Q=")</f>
        <v>#VALUE!</v>
      </c>
      <c r="IL67" t="e">
        <f>AND(Bills!#REF!,"AAAAADu/T/U=")</f>
        <v>#REF!</v>
      </c>
      <c r="IM67" t="e">
        <f>AND(Bills!K107,"AAAAADu/T/Y=")</f>
        <v>#VALUE!</v>
      </c>
      <c r="IN67" t="e">
        <f>AND(Bills!L107,"AAAAADu/T/c=")</f>
        <v>#VALUE!</v>
      </c>
      <c r="IO67" t="e">
        <f>AND(Bills!M107,"AAAAADu/T/g=")</f>
        <v>#VALUE!</v>
      </c>
      <c r="IP67" t="e">
        <f>AND(Bills!N107,"AAAAADu/T/k=")</f>
        <v>#VALUE!</v>
      </c>
      <c r="IQ67" t="e">
        <f>AND(Bills!O107,"AAAAADu/T/o=")</f>
        <v>#VALUE!</v>
      </c>
      <c r="IR67" t="e">
        <f>AND(Bills!P107,"AAAAADu/T/s=")</f>
        <v>#VALUE!</v>
      </c>
      <c r="IS67" t="e">
        <f>AND(Bills!Q107,"AAAAADu/T/w=")</f>
        <v>#VALUE!</v>
      </c>
      <c r="IT67" t="e">
        <f>AND(Bills!R107,"AAAAADu/T/0=")</f>
        <v>#VALUE!</v>
      </c>
      <c r="IU67" t="e">
        <f>AND(Bills!#REF!,"AAAAADu/T/4=")</f>
        <v>#REF!</v>
      </c>
      <c r="IV67" t="e">
        <f>AND(Bills!S107,"AAAAADu/T/8=")</f>
        <v>#VALUE!</v>
      </c>
    </row>
    <row r="68" spans="1:256">
      <c r="A68" t="e">
        <f>AND(Bills!T107,"AAAAAH//PwA=")</f>
        <v>#VALUE!</v>
      </c>
      <c r="B68" t="e">
        <f>AND(Bills!U107,"AAAAAH//PwE=")</f>
        <v>#VALUE!</v>
      </c>
      <c r="C68" t="e">
        <f>AND(Bills!#REF!,"AAAAAH//PwI=")</f>
        <v>#REF!</v>
      </c>
      <c r="D68" t="e">
        <f>AND(Bills!#REF!,"AAAAAH//PwM=")</f>
        <v>#REF!</v>
      </c>
      <c r="E68" t="e">
        <f>AND(Bills!W107,"AAAAAH//PwQ=")</f>
        <v>#VALUE!</v>
      </c>
      <c r="F68" t="e">
        <f>AND(Bills!X107,"AAAAAH//PwU=")</f>
        <v>#VALUE!</v>
      </c>
      <c r="G68" t="e">
        <f>AND(Bills!#REF!,"AAAAAH//PwY=")</f>
        <v>#REF!</v>
      </c>
      <c r="H68" t="e">
        <f>AND(Bills!#REF!,"AAAAAH//Pwc=")</f>
        <v>#REF!</v>
      </c>
      <c r="I68" t="e">
        <f>AND(Bills!#REF!,"AAAAAH//Pwg=")</f>
        <v>#REF!</v>
      </c>
      <c r="J68" t="e">
        <f>AND(Bills!#REF!,"AAAAAH//Pwk=")</f>
        <v>#REF!</v>
      </c>
      <c r="K68" t="e">
        <f>AND(Bills!#REF!,"AAAAAH//Pwo=")</f>
        <v>#REF!</v>
      </c>
      <c r="L68" t="e">
        <f>AND(Bills!#REF!,"AAAAAH//Pws=")</f>
        <v>#REF!</v>
      </c>
      <c r="M68" t="e">
        <f>AND(Bills!#REF!,"AAAAAH//Pww=")</f>
        <v>#REF!</v>
      </c>
      <c r="N68" t="e">
        <f>AND(Bills!#REF!,"AAAAAH//Pw0=")</f>
        <v>#REF!</v>
      </c>
      <c r="O68" t="e">
        <f>AND(Bills!#REF!,"AAAAAH//Pw4=")</f>
        <v>#REF!</v>
      </c>
      <c r="P68" t="e">
        <f>AND(Bills!Y107,"AAAAAH//Pw8=")</f>
        <v>#VALUE!</v>
      </c>
      <c r="Q68" t="e">
        <f>AND(Bills!Z107,"AAAAAH//PxA=")</f>
        <v>#VALUE!</v>
      </c>
      <c r="R68" t="e">
        <f>AND(Bills!#REF!,"AAAAAH//PxE=")</f>
        <v>#REF!</v>
      </c>
      <c r="S68" t="e">
        <f>AND(Bills!#REF!,"AAAAAH//PxI=")</f>
        <v>#REF!</v>
      </c>
      <c r="T68" t="e">
        <f>AND(Bills!#REF!,"AAAAAH//PxM=")</f>
        <v>#REF!</v>
      </c>
      <c r="U68" t="e">
        <f>AND(Bills!AA107,"AAAAAH//PxQ=")</f>
        <v>#VALUE!</v>
      </c>
      <c r="V68" t="e">
        <f>AND(Bills!AB107,"AAAAAH//PxU=")</f>
        <v>#VALUE!</v>
      </c>
      <c r="W68" t="e">
        <f>AND(Bills!#REF!,"AAAAAH//PxY=")</f>
        <v>#REF!</v>
      </c>
      <c r="X68">
        <f>IF(Bills!108:108,"AAAAAH//Pxc=",0)</f>
        <v>0</v>
      </c>
      <c r="Y68" t="e">
        <f>AND(Bills!B108,"AAAAAH//Pxg=")</f>
        <v>#VALUE!</v>
      </c>
      <c r="Z68" t="e">
        <f>AND(Bills!#REF!,"AAAAAH//Pxk=")</f>
        <v>#REF!</v>
      </c>
      <c r="AA68" t="e">
        <f>AND(Bills!C108,"AAAAAH//Pxo=")</f>
        <v>#VALUE!</v>
      </c>
      <c r="AB68" t="e">
        <f>AND(Bills!#REF!,"AAAAAH//Pxs=")</f>
        <v>#REF!</v>
      </c>
      <c r="AC68" t="e">
        <f>AND(Bills!#REF!,"AAAAAH//Pxw=")</f>
        <v>#REF!</v>
      </c>
      <c r="AD68" t="e">
        <f>AND(Bills!#REF!,"AAAAAH//Px0=")</f>
        <v>#REF!</v>
      </c>
      <c r="AE68" t="e">
        <f>AND(Bills!#REF!,"AAAAAH//Px4=")</f>
        <v>#REF!</v>
      </c>
      <c r="AF68" t="e">
        <f>AND(Bills!#REF!,"AAAAAH//Px8=")</f>
        <v>#REF!</v>
      </c>
      <c r="AG68" t="e">
        <f>AND(Bills!D108,"AAAAAH//PyA=")</f>
        <v>#VALUE!</v>
      </c>
      <c r="AH68" t="e">
        <f>AND(Bills!#REF!,"AAAAAH//PyE=")</f>
        <v>#REF!</v>
      </c>
      <c r="AI68" t="e">
        <f>AND(Bills!E108,"AAAAAH//PyI=")</f>
        <v>#VALUE!</v>
      </c>
      <c r="AJ68" t="e">
        <f>AND(Bills!F108,"AAAAAH//PyM=")</f>
        <v>#VALUE!</v>
      </c>
      <c r="AK68" t="e">
        <f>AND(Bills!G108,"AAAAAH//PyQ=")</f>
        <v>#VALUE!</v>
      </c>
      <c r="AL68" t="e">
        <f>AND(Bills!H108,"AAAAAH//PyU=")</f>
        <v>#VALUE!</v>
      </c>
      <c r="AM68" t="e">
        <f>AND(Bills!I108,"AAAAAH//PyY=")</f>
        <v>#VALUE!</v>
      </c>
      <c r="AN68" t="e">
        <f>AND(Bills!J108,"AAAAAH//Pyc=")</f>
        <v>#VALUE!</v>
      </c>
      <c r="AO68" t="e">
        <f>AND(Bills!#REF!,"AAAAAH//Pyg=")</f>
        <v>#REF!</v>
      </c>
      <c r="AP68" t="e">
        <f>AND(Bills!K108,"AAAAAH//Pyk=")</f>
        <v>#VALUE!</v>
      </c>
      <c r="AQ68" t="e">
        <f>AND(Bills!L108,"AAAAAH//Pyo=")</f>
        <v>#VALUE!</v>
      </c>
      <c r="AR68" t="e">
        <f>AND(Bills!M108,"AAAAAH//Pys=")</f>
        <v>#VALUE!</v>
      </c>
      <c r="AS68" t="e">
        <f>AND(Bills!N108,"AAAAAH//Pyw=")</f>
        <v>#VALUE!</v>
      </c>
      <c r="AT68" t="e">
        <f>AND(Bills!O108,"AAAAAH//Py0=")</f>
        <v>#VALUE!</v>
      </c>
      <c r="AU68" t="e">
        <f>AND(Bills!P108,"AAAAAH//Py4=")</f>
        <v>#VALUE!</v>
      </c>
      <c r="AV68" t="e">
        <f>AND(Bills!Q108,"AAAAAH//Py8=")</f>
        <v>#VALUE!</v>
      </c>
      <c r="AW68" t="e">
        <f>AND(Bills!R108,"AAAAAH//PzA=")</f>
        <v>#VALUE!</v>
      </c>
      <c r="AX68" t="e">
        <f>AND(Bills!#REF!,"AAAAAH//PzE=")</f>
        <v>#REF!</v>
      </c>
      <c r="AY68" t="e">
        <f>AND(Bills!S108,"AAAAAH//PzI=")</f>
        <v>#VALUE!</v>
      </c>
      <c r="AZ68" t="e">
        <f>AND(Bills!T108,"AAAAAH//PzM=")</f>
        <v>#VALUE!</v>
      </c>
      <c r="BA68" t="e">
        <f>AND(Bills!U108,"AAAAAH//PzQ=")</f>
        <v>#VALUE!</v>
      </c>
      <c r="BB68" t="e">
        <f>AND(Bills!#REF!,"AAAAAH//PzU=")</f>
        <v>#REF!</v>
      </c>
      <c r="BC68" t="e">
        <f>AND(Bills!#REF!,"AAAAAH//PzY=")</f>
        <v>#REF!</v>
      </c>
      <c r="BD68" t="e">
        <f>AND(Bills!W108,"AAAAAH//Pzc=")</f>
        <v>#VALUE!</v>
      </c>
      <c r="BE68" t="e">
        <f>AND(Bills!X108,"AAAAAH//Pzg=")</f>
        <v>#VALUE!</v>
      </c>
      <c r="BF68" t="e">
        <f>AND(Bills!#REF!,"AAAAAH//Pzk=")</f>
        <v>#REF!</v>
      </c>
      <c r="BG68" t="e">
        <f>AND(Bills!#REF!,"AAAAAH//Pzo=")</f>
        <v>#REF!</v>
      </c>
      <c r="BH68" t="e">
        <f>AND(Bills!#REF!,"AAAAAH//Pzs=")</f>
        <v>#REF!</v>
      </c>
      <c r="BI68" t="e">
        <f>AND(Bills!#REF!,"AAAAAH//Pzw=")</f>
        <v>#REF!</v>
      </c>
      <c r="BJ68" t="e">
        <f>AND(Bills!#REF!,"AAAAAH//Pz0=")</f>
        <v>#REF!</v>
      </c>
      <c r="BK68" t="e">
        <f>AND(Bills!#REF!,"AAAAAH//Pz4=")</f>
        <v>#REF!</v>
      </c>
      <c r="BL68" t="e">
        <f>AND(Bills!#REF!,"AAAAAH//Pz8=")</f>
        <v>#REF!</v>
      </c>
      <c r="BM68" t="e">
        <f>AND(Bills!#REF!,"AAAAAH//P0A=")</f>
        <v>#REF!</v>
      </c>
      <c r="BN68" t="e">
        <f>AND(Bills!#REF!,"AAAAAH//P0E=")</f>
        <v>#REF!</v>
      </c>
      <c r="BO68" t="e">
        <f>AND(Bills!Y108,"AAAAAH//P0I=")</f>
        <v>#VALUE!</v>
      </c>
      <c r="BP68" t="e">
        <f>AND(Bills!Z108,"AAAAAH//P0M=")</f>
        <v>#VALUE!</v>
      </c>
      <c r="BQ68" t="e">
        <f>AND(Bills!#REF!,"AAAAAH//P0Q=")</f>
        <v>#REF!</v>
      </c>
      <c r="BR68" t="e">
        <f>AND(Bills!#REF!,"AAAAAH//P0U=")</f>
        <v>#REF!</v>
      </c>
      <c r="BS68" t="e">
        <f>AND(Bills!#REF!,"AAAAAH//P0Y=")</f>
        <v>#REF!</v>
      </c>
      <c r="BT68" t="e">
        <f>AND(Bills!AA108,"AAAAAH//P0c=")</f>
        <v>#VALUE!</v>
      </c>
      <c r="BU68" t="e">
        <f>AND(Bills!AB108,"AAAAAH//P0g=")</f>
        <v>#VALUE!</v>
      </c>
      <c r="BV68" t="e">
        <f>AND(Bills!#REF!,"AAAAAH//P0k=")</f>
        <v>#REF!</v>
      </c>
      <c r="BW68">
        <f>IF(Bills!109:109,"AAAAAH//P0o=",0)</f>
        <v>0</v>
      </c>
      <c r="BX68" t="e">
        <f>AND(Bills!B109,"AAAAAH//P0s=")</f>
        <v>#VALUE!</v>
      </c>
      <c r="BY68" t="e">
        <f>AND(Bills!#REF!,"AAAAAH//P0w=")</f>
        <v>#REF!</v>
      </c>
      <c r="BZ68" t="e">
        <f>AND(Bills!C109,"AAAAAH//P00=")</f>
        <v>#VALUE!</v>
      </c>
      <c r="CA68" t="e">
        <f>AND(Bills!#REF!,"AAAAAH//P04=")</f>
        <v>#REF!</v>
      </c>
      <c r="CB68" t="e">
        <f>AND(Bills!#REF!,"AAAAAH//P08=")</f>
        <v>#REF!</v>
      </c>
      <c r="CC68" t="e">
        <f>AND(Bills!#REF!,"AAAAAH//P1A=")</f>
        <v>#REF!</v>
      </c>
      <c r="CD68" t="e">
        <f>AND(Bills!#REF!,"AAAAAH//P1E=")</f>
        <v>#REF!</v>
      </c>
      <c r="CE68" t="e">
        <f>AND(Bills!#REF!,"AAAAAH//P1I=")</f>
        <v>#REF!</v>
      </c>
      <c r="CF68" t="e">
        <f>AND(Bills!D109,"AAAAAH//P1M=")</f>
        <v>#VALUE!</v>
      </c>
      <c r="CG68" t="e">
        <f>AND(Bills!#REF!,"AAAAAH//P1Q=")</f>
        <v>#REF!</v>
      </c>
      <c r="CH68" t="e">
        <f>AND(Bills!E109,"AAAAAH//P1U=")</f>
        <v>#VALUE!</v>
      </c>
      <c r="CI68" t="e">
        <f>AND(Bills!F109,"AAAAAH//P1Y=")</f>
        <v>#VALUE!</v>
      </c>
      <c r="CJ68" t="e">
        <f>AND(Bills!G109,"AAAAAH//P1c=")</f>
        <v>#VALUE!</v>
      </c>
      <c r="CK68" t="e">
        <f>AND(Bills!H109,"AAAAAH//P1g=")</f>
        <v>#VALUE!</v>
      </c>
      <c r="CL68" t="e">
        <f>AND(Bills!I109,"AAAAAH//P1k=")</f>
        <v>#VALUE!</v>
      </c>
      <c r="CM68" t="e">
        <f>AND(Bills!J109,"AAAAAH//P1o=")</f>
        <v>#VALUE!</v>
      </c>
      <c r="CN68" t="e">
        <f>AND(Bills!#REF!,"AAAAAH//P1s=")</f>
        <v>#REF!</v>
      </c>
      <c r="CO68" t="e">
        <f>AND(Bills!K109,"AAAAAH//P1w=")</f>
        <v>#VALUE!</v>
      </c>
      <c r="CP68" t="e">
        <f>AND(Bills!L109,"AAAAAH//P10=")</f>
        <v>#VALUE!</v>
      </c>
      <c r="CQ68" t="e">
        <f>AND(Bills!M109,"AAAAAH//P14=")</f>
        <v>#VALUE!</v>
      </c>
      <c r="CR68" t="e">
        <f>AND(Bills!N109,"AAAAAH//P18=")</f>
        <v>#VALUE!</v>
      </c>
      <c r="CS68" t="e">
        <f>AND(Bills!O109,"AAAAAH//P2A=")</f>
        <v>#VALUE!</v>
      </c>
      <c r="CT68" t="e">
        <f>AND(Bills!P109,"AAAAAH//P2E=")</f>
        <v>#VALUE!</v>
      </c>
      <c r="CU68" t="e">
        <f>AND(Bills!Q109,"AAAAAH//P2I=")</f>
        <v>#VALUE!</v>
      </c>
      <c r="CV68" t="e">
        <f>AND(Bills!R109,"AAAAAH//P2M=")</f>
        <v>#VALUE!</v>
      </c>
      <c r="CW68" t="e">
        <f>AND(Bills!#REF!,"AAAAAH//P2Q=")</f>
        <v>#REF!</v>
      </c>
      <c r="CX68" t="e">
        <f>AND(Bills!S109,"AAAAAH//P2U=")</f>
        <v>#VALUE!</v>
      </c>
      <c r="CY68" t="e">
        <f>AND(Bills!T109,"AAAAAH//P2Y=")</f>
        <v>#VALUE!</v>
      </c>
      <c r="CZ68" t="e">
        <f>AND(Bills!U109,"AAAAAH//P2c=")</f>
        <v>#VALUE!</v>
      </c>
      <c r="DA68" t="e">
        <f>AND(Bills!#REF!,"AAAAAH//P2g=")</f>
        <v>#REF!</v>
      </c>
      <c r="DB68" t="e">
        <f>AND(Bills!#REF!,"AAAAAH//P2k=")</f>
        <v>#REF!</v>
      </c>
      <c r="DC68" t="e">
        <f>AND(Bills!W109,"AAAAAH//P2o=")</f>
        <v>#VALUE!</v>
      </c>
      <c r="DD68" t="e">
        <f>AND(Bills!X109,"AAAAAH//P2s=")</f>
        <v>#VALUE!</v>
      </c>
      <c r="DE68" t="e">
        <f>AND(Bills!#REF!,"AAAAAH//P2w=")</f>
        <v>#REF!</v>
      </c>
      <c r="DF68" t="e">
        <f>AND(Bills!#REF!,"AAAAAH//P20=")</f>
        <v>#REF!</v>
      </c>
      <c r="DG68" t="e">
        <f>AND(Bills!#REF!,"AAAAAH//P24=")</f>
        <v>#REF!</v>
      </c>
      <c r="DH68" t="e">
        <f>AND(Bills!#REF!,"AAAAAH//P28=")</f>
        <v>#REF!</v>
      </c>
      <c r="DI68" t="e">
        <f>AND(Bills!#REF!,"AAAAAH//P3A=")</f>
        <v>#REF!</v>
      </c>
      <c r="DJ68" t="e">
        <f>AND(Bills!#REF!,"AAAAAH//P3E=")</f>
        <v>#REF!</v>
      </c>
      <c r="DK68" t="e">
        <f>AND(Bills!#REF!,"AAAAAH//P3I=")</f>
        <v>#REF!</v>
      </c>
      <c r="DL68" t="e">
        <f>AND(Bills!#REF!,"AAAAAH//P3M=")</f>
        <v>#REF!</v>
      </c>
      <c r="DM68" t="e">
        <f>AND(Bills!#REF!,"AAAAAH//P3Q=")</f>
        <v>#REF!</v>
      </c>
      <c r="DN68" t="e">
        <f>AND(Bills!Y109,"AAAAAH//P3U=")</f>
        <v>#VALUE!</v>
      </c>
      <c r="DO68" t="e">
        <f>AND(Bills!Z109,"AAAAAH//P3Y=")</f>
        <v>#VALUE!</v>
      </c>
      <c r="DP68" t="e">
        <f>AND(Bills!#REF!,"AAAAAH//P3c=")</f>
        <v>#REF!</v>
      </c>
      <c r="DQ68" t="e">
        <f>AND(Bills!#REF!,"AAAAAH//P3g=")</f>
        <v>#REF!</v>
      </c>
      <c r="DR68" t="e">
        <f>AND(Bills!#REF!,"AAAAAH//P3k=")</f>
        <v>#REF!</v>
      </c>
      <c r="DS68" t="e">
        <f>AND(Bills!AA109,"AAAAAH//P3o=")</f>
        <v>#VALUE!</v>
      </c>
      <c r="DT68" t="e">
        <f>AND(Bills!AB109,"AAAAAH//P3s=")</f>
        <v>#VALUE!</v>
      </c>
      <c r="DU68" t="e">
        <f>AND(Bills!#REF!,"AAAAAH//P3w=")</f>
        <v>#REF!</v>
      </c>
      <c r="DV68">
        <f>IF(Bills!110:110,"AAAAAH//P30=",0)</f>
        <v>0</v>
      </c>
      <c r="DW68" t="e">
        <f>AND(Bills!B110,"AAAAAH//P34=")</f>
        <v>#VALUE!</v>
      </c>
      <c r="DX68" t="e">
        <f>AND(Bills!#REF!,"AAAAAH//P38=")</f>
        <v>#REF!</v>
      </c>
      <c r="DY68" t="e">
        <f>AND(Bills!C110,"AAAAAH//P4A=")</f>
        <v>#VALUE!</v>
      </c>
      <c r="DZ68" t="e">
        <f>AND(Bills!#REF!,"AAAAAH//P4E=")</f>
        <v>#REF!</v>
      </c>
      <c r="EA68" t="e">
        <f>AND(Bills!#REF!,"AAAAAH//P4I=")</f>
        <v>#REF!</v>
      </c>
      <c r="EB68" t="e">
        <f>AND(Bills!#REF!,"AAAAAH//P4M=")</f>
        <v>#REF!</v>
      </c>
      <c r="EC68" t="e">
        <f>AND(Bills!#REF!,"AAAAAH//P4Q=")</f>
        <v>#REF!</v>
      </c>
      <c r="ED68" t="e">
        <f>AND(Bills!#REF!,"AAAAAH//P4U=")</f>
        <v>#REF!</v>
      </c>
      <c r="EE68" t="e">
        <f>AND(Bills!D110,"AAAAAH//P4Y=")</f>
        <v>#VALUE!</v>
      </c>
      <c r="EF68" t="e">
        <f>AND(Bills!#REF!,"AAAAAH//P4c=")</f>
        <v>#REF!</v>
      </c>
      <c r="EG68" t="e">
        <f>AND(Bills!E110,"AAAAAH//P4g=")</f>
        <v>#VALUE!</v>
      </c>
      <c r="EH68" t="e">
        <f>AND(Bills!F110,"AAAAAH//P4k=")</f>
        <v>#VALUE!</v>
      </c>
      <c r="EI68" t="e">
        <f>AND(Bills!G110,"AAAAAH//P4o=")</f>
        <v>#VALUE!</v>
      </c>
      <c r="EJ68" t="e">
        <f>AND(Bills!H110,"AAAAAH//P4s=")</f>
        <v>#VALUE!</v>
      </c>
      <c r="EK68" t="e">
        <f>AND(Bills!I110,"AAAAAH//P4w=")</f>
        <v>#VALUE!</v>
      </c>
      <c r="EL68" t="e">
        <f>AND(Bills!J110,"AAAAAH//P40=")</f>
        <v>#VALUE!</v>
      </c>
      <c r="EM68" t="e">
        <f>AND(Bills!#REF!,"AAAAAH//P44=")</f>
        <v>#REF!</v>
      </c>
      <c r="EN68" t="e">
        <f>AND(Bills!K110,"AAAAAH//P48=")</f>
        <v>#VALUE!</v>
      </c>
      <c r="EO68" t="e">
        <f>AND(Bills!L110,"AAAAAH//P5A=")</f>
        <v>#VALUE!</v>
      </c>
      <c r="EP68" t="e">
        <f>AND(Bills!M110,"AAAAAH//P5E=")</f>
        <v>#VALUE!</v>
      </c>
      <c r="EQ68" t="e">
        <f>AND(Bills!N110,"AAAAAH//P5I=")</f>
        <v>#VALUE!</v>
      </c>
      <c r="ER68" t="e">
        <f>AND(Bills!O110,"AAAAAH//P5M=")</f>
        <v>#VALUE!</v>
      </c>
      <c r="ES68" t="e">
        <f>AND(Bills!P110,"AAAAAH//P5Q=")</f>
        <v>#VALUE!</v>
      </c>
      <c r="ET68" t="e">
        <f>AND(Bills!Q110,"AAAAAH//P5U=")</f>
        <v>#VALUE!</v>
      </c>
      <c r="EU68" t="e">
        <f>AND(Bills!R110,"AAAAAH//P5Y=")</f>
        <v>#VALUE!</v>
      </c>
      <c r="EV68" t="e">
        <f>AND(Bills!#REF!,"AAAAAH//P5c=")</f>
        <v>#REF!</v>
      </c>
      <c r="EW68" t="e">
        <f>AND(Bills!S110,"AAAAAH//P5g=")</f>
        <v>#VALUE!</v>
      </c>
      <c r="EX68" t="e">
        <f>AND(Bills!T110,"AAAAAH//P5k=")</f>
        <v>#VALUE!</v>
      </c>
      <c r="EY68" t="e">
        <f>AND(Bills!U110,"AAAAAH//P5o=")</f>
        <v>#VALUE!</v>
      </c>
      <c r="EZ68" t="e">
        <f>AND(Bills!#REF!,"AAAAAH//P5s=")</f>
        <v>#REF!</v>
      </c>
      <c r="FA68" t="e">
        <f>AND(Bills!#REF!,"AAAAAH//P5w=")</f>
        <v>#REF!</v>
      </c>
      <c r="FB68" t="e">
        <f>AND(Bills!W110,"AAAAAH//P50=")</f>
        <v>#VALUE!</v>
      </c>
      <c r="FC68" t="e">
        <f>AND(Bills!X110,"AAAAAH//P54=")</f>
        <v>#VALUE!</v>
      </c>
      <c r="FD68" t="e">
        <f>AND(Bills!#REF!,"AAAAAH//P58=")</f>
        <v>#REF!</v>
      </c>
      <c r="FE68" t="e">
        <f>AND(Bills!#REF!,"AAAAAH//P6A=")</f>
        <v>#REF!</v>
      </c>
      <c r="FF68" t="e">
        <f>AND(Bills!#REF!,"AAAAAH//P6E=")</f>
        <v>#REF!</v>
      </c>
      <c r="FG68" t="e">
        <f>AND(Bills!#REF!,"AAAAAH//P6I=")</f>
        <v>#REF!</v>
      </c>
      <c r="FH68" t="e">
        <f>AND(Bills!#REF!,"AAAAAH//P6M=")</f>
        <v>#REF!</v>
      </c>
      <c r="FI68" t="e">
        <f>AND(Bills!#REF!,"AAAAAH//P6Q=")</f>
        <v>#REF!</v>
      </c>
      <c r="FJ68" t="e">
        <f>AND(Bills!#REF!,"AAAAAH//P6U=")</f>
        <v>#REF!</v>
      </c>
      <c r="FK68" t="e">
        <f>AND(Bills!#REF!,"AAAAAH//P6Y=")</f>
        <v>#REF!</v>
      </c>
      <c r="FL68" t="e">
        <f>AND(Bills!#REF!,"AAAAAH//P6c=")</f>
        <v>#REF!</v>
      </c>
      <c r="FM68" t="e">
        <f>AND(Bills!Y110,"AAAAAH//P6g=")</f>
        <v>#VALUE!</v>
      </c>
      <c r="FN68" t="e">
        <f>AND(Bills!Z110,"AAAAAH//P6k=")</f>
        <v>#VALUE!</v>
      </c>
      <c r="FO68" t="e">
        <f>AND(Bills!#REF!,"AAAAAH//P6o=")</f>
        <v>#REF!</v>
      </c>
      <c r="FP68" t="e">
        <f>AND(Bills!#REF!,"AAAAAH//P6s=")</f>
        <v>#REF!</v>
      </c>
      <c r="FQ68" t="e">
        <f>AND(Bills!#REF!,"AAAAAH//P6w=")</f>
        <v>#REF!</v>
      </c>
      <c r="FR68" t="e">
        <f>AND(Bills!AA110,"AAAAAH//P60=")</f>
        <v>#VALUE!</v>
      </c>
      <c r="FS68" t="e">
        <f>AND(Bills!AB110,"AAAAAH//P64=")</f>
        <v>#VALUE!</v>
      </c>
      <c r="FT68" t="e">
        <f>AND(Bills!#REF!,"AAAAAH//P68=")</f>
        <v>#REF!</v>
      </c>
      <c r="FU68">
        <f>IF(Bills!111:111,"AAAAAH//P7A=",0)</f>
        <v>0</v>
      </c>
      <c r="FV68" t="e">
        <f>AND(Bills!B111,"AAAAAH//P7E=")</f>
        <v>#VALUE!</v>
      </c>
      <c r="FW68" t="e">
        <f>AND(Bills!#REF!,"AAAAAH//P7I=")</f>
        <v>#REF!</v>
      </c>
      <c r="FX68" t="e">
        <f>AND(Bills!C111,"AAAAAH//P7M=")</f>
        <v>#VALUE!</v>
      </c>
      <c r="FY68" t="e">
        <f>AND(Bills!#REF!,"AAAAAH//P7Q=")</f>
        <v>#REF!</v>
      </c>
      <c r="FZ68" t="e">
        <f>AND(Bills!#REF!,"AAAAAH//P7U=")</f>
        <v>#REF!</v>
      </c>
      <c r="GA68" t="e">
        <f>AND(Bills!#REF!,"AAAAAH//P7Y=")</f>
        <v>#REF!</v>
      </c>
      <c r="GB68" t="e">
        <f>AND(Bills!#REF!,"AAAAAH//P7c=")</f>
        <v>#REF!</v>
      </c>
      <c r="GC68" t="e">
        <f>AND(Bills!#REF!,"AAAAAH//P7g=")</f>
        <v>#REF!</v>
      </c>
      <c r="GD68" t="e">
        <f>AND(Bills!D111,"AAAAAH//P7k=")</f>
        <v>#VALUE!</v>
      </c>
      <c r="GE68" t="e">
        <f>AND(Bills!#REF!,"AAAAAH//P7o=")</f>
        <v>#REF!</v>
      </c>
      <c r="GF68" t="e">
        <f>AND(Bills!E111,"AAAAAH//P7s=")</f>
        <v>#VALUE!</v>
      </c>
      <c r="GG68" t="e">
        <f>AND(Bills!F111,"AAAAAH//P7w=")</f>
        <v>#VALUE!</v>
      </c>
      <c r="GH68" t="e">
        <f>AND(Bills!G111,"AAAAAH//P70=")</f>
        <v>#VALUE!</v>
      </c>
      <c r="GI68" t="e">
        <f>AND(Bills!H111,"AAAAAH//P74=")</f>
        <v>#VALUE!</v>
      </c>
      <c r="GJ68" t="e">
        <f>AND(Bills!I111,"AAAAAH//P78=")</f>
        <v>#VALUE!</v>
      </c>
      <c r="GK68" t="e">
        <f>AND(Bills!J111,"AAAAAH//P8A=")</f>
        <v>#VALUE!</v>
      </c>
      <c r="GL68" t="e">
        <f>AND(Bills!#REF!,"AAAAAH//P8E=")</f>
        <v>#REF!</v>
      </c>
      <c r="GM68" t="e">
        <f>AND(Bills!K111,"AAAAAH//P8I=")</f>
        <v>#VALUE!</v>
      </c>
      <c r="GN68" t="e">
        <f>AND(Bills!L111,"AAAAAH//P8M=")</f>
        <v>#VALUE!</v>
      </c>
      <c r="GO68" t="e">
        <f>AND(Bills!M111,"AAAAAH//P8Q=")</f>
        <v>#VALUE!</v>
      </c>
      <c r="GP68" t="e">
        <f>AND(Bills!N111,"AAAAAH//P8U=")</f>
        <v>#VALUE!</v>
      </c>
      <c r="GQ68" t="e">
        <f>AND(Bills!O111,"AAAAAH//P8Y=")</f>
        <v>#VALUE!</v>
      </c>
      <c r="GR68" t="e">
        <f>AND(Bills!P111,"AAAAAH//P8c=")</f>
        <v>#VALUE!</v>
      </c>
      <c r="GS68" t="e">
        <f>AND(Bills!Q111,"AAAAAH//P8g=")</f>
        <v>#VALUE!</v>
      </c>
      <c r="GT68" t="e">
        <f>AND(Bills!R111,"AAAAAH//P8k=")</f>
        <v>#VALUE!</v>
      </c>
      <c r="GU68" t="e">
        <f>AND(Bills!#REF!,"AAAAAH//P8o=")</f>
        <v>#REF!</v>
      </c>
      <c r="GV68" t="e">
        <f>AND(Bills!S111,"AAAAAH//P8s=")</f>
        <v>#VALUE!</v>
      </c>
      <c r="GW68" t="e">
        <f>AND(Bills!T111,"AAAAAH//P8w=")</f>
        <v>#VALUE!</v>
      </c>
      <c r="GX68" t="e">
        <f>AND(Bills!U111,"AAAAAH//P80=")</f>
        <v>#VALUE!</v>
      </c>
      <c r="GY68" t="e">
        <f>AND(Bills!#REF!,"AAAAAH//P84=")</f>
        <v>#REF!</v>
      </c>
      <c r="GZ68" t="e">
        <f>AND(Bills!#REF!,"AAAAAH//P88=")</f>
        <v>#REF!</v>
      </c>
      <c r="HA68" t="e">
        <f>AND(Bills!W111,"AAAAAH//P9A=")</f>
        <v>#VALUE!</v>
      </c>
      <c r="HB68" t="e">
        <f>AND(Bills!X111,"AAAAAH//P9E=")</f>
        <v>#VALUE!</v>
      </c>
      <c r="HC68" t="e">
        <f>AND(Bills!#REF!,"AAAAAH//P9I=")</f>
        <v>#REF!</v>
      </c>
      <c r="HD68" t="e">
        <f>AND(Bills!#REF!,"AAAAAH//P9M=")</f>
        <v>#REF!</v>
      </c>
      <c r="HE68" t="e">
        <f>AND(Bills!#REF!,"AAAAAH//P9Q=")</f>
        <v>#REF!</v>
      </c>
      <c r="HF68" t="e">
        <f>AND(Bills!#REF!,"AAAAAH//P9U=")</f>
        <v>#REF!</v>
      </c>
      <c r="HG68" t="e">
        <f>AND(Bills!#REF!,"AAAAAH//P9Y=")</f>
        <v>#REF!</v>
      </c>
      <c r="HH68" t="e">
        <f>AND(Bills!#REF!,"AAAAAH//P9c=")</f>
        <v>#REF!</v>
      </c>
      <c r="HI68" t="e">
        <f>AND(Bills!#REF!,"AAAAAH//P9g=")</f>
        <v>#REF!</v>
      </c>
      <c r="HJ68" t="e">
        <f>AND(Bills!#REF!,"AAAAAH//P9k=")</f>
        <v>#REF!</v>
      </c>
      <c r="HK68" t="e">
        <f>AND(Bills!#REF!,"AAAAAH//P9o=")</f>
        <v>#REF!</v>
      </c>
      <c r="HL68" t="e">
        <f>AND(Bills!Y111,"AAAAAH//P9s=")</f>
        <v>#VALUE!</v>
      </c>
      <c r="HM68" t="e">
        <f>AND(Bills!Z111,"AAAAAH//P9w=")</f>
        <v>#VALUE!</v>
      </c>
      <c r="HN68" t="e">
        <f>AND(Bills!#REF!,"AAAAAH//P90=")</f>
        <v>#REF!</v>
      </c>
      <c r="HO68" t="e">
        <f>AND(Bills!#REF!,"AAAAAH//P94=")</f>
        <v>#REF!</v>
      </c>
      <c r="HP68" t="e">
        <f>AND(Bills!#REF!,"AAAAAH//P98=")</f>
        <v>#REF!</v>
      </c>
      <c r="HQ68" t="e">
        <f>AND(Bills!AA111,"AAAAAH//P+A=")</f>
        <v>#VALUE!</v>
      </c>
      <c r="HR68" t="e">
        <f>AND(Bills!AB111,"AAAAAH//P+E=")</f>
        <v>#VALUE!</v>
      </c>
      <c r="HS68" t="e">
        <f>AND(Bills!#REF!,"AAAAAH//P+I=")</f>
        <v>#REF!</v>
      </c>
      <c r="HT68">
        <f>IF(Bills!112:112,"AAAAAH//P+M=",0)</f>
        <v>0</v>
      </c>
      <c r="HU68" t="e">
        <f>AND(Bills!B112,"AAAAAH//P+Q=")</f>
        <v>#VALUE!</v>
      </c>
      <c r="HV68" t="e">
        <f>AND(Bills!#REF!,"AAAAAH//P+U=")</f>
        <v>#REF!</v>
      </c>
      <c r="HW68" t="e">
        <f>AND(Bills!C112,"AAAAAH//P+Y=")</f>
        <v>#VALUE!</v>
      </c>
      <c r="HX68" t="e">
        <f>AND(Bills!#REF!,"AAAAAH//P+c=")</f>
        <v>#REF!</v>
      </c>
      <c r="HY68" t="e">
        <f>AND(Bills!#REF!,"AAAAAH//P+g=")</f>
        <v>#REF!</v>
      </c>
      <c r="HZ68" t="e">
        <f>AND(Bills!#REF!,"AAAAAH//P+k=")</f>
        <v>#REF!</v>
      </c>
      <c r="IA68" t="e">
        <f>AND(Bills!#REF!,"AAAAAH//P+o=")</f>
        <v>#REF!</v>
      </c>
      <c r="IB68" t="e">
        <f>AND(Bills!#REF!,"AAAAAH//P+s=")</f>
        <v>#REF!</v>
      </c>
      <c r="IC68" t="e">
        <f>AND(Bills!D112,"AAAAAH//P+w=")</f>
        <v>#VALUE!</v>
      </c>
      <c r="ID68" t="e">
        <f>AND(Bills!#REF!,"AAAAAH//P+0=")</f>
        <v>#REF!</v>
      </c>
      <c r="IE68" t="e">
        <f>AND(Bills!E112,"AAAAAH//P+4=")</f>
        <v>#VALUE!</v>
      </c>
      <c r="IF68" t="e">
        <f>AND(Bills!F112,"AAAAAH//P+8=")</f>
        <v>#VALUE!</v>
      </c>
      <c r="IG68" t="e">
        <f>AND(Bills!G112,"AAAAAH//P/A=")</f>
        <v>#VALUE!</v>
      </c>
      <c r="IH68" t="e">
        <f>AND(Bills!H112,"AAAAAH//P/E=")</f>
        <v>#VALUE!</v>
      </c>
      <c r="II68" t="e">
        <f>AND(Bills!I112,"AAAAAH//P/I=")</f>
        <v>#VALUE!</v>
      </c>
      <c r="IJ68" t="e">
        <f>AND(Bills!J112,"AAAAAH//P/M=")</f>
        <v>#VALUE!</v>
      </c>
      <c r="IK68" t="e">
        <f>AND(Bills!#REF!,"AAAAAH//P/Q=")</f>
        <v>#REF!</v>
      </c>
      <c r="IL68" t="e">
        <f>AND(Bills!K112,"AAAAAH//P/U=")</f>
        <v>#VALUE!</v>
      </c>
      <c r="IM68" t="e">
        <f>AND(Bills!L112,"AAAAAH//P/Y=")</f>
        <v>#VALUE!</v>
      </c>
      <c r="IN68" t="e">
        <f>AND(Bills!M112,"AAAAAH//P/c=")</f>
        <v>#VALUE!</v>
      </c>
      <c r="IO68" t="e">
        <f>AND(Bills!N112,"AAAAAH//P/g=")</f>
        <v>#VALUE!</v>
      </c>
      <c r="IP68" t="e">
        <f>AND(Bills!O112,"AAAAAH//P/k=")</f>
        <v>#VALUE!</v>
      </c>
      <c r="IQ68" t="e">
        <f>AND(Bills!P112,"AAAAAH//P/o=")</f>
        <v>#VALUE!</v>
      </c>
      <c r="IR68" t="e">
        <f>AND(Bills!Q112,"AAAAAH//P/s=")</f>
        <v>#VALUE!</v>
      </c>
      <c r="IS68" t="e">
        <f>AND(Bills!R112,"AAAAAH//P/w=")</f>
        <v>#VALUE!</v>
      </c>
      <c r="IT68" t="e">
        <f>AND(Bills!#REF!,"AAAAAH//P/0=")</f>
        <v>#REF!</v>
      </c>
      <c r="IU68" t="e">
        <f>AND(Bills!S112,"AAAAAH//P/4=")</f>
        <v>#VALUE!</v>
      </c>
      <c r="IV68" t="e">
        <f>AND(Bills!T112,"AAAAAH//P/8=")</f>
        <v>#VALUE!</v>
      </c>
    </row>
    <row r="69" spans="1:256">
      <c r="A69" t="e">
        <f>AND(Bills!U112,"AAAAAG/+5wA=")</f>
        <v>#VALUE!</v>
      </c>
      <c r="B69" t="e">
        <f>AND(Bills!#REF!,"AAAAAG/+5wE=")</f>
        <v>#REF!</v>
      </c>
      <c r="C69" t="e">
        <f>AND(Bills!#REF!,"AAAAAG/+5wI=")</f>
        <v>#REF!</v>
      </c>
      <c r="D69" t="e">
        <f>AND(Bills!W112,"AAAAAG/+5wM=")</f>
        <v>#VALUE!</v>
      </c>
      <c r="E69" t="e">
        <f>AND(Bills!X112,"AAAAAG/+5wQ=")</f>
        <v>#VALUE!</v>
      </c>
      <c r="F69" t="e">
        <f>AND(Bills!#REF!,"AAAAAG/+5wU=")</f>
        <v>#REF!</v>
      </c>
      <c r="G69" t="e">
        <f>AND(Bills!#REF!,"AAAAAG/+5wY=")</f>
        <v>#REF!</v>
      </c>
      <c r="H69" t="e">
        <f>AND(Bills!#REF!,"AAAAAG/+5wc=")</f>
        <v>#REF!</v>
      </c>
      <c r="I69" t="e">
        <f>AND(Bills!#REF!,"AAAAAG/+5wg=")</f>
        <v>#REF!</v>
      </c>
      <c r="J69" t="e">
        <f>AND(Bills!#REF!,"AAAAAG/+5wk=")</f>
        <v>#REF!</v>
      </c>
      <c r="K69" t="e">
        <f>AND(Bills!#REF!,"AAAAAG/+5wo=")</f>
        <v>#REF!</v>
      </c>
      <c r="L69" t="e">
        <f>AND(Bills!#REF!,"AAAAAG/+5ws=")</f>
        <v>#REF!</v>
      </c>
      <c r="M69" t="e">
        <f>AND(Bills!#REF!,"AAAAAG/+5ww=")</f>
        <v>#REF!</v>
      </c>
      <c r="N69" t="e">
        <f>AND(Bills!#REF!,"AAAAAG/+5w0=")</f>
        <v>#REF!</v>
      </c>
      <c r="O69" t="e">
        <f>AND(Bills!Y112,"AAAAAG/+5w4=")</f>
        <v>#VALUE!</v>
      </c>
      <c r="P69" t="e">
        <f>AND(Bills!Z112,"AAAAAG/+5w8=")</f>
        <v>#VALUE!</v>
      </c>
      <c r="Q69" t="e">
        <f>AND(Bills!#REF!,"AAAAAG/+5xA=")</f>
        <v>#REF!</v>
      </c>
      <c r="R69" t="e">
        <f>AND(Bills!#REF!,"AAAAAG/+5xE=")</f>
        <v>#REF!</v>
      </c>
      <c r="S69" t="e">
        <f>AND(Bills!#REF!,"AAAAAG/+5xI=")</f>
        <v>#REF!</v>
      </c>
      <c r="T69" t="e">
        <f>AND(Bills!AA112,"AAAAAG/+5xM=")</f>
        <v>#VALUE!</v>
      </c>
      <c r="U69" t="e">
        <f>AND(Bills!AB112,"AAAAAG/+5xQ=")</f>
        <v>#VALUE!</v>
      </c>
      <c r="V69" t="e">
        <f>AND(Bills!#REF!,"AAAAAG/+5xU=")</f>
        <v>#REF!</v>
      </c>
      <c r="W69">
        <f>IF(Bills!113:113,"AAAAAG/+5xY=",0)</f>
        <v>0</v>
      </c>
      <c r="X69" t="e">
        <f>AND(Bills!B113,"AAAAAG/+5xc=")</f>
        <v>#VALUE!</v>
      </c>
      <c r="Y69" t="e">
        <f>AND(Bills!#REF!,"AAAAAG/+5xg=")</f>
        <v>#REF!</v>
      </c>
      <c r="Z69" t="e">
        <f>AND(Bills!C113,"AAAAAG/+5xk=")</f>
        <v>#VALUE!</v>
      </c>
      <c r="AA69" t="e">
        <f>AND(Bills!#REF!,"AAAAAG/+5xo=")</f>
        <v>#REF!</v>
      </c>
      <c r="AB69" t="e">
        <f>AND(Bills!#REF!,"AAAAAG/+5xs=")</f>
        <v>#REF!</v>
      </c>
      <c r="AC69" t="e">
        <f>AND(Bills!#REF!,"AAAAAG/+5xw=")</f>
        <v>#REF!</v>
      </c>
      <c r="AD69" t="e">
        <f>AND(Bills!#REF!,"AAAAAG/+5x0=")</f>
        <v>#REF!</v>
      </c>
      <c r="AE69" t="e">
        <f>AND(Bills!#REF!,"AAAAAG/+5x4=")</f>
        <v>#REF!</v>
      </c>
      <c r="AF69" t="e">
        <f>AND(Bills!D113,"AAAAAG/+5x8=")</f>
        <v>#VALUE!</v>
      </c>
      <c r="AG69" t="e">
        <f>AND(Bills!#REF!,"AAAAAG/+5yA=")</f>
        <v>#REF!</v>
      </c>
      <c r="AH69" t="e">
        <f>AND(Bills!E113,"AAAAAG/+5yE=")</f>
        <v>#VALUE!</v>
      </c>
      <c r="AI69" t="e">
        <f>AND(Bills!F113,"AAAAAG/+5yI=")</f>
        <v>#VALUE!</v>
      </c>
      <c r="AJ69" t="e">
        <f>AND(Bills!G113,"AAAAAG/+5yM=")</f>
        <v>#VALUE!</v>
      </c>
      <c r="AK69" t="e">
        <f>AND(Bills!H113,"AAAAAG/+5yQ=")</f>
        <v>#VALUE!</v>
      </c>
      <c r="AL69" t="e">
        <f>AND(Bills!I113,"AAAAAG/+5yU=")</f>
        <v>#VALUE!</v>
      </c>
      <c r="AM69" t="e">
        <f>AND(Bills!J113,"AAAAAG/+5yY=")</f>
        <v>#VALUE!</v>
      </c>
      <c r="AN69" t="e">
        <f>AND(Bills!#REF!,"AAAAAG/+5yc=")</f>
        <v>#REF!</v>
      </c>
      <c r="AO69" t="e">
        <f>AND(Bills!K113,"AAAAAG/+5yg=")</f>
        <v>#VALUE!</v>
      </c>
      <c r="AP69" t="e">
        <f>AND(Bills!L113,"AAAAAG/+5yk=")</f>
        <v>#VALUE!</v>
      </c>
      <c r="AQ69" t="e">
        <f>AND(Bills!M113,"AAAAAG/+5yo=")</f>
        <v>#VALUE!</v>
      </c>
      <c r="AR69" t="e">
        <f>AND(Bills!N113,"AAAAAG/+5ys=")</f>
        <v>#VALUE!</v>
      </c>
      <c r="AS69" t="e">
        <f>AND(Bills!O113,"AAAAAG/+5yw=")</f>
        <v>#VALUE!</v>
      </c>
      <c r="AT69" t="e">
        <f>AND(Bills!P113,"AAAAAG/+5y0=")</f>
        <v>#VALUE!</v>
      </c>
      <c r="AU69" t="e">
        <f>AND(Bills!Q113,"AAAAAG/+5y4=")</f>
        <v>#VALUE!</v>
      </c>
      <c r="AV69" t="e">
        <f>AND(Bills!R113,"AAAAAG/+5y8=")</f>
        <v>#VALUE!</v>
      </c>
      <c r="AW69" t="e">
        <f>AND(Bills!#REF!,"AAAAAG/+5zA=")</f>
        <v>#REF!</v>
      </c>
      <c r="AX69" t="e">
        <f>AND(Bills!S113,"AAAAAG/+5zE=")</f>
        <v>#VALUE!</v>
      </c>
      <c r="AY69" t="e">
        <f>AND(Bills!T113,"AAAAAG/+5zI=")</f>
        <v>#VALUE!</v>
      </c>
      <c r="AZ69" t="e">
        <f>AND(Bills!U113,"AAAAAG/+5zM=")</f>
        <v>#VALUE!</v>
      </c>
      <c r="BA69" t="e">
        <f>AND(Bills!#REF!,"AAAAAG/+5zQ=")</f>
        <v>#REF!</v>
      </c>
      <c r="BB69" t="e">
        <f>AND(Bills!#REF!,"AAAAAG/+5zU=")</f>
        <v>#REF!</v>
      </c>
      <c r="BC69" t="e">
        <f>AND(Bills!W113,"AAAAAG/+5zY=")</f>
        <v>#VALUE!</v>
      </c>
      <c r="BD69" t="e">
        <f>AND(Bills!X113,"AAAAAG/+5zc=")</f>
        <v>#VALUE!</v>
      </c>
      <c r="BE69" t="e">
        <f>AND(Bills!#REF!,"AAAAAG/+5zg=")</f>
        <v>#REF!</v>
      </c>
      <c r="BF69" t="e">
        <f>AND(Bills!#REF!,"AAAAAG/+5zk=")</f>
        <v>#REF!</v>
      </c>
      <c r="BG69" t="e">
        <f>AND(Bills!#REF!,"AAAAAG/+5zo=")</f>
        <v>#REF!</v>
      </c>
      <c r="BH69" t="e">
        <f>AND(Bills!#REF!,"AAAAAG/+5zs=")</f>
        <v>#REF!</v>
      </c>
      <c r="BI69" t="e">
        <f>AND(Bills!#REF!,"AAAAAG/+5zw=")</f>
        <v>#REF!</v>
      </c>
      <c r="BJ69" t="e">
        <f>AND(Bills!#REF!,"AAAAAG/+5z0=")</f>
        <v>#REF!</v>
      </c>
      <c r="BK69" t="e">
        <f>AND(Bills!#REF!,"AAAAAG/+5z4=")</f>
        <v>#REF!</v>
      </c>
      <c r="BL69" t="e">
        <f>AND(Bills!#REF!,"AAAAAG/+5z8=")</f>
        <v>#REF!</v>
      </c>
      <c r="BM69" t="e">
        <f>AND(Bills!#REF!,"AAAAAG/+50A=")</f>
        <v>#REF!</v>
      </c>
      <c r="BN69" t="e">
        <f>AND(Bills!Y113,"AAAAAG/+50E=")</f>
        <v>#VALUE!</v>
      </c>
      <c r="BO69" t="e">
        <f>AND(Bills!Z113,"AAAAAG/+50I=")</f>
        <v>#VALUE!</v>
      </c>
      <c r="BP69" t="e">
        <f>AND(Bills!#REF!,"AAAAAG/+50M=")</f>
        <v>#REF!</v>
      </c>
      <c r="BQ69" t="e">
        <f>AND(Bills!#REF!,"AAAAAG/+50Q=")</f>
        <v>#REF!</v>
      </c>
      <c r="BR69" t="e">
        <f>AND(Bills!#REF!,"AAAAAG/+50U=")</f>
        <v>#REF!</v>
      </c>
      <c r="BS69" t="e">
        <f>AND(Bills!AA113,"AAAAAG/+50Y=")</f>
        <v>#VALUE!</v>
      </c>
      <c r="BT69" t="e">
        <f>AND(Bills!AB113,"AAAAAG/+50c=")</f>
        <v>#VALUE!</v>
      </c>
      <c r="BU69" t="e">
        <f>AND(Bills!#REF!,"AAAAAG/+50g=")</f>
        <v>#REF!</v>
      </c>
      <c r="BV69">
        <f>IF(Bills!114:114,"AAAAAG/+50k=",0)</f>
        <v>0</v>
      </c>
      <c r="BW69" t="e">
        <f>AND(Bills!B114,"AAAAAG/+50o=")</f>
        <v>#VALUE!</v>
      </c>
      <c r="BX69" t="e">
        <f>AND(Bills!#REF!,"AAAAAG/+50s=")</f>
        <v>#REF!</v>
      </c>
      <c r="BY69" t="e">
        <f>AND(Bills!C114,"AAAAAG/+50w=")</f>
        <v>#VALUE!</v>
      </c>
      <c r="BZ69" t="e">
        <f>AND(Bills!#REF!,"AAAAAG/+500=")</f>
        <v>#REF!</v>
      </c>
      <c r="CA69" t="e">
        <f>AND(Bills!#REF!,"AAAAAG/+504=")</f>
        <v>#REF!</v>
      </c>
      <c r="CB69" t="e">
        <f>AND(Bills!#REF!,"AAAAAG/+508=")</f>
        <v>#REF!</v>
      </c>
      <c r="CC69" t="e">
        <f>AND(Bills!#REF!,"AAAAAG/+51A=")</f>
        <v>#REF!</v>
      </c>
      <c r="CD69" t="e">
        <f>AND(Bills!#REF!,"AAAAAG/+51E=")</f>
        <v>#REF!</v>
      </c>
      <c r="CE69" t="e">
        <f>AND(Bills!D114,"AAAAAG/+51I=")</f>
        <v>#VALUE!</v>
      </c>
      <c r="CF69" t="e">
        <f>AND(Bills!#REF!,"AAAAAG/+51M=")</f>
        <v>#REF!</v>
      </c>
      <c r="CG69" t="e">
        <f>AND(Bills!E114,"AAAAAG/+51Q=")</f>
        <v>#VALUE!</v>
      </c>
      <c r="CH69" t="e">
        <f>AND(Bills!F114,"AAAAAG/+51U=")</f>
        <v>#VALUE!</v>
      </c>
      <c r="CI69" t="e">
        <f>AND(Bills!G114,"AAAAAG/+51Y=")</f>
        <v>#VALUE!</v>
      </c>
      <c r="CJ69" t="e">
        <f>AND(Bills!H114,"AAAAAG/+51c=")</f>
        <v>#VALUE!</v>
      </c>
      <c r="CK69" t="e">
        <f>AND(Bills!I114,"AAAAAG/+51g=")</f>
        <v>#VALUE!</v>
      </c>
      <c r="CL69" t="e">
        <f>AND(Bills!J114,"AAAAAG/+51k=")</f>
        <v>#VALUE!</v>
      </c>
      <c r="CM69" t="e">
        <f>AND(Bills!#REF!,"AAAAAG/+51o=")</f>
        <v>#REF!</v>
      </c>
      <c r="CN69" t="e">
        <f>AND(Bills!K114,"AAAAAG/+51s=")</f>
        <v>#VALUE!</v>
      </c>
      <c r="CO69" t="e">
        <f>AND(Bills!L114,"AAAAAG/+51w=")</f>
        <v>#VALUE!</v>
      </c>
      <c r="CP69" t="e">
        <f>AND(Bills!M114,"AAAAAG/+510=")</f>
        <v>#VALUE!</v>
      </c>
      <c r="CQ69" t="e">
        <f>AND(Bills!N114,"AAAAAG/+514=")</f>
        <v>#VALUE!</v>
      </c>
      <c r="CR69" t="e">
        <f>AND(Bills!O114,"AAAAAG/+518=")</f>
        <v>#VALUE!</v>
      </c>
      <c r="CS69" t="e">
        <f>AND(Bills!P114,"AAAAAG/+52A=")</f>
        <v>#VALUE!</v>
      </c>
      <c r="CT69" t="e">
        <f>AND(Bills!Q114,"AAAAAG/+52E=")</f>
        <v>#VALUE!</v>
      </c>
      <c r="CU69" t="e">
        <f>AND(Bills!R114,"AAAAAG/+52I=")</f>
        <v>#VALUE!</v>
      </c>
      <c r="CV69" t="e">
        <f>AND(Bills!#REF!,"AAAAAG/+52M=")</f>
        <v>#REF!</v>
      </c>
      <c r="CW69" t="e">
        <f>AND(Bills!S114,"AAAAAG/+52Q=")</f>
        <v>#VALUE!</v>
      </c>
      <c r="CX69" t="e">
        <f>AND(Bills!T114,"AAAAAG/+52U=")</f>
        <v>#VALUE!</v>
      </c>
      <c r="CY69" t="e">
        <f>AND(Bills!U114,"AAAAAG/+52Y=")</f>
        <v>#VALUE!</v>
      </c>
      <c r="CZ69" t="e">
        <f>AND(Bills!#REF!,"AAAAAG/+52c=")</f>
        <v>#REF!</v>
      </c>
      <c r="DA69" t="e">
        <f>AND(Bills!#REF!,"AAAAAG/+52g=")</f>
        <v>#REF!</v>
      </c>
      <c r="DB69" t="e">
        <f>AND(Bills!W114,"AAAAAG/+52k=")</f>
        <v>#VALUE!</v>
      </c>
      <c r="DC69" t="e">
        <f>AND(Bills!X114,"AAAAAG/+52o=")</f>
        <v>#VALUE!</v>
      </c>
      <c r="DD69" t="e">
        <f>AND(Bills!#REF!,"AAAAAG/+52s=")</f>
        <v>#REF!</v>
      </c>
      <c r="DE69" t="e">
        <f>AND(Bills!#REF!,"AAAAAG/+52w=")</f>
        <v>#REF!</v>
      </c>
      <c r="DF69" t="e">
        <f>AND(Bills!#REF!,"AAAAAG/+520=")</f>
        <v>#REF!</v>
      </c>
      <c r="DG69" t="e">
        <f>AND(Bills!#REF!,"AAAAAG/+524=")</f>
        <v>#REF!</v>
      </c>
      <c r="DH69" t="e">
        <f>AND(Bills!#REF!,"AAAAAG/+528=")</f>
        <v>#REF!</v>
      </c>
      <c r="DI69" t="e">
        <f>AND(Bills!#REF!,"AAAAAG/+53A=")</f>
        <v>#REF!</v>
      </c>
      <c r="DJ69" t="e">
        <f>AND(Bills!#REF!,"AAAAAG/+53E=")</f>
        <v>#REF!</v>
      </c>
      <c r="DK69" t="e">
        <f>AND(Bills!#REF!,"AAAAAG/+53I=")</f>
        <v>#REF!</v>
      </c>
      <c r="DL69" t="e">
        <f>AND(Bills!#REF!,"AAAAAG/+53M=")</f>
        <v>#REF!</v>
      </c>
      <c r="DM69" t="e">
        <f>AND(Bills!Y114,"AAAAAG/+53Q=")</f>
        <v>#VALUE!</v>
      </c>
      <c r="DN69" t="e">
        <f>AND(Bills!Z114,"AAAAAG/+53U=")</f>
        <v>#VALUE!</v>
      </c>
      <c r="DO69" t="e">
        <f>AND(Bills!#REF!,"AAAAAG/+53Y=")</f>
        <v>#REF!</v>
      </c>
      <c r="DP69" t="e">
        <f>AND(Bills!#REF!,"AAAAAG/+53c=")</f>
        <v>#REF!</v>
      </c>
      <c r="DQ69" t="e">
        <f>AND(Bills!#REF!,"AAAAAG/+53g=")</f>
        <v>#REF!</v>
      </c>
      <c r="DR69" t="e">
        <f>AND(Bills!AA114,"AAAAAG/+53k=")</f>
        <v>#VALUE!</v>
      </c>
      <c r="DS69" t="e">
        <f>AND(Bills!AB114,"AAAAAG/+53o=")</f>
        <v>#VALUE!</v>
      </c>
      <c r="DT69" t="e">
        <f>AND(Bills!#REF!,"AAAAAG/+53s=")</f>
        <v>#REF!</v>
      </c>
      <c r="DU69">
        <f>IF(Bills!115:115,"AAAAAG/+53w=",0)</f>
        <v>0</v>
      </c>
      <c r="DV69" t="e">
        <f>AND(Bills!B115,"AAAAAG/+530=")</f>
        <v>#VALUE!</v>
      </c>
      <c r="DW69" t="e">
        <f>AND(Bills!#REF!,"AAAAAG/+534=")</f>
        <v>#REF!</v>
      </c>
      <c r="DX69" t="e">
        <f>AND(Bills!C115,"AAAAAG/+538=")</f>
        <v>#VALUE!</v>
      </c>
      <c r="DY69" t="e">
        <f>AND(Bills!#REF!,"AAAAAG/+54A=")</f>
        <v>#REF!</v>
      </c>
      <c r="DZ69" t="e">
        <f>AND(Bills!#REF!,"AAAAAG/+54E=")</f>
        <v>#REF!</v>
      </c>
      <c r="EA69" t="e">
        <f>AND(Bills!#REF!,"AAAAAG/+54I=")</f>
        <v>#REF!</v>
      </c>
      <c r="EB69" t="e">
        <f>AND(Bills!#REF!,"AAAAAG/+54M=")</f>
        <v>#REF!</v>
      </c>
      <c r="EC69" t="e">
        <f>AND(Bills!#REF!,"AAAAAG/+54Q=")</f>
        <v>#REF!</v>
      </c>
      <c r="ED69" t="e">
        <f>AND(Bills!D115,"AAAAAG/+54U=")</f>
        <v>#VALUE!</v>
      </c>
      <c r="EE69" t="e">
        <f>AND(Bills!#REF!,"AAAAAG/+54Y=")</f>
        <v>#REF!</v>
      </c>
      <c r="EF69" t="e">
        <f>AND(Bills!E115,"AAAAAG/+54c=")</f>
        <v>#VALUE!</v>
      </c>
      <c r="EG69" t="e">
        <f>AND(Bills!F115,"AAAAAG/+54g=")</f>
        <v>#VALUE!</v>
      </c>
      <c r="EH69" t="e">
        <f>AND(Bills!G115,"AAAAAG/+54k=")</f>
        <v>#VALUE!</v>
      </c>
      <c r="EI69" t="e">
        <f>AND(Bills!H115,"AAAAAG/+54o=")</f>
        <v>#VALUE!</v>
      </c>
      <c r="EJ69" t="e">
        <f>AND(Bills!I115,"AAAAAG/+54s=")</f>
        <v>#VALUE!</v>
      </c>
      <c r="EK69" t="e">
        <f>AND(Bills!J115,"AAAAAG/+54w=")</f>
        <v>#VALUE!</v>
      </c>
      <c r="EL69" t="e">
        <f>AND(Bills!#REF!,"AAAAAG/+540=")</f>
        <v>#REF!</v>
      </c>
      <c r="EM69" t="e">
        <f>AND(Bills!K115,"AAAAAG/+544=")</f>
        <v>#VALUE!</v>
      </c>
      <c r="EN69" t="e">
        <f>AND(Bills!L115,"AAAAAG/+548=")</f>
        <v>#VALUE!</v>
      </c>
      <c r="EO69" t="e">
        <f>AND(Bills!M115,"AAAAAG/+55A=")</f>
        <v>#VALUE!</v>
      </c>
      <c r="EP69" t="e">
        <f>AND(Bills!N115,"AAAAAG/+55E=")</f>
        <v>#VALUE!</v>
      </c>
      <c r="EQ69" t="e">
        <f>AND(Bills!O115,"AAAAAG/+55I=")</f>
        <v>#VALUE!</v>
      </c>
      <c r="ER69" t="e">
        <f>AND(Bills!P115,"AAAAAG/+55M=")</f>
        <v>#VALUE!</v>
      </c>
      <c r="ES69" t="e">
        <f>AND(Bills!Q115,"AAAAAG/+55Q=")</f>
        <v>#VALUE!</v>
      </c>
      <c r="ET69" t="e">
        <f>AND(Bills!R115,"AAAAAG/+55U=")</f>
        <v>#VALUE!</v>
      </c>
      <c r="EU69" t="e">
        <f>AND(Bills!#REF!,"AAAAAG/+55Y=")</f>
        <v>#REF!</v>
      </c>
      <c r="EV69" t="e">
        <f>AND(Bills!S115,"AAAAAG/+55c=")</f>
        <v>#VALUE!</v>
      </c>
      <c r="EW69" t="e">
        <f>AND(Bills!T115,"AAAAAG/+55g=")</f>
        <v>#VALUE!</v>
      </c>
      <c r="EX69" t="e">
        <f>AND(Bills!U115,"AAAAAG/+55k=")</f>
        <v>#VALUE!</v>
      </c>
      <c r="EY69" t="e">
        <f>AND(Bills!#REF!,"AAAAAG/+55o=")</f>
        <v>#REF!</v>
      </c>
      <c r="EZ69" t="e">
        <f>AND(Bills!#REF!,"AAAAAG/+55s=")</f>
        <v>#REF!</v>
      </c>
      <c r="FA69" t="e">
        <f>AND(Bills!W115,"AAAAAG/+55w=")</f>
        <v>#VALUE!</v>
      </c>
      <c r="FB69" t="e">
        <f>AND(Bills!X115,"AAAAAG/+550=")</f>
        <v>#VALUE!</v>
      </c>
      <c r="FC69" t="e">
        <f>AND(Bills!#REF!,"AAAAAG/+554=")</f>
        <v>#REF!</v>
      </c>
      <c r="FD69" t="e">
        <f>AND(Bills!#REF!,"AAAAAG/+558=")</f>
        <v>#REF!</v>
      </c>
      <c r="FE69" t="e">
        <f>AND(Bills!#REF!,"AAAAAG/+56A=")</f>
        <v>#REF!</v>
      </c>
      <c r="FF69" t="e">
        <f>AND(Bills!#REF!,"AAAAAG/+56E=")</f>
        <v>#REF!</v>
      </c>
      <c r="FG69" t="e">
        <f>AND(Bills!#REF!,"AAAAAG/+56I=")</f>
        <v>#REF!</v>
      </c>
      <c r="FH69" t="e">
        <f>AND(Bills!#REF!,"AAAAAG/+56M=")</f>
        <v>#REF!</v>
      </c>
      <c r="FI69" t="e">
        <f>AND(Bills!#REF!,"AAAAAG/+56Q=")</f>
        <v>#REF!</v>
      </c>
      <c r="FJ69" t="e">
        <f>AND(Bills!#REF!,"AAAAAG/+56U=")</f>
        <v>#REF!</v>
      </c>
      <c r="FK69" t="e">
        <f>AND(Bills!#REF!,"AAAAAG/+56Y=")</f>
        <v>#REF!</v>
      </c>
      <c r="FL69" t="e">
        <f>AND(Bills!Y115,"AAAAAG/+56c=")</f>
        <v>#VALUE!</v>
      </c>
      <c r="FM69" t="e">
        <f>AND(Bills!Z115,"AAAAAG/+56g=")</f>
        <v>#VALUE!</v>
      </c>
      <c r="FN69" t="e">
        <f>AND(Bills!#REF!,"AAAAAG/+56k=")</f>
        <v>#REF!</v>
      </c>
      <c r="FO69" t="e">
        <f>AND(Bills!#REF!,"AAAAAG/+56o=")</f>
        <v>#REF!</v>
      </c>
      <c r="FP69" t="e">
        <f>AND(Bills!#REF!,"AAAAAG/+56s=")</f>
        <v>#REF!</v>
      </c>
      <c r="FQ69" t="e">
        <f>AND(Bills!AA115,"AAAAAG/+56w=")</f>
        <v>#VALUE!</v>
      </c>
      <c r="FR69" t="e">
        <f>AND(Bills!AB115,"AAAAAG/+560=")</f>
        <v>#VALUE!</v>
      </c>
      <c r="FS69" t="e">
        <f>AND(Bills!#REF!,"AAAAAG/+564=")</f>
        <v>#REF!</v>
      </c>
      <c r="FT69">
        <f>IF(Bills!116:116,"AAAAAG/+568=",0)</f>
        <v>0</v>
      </c>
      <c r="FU69" t="e">
        <f>AND(Bills!B116,"AAAAAG/+57A=")</f>
        <v>#VALUE!</v>
      </c>
      <c r="FV69" t="e">
        <f>AND(Bills!#REF!,"AAAAAG/+57E=")</f>
        <v>#REF!</v>
      </c>
      <c r="FW69" t="e">
        <f>AND(Bills!C116,"AAAAAG/+57I=")</f>
        <v>#VALUE!</v>
      </c>
      <c r="FX69" t="e">
        <f>AND(Bills!#REF!,"AAAAAG/+57M=")</f>
        <v>#REF!</v>
      </c>
      <c r="FY69" t="e">
        <f>AND(Bills!#REF!,"AAAAAG/+57Q=")</f>
        <v>#REF!</v>
      </c>
      <c r="FZ69" t="e">
        <f>AND(Bills!#REF!,"AAAAAG/+57U=")</f>
        <v>#REF!</v>
      </c>
      <c r="GA69" t="e">
        <f>AND(Bills!#REF!,"AAAAAG/+57Y=")</f>
        <v>#REF!</v>
      </c>
      <c r="GB69" t="e">
        <f>AND(Bills!#REF!,"AAAAAG/+57c=")</f>
        <v>#REF!</v>
      </c>
      <c r="GC69" t="e">
        <f>AND(Bills!D116,"AAAAAG/+57g=")</f>
        <v>#VALUE!</v>
      </c>
      <c r="GD69" t="e">
        <f>AND(Bills!#REF!,"AAAAAG/+57k=")</f>
        <v>#REF!</v>
      </c>
      <c r="GE69" t="e">
        <f>AND(Bills!E116,"AAAAAG/+57o=")</f>
        <v>#VALUE!</v>
      </c>
      <c r="GF69" t="e">
        <f>AND(Bills!F116,"AAAAAG/+57s=")</f>
        <v>#VALUE!</v>
      </c>
      <c r="GG69" t="e">
        <f>AND(Bills!G116,"AAAAAG/+57w=")</f>
        <v>#VALUE!</v>
      </c>
      <c r="GH69" t="e">
        <f>AND(Bills!H116,"AAAAAG/+570=")</f>
        <v>#VALUE!</v>
      </c>
      <c r="GI69" t="e">
        <f>AND(Bills!I116,"AAAAAG/+574=")</f>
        <v>#VALUE!</v>
      </c>
      <c r="GJ69" t="e">
        <f>AND(Bills!J116,"AAAAAG/+578=")</f>
        <v>#VALUE!</v>
      </c>
      <c r="GK69" t="e">
        <f>AND(Bills!#REF!,"AAAAAG/+58A=")</f>
        <v>#REF!</v>
      </c>
      <c r="GL69" t="e">
        <f>AND(Bills!K116,"AAAAAG/+58E=")</f>
        <v>#VALUE!</v>
      </c>
      <c r="GM69" t="e">
        <f>AND(Bills!L116,"AAAAAG/+58I=")</f>
        <v>#VALUE!</v>
      </c>
      <c r="GN69" t="e">
        <f>AND(Bills!M116,"AAAAAG/+58M=")</f>
        <v>#VALUE!</v>
      </c>
      <c r="GO69" t="e">
        <f>AND(Bills!N116,"AAAAAG/+58Q=")</f>
        <v>#VALUE!</v>
      </c>
      <c r="GP69" t="e">
        <f>AND(Bills!O116,"AAAAAG/+58U=")</f>
        <v>#VALUE!</v>
      </c>
      <c r="GQ69" t="e">
        <f>AND(Bills!P116,"AAAAAG/+58Y=")</f>
        <v>#VALUE!</v>
      </c>
      <c r="GR69" t="e">
        <f>AND(Bills!Q116,"AAAAAG/+58c=")</f>
        <v>#VALUE!</v>
      </c>
      <c r="GS69" t="e">
        <f>AND(Bills!R116,"AAAAAG/+58g=")</f>
        <v>#VALUE!</v>
      </c>
      <c r="GT69" t="e">
        <f>AND(Bills!#REF!,"AAAAAG/+58k=")</f>
        <v>#REF!</v>
      </c>
      <c r="GU69" t="e">
        <f>AND(Bills!S116,"AAAAAG/+58o=")</f>
        <v>#VALUE!</v>
      </c>
      <c r="GV69" t="e">
        <f>AND(Bills!T116,"AAAAAG/+58s=")</f>
        <v>#VALUE!</v>
      </c>
      <c r="GW69" t="e">
        <f>AND(Bills!U116,"AAAAAG/+58w=")</f>
        <v>#VALUE!</v>
      </c>
      <c r="GX69" t="e">
        <f>AND(Bills!#REF!,"AAAAAG/+580=")</f>
        <v>#REF!</v>
      </c>
      <c r="GY69" t="e">
        <f>AND(Bills!#REF!,"AAAAAG/+584=")</f>
        <v>#REF!</v>
      </c>
      <c r="GZ69" t="e">
        <f>AND(Bills!W116,"AAAAAG/+588=")</f>
        <v>#VALUE!</v>
      </c>
      <c r="HA69" t="e">
        <f>AND(Bills!X116,"AAAAAG/+59A=")</f>
        <v>#VALUE!</v>
      </c>
      <c r="HB69" t="e">
        <f>AND(Bills!#REF!,"AAAAAG/+59E=")</f>
        <v>#REF!</v>
      </c>
      <c r="HC69" t="e">
        <f>AND(Bills!#REF!,"AAAAAG/+59I=")</f>
        <v>#REF!</v>
      </c>
      <c r="HD69" t="e">
        <f>AND(Bills!#REF!,"AAAAAG/+59M=")</f>
        <v>#REF!</v>
      </c>
      <c r="HE69" t="e">
        <f>AND(Bills!#REF!,"AAAAAG/+59Q=")</f>
        <v>#REF!</v>
      </c>
      <c r="HF69" t="e">
        <f>AND(Bills!#REF!,"AAAAAG/+59U=")</f>
        <v>#REF!</v>
      </c>
      <c r="HG69" t="e">
        <f>AND(Bills!#REF!,"AAAAAG/+59Y=")</f>
        <v>#REF!</v>
      </c>
      <c r="HH69" t="e">
        <f>AND(Bills!#REF!,"AAAAAG/+59c=")</f>
        <v>#REF!</v>
      </c>
      <c r="HI69" t="e">
        <f>AND(Bills!#REF!,"AAAAAG/+59g=")</f>
        <v>#REF!</v>
      </c>
      <c r="HJ69" t="e">
        <f>AND(Bills!#REF!,"AAAAAG/+59k=")</f>
        <v>#REF!</v>
      </c>
      <c r="HK69" t="e">
        <f>AND(Bills!Y116,"AAAAAG/+59o=")</f>
        <v>#VALUE!</v>
      </c>
      <c r="HL69" t="e">
        <f>AND(Bills!Z116,"AAAAAG/+59s=")</f>
        <v>#VALUE!</v>
      </c>
      <c r="HM69" t="e">
        <f>AND(Bills!#REF!,"AAAAAG/+59w=")</f>
        <v>#REF!</v>
      </c>
      <c r="HN69" t="e">
        <f>AND(Bills!#REF!,"AAAAAG/+590=")</f>
        <v>#REF!</v>
      </c>
      <c r="HO69" t="e">
        <f>AND(Bills!#REF!,"AAAAAG/+594=")</f>
        <v>#REF!</v>
      </c>
      <c r="HP69" t="e">
        <f>AND(Bills!AA116,"AAAAAG/+598=")</f>
        <v>#VALUE!</v>
      </c>
      <c r="HQ69" t="e">
        <f>AND(Bills!AB116,"AAAAAG/+5+A=")</f>
        <v>#VALUE!</v>
      </c>
      <c r="HR69" t="e">
        <f>AND(Bills!#REF!,"AAAAAG/+5+E=")</f>
        <v>#REF!</v>
      </c>
      <c r="HS69">
        <f>IF(Bills!117:117,"AAAAAG/+5+I=",0)</f>
        <v>0</v>
      </c>
      <c r="HT69" t="e">
        <f>AND(Bills!B117,"AAAAAG/+5+M=")</f>
        <v>#VALUE!</v>
      </c>
      <c r="HU69" t="e">
        <f>AND(Bills!#REF!,"AAAAAG/+5+Q=")</f>
        <v>#REF!</v>
      </c>
      <c r="HV69" t="e">
        <f>AND(Bills!C117,"AAAAAG/+5+U=")</f>
        <v>#VALUE!</v>
      </c>
      <c r="HW69" t="e">
        <f>AND(Bills!#REF!,"AAAAAG/+5+Y=")</f>
        <v>#REF!</v>
      </c>
      <c r="HX69" t="e">
        <f>AND(Bills!#REF!,"AAAAAG/+5+c=")</f>
        <v>#REF!</v>
      </c>
      <c r="HY69" t="e">
        <f>AND(Bills!#REF!,"AAAAAG/+5+g=")</f>
        <v>#REF!</v>
      </c>
      <c r="HZ69" t="e">
        <f>AND(Bills!#REF!,"AAAAAG/+5+k=")</f>
        <v>#REF!</v>
      </c>
      <c r="IA69" t="e">
        <f>AND(Bills!#REF!,"AAAAAG/+5+o=")</f>
        <v>#REF!</v>
      </c>
      <c r="IB69" t="e">
        <f>AND(Bills!D117,"AAAAAG/+5+s=")</f>
        <v>#VALUE!</v>
      </c>
      <c r="IC69" t="e">
        <f>AND(Bills!#REF!,"AAAAAG/+5+w=")</f>
        <v>#REF!</v>
      </c>
      <c r="ID69" t="e">
        <f>AND(Bills!E117,"AAAAAG/+5+0=")</f>
        <v>#VALUE!</v>
      </c>
      <c r="IE69" t="e">
        <f>AND(Bills!F117,"AAAAAG/+5+4=")</f>
        <v>#VALUE!</v>
      </c>
      <c r="IF69" t="e">
        <f>AND(Bills!G117,"AAAAAG/+5+8=")</f>
        <v>#VALUE!</v>
      </c>
      <c r="IG69" t="e">
        <f>AND(Bills!H117,"AAAAAG/+5/A=")</f>
        <v>#VALUE!</v>
      </c>
      <c r="IH69" t="e">
        <f>AND(Bills!I117,"AAAAAG/+5/E=")</f>
        <v>#VALUE!</v>
      </c>
      <c r="II69" t="e">
        <f>AND(Bills!J117,"AAAAAG/+5/I=")</f>
        <v>#VALUE!</v>
      </c>
      <c r="IJ69" t="e">
        <f>AND(Bills!#REF!,"AAAAAG/+5/M=")</f>
        <v>#REF!</v>
      </c>
      <c r="IK69" t="e">
        <f>AND(Bills!K117,"AAAAAG/+5/Q=")</f>
        <v>#VALUE!</v>
      </c>
      <c r="IL69" t="e">
        <f>AND(Bills!L117,"AAAAAG/+5/U=")</f>
        <v>#VALUE!</v>
      </c>
      <c r="IM69" t="e">
        <f>AND(Bills!M117,"AAAAAG/+5/Y=")</f>
        <v>#VALUE!</v>
      </c>
      <c r="IN69" t="e">
        <f>AND(Bills!N117,"AAAAAG/+5/c=")</f>
        <v>#VALUE!</v>
      </c>
      <c r="IO69" t="e">
        <f>AND(Bills!O117,"AAAAAG/+5/g=")</f>
        <v>#VALUE!</v>
      </c>
      <c r="IP69" t="e">
        <f>AND(Bills!P117,"AAAAAG/+5/k=")</f>
        <v>#VALUE!</v>
      </c>
      <c r="IQ69" t="e">
        <f>AND(Bills!Q117,"AAAAAG/+5/o=")</f>
        <v>#VALUE!</v>
      </c>
      <c r="IR69" t="e">
        <f>AND(Bills!R117,"AAAAAG/+5/s=")</f>
        <v>#VALUE!</v>
      </c>
      <c r="IS69" t="e">
        <f>AND(Bills!#REF!,"AAAAAG/+5/w=")</f>
        <v>#REF!</v>
      </c>
      <c r="IT69" t="e">
        <f>AND(Bills!S117,"AAAAAG/+5/0=")</f>
        <v>#VALUE!</v>
      </c>
      <c r="IU69" t="e">
        <f>AND(Bills!T117,"AAAAAG/+5/4=")</f>
        <v>#VALUE!</v>
      </c>
      <c r="IV69" t="e">
        <f>AND(Bills!U117,"AAAAAG/+5/8=")</f>
        <v>#VALUE!</v>
      </c>
    </row>
    <row r="70" spans="1:256">
      <c r="A70" t="e">
        <f>AND(Bills!#REF!,"AAAAAGOf3QA=")</f>
        <v>#REF!</v>
      </c>
      <c r="B70" t="e">
        <f>AND(Bills!#REF!,"AAAAAGOf3QE=")</f>
        <v>#REF!</v>
      </c>
      <c r="C70" t="e">
        <f>AND(Bills!W117,"AAAAAGOf3QI=")</f>
        <v>#VALUE!</v>
      </c>
      <c r="D70" t="e">
        <f>AND(Bills!X117,"AAAAAGOf3QM=")</f>
        <v>#VALUE!</v>
      </c>
      <c r="E70" t="e">
        <f>AND(Bills!#REF!,"AAAAAGOf3QQ=")</f>
        <v>#REF!</v>
      </c>
      <c r="F70" t="e">
        <f>AND(Bills!#REF!,"AAAAAGOf3QU=")</f>
        <v>#REF!</v>
      </c>
      <c r="G70" t="e">
        <f>AND(Bills!#REF!,"AAAAAGOf3QY=")</f>
        <v>#REF!</v>
      </c>
      <c r="H70" t="e">
        <f>AND(Bills!#REF!,"AAAAAGOf3Qc=")</f>
        <v>#REF!</v>
      </c>
      <c r="I70" t="e">
        <f>AND(Bills!#REF!,"AAAAAGOf3Qg=")</f>
        <v>#REF!</v>
      </c>
      <c r="J70" t="e">
        <f>AND(Bills!#REF!,"AAAAAGOf3Qk=")</f>
        <v>#REF!</v>
      </c>
      <c r="K70" t="e">
        <f>AND(Bills!#REF!,"AAAAAGOf3Qo=")</f>
        <v>#REF!</v>
      </c>
      <c r="L70" t="e">
        <f>AND(Bills!#REF!,"AAAAAGOf3Qs=")</f>
        <v>#REF!</v>
      </c>
      <c r="M70" t="e">
        <f>AND(Bills!#REF!,"AAAAAGOf3Qw=")</f>
        <v>#REF!</v>
      </c>
      <c r="N70" t="e">
        <f>AND(Bills!Y117,"AAAAAGOf3Q0=")</f>
        <v>#VALUE!</v>
      </c>
      <c r="O70" t="e">
        <f>AND(Bills!Z117,"AAAAAGOf3Q4=")</f>
        <v>#VALUE!</v>
      </c>
      <c r="P70" t="e">
        <f>AND(Bills!#REF!,"AAAAAGOf3Q8=")</f>
        <v>#REF!</v>
      </c>
      <c r="Q70" t="e">
        <f>AND(Bills!#REF!,"AAAAAGOf3RA=")</f>
        <v>#REF!</v>
      </c>
      <c r="R70" t="e">
        <f>AND(Bills!#REF!,"AAAAAGOf3RE=")</f>
        <v>#REF!</v>
      </c>
      <c r="S70" t="e">
        <f>AND(Bills!AA117,"AAAAAGOf3RI=")</f>
        <v>#VALUE!</v>
      </c>
      <c r="T70" t="e">
        <f>AND(Bills!AB117,"AAAAAGOf3RM=")</f>
        <v>#VALUE!</v>
      </c>
      <c r="U70" t="e">
        <f>AND(Bills!#REF!,"AAAAAGOf3RQ=")</f>
        <v>#REF!</v>
      </c>
      <c r="V70">
        <f>IF(Bills!118:118,"AAAAAGOf3RU=",0)</f>
        <v>0</v>
      </c>
      <c r="W70" t="e">
        <f>AND(Bills!B118,"AAAAAGOf3RY=")</f>
        <v>#VALUE!</v>
      </c>
      <c r="X70" t="e">
        <f>AND(Bills!#REF!,"AAAAAGOf3Rc=")</f>
        <v>#REF!</v>
      </c>
      <c r="Y70" t="e">
        <f>AND(Bills!C118,"AAAAAGOf3Rg=")</f>
        <v>#VALUE!</v>
      </c>
      <c r="Z70" t="e">
        <f>AND(Bills!#REF!,"AAAAAGOf3Rk=")</f>
        <v>#REF!</v>
      </c>
      <c r="AA70" t="e">
        <f>AND(Bills!#REF!,"AAAAAGOf3Ro=")</f>
        <v>#REF!</v>
      </c>
      <c r="AB70" t="e">
        <f>AND(Bills!#REF!,"AAAAAGOf3Rs=")</f>
        <v>#REF!</v>
      </c>
      <c r="AC70" t="e">
        <f>AND(Bills!#REF!,"AAAAAGOf3Rw=")</f>
        <v>#REF!</v>
      </c>
      <c r="AD70" t="e">
        <f>AND(Bills!#REF!,"AAAAAGOf3R0=")</f>
        <v>#REF!</v>
      </c>
      <c r="AE70" t="e">
        <f>AND(Bills!D118,"AAAAAGOf3R4=")</f>
        <v>#VALUE!</v>
      </c>
      <c r="AF70" t="e">
        <f>AND(Bills!#REF!,"AAAAAGOf3R8=")</f>
        <v>#REF!</v>
      </c>
      <c r="AG70" t="e">
        <f>AND(Bills!E118,"AAAAAGOf3SA=")</f>
        <v>#VALUE!</v>
      </c>
      <c r="AH70" t="e">
        <f>AND(Bills!F118,"AAAAAGOf3SE=")</f>
        <v>#VALUE!</v>
      </c>
      <c r="AI70" t="e">
        <f>AND(Bills!G118,"AAAAAGOf3SI=")</f>
        <v>#VALUE!</v>
      </c>
      <c r="AJ70" t="e">
        <f>AND(Bills!H118,"AAAAAGOf3SM=")</f>
        <v>#VALUE!</v>
      </c>
      <c r="AK70" t="e">
        <f>AND(Bills!I118,"AAAAAGOf3SQ=")</f>
        <v>#VALUE!</v>
      </c>
      <c r="AL70" t="e">
        <f>AND(Bills!J118,"AAAAAGOf3SU=")</f>
        <v>#VALUE!</v>
      </c>
      <c r="AM70" t="e">
        <f>AND(Bills!#REF!,"AAAAAGOf3SY=")</f>
        <v>#REF!</v>
      </c>
      <c r="AN70" t="e">
        <f>AND(Bills!K118,"AAAAAGOf3Sc=")</f>
        <v>#VALUE!</v>
      </c>
      <c r="AO70" t="e">
        <f>AND(Bills!L118,"AAAAAGOf3Sg=")</f>
        <v>#VALUE!</v>
      </c>
      <c r="AP70" t="e">
        <f>AND(Bills!M118,"AAAAAGOf3Sk=")</f>
        <v>#VALUE!</v>
      </c>
      <c r="AQ70" t="e">
        <f>AND(Bills!N118,"AAAAAGOf3So=")</f>
        <v>#VALUE!</v>
      </c>
      <c r="AR70" t="e">
        <f>AND(Bills!O118,"AAAAAGOf3Ss=")</f>
        <v>#VALUE!</v>
      </c>
      <c r="AS70" t="e">
        <f>AND(Bills!P118,"AAAAAGOf3Sw=")</f>
        <v>#VALUE!</v>
      </c>
      <c r="AT70" t="e">
        <f>AND(Bills!Q118,"AAAAAGOf3S0=")</f>
        <v>#VALUE!</v>
      </c>
      <c r="AU70" t="e">
        <f>AND(Bills!R118,"AAAAAGOf3S4=")</f>
        <v>#VALUE!</v>
      </c>
      <c r="AV70" t="e">
        <f>AND(Bills!#REF!,"AAAAAGOf3S8=")</f>
        <v>#REF!</v>
      </c>
      <c r="AW70" t="e">
        <f>AND(Bills!S118,"AAAAAGOf3TA=")</f>
        <v>#VALUE!</v>
      </c>
      <c r="AX70" t="e">
        <f>AND(Bills!T118,"AAAAAGOf3TE=")</f>
        <v>#VALUE!</v>
      </c>
      <c r="AY70" t="e">
        <f>AND(Bills!U118,"AAAAAGOf3TI=")</f>
        <v>#VALUE!</v>
      </c>
      <c r="AZ70" t="e">
        <f>AND(Bills!#REF!,"AAAAAGOf3TM=")</f>
        <v>#REF!</v>
      </c>
      <c r="BA70" t="e">
        <f>AND(Bills!#REF!,"AAAAAGOf3TQ=")</f>
        <v>#REF!</v>
      </c>
      <c r="BB70" t="e">
        <f>AND(Bills!W118,"AAAAAGOf3TU=")</f>
        <v>#VALUE!</v>
      </c>
      <c r="BC70" t="e">
        <f>AND(Bills!X118,"AAAAAGOf3TY=")</f>
        <v>#VALUE!</v>
      </c>
      <c r="BD70" t="e">
        <f>AND(Bills!#REF!,"AAAAAGOf3Tc=")</f>
        <v>#REF!</v>
      </c>
      <c r="BE70" t="e">
        <f>AND(Bills!#REF!,"AAAAAGOf3Tg=")</f>
        <v>#REF!</v>
      </c>
      <c r="BF70" t="e">
        <f>AND(Bills!#REF!,"AAAAAGOf3Tk=")</f>
        <v>#REF!</v>
      </c>
      <c r="BG70" t="e">
        <f>AND(Bills!#REF!,"AAAAAGOf3To=")</f>
        <v>#REF!</v>
      </c>
      <c r="BH70" t="e">
        <f>AND(Bills!#REF!,"AAAAAGOf3Ts=")</f>
        <v>#REF!</v>
      </c>
      <c r="BI70" t="e">
        <f>AND(Bills!#REF!,"AAAAAGOf3Tw=")</f>
        <v>#REF!</v>
      </c>
      <c r="BJ70" t="e">
        <f>AND(Bills!#REF!,"AAAAAGOf3T0=")</f>
        <v>#REF!</v>
      </c>
      <c r="BK70" t="e">
        <f>AND(Bills!#REF!,"AAAAAGOf3T4=")</f>
        <v>#REF!</v>
      </c>
      <c r="BL70" t="e">
        <f>AND(Bills!#REF!,"AAAAAGOf3T8=")</f>
        <v>#REF!</v>
      </c>
      <c r="BM70" t="e">
        <f>AND(Bills!Y118,"AAAAAGOf3UA=")</f>
        <v>#VALUE!</v>
      </c>
      <c r="BN70" t="e">
        <f>AND(Bills!Z118,"AAAAAGOf3UE=")</f>
        <v>#VALUE!</v>
      </c>
      <c r="BO70" t="e">
        <f>AND(Bills!#REF!,"AAAAAGOf3UI=")</f>
        <v>#REF!</v>
      </c>
      <c r="BP70" t="e">
        <f>AND(Bills!#REF!,"AAAAAGOf3UM=")</f>
        <v>#REF!</v>
      </c>
      <c r="BQ70" t="e">
        <f>AND(Bills!#REF!,"AAAAAGOf3UQ=")</f>
        <v>#REF!</v>
      </c>
      <c r="BR70" t="e">
        <f>AND(Bills!AA118,"AAAAAGOf3UU=")</f>
        <v>#VALUE!</v>
      </c>
      <c r="BS70" t="e">
        <f>AND(Bills!AB118,"AAAAAGOf3UY=")</f>
        <v>#VALUE!</v>
      </c>
      <c r="BT70" t="e">
        <f>AND(Bills!#REF!,"AAAAAGOf3Uc=")</f>
        <v>#REF!</v>
      </c>
      <c r="BU70">
        <f>IF(Bills!119:119,"AAAAAGOf3Ug=",0)</f>
        <v>0</v>
      </c>
      <c r="BV70" t="e">
        <f>AND(Bills!B119,"AAAAAGOf3Uk=")</f>
        <v>#VALUE!</v>
      </c>
      <c r="BW70" t="e">
        <f>AND(Bills!#REF!,"AAAAAGOf3Uo=")</f>
        <v>#REF!</v>
      </c>
      <c r="BX70" t="e">
        <f>AND(Bills!C119,"AAAAAGOf3Us=")</f>
        <v>#VALUE!</v>
      </c>
      <c r="BY70" t="e">
        <f>AND(Bills!#REF!,"AAAAAGOf3Uw=")</f>
        <v>#REF!</v>
      </c>
      <c r="BZ70" t="e">
        <f>AND(Bills!#REF!,"AAAAAGOf3U0=")</f>
        <v>#REF!</v>
      </c>
      <c r="CA70" t="e">
        <f>AND(Bills!#REF!,"AAAAAGOf3U4=")</f>
        <v>#REF!</v>
      </c>
      <c r="CB70" t="e">
        <f>AND(Bills!#REF!,"AAAAAGOf3U8=")</f>
        <v>#REF!</v>
      </c>
      <c r="CC70" t="e">
        <f>AND(Bills!#REF!,"AAAAAGOf3VA=")</f>
        <v>#REF!</v>
      </c>
      <c r="CD70" t="e">
        <f>AND(Bills!D119,"AAAAAGOf3VE=")</f>
        <v>#VALUE!</v>
      </c>
      <c r="CE70" t="e">
        <f>AND(Bills!#REF!,"AAAAAGOf3VI=")</f>
        <v>#REF!</v>
      </c>
      <c r="CF70" t="e">
        <f>AND(Bills!E119,"AAAAAGOf3VM=")</f>
        <v>#VALUE!</v>
      </c>
      <c r="CG70" t="e">
        <f>AND(Bills!F119,"AAAAAGOf3VQ=")</f>
        <v>#VALUE!</v>
      </c>
      <c r="CH70" t="e">
        <f>AND(Bills!G119,"AAAAAGOf3VU=")</f>
        <v>#VALUE!</v>
      </c>
      <c r="CI70" t="e">
        <f>AND(Bills!H119,"AAAAAGOf3VY=")</f>
        <v>#VALUE!</v>
      </c>
      <c r="CJ70" t="e">
        <f>AND(Bills!I119,"AAAAAGOf3Vc=")</f>
        <v>#VALUE!</v>
      </c>
      <c r="CK70" t="e">
        <f>AND(Bills!J119,"AAAAAGOf3Vg=")</f>
        <v>#VALUE!</v>
      </c>
      <c r="CL70" t="e">
        <f>AND(Bills!#REF!,"AAAAAGOf3Vk=")</f>
        <v>#REF!</v>
      </c>
      <c r="CM70" t="e">
        <f>AND(Bills!K119,"AAAAAGOf3Vo=")</f>
        <v>#VALUE!</v>
      </c>
      <c r="CN70" t="e">
        <f>AND(Bills!L119,"AAAAAGOf3Vs=")</f>
        <v>#VALUE!</v>
      </c>
      <c r="CO70" t="e">
        <f>AND(Bills!M119,"AAAAAGOf3Vw=")</f>
        <v>#VALUE!</v>
      </c>
      <c r="CP70" t="e">
        <f>AND(Bills!N119,"AAAAAGOf3V0=")</f>
        <v>#VALUE!</v>
      </c>
      <c r="CQ70" t="e">
        <f>AND(Bills!O119,"AAAAAGOf3V4=")</f>
        <v>#VALUE!</v>
      </c>
      <c r="CR70" t="e">
        <f>AND(Bills!P119,"AAAAAGOf3V8=")</f>
        <v>#VALUE!</v>
      </c>
      <c r="CS70" t="e">
        <f>AND(Bills!Q119,"AAAAAGOf3WA=")</f>
        <v>#VALUE!</v>
      </c>
      <c r="CT70" t="e">
        <f>AND(Bills!R119,"AAAAAGOf3WE=")</f>
        <v>#VALUE!</v>
      </c>
      <c r="CU70" t="e">
        <f>AND(Bills!#REF!,"AAAAAGOf3WI=")</f>
        <v>#REF!</v>
      </c>
      <c r="CV70" t="e">
        <f>AND(Bills!S119,"AAAAAGOf3WM=")</f>
        <v>#VALUE!</v>
      </c>
      <c r="CW70" t="e">
        <f>AND(Bills!T119,"AAAAAGOf3WQ=")</f>
        <v>#VALUE!</v>
      </c>
      <c r="CX70" t="e">
        <f>AND(Bills!U119,"AAAAAGOf3WU=")</f>
        <v>#VALUE!</v>
      </c>
      <c r="CY70" t="e">
        <f>AND(Bills!#REF!,"AAAAAGOf3WY=")</f>
        <v>#REF!</v>
      </c>
      <c r="CZ70" t="e">
        <f>AND(Bills!#REF!,"AAAAAGOf3Wc=")</f>
        <v>#REF!</v>
      </c>
      <c r="DA70" t="e">
        <f>AND(Bills!W119,"AAAAAGOf3Wg=")</f>
        <v>#VALUE!</v>
      </c>
      <c r="DB70" t="e">
        <f>AND(Bills!X119,"AAAAAGOf3Wk=")</f>
        <v>#VALUE!</v>
      </c>
      <c r="DC70" t="e">
        <f>AND(Bills!#REF!,"AAAAAGOf3Wo=")</f>
        <v>#REF!</v>
      </c>
      <c r="DD70" t="e">
        <f>AND(Bills!#REF!,"AAAAAGOf3Ws=")</f>
        <v>#REF!</v>
      </c>
      <c r="DE70" t="e">
        <f>AND(Bills!#REF!,"AAAAAGOf3Ww=")</f>
        <v>#REF!</v>
      </c>
      <c r="DF70" t="e">
        <f>AND(Bills!#REF!,"AAAAAGOf3W0=")</f>
        <v>#REF!</v>
      </c>
      <c r="DG70" t="e">
        <f>AND(Bills!#REF!,"AAAAAGOf3W4=")</f>
        <v>#REF!</v>
      </c>
      <c r="DH70" t="e">
        <f>AND(Bills!#REF!,"AAAAAGOf3W8=")</f>
        <v>#REF!</v>
      </c>
      <c r="DI70" t="e">
        <f>AND(Bills!#REF!,"AAAAAGOf3XA=")</f>
        <v>#REF!</v>
      </c>
      <c r="DJ70" t="e">
        <f>AND(Bills!#REF!,"AAAAAGOf3XE=")</f>
        <v>#REF!</v>
      </c>
      <c r="DK70" t="e">
        <f>AND(Bills!#REF!,"AAAAAGOf3XI=")</f>
        <v>#REF!</v>
      </c>
      <c r="DL70" t="e">
        <f>AND(Bills!Y119,"AAAAAGOf3XM=")</f>
        <v>#VALUE!</v>
      </c>
      <c r="DM70" t="e">
        <f>AND(Bills!Z119,"AAAAAGOf3XQ=")</f>
        <v>#VALUE!</v>
      </c>
      <c r="DN70" t="e">
        <f>AND(Bills!#REF!,"AAAAAGOf3XU=")</f>
        <v>#REF!</v>
      </c>
      <c r="DO70" t="e">
        <f>AND(Bills!#REF!,"AAAAAGOf3XY=")</f>
        <v>#REF!</v>
      </c>
      <c r="DP70" t="e">
        <f>AND(Bills!#REF!,"AAAAAGOf3Xc=")</f>
        <v>#REF!</v>
      </c>
      <c r="DQ70" t="e">
        <f>AND(Bills!AA119,"AAAAAGOf3Xg=")</f>
        <v>#VALUE!</v>
      </c>
      <c r="DR70" t="e">
        <f>AND(Bills!AB119,"AAAAAGOf3Xk=")</f>
        <v>#VALUE!</v>
      </c>
      <c r="DS70" t="e">
        <f>AND(Bills!#REF!,"AAAAAGOf3Xo=")</f>
        <v>#REF!</v>
      </c>
      <c r="DT70">
        <f>IF(Bills!120:120,"AAAAAGOf3Xs=",0)</f>
        <v>0</v>
      </c>
      <c r="DU70" t="e">
        <f>AND(Bills!B120,"AAAAAGOf3Xw=")</f>
        <v>#VALUE!</v>
      </c>
      <c r="DV70" t="e">
        <f>AND(Bills!#REF!,"AAAAAGOf3X0=")</f>
        <v>#REF!</v>
      </c>
      <c r="DW70" t="e">
        <f>AND(Bills!C120,"AAAAAGOf3X4=")</f>
        <v>#VALUE!</v>
      </c>
      <c r="DX70" t="e">
        <f>AND(Bills!#REF!,"AAAAAGOf3X8=")</f>
        <v>#REF!</v>
      </c>
      <c r="DY70" t="e">
        <f>AND(Bills!#REF!,"AAAAAGOf3YA=")</f>
        <v>#REF!</v>
      </c>
      <c r="DZ70" t="e">
        <f>AND(Bills!#REF!,"AAAAAGOf3YE=")</f>
        <v>#REF!</v>
      </c>
      <c r="EA70" t="e">
        <f>AND(Bills!#REF!,"AAAAAGOf3YI=")</f>
        <v>#REF!</v>
      </c>
      <c r="EB70" t="e">
        <f>AND(Bills!#REF!,"AAAAAGOf3YM=")</f>
        <v>#REF!</v>
      </c>
      <c r="EC70" t="e">
        <f>AND(Bills!D120,"AAAAAGOf3YQ=")</f>
        <v>#VALUE!</v>
      </c>
      <c r="ED70" t="e">
        <f>AND(Bills!#REF!,"AAAAAGOf3YU=")</f>
        <v>#REF!</v>
      </c>
      <c r="EE70" t="e">
        <f>AND(Bills!E120,"AAAAAGOf3YY=")</f>
        <v>#VALUE!</v>
      </c>
      <c r="EF70" t="e">
        <f>AND(Bills!F120,"AAAAAGOf3Yc=")</f>
        <v>#VALUE!</v>
      </c>
      <c r="EG70" t="e">
        <f>AND(Bills!G120,"AAAAAGOf3Yg=")</f>
        <v>#VALUE!</v>
      </c>
      <c r="EH70" t="e">
        <f>AND(Bills!H120,"AAAAAGOf3Yk=")</f>
        <v>#VALUE!</v>
      </c>
      <c r="EI70" t="e">
        <f>AND(Bills!I120,"AAAAAGOf3Yo=")</f>
        <v>#VALUE!</v>
      </c>
      <c r="EJ70" t="e">
        <f>AND(Bills!J120,"AAAAAGOf3Ys=")</f>
        <v>#VALUE!</v>
      </c>
      <c r="EK70" t="e">
        <f>AND(Bills!#REF!,"AAAAAGOf3Yw=")</f>
        <v>#REF!</v>
      </c>
      <c r="EL70" t="e">
        <f>AND(Bills!K120,"AAAAAGOf3Y0=")</f>
        <v>#VALUE!</v>
      </c>
      <c r="EM70" t="e">
        <f>AND(Bills!L120,"AAAAAGOf3Y4=")</f>
        <v>#VALUE!</v>
      </c>
      <c r="EN70" t="e">
        <f>AND(Bills!M120,"AAAAAGOf3Y8=")</f>
        <v>#VALUE!</v>
      </c>
      <c r="EO70" t="e">
        <f>AND(Bills!N120,"AAAAAGOf3ZA=")</f>
        <v>#VALUE!</v>
      </c>
      <c r="EP70" t="e">
        <f>AND(Bills!O120,"AAAAAGOf3ZE=")</f>
        <v>#VALUE!</v>
      </c>
      <c r="EQ70" t="e">
        <f>AND(Bills!P120,"AAAAAGOf3ZI=")</f>
        <v>#VALUE!</v>
      </c>
      <c r="ER70" t="e">
        <f>AND(Bills!Q120,"AAAAAGOf3ZM=")</f>
        <v>#VALUE!</v>
      </c>
      <c r="ES70" t="e">
        <f>AND(Bills!R120,"AAAAAGOf3ZQ=")</f>
        <v>#VALUE!</v>
      </c>
      <c r="ET70" t="e">
        <f>AND(Bills!#REF!,"AAAAAGOf3ZU=")</f>
        <v>#REF!</v>
      </c>
      <c r="EU70" t="e">
        <f>AND(Bills!S120,"AAAAAGOf3ZY=")</f>
        <v>#VALUE!</v>
      </c>
      <c r="EV70" t="e">
        <f>AND(Bills!T120,"AAAAAGOf3Zc=")</f>
        <v>#VALUE!</v>
      </c>
      <c r="EW70" t="e">
        <f>AND(Bills!U120,"AAAAAGOf3Zg=")</f>
        <v>#VALUE!</v>
      </c>
      <c r="EX70" t="e">
        <f>AND(Bills!#REF!,"AAAAAGOf3Zk=")</f>
        <v>#REF!</v>
      </c>
      <c r="EY70" t="e">
        <f>AND(Bills!#REF!,"AAAAAGOf3Zo=")</f>
        <v>#REF!</v>
      </c>
      <c r="EZ70" t="e">
        <f>AND(Bills!W120,"AAAAAGOf3Zs=")</f>
        <v>#VALUE!</v>
      </c>
      <c r="FA70" t="e">
        <f>AND(Bills!X120,"AAAAAGOf3Zw=")</f>
        <v>#VALUE!</v>
      </c>
      <c r="FB70" t="e">
        <f>AND(Bills!#REF!,"AAAAAGOf3Z0=")</f>
        <v>#REF!</v>
      </c>
      <c r="FC70" t="e">
        <f>AND(Bills!#REF!,"AAAAAGOf3Z4=")</f>
        <v>#REF!</v>
      </c>
      <c r="FD70" t="e">
        <f>AND(Bills!#REF!,"AAAAAGOf3Z8=")</f>
        <v>#REF!</v>
      </c>
      <c r="FE70" t="e">
        <f>AND(Bills!#REF!,"AAAAAGOf3aA=")</f>
        <v>#REF!</v>
      </c>
      <c r="FF70" t="e">
        <f>AND(Bills!#REF!,"AAAAAGOf3aE=")</f>
        <v>#REF!</v>
      </c>
      <c r="FG70" t="e">
        <f>AND(Bills!#REF!,"AAAAAGOf3aI=")</f>
        <v>#REF!</v>
      </c>
      <c r="FH70" t="e">
        <f>AND(Bills!#REF!,"AAAAAGOf3aM=")</f>
        <v>#REF!</v>
      </c>
      <c r="FI70" t="e">
        <f>AND(Bills!#REF!,"AAAAAGOf3aQ=")</f>
        <v>#REF!</v>
      </c>
      <c r="FJ70" t="e">
        <f>AND(Bills!#REF!,"AAAAAGOf3aU=")</f>
        <v>#REF!</v>
      </c>
      <c r="FK70" t="e">
        <f>AND(Bills!Y120,"AAAAAGOf3aY=")</f>
        <v>#VALUE!</v>
      </c>
      <c r="FL70" t="e">
        <f>AND(Bills!Z120,"AAAAAGOf3ac=")</f>
        <v>#VALUE!</v>
      </c>
      <c r="FM70" t="e">
        <f>AND(Bills!#REF!,"AAAAAGOf3ag=")</f>
        <v>#REF!</v>
      </c>
      <c r="FN70" t="e">
        <f>AND(Bills!#REF!,"AAAAAGOf3ak=")</f>
        <v>#REF!</v>
      </c>
      <c r="FO70" t="e">
        <f>AND(Bills!#REF!,"AAAAAGOf3ao=")</f>
        <v>#REF!</v>
      </c>
      <c r="FP70" t="e">
        <f>AND(Bills!AA120,"AAAAAGOf3as=")</f>
        <v>#VALUE!</v>
      </c>
      <c r="FQ70" t="e">
        <f>AND(Bills!AB120,"AAAAAGOf3aw=")</f>
        <v>#VALUE!</v>
      </c>
      <c r="FR70" t="e">
        <f>AND(Bills!#REF!,"AAAAAGOf3a0=")</f>
        <v>#REF!</v>
      </c>
      <c r="FS70">
        <f>IF(Bills!121:121,"AAAAAGOf3a4=",0)</f>
        <v>0</v>
      </c>
      <c r="FT70" t="e">
        <f>AND(Bills!B121,"AAAAAGOf3a8=")</f>
        <v>#VALUE!</v>
      </c>
      <c r="FU70" t="e">
        <f>AND(Bills!#REF!,"AAAAAGOf3bA=")</f>
        <v>#REF!</v>
      </c>
      <c r="FV70" t="e">
        <f>AND(Bills!C121,"AAAAAGOf3bE=")</f>
        <v>#VALUE!</v>
      </c>
      <c r="FW70" t="e">
        <f>AND(Bills!#REF!,"AAAAAGOf3bI=")</f>
        <v>#REF!</v>
      </c>
      <c r="FX70" t="e">
        <f>AND(Bills!#REF!,"AAAAAGOf3bM=")</f>
        <v>#REF!</v>
      </c>
      <c r="FY70" t="e">
        <f>AND(Bills!#REF!,"AAAAAGOf3bQ=")</f>
        <v>#REF!</v>
      </c>
      <c r="FZ70" t="e">
        <f>AND(Bills!#REF!,"AAAAAGOf3bU=")</f>
        <v>#REF!</v>
      </c>
      <c r="GA70" t="e">
        <f>AND(Bills!#REF!,"AAAAAGOf3bY=")</f>
        <v>#REF!</v>
      </c>
      <c r="GB70" t="e">
        <f>AND(Bills!D121,"AAAAAGOf3bc=")</f>
        <v>#VALUE!</v>
      </c>
      <c r="GC70" t="e">
        <f>AND(Bills!#REF!,"AAAAAGOf3bg=")</f>
        <v>#REF!</v>
      </c>
      <c r="GD70" t="e">
        <f>AND(Bills!E121,"AAAAAGOf3bk=")</f>
        <v>#VALUE!</v>
      </c>
      <c r="GE70" t="e">
        <f>AND(Bills!F121,"AAAAAGOf3bo=")</f>
        <v>#VALUE!</v>
      </c>
      <c r="GF70" t="e">
        <f>AND(Bills!G121,"AAAAAGOf3bs=")</f>
        <v>#VALUE!</v>
      </c>
      <c r="GG70" t="e">
        <f>AND(Bills!H121,"AAAAAGOf3bw=")</f>
        <v>#VALUE!</v>
      </c>
      <c r="GH70" t="e">
        <f>AND(Bills!I121,"AAAAAGOf3b0=")</f>
        <v>#VALUE!</v>
      </c>
      <c r="GI70" t="e">
        <f>AND(Bills!J121,"AAAAAGOf3b4=")</f>
        <v>#VALUE!</v>
      </c>
      <c r="GJ70" t="e">
        <f>AND(Bills!#REF!,"AAAAAGOf3b8=")</f>
        <v>#REF!</v>
      </c>
      <c r="GK70" t="e">
        <f>AND(Bills!K121,"AAAAAGOf3cA=")</f>
        <v>#VALUE!</v>
      </c>
      <c r="GL70" t="e">
        <f>AND(Bills!L121,"AAAAAGOf3cE=")</f>
        <v>#VALUE!</v>
      </c>
      <c r="GM70" t="e">
        <f>AND(Bills!M121,"AAAAAGOf3cI=")</f>
        <v>#VALUE!</v>
      </c>
      <c r="GN70" t="e">
        <f>AND(Bills!N121,"AAAAAGOf3cM=")</f>
        <v>#VALUE!</v>
      </c>
      <c r="GO70" t="e">
        <f>AND(Bills!O121,"AAAAAGOf3cQ=")</f>
        <v>#VALUE!</v>
      </c>
      <c r="GP70" t="e">
        <f>AND(Bills!P121,"AAAAAGOf3cU=")</f>
        <v>#VALUE!</v>
      </c>
      <c r="GQ70" t="e">
        <f>AND(Bills!Q121,"AAAAAGOf3cY=")</f>
        <v>#VALUE!</v>
      </c>
      <c r="GR70" t="e">
        <f>AND(Bills!R121,"AAAAAGOf3cc=")</f>
        <v>#VALUE!</v>
      </c>
      <c r="GS70" t="e">
        <f>AND(Bills!#REF!,"AAAAAGOf3cg=")</f>
        <v>#REF!</v>
      </c>
      <c r="GT70" t="e">
        <f>AND(Bills!S121,"AAAAAGOf3ck=")</f>
        <v>#VALUE!</v>
      </c>
      <c r="GU70" t="e">
        <f>AND(Bills!T121,"AAAAAGOf3co=")</f>
        <v>#VALUE!</v>
      </c>
      <c r="GV70" t="e">
        <f>AND(Bills!U121,"AAAAAGOf3cs=")</f>
        <v>#VALUE!</v>
      </c>
      <c r="GW70" t="e">
        <f>AND(Bills!#REF!,"AAAAAGOf3cw=")</f>
        <v>#REF!</v>
      </c>
      <c r="GX70" t="e">
        <f>AND(Bills!#REF!,"AAAAAGOf3c0=")</f>
        <v>#REF!</v>
      </c>
      <c r="GY70" t="e">
        <f>AND(Bills!W121,"AAAAAGOf3c4=")</f>
        <v>#VALUE!</v>
      </c>
      <c r="GZ70" t="e">
        <f>AND(Bills!X121,"AAAAAGOf3c8=")</f>
        <v>#VALUE!</v>
      </c>
      <c r="HA70" t="e">
        <f>AND(Bills!#REF!,"AAAAAGOf3dA=")</f>
        <v>#REF!</v>
      </c>
      <c r="HB70" t="e">
        <f>AND(Bills!#REF!,"AAAAAGOf3dE=")</f>
        <v>#REF!</v>
      </c>
      <c r="HC70" t="e">
        <f>AND(Bills!#REF!,"AAAAAGOf3dI=")</f>
        <v>#REF!</v>
      </c>
      <c r="HD70" t="e">
        <f>AND(Bills!#REF!,"AAAAAGOf3dM=")</f>
        <v>#REF!</v>
      </c>
      <c r="HE70" t="e">
        <f>AND(Bills!#REF!,"AAAAAGOf3dQ=")</f>
        <v>#REF!</v>
      </c>
      <c r="HF70" t="e">
        <f>AND(Bills!#REF!,"AAAAAGOf3dU=")</f>
        <v>#REF!</v>
      </c>
      <c r="HG70" t="e">
        <f>AND(Bills!#REF!,"AAAAAGOf3dY=")</f>
        <v>#REF!</v>
      </c>
      <c r="HH70" t="e">
        <f>AND(Bills!#REF!,"AAAAAGOf3dc=")</f>
        <v>#REF!</v>
      </c>
      <c r="HI70" t="e">
        <f>AND(Bills!#REF!,"AAAAAGOf3dg=")</f>
        <v>#REF!</v>
      </c>
      <c r="HJ70" t="e">
        <f>AND(Bills!Y121,"AAAAAGOf3dk=")</f>
        <v>#VALUE!</v>
      </c>
      <c r="HK70" t="e">
        <f>AND(Bills!Z121,"AAAAAGOf3do=")</f>
        <v>#VALUE!</v>
      </c>
      <c r="HL70" t="e">
        <f>AND(Bills!#REF!,"AAAAAGOf3ds=")</f>
        <v>#REF!</v>
      </c>
      <c r="HM70" t="e">
        <f>AND(Bills!#REF!,"AAAAAGOf3dw=")</f>
        <v>#REF!</v>
      </c>
      <c r="HN70" t="e">
        <f>AND(Bills!#REF!,"AAAAAGOf3d0=")</f>
        <v>#REF!</v>
      </c>
      <c r="HO70" t="e">
        <f>AND(Bills!AA121,"AAAAAGOf3d4=")</f>
        <v>#VALUE!</v>
      </c>
      <c r="HP70" t="e">
        <f>AND(Bills!AB121,"AAAAAGOf3d8=")</f>
        <v>#VALUE!</v>
      </c>
      <c r="HQ70" t="e">
        <f>AND(Bills!#REF!,"AAAAAGOf3eA=")</f>
        <v>#REF!</v>
      </c>
      <c r="HR70">
        <f>IF(Bills!122:122,"AAAAAGOf3eE=",0)</f>
        <v>0</v>
      </c>
      <c r="HS70" t="e">
        <f>AND(Bills!B122,"AAAAAGOf3eI=")</f>
        <v>#VALUE!</v>
      </c>
      <c r="HT70" t="e">
        <f>AND(Bills!#REF!,"AAAAAGOf3eM=")</f>
        <v>#REF!</v>
      </c>
      <c r="HU70" t="e">
        <f>AND(Bills!C122,"AAAAAGOf3eQ=")</f>
        <v>#VALUE!</v>
      </c>
      <c r="HV70" t="e">
        <f>AND(Bills!#REF!,"AAAAAGOf3eU=")</f>
        <v>#REF!</v>
      </c>
      <c r="HW70" t="e">
        <f>AND(Bills!#REF!,"AAAAAGOf3eY=")</f>
        <v>#REF!</v>
      </c>
      <c r="HX70" t="e">
        <f>AND(Bills!#REF!,"AAAAAGOf3ec=")</f>
        <v>#REF!</v>
      </c>
      <c r="HY70" t="e">
        <f>AND(Bills!#REF!,"AAAAAGOf3eg=")</f>
        <v>#REF!</v>
      </c>
      <c r="HZ70" t="e">
        <f>AND(Bills!#REF!,"AAAAAGOf3ek=")</f>
        <v>#REF!</v>
      </c>
      <c r="IA70" t="e">
        <f>AND(Bills!D122,"AAAAAGOf3eo=")</f>
        <v>#VALUE!</v>
      </c>
      <c r="IB70" t="e">
        <f>AND(Bills!#REF!,"AAAAAGOf3es=")</f>
        <v>#REF!</v>
      </c>
      <c r="IC70" t="e">
        <f>AND(Bills!E122,"AAAAAGOf3ew=")</f>
        <v>#VALUE!</v>
      </c>
      <c r="ID70" t="e">
        <f>AND(Bills!F122,"AAAAAGOf3e0=")</f>
        <v>#VALUE!</v>
      </c>
      <c r="IE70" t="e">
        <f>AND(Bills!G122,"AAAAAGOf3e4=")</f>
        <v>#VALUE!</v>
      </c>
      <c r="IF70" t="e">
        <f>AND(Bills!H122,"AAAAAGOf3e8=")</f>
        <v>#VALUE!</v>
      </c>
      <c r="IG70" t="e">
        <f>AND(Bills!I122,"AAAAAGOf3fA=")</f>
        <v>#VALUE!</v>
      </c>
      <c r="IH70" t="e">
        <f>AND(Bills!J122,"AAAAAGOf3fE=")</f>
        <v>#VALUE!</v>
      </c>
      <c r="II70" t="e">
        <f>AND(Bills!#REF!,"AAAAAGOf3fI=")</f>
        <v>#REF!</v>
      </c>
      <c r="IJ70" t="e">
        <f>AND(Bills!K122,"AAAAAGOf3fM=")</f>
        <v>#VALUE!</v>
      </c>
      <c r="IK70" t="e">
        <f>AND(Bills!L122,"AAAAAGOf3fQ=")</f>
        <v>#VALUE!</v>
      </c>
      <c r="IL70" t="e">
        <f>AND(Bills!M122,"AAAAAGOf3fU=")</f>
        <v>#VALUE!</v>
      </c>
      <c r="IM70" t="e">
        <f>AND(Bills!N122,"AAAAAGOf3fY=")</f>
        <v>#VALUE!</v>
      </c>
      <c r="IN70" t="e">
        <f>AND(Bills!O122,"AAAAAGOf3fc=")</f>
        <v>#VALUE!</v>
      </c>
      <c r="IO70" t="e">
        <f>AND(Bills!P122,"AAAAAGOf3fg=")</f>
        <v>#VALUE!</v>
      </c>
      <c r="IP70" t="e">
        <f>AND(Bills!Q122,"AAAAAGOf3fk=")</f>
        <v>#VALUE!</v>
      </c>
      <c r="IQ70" t="e">
        <f>AND(Bills!R122,"AAAAAGOf3fo=")</f>
        <v>#VALUE!</v>
      </c>
      <c r="IR70" t="e">
        <f>AND(Bills!#REF!,"AAAAAGOf3fs=")</f>
        <v>#REF!</v>
      </c>
      <c r="IS70" t="e">
        <f>AND(Bills!S122,"AAAAAGOf3fw=")</f>
        <v>#VALUE!</v>
      </c>
      <c r="IT70" t="e">
        <f>AND(Bills!T122,"AAAAAGOf3f0=")</f>
        <v>#VALUE!</v>
      </c>
      <c r="IU70" t="e">
        <f>AND(Bills!U122,"AAAAAGOf3f4=")</f>
        <v>#VALUE!</v>
      </c>
      <c r="IV70" t="e">
        <f>AND(Bills!#REF!,"AAAAAGOf3f8=")</f>
        <v>#REF!</v>
      </c>
    </row>
    <row r="71" spans="1:256">
      <c r="A71" t="e">
        <f>AND(Bills!#REF!,"AAAAAHxvvwA=")</f>
        <v>#REF!</v>
      </c>
      <c r="B71" t="e">
        <f>AND(Bills!W122,"AAAAAHxvvwE=")</f>
        <v>#VALUE!</v>
      </c>
      <c r="C71" t="e">
        <f>AND(Bills!X122,"AAAAAHxvvwI=")</f>
        <v>#VALUE!</v>
      </c>
      <c r="D71" t="e">
        <f>AND(Bills!#REF!,"AAAAAHxvvwM=")</f>
        <v>#REF!</v>
      </c>
      <c r="E71" t="e">
        <f>AND(Bills!#REF!,"AAAAAHxvvwQ=")</f>
        <v>#REF!</v>
      </c>
      <c r="F71" t="e">
        <f>AND(Bills!#REF!,"AAAAAHxvvwU=")</f>
        <v>#REF!</v>
      </c>
      <c r="G71" t="e">
        <f>AND(Bills!#REF!,"AAAAAHxvvwY=")</f>
        <v>#REF!</v>
      </c>
      <c r="H71" t="e">
        <f>AND(Bills!#REF!,"AAAAAHxvvwc=")</f>
        <v>#REF!</v>
      </c>
      <c r="I71" t="e">
        <f>AND(Bills!#REF!,"AAAAAHxvvwg=")</f>
        <v>#REF!</v>
      </c>
      <c r="J71" t="e">
        <f>AND(Bills!#REF!,"AAAAAHxvvwk=")</f>
        <v>#REF!</v>
      </c>
      <c r="K71" t="e">
        <f>AND(Bills!#REF!,"AAAAAHxvvwo=")</f>
        <v>#REF!</v>
      </c>
      <c r="L71" t="e">
        <f>AND(Bills!#REF!,"AAAAAHxvvws=")</f>
        <v>#REF!</v>
      </c>
      <c r="M71" t="e">
        <f>AND(Bills!Y122,"AAAAAHxvvww=")</f>
        <v>#VALUE!</v>
      </c>
      <c r="N71" t="e">
        <f>AND(Bills!Z122,"AAAAAHxvvw0=")</f>
        <v>#VALUE!</v>
      </c>
      <c r="O71" t="e">
        <f>AND(Bills!#REF!,"AAAAAHxvvw4=")</f>
        <v>#REF!</v>
      </c>
      <c r="P71" t="e">
        <f>AND(Bills!#REF!,"AAAAAHxvvw8=")</f>
        <v>#REF!</v>
      </c>
      <c r="Q71" t="e">
        <f>AND(Bills!#REF!,"AAAAAHxvvxA=")</f>
        <v>#REF!</v>
      </c>
      <c r="R71" t="e">
        <f>AND(Bills!AA122,"AAAAAHxvvxE=")</f>
        <v>#VALUE!</v>
      </c>
      <c r="S71" t="e">
        <f>AND(Bills!AB122,"AAAAAHxvvxI=")</f>
        <v>#VALUE!</v>
      </c>
      <c r="T71" t="e">
        <f>AND(Bills!#REF!,"AAAAAHxvvxM=")</f>
        <v>#REF!</v>
      </c>
      <c r="U71">
        <f>IF(Bills!123:123,"AAAAAHxvvxQ=",0)</f>
        <v>0</v>
      </c>
      <c r="V71" t="e">
        <f>AND(Bills!B123,"AAAAAHxvvxU=")</f>
        <v>#VALUE!</v>
      </c>
      <c r="W71" t="e">
        <f>AND(Bills!#REF!,"AAAAAHxvvxY=")</f>
        <v>#REF!</v>
      </c>
      <c r="X71" t="e">
        <f>AND(Bills!C123,"AAAAAHxvvxc=")</f>
        <v>#VALUE!</v>
      </c>
      <c r="Y71" t="e">
        <f>AND(Bills!#REF!,"AAAAAHxvvxg=")</f>
        <v>#REF!</v>
      </c>
      <c r="Z71" t="e">
        <f>AND(Bills!#REF!,"AAAAAHxvvxk=")</f>
        <v>#REF!</v>
      </c>
      <c r="AA71" t="e">
        <f>AND(Bills!#REF!,"AAAAAHxvvxo=")</f>
        <v>#REF!</v>
      </c>
      <c r="AB71" t="e">
        <f>AND(Bills!#REF!,"AAAAAHxvvxs=")</f>
        <v>#REF!</v>
      </c>
      <c r="AC71" t="e">
        <f>AND(Bills!#REF!,"AAAAAHxvvxw=")</f>
        <v>#REF!</v>
      </c>
      <c r="AD71" t="e">
        <f>AND(Bills!D123,"AAAAAHxvvx0=")</f>
        <v>#VALUE!</v>
      </c>
      <c r="AE71" t="e">
        <f>AND(Bills!#REF!,"AAAAAHxvvx4=")</f>
        <v>#REF!</v>
      </c>
      <c r="AF71" t="e">
        <f>AND(Bills!E123,"AAAAAHxvvx8=")</f>
        <v>#VALUE!</v>
      </c>
      <c r="AG71" t="e">
        <f>AND(Bills!F123,"AAAAAHxvvyA=")</f>
        <v>#VALUE!</v>
      </c>
      <c r="AH71" t="e">
        <f>AND(Bills!G123,"AAAAAHxvvyE=")</f>
        <v>#VALUE!</v>
      </c>
      <c r="AI71" t="e">
        <f>AND(Bills!H123,"AAAAAHxvvyI=")</f>
        <v>#VALUE!</v>
      </c>
      <c r="AJ71" t="e">
        <f>AND(Bills!I123,"AAAAAHxvvyM=")</f>
        <v>#VALUE!</v>
      </c>
      <c r="AK71" t="e">
        <f>AND(Bills!J123,"AAAAAHxvvyQ=")</f>
        <v>#VALUE!</v>
      </c>
      <c r="AL71" t="e">
        <f>AND(Bills!#REF!,"AAAAAHxvvyU=")</f>
        <v>#REF!</v>
      </c>
      <c r="AM71" t="e">
        <f>AND(Bills!K123,"AAAAAHxvvyY=")</f>
        <v>#VALUE!</v>
      </c>
      <c r="AN71" t="e">
        <f>AND(Bills!L123,"AAAAAHxvvyc=")</f>
        <v>#VALUE!</v>
      </c>
      <c r="AO71" t="e">
        <f>AND(Bills!M123,"AAAAAHxvvyg=")</f>
        <v>#VALUE!</v>
      </c>
      <c r="AP71" t="e">
        <f>AND(Bills!N123,"AAAAAHxvvyk=")</f>
        <v>#VALUE!</v>
      </c>
      <c r="AQ71" t="e">
        <f>AND(Bills!O123,"AAAAAHxvvyo=")</f>
        <v>#VALUE!</v>
      </c>
      <c r="AR71" t="e">
        <f>AND(Bills!P123,"AAAAAHxvvys=")</f>
        <v>#VALUE!</v>
      </c>
      <c r="AS71" t="e">
        <f>AND(Bills!Q123,"AAAAAHxvvyw=")</f>
        <v>#VALUE!</v>
      </c>
      <c r="AT71" t="e">
        <f>AND(Bills!R123,"AAAAAHxvvy0=")</f>
        <v>#VALUE!</v>
      </c>
      <c r="AU71" t="e">
        <f>AND(Bills!#REF!,"AAAAAHxvvy4=")</f>
        <v>#REF!</v>
      </c>
      <c r="AV71" t="e">
        <f>AND(Bills!S123,"AAAAAHxvvy8=")</f>
        <v>#VALUE!</v>
      </c>
      <c r="AW71" t="e">
        <f>AND(Bills!T123,"AAAAAHxvvzA=")</f>
        <v>#VALUE!</v>
      </c>
      <c r="AX71" t="e">
        <f>AND(Bills!U123,"AAAAAHxvvzE=")</f>
        <v>#VALUE!</v>
      </c>
      <c r="AY71" t="e">
        <f>AND(Bills!#REF!,"AAAAAHxvvzI=")</f>
        <v>#REF!</v>
      </c>
      <c r="AZ71" t="e">
        <f>AND(Bills!#REF!,"AAAAAHxvvzM=")</f>
        <v>#REF!</v>
      </c>
      <c r="BA71" t="e">
        <f>AND(Bills!W123,"AAAAAHxvvzQ=")</f>
        <v>#VALUE!</v>
      </c>
      <c r="BB71" t="e">
        <f>AND(Bills!X123,"AAAAAHxvvzU=")</f>
        <v>#VALUE!</v>
      </c>
      <c r="BC71" t="e">
        <f>AND(Bills!#REF!,"AAAAAHxvvzY=")</f>
        <v>#REF!</v>
      </c>
      <c r="BD71" t="e">
        <f>AND(Bills!#REF!,"AAAAAHxvvzc=")</f>
        <v>#REF!</v>
      </c>
      <c r="BE71" t="e">
        <f>AND(Bills!#REF!,"AAAAAHxvvzg=")</f>
        <v>#REF!</v>
      </c>
      <c r="BF71" t="e">
        <f>AND(Bills!#REF!,"AAAAAHxvvzk=")</f>
        <v>#REF!</v>
      </c>
      <c r="BG71" t="e">
        <f>AND(Bills!#REF!,"AAAAAHxvvzo=")</f>
        <v>#REF!</v>
      </c>
      <c r="BH71" t="e">
        <f>AND(Bills!#REF!,"AAAAAHxvvzs=")</f>
        <v>#REF!</v>
      </c>
      <c r="BI71" t="e">
        <f>AND(Bills!#REF!,"AAAAAHxvvzw=")</f>
        <v>#REF!</v>
      </c>
      <c r="BJ71" t="e">
        <f>AND(Bills!#REF!,"AAAAAHxvvz0=")</f>
        <v>#REF!</v>
      </c>
      <c r="BK71" t="e">
        <f>AND(Bills!#REF!,"AAAAAHxvvz4=")</f>
        <v>#REF!</v>
      </c>
      <c r="BL71" t="e">
        <f>AND(Bills!Y123,"AAAAAHxvvz8=")</f>
        <v>#VALUE!</v>
      </c>
      <c r="BM71" t="e">
        <f>AND(Bills!Z123,"AAAAAHxvv0A=")</f>
        <v>#VALUE!</v>
      </c>
      <c r="BN71" t="e">
        <f>AND(Bills!#REF!,"AAAAAHxvv0E=")</f>
        <v>#REF!</v>
      </c>
      <c r="BO71" t="e">
        <f>AND(Bills!#REF!,"AAAAAHxvv0I=")</f>
        <v>#REF!</v>
      </c>
      <c r="BP71" t="e">
        <f>AND(Bills!#REF!,"AAAAAHxvv0M=")</f>
        <v>#REF!</v>
      </c>
      <c r="BQ71" t="e">
        <f>AND(Bills!AA123,"AAAAAHxvv0Q=")</f>
        <v>#VALUE!</v>
      </c>
      <c r="BR71" t="e">
        <f>AND(Bills!AB123,"AAAAAHxvv0U=")</f>
        <v>#VALUE!</v>
      </c>
      <c r="BS71" t="e">
        <f>AND(Bills!#REF!,"AAAAAHxvv0Y=")</f>
        <v>#REF!</v>
      </c>
      <c r="BT71">
        <f>IF(Bills!124:124,"AAAAAHxvv0c=",0)</f>
        <v>0</v>
      </c>
      <c r="BU71" t="e">
        <f>AND(Bills!B124,"AAAAAHxvv0g=")</f>
        <v>#VALUE!</v>
      </c>
      <c r="BV71" t="e">
        <f>AND(Bills!#REF!,"AAAAAHxvv0k=")</f>
        <v>#REF!</v>
      </c>
      <c r="BW71" t="e">
        <f>AND(Bills!C124,"AAAAAHxvv0o=")</f>
        <v>#VALUE!</v>
      </c>
      <c r="BX71" t="e">
        <f>AND(Bills!#REF!,"AAAAAHxvv0s=")</f>
        <v>#REF!</v>
      </c>
      <c r="BY71" t="e">
        <f>AND(Bills!#REF!,"AAAAAHxvv0w=")</f>
        <v>#REF!</v>
      </c>
      <c r="BZ71" t="e">
        <f>AND(Bills!#REF!,"AAAAAHxvv00=")</f>
        <v>#REF!</v>
      </c>
      <c r="CA71" t="e">
        <f>AND(Bills!#REF!,"AAAAAHxvv04=")</f>
        <v>#REF!</v>
      </c>
      <c r="CB71" t="e">
        <f>AND(Bills!#REF!,"AAAAAHxvv08=")</f>
        <v>#REF!</v>
      </c>
      <c r="CC71" t="e">
        <f>AND(Bills!D124,"AAAAAHxvv1A=")</f>
        <v>#VALUE!</v>
      </c>
      <c r="CD71" t="e">
        <f>AND(Bills!#REF!,"AAAAAHxvv1E=")</f>
        <v>#REF!</v>
      </c>
      <c r="CE71" t="e">
        <f>AND(Bills!E124,"AAAAAHxvv1I=")</f>
        <v>#VALUE!</v>
      </c>
      <c r="CF71" t="e">
        <f>AND(Bills!F124,"AAAAAHxvv1M=")</f>
        <v>#VALUE!</v>
      </c>
      <c r="CG71" t="e">
        <f>AND(Bills!G124,"AAAAAHxvv1Q=")</f>
        <v>#VALUE!</v>
      </c>
      <c r="CH71" t="e">
        <f>AND(Bills!H124,"AAAAAHxvv1U=")</f>
        <v>#VALUE!</v>
      </c>
      <c r="CI71" t="e">
        <f>AND(Bills!I124,"AAAAAHxvv1Y=")</f>
        <v>#VALUE!</v>
      </c>
      <c r="CJ71" t="e">
        <f>AND(Bills!J124,"AAAAAHxvv1c=")</f>
        <v>#VALUE!</v>
      </c>
      <c r="CK71" t="e">
        <f>AND(Bills!#REF!,"AAAAAHxvv1g=")</f>
        <v>#REF!</v>
      </c>
      <c r="CL71" t="e">
        <f>AND(Bills!K124,"AAAAAHxvv1k=")</f>
        <v>#VALUE!</v>
      </c>
      <c r="CM71" t="e">
        <f>AND(Bills!L124,"AAAAAHxvv1o=")</f>
        <v>#VALUE!</v>
      </c>
      <c r="CN71" t="e">
        <f>AND(Bills!M124,"AAAAAHxvv1s=")</f>
        <v>#VALUE!</v>
      </c>
      <c r="CO71" t="e">
        <f>AND(Bills!N124,"AAAAAHxvv1w=")</f>
        <v>#VALUE!</v>
      </c>
      <c r="CP71" t="e">
        <f>AND(Bills!O124,"AAAAAHxvv10=")</f>
        <v>#VALUE!</v>
      </c>
      <c r="CQ71" t="e">
        <f>AND(Bills!P124,"AAAAAHxvv14=")</f>
        <v>#VALUE!</v>
      </c>
      <c r="CR71" t="e">
        <f>AND(Bills!Q124,"AAAAAHxvv18=")</f>
        <v>#VALUE!</v>
      </c>
      <c r="CS71" t="e">
        <f>AND(Bills!R124,"AAAAAHxvv2A=")</f>
        <v>#VALUE!</v>
      </c>
      <c r="CT71" t="e">
        <f>AND(Bills!#REF!,"AAAAAHxvv2E=")</f>
        <v>#REF!</v>
      </c>
      <c r="CU71" t="e">
        <f>AND(Bills!S124,"AAAAAHxvv2I=")</f>
        <v>#VALUE!</v>
      </c>
      <c r="CV71" t="e">
        <f>AND(Bills!T124,"AAAAAHxvv2M=")</f>
        <v>#VALUE!</v>
      </c>
      <c r="CW71" t="e">
        <f>AND(Bills!U124,"AAAAAHxvv2Q=")</f>
        <v>#VALUE!</v>
      </c>
      <c r="CX71" t="e">
        <f>AND(Bills!#REF!,"AAAAAHxvv2U=")</f>
        <v>#REF!</v>
      </c>
      <c r="CY71" t="e">
        <f>AND(Bills!#REF!,"AAAAAHxvv2Y=")</f>
        <v>#REF!</v>
      </c>
      <c r="CZ71" t="e">
        <f>AND(Bills!W124,"AAAAAHxvv2c=")</f>
        <v>#VALUE!</v>
      </c>
      <c r="DA71" t="e">
        <f>AND(Bills!X124,"AAAAAHxvv2g=")</f>
        <v>#VALUE!</v>
      </c>
      <c r="DB71" t="e">
        <f>AND(Bills!#REF!,"AAAAAHxvv2k=")</f>
        <v>#REF!</v>
      </c>
      <c r="DC71" t="e">
        <f>AND(Bills!#REF!,"AAAAAHxvv2o=")</f>
        <v>#REF!</v>
      </c>
      <c r="DD71" t="e">
        <f>AND(Bills!#REF!,"AAAAAHxvv2s=")</f>
        <v>#REF!</v>
      </c>
      <c r="DE71" t="e">
        <f>AND(Bills!#REF!,"AAAAAHxvv2w=")</f>
        <v>#REF!</v>
      </c>
      <c r="DF71" t="e">
        <f>AND(Bills!#REF!,"AAAAAHxvv20=")</f>
        <v>#REF!</v>
      </c>
      <c r="DG71" t="e">
        <f>AND(Bills!#REF!,"AAAAAHxvv24=")</f>
        <v>#REF!</v>
      </c>
      <c r="DH71" t="e">
        <f>AND(Bills!#REF!,"AAAAAHxvv28=")</f>
        <v>#REF!</v>
      </c>
      <c r="DI71" t="e">
        <f>AND(Bills!#REF!,"AAAAAHxvv3A=")</f>
        <v>#REF!</v>
      </c>
      <c r="DJ71" t="e">
        <f>AND(Bills!#REF!,"AAAAAHxvv3E=")</f>
        <v>#REF!</v>
      </c>
      <c r="DK71" t="e">
        <f>AND(Bills!Y124,"AAAAAHxvv3I=")</f>
        <v>#VALUE!</v>
      </c>
      <c r="DL71" t="e">
        <f>AND(Bills!Z124,"AAAAAHxvv3M=")</f>
        <v>#VALUE!</v>
      </c>
      <c r="DM71" t="e">
        <f>AND(Bills!#REF!,"AAAAAHxvv3Q=")</f>
        <v>#REF!</v>
      </c>
      <c r="DN71" t="e">
        <f>AND(Bills!#REF!,"AAAAAHxvv3U=")</f>
        <v>#REF!</v>
      </c>
      <c r="DO71" t="e">
        <f>AND(Bills!#REF!,"AAAAAHxvv3Y=")</f>
        <v>#REF!</v>
      </c>
      <c r="DP71" t="e">
        <f>AND(Bills!AA124,"AAAAAHxvv3c=")</f>
        <v>#VALUE!</v>
      </c>
      <c r="DQ71" t="e">
        <f>AND(Bills!AB124,"AAAAAHxvv3g=")</f>
        <v>#VALUE!</v>
      </c>
      <c r="DR71" t="e">
        <f>AND(Bills!#REF!,"AAAAAHxvv3k=")</f>
        <v>#REF!</v>
      </c>
      <c r="DS71">
        <f>IF(Bills!125:125,"AAAAAHxvv3o=",0)</f>
        <v>0</v>
      </c>
      <c r="DT71" t="e">
        <f>AND(Bills!B125,"AAAAAHxvv3s=")</f>
        <v>#VALUE!</v>
      </c>
      <c r="DU71" t="e">
        <f>AND(Bills!#REF!,"AAAAAHxvv3w=")</f>
        <v>#REF!</v>
      </c>
      <c r="DV71" t="e">
        <f>AND(Bills!C125,"AAAAAHxvv30=")</f>
        <v>#VALUE!</v>
      </c>
      <c r="DW71" t="e">
        <f>AND(Bills!#REF!,"AAAAAHxvv34=")</f>
        <v>#REF!</v>
      </c>
      <c r="DX71" t="e">
        <f>AND(Bills!#REF!,"AAAAAHxvv38=")</f>
        <v>#REF!</v>
      </c>
      <c r="DY71" t="e">
        <f>AND(Bills!#REF!,"AAAAAHxvv4A=")</f>
        <v>#REF!</v>
      </c>
      <c r="DZ71" t="e">
        <f>AND(Bills!#REF!,"AAAAAHxvv4E=")</f>
        <v>#REF!</v>
      </c>
      <c r="EA71" t="e">
        <f>AND(Bills!#REF!,"AAAAAHxvv4I=")</f>
        <v>#REF!</v>
      </c>
      <c r="EB71" t="e">
        <f>AND(Bills!D125,"AAAAAHxvv4M=")</f>
        <v>#VALUE!</v>
      </c>
      <c r="EC71" t="e">
        <f>AND(Bills!#REF!,"AAAAAHxvv4Q=")</f>
        <v>#REF!</v>
      </c>
      <c r="ED71" t="e">
        <f>AND(Bills!E125,"AAAAAHxvv4U=")</f>
        <v>#VALUE!</v>
      </c>
      <c r="EE71" t="e">
        <f>AND(Bills!F125,"AAAAAHxvv4Y=")</f>
        <v>#VALUE!</v>
      </c>
      <c r="EF71" t="e">
        <f>AND(Bills!G125,"AAAAAHxvv4c=")</f>
        <v>#VALUE!</v>
      </c>
      <c r="EG71" t="e">
        <f>AND(Bills!H125,"AAAAAHxvv4g=")</f>
        <v>#VALUE!</v>
      </c>
      <c r="EH71" t="e">
        <f>AND(Bills!I125,"AAAAAHxvv4k=")</f>
        <v>#VALUE!</v>
      </c>
      <c r="EI71" t="e">
        <f>AND(Bills!J125,"AAAAAHxvv4o=")</f>
        <v>#VALUE!</v>
      </c>
      <c r="EJ71" t="e">
        <f>AND(Bills!#REF!,"AAAAAHxvv4s=")</f>
        <v>#REF!</v>
      </c>
      <c r="EK71" t="e">
        <f>AND(Bills!K125,"AAAAAHxvv4w=")</f>
        <v>#VALUE!</v>
      </c>
      <c r="EL71" t="e">
        <f>AND(Bills!L125,"AAAAAHxvv40=")</f>
        <v>#VALUE!</v>
      </c>
      <c r="EM71" t="e">
        <f>AND(Bills!M125,"AAAAAHxvv44=")</f>
        <v>#VALUE!</v>
      </c>
      <c r="EN71" t="e">
        <f>AND(Bills!N125,"AAAAAHxvv48=")</f>
        <v>#VALUE!</v>
      </c>
      <c r="EO71" t="e">
        <f>AND(Bills!O125,"AAAAAHxvv5A=")</f>
        <v>#VALUE!</v>
      </c>
      <c r="EP71" t="e">
        <f>AND(Bills!P125,"AAAAAHxvv5E=")</f>
        <v>#VALUE!</v>
      </c>
      <c r="EQ71" t="e">
        <f>AND(Bills!Q125,"AAAAAHxvv5I=")</f>
        <v>#VALUE!</v>
      </c>
      <c r="ER71" t="e">
        <f>AND(Bills!R125,"AAAAAHxvv5M=")</f>
        <v>#VALUE!</v>
      </c>
      <c r="ES71" t="e">
        <f>AND(Bills!#REF!,"AAAAAHxvv5Q=")</f>
        <v>#REF!</v>
      </c>
      <c r="ET71" t="e">
        <f>AND(Bills!S125,"AAAAAHxvv5U=")</f>
        <v>#VALUE!</v>
      </c>
      <c r="EU71" t="e">
        <f>AND(Bills!T125,"AAAAAHxvv5Y=")</f>
        <v>#VALUE!</v>
      </c>
      <c r="EV71" t="e">
        <f>AND(Bills!U125,"AAAAAHxvv5c=")</f>
        <v>#VALUE!</v>
      </c>
      <c r="EW71" t="e">
        <f>AND(Bills!#REF!,"AAAAAHxvv5g=")</f>
        <v>#REF!</v>
      </c>
      <c r="EX71" t="e">
        <f>AND(Bills!#REF!,"AAAAAHxvv5k=")</f>
        <v>#REF!</v>
      </c>
      <c r="EY71" t="e">
        <f>AND(Bills!W125,"AAAAAHxvv5o=")</f>
        <v>#VALUE!</v>
      </c>
      <c r="EZ71" t="e">
        <f>AND(Bills!X125,"AAAAAHxvv5s=")</f>
        <v>#VALUE!</v>
      </c>
      <c r="FA71" t="e">
        <f>AND(Bills!#REF!,"AAAAAHxvv5w=")</f>
        <v>#REF!</v>
      </c>
      <c r="FB71" t="e">
        <f>AND(Bills!#REF!,"AAAAAHxvv50=")</f>
        <v>#REF!</v>
      </c>
      <c r="FC71" t="e">
        <f>AND(Bills!#REF!,"AAAAAHxvv54=")</f>
        <v>#REF!</v>
      </c>
      <c r="FD71" t="e">
        <f>AND(Bills!#REF!,"AAAAAHxvv58=")</f>
        <v>#REF!</v>
      </c>
      <c r="FE71" t="e">
        <f>AND(Bills!#REF!,"AAAAAHxvv6A=")</f>
        <v>#REF!</v>
      </c>
      <c r="FF71" t="e">
        <f>AND(Bills!#REF!,"AAAAAHxvv6E=")</f>
        <v>#REF!</v>
      </c>
      <c r="FG71" t="e">
        <f>AND(Bills!#REF!,"AAAAAHxvv6I=")</f>
        <v>#REF!</v>
      </c>
      <c r="FH71" t="e">
        <f>AND(Bills!#REF!,"AAAAAHxvv6M=")</f>
        <v>#REF!</v>
      </c>
      <c r="FI71" t="e">
        <f>AND(Bills!#REF!,"AAAAAHxvv6Q=")</f>
        <v>#REF!</v>
      </c>
      <c r="FJ71" t="e">
        <f>AND(Bills!Y125,"AAAAAHxvv6U=")</f>
        <v>#VALUE!</v>
      </c>
      <c r="FK71" t="e">
        <f>AND(Bills!Z125,"AAAAAHxvv6Y=")</f>
        <v>#VALUE!</v>
      </c>
      <c r="FL71" t="e">
        <f>AND(Bills!#REF!,"AAAAAHxvv6c=")</f>
        <v>#REF!</v>
      </c>
      <c r="FM71" t="e">
        <f>AND(Bills!#REF!,"AAAAAHxvv6g=")</f>
        <v>#REF!</v>
      </c>
      <c r="FN71" t="e">
        <f>AND(Bills!#REF!,"AAAAAHxvv6k=")</f>
        <v>#REF!</v>
      </c>
      <c r="FO71" t="e">
        <f>AND(Bills!AA125,"AAAAAHxvv6o=")</f>
        <v>#VALUE!</v>
      </c>
      <c r="FP71" t="e">
        <f>AND(Bills!AB125,"AAAAAHxvv6s=")</f>
        <v>#VALUE!</v>
      </c>
      <c r="FQ71" t="e">
        <f>AND(Bills!#REF!,"AAAAAHxvv6w=")</f>
        <v>#REF!</v>
      </c>
      <c r="FR71">
        <f>IF(Bills!126:126,"AAAAAHxvv60=",0)</f>
        <v>0</v>
      </c>
      <c r="FS71" t="e">
        <f>AND(Bills!B126,"AAAAAHxvv64=")</f>
        <v>#VALUE!</v>
      </c>
      <c r="FT71" t="e">
        <f>AND(Bills!#REF!,"AAAAAHxvv68=")</f>
        <v>#REF!</v>
      </c>
      <c r="FU71" t="e">
        <f>AND(Bills!C126,"AAAAAHxvv7A=")</f>
        <v>#VALUE!</v>
      </c>
      <c r="FV71" t="e">
        <f>AND(Bills!#REF!,"AAAAAHxvv7E=")</f>
        <v>#REF!</v>
      </c>
      <c r="FW71" t="e">
        <f>AND(Bills!#REF!,"AAAAAHxvv7I=")</f>
        <v>#REF!</v>
      </c>
      <c r="FX71" t="e">
        <f>AND(Bills!#REF!,"AAAAAHxvv7M=")</f>
        <v>#REF!</v>
      </c>
      <c r="FY71" t="e">
        <f>AND(Bills!#REF!,"AAAAAHxvv7Q=")</f>
        <v>#REF!</v>
      </c>
      <c r="FZ71" t="e">
        <f>AND(Bills!#REF!,"AAAAAHxvv7U=")</f>
        <v>#REF!</v>
      </c>
      <c r="GA71" t="e">
        <f>AND(Bills!D126,"AAAAAHxvv7Y=")</f>
        <v>#VALUE!</v>
      </c>
      <c r="GB71" t="e">
        <f>AND(Bills!#REF!,"AAAAAHxvv7c=")</f>
        <v>#REF!</v>
      </c>
      <c r="GC71" t="e">
        <f>AND(Bills!E126,"AAAAAHxvv7g=")</f>
        <v>#VALUE!</v>
      </c>
      <c r="GD71" t="e">
        <f>AND(Bills!F126,"AAAAAHxvv7k=")</f>
        <v>#VALUE!</v>
      </c>
      <c r="GE71" t="e">
        <f>AND(Bills!G126,"AAAAAHxvv7o=")</f>
        <v>#VALUE!</v>
      </c>
      <c r="GF71" t="e">
        <f>AND(Bills!H126,"AAAAAHxvv7s=")</f>
        <v>#VALUE!</v>
      </c>
      <c r="GG71" t="e">
        <f>AND(Bills!I126,"AAAAAHxvv7w=")</f>
        <v>#VALUE!</v>
      </c>
      <c r="GH71" t="e">
        <f>AND(Bills!J126,"AAAAAHxvv70=")</f>
        <v>#VALUE!</v>
      </c>
      <c r="GI71" t="e">
        <f>AND(Bills!#REF!,"AAAAAHxvv74=")</f>
        <v>#REF!</v>
      </c>
      <c r="GJ71" t="e">
        <f>AND(Bills!K126,"AAAAAHxvv78=")</f>
        <v>#VALUE!</v>
      </c>
      <c r="GK71" t="e">
        <f>AND(Bills!L126,"AAAAAHxvv8A=")</f>
        <v>#VALUE!</v>
      </c>
      <c r="GL71" t="e">
        <f>AND(Bills!M126,"AAAAAHxvv8E=")</f>
        <v>#VALUE!</v>
      </c>
      <c r="GM71" t="e">
        <f>AND(Bills!N126,"AAAAAHxvv8I=")</f>
        <v>#VALUE!</v>
      </c>
      <c r="GN71" t="e">
        <f>AND(Bills!O126,"AAAAAHxvv8M=")</f>
        <v>#VALUE!</v>
      </c>
      <c r="GO71" t="e">
        <f>AND(Bills!P126,"AAAAAHxvv8Q=")</f>
        <v>#VALUE!</v>
      </c>
      <c r="GP71" t="e">
        <f>AND(Bills!Q126,"AAAAAHxvv8U=")</f>
        <v>#VALUE!</v>
      </c>
      <c r="GQ71" t="e">
        <f>AND(Bills!R126,"AAAAAHxvv8Y=")</f>
        <v>#VALUE!</v>
      </c>
      <c r="GR71" t="e">
        <f>AND(Bills!#REF!,"AAAAAHxvv8c=")</f>
        <v>#REF!</v>
      </c>
      <c r="GS71" t="e">
        <f>AND(Bills!S126,"AAAAAHxvv8g=")</f>
        <v>#VALUE!</v>
      </c>
      <c r="GT71" t="e">
        <f>AND(Bills!T126,"AAAAAHxvv8k=")</f>
        <v>#VALUE!</v>
      </c>
      <c r="GU71" t="e">
        <f>AND(Bills!U126,"AAAAAHxvv8o=")</f>
        <v>#VALUE!</v>
      </c>
      <c r="GV71" t="e">
        <f>AND(Bills!#REF!,"AAAAAHxvv8s=")</f>
        <v>#REF!</v>
      </c>
      <c r="GW71" t="e">
        <f>AND(Bills!#REF!,"AAAAAHxvv8w=")</f>
        <v>#REF!</v>
      </c>
      <c r="GX71" t="e">
        <f>AND(Bills!W126,"AAAAAHxvv80=")</f>
        <v>#VALUE!</v>
      </c>
      <c r="GY71" t="e">
        <f>AND(Bills!X126,"AAAAAHxvv84=")</f>
        <v>#VALUE!</v>
      </c>
      <c r="GZ71" t="e">
        <f>AND(Bills!#REF!,"AAAAAHxvv88=")</f>
        <v>#REF!</v>
      </c>
      <c r="HA71" t="e">
        <f>AND(Bills!#REF!,"AAAAAHxvv9A=")</f>
        <v>#REF!</v>
      </c>
      <c r="HB71" t="e">
        <f>AND(Bills!#REF!,"AAAAAHxvv9E=")</f>
        <v>#REF!</v>
      </c>
      <c r="HC71" t="e">
        <f>AND(Bills!#REF!,"AAAAAHxvv9I=")</f>
        <v>#REF!</v>
      </c>
      <c r="HD71" t="e">
        <f>AND(Bills!#REF!,"AAAAAHxvv9M=")</f>
        <v>#REF!</v>
      </c>
      <c r="HE71" t="e">
        <f>AND(Bills!#REF!,"AAAAAHxvv9Q=")</f>
        <v>#REF!</v>
      </c>
      <c r="HF71" t="e">
        <f>AND(Bills!#REF!,"AAAAAHxvv9U=")</f>
        <v>#REF!</v>
      </c>
      <c r="HG71" t="e">
        <f>AND(Bills!#REF!,"AAAAAHxvv9Y=")</f>
        <v>#REF!</v>
      </c>
      <c r="HH71" t="e">
        <f>AND(Bills!#REF!,"AAAAAHxvv9c=")</f>
        <v>#REF!</v>
      </c>
      <c r="HI71" t="e">
        <f>AND(Bills!Y126,"AAAAAHxvv9g=")</f>
        <v>#VALUE!</v>
      </c>
      <c r="HJ71" t="e">
        <f>AND(Bills!Z126,"AAAAAHxvv9k=")</f>
        <v>#VALUE!</v>
      </c>
      <c r="HK71" t="e">
        <f>AND(Bills!#REF!,"AAAAAHxvv9o=")</f>
        <v>#REF!</v>
      </c>
      <c r="HL71" t="e">
        <f>AND(Bills!#REF!,"AAAAAHxvv9s=")</f>
        <v>#REF!</v>
      </c>
      <c r="HM71" t="e">
        <f>AND(Bills!#REF!,"AAAAAHxvv9w=")</f>
        <v>#REF!</v>
      </c>
      <c r="HN71" t="e">
        <f>AND(Bills!AA126,"AAAAAHxvv90=")</f>
        <v>#VALUE!</v>
      </c>
      <c r="HO71" t="e">
        <f>AND(Bills!AB126,"AAAAAHxvv94=")</f>
        <v>#VALUE!</v>
      </c>
      <c r="HP71" t="e">
        <f>AND(Bills!#REF!,"AAAAAHxvv98=")</f>
        <v>#REF!</v>
      </c>
      <c r="HQ71">
        <f>IF(Bills!127:127,"AAAAAHxvv+A=",0)</f>
        <v>0</v>
      </c>
      <c r="HR71" t="e">
        <f>AND(Bills!B127,"AAAAAHxvv+E=")</f>
        <v>#VALUE!</v>
      </c>
      <c r="HS71" t="e">
        <f>AND(Bills!#REF!,"AAAAAHxvv+I=")</f>
        <v>#REF!</v>
      </c>
      <c r="HT71" t="e">
        <f>AND(Bills!C127,"AAAAAHxvv+M=")</f>
        <v>#VALUE!</v>
      </c>
      <c r="HU71" t="e">
        <f>AND(Bills!#REF!,"AAAAAHxvv+Q=")</f>
        <v>#REF!</v>
      </c>
      <c r="HV71" t="e">
        <f>AND(Bills!#REF!,"AAAAAHxvv+U=")</f>
        <v>#REF!</v>
      </c>
      <c r="HW71" t="e">
        <f>AND(Bills!#REF!,"AAAAAHxvv+Y=")</f>
        <v>#REF!</v>
      </c>
      <c r="HX71" t="e">
        <f>AND(Bills!#REF!,"AAAAAHxvv+c=")</f>
        <v>#REF!</v>
      </c>
      <c r="HY71" t="e">
        <f>AND(Bills!#REF!,"AAAAAHxvv+g=")</f>
        <v>#REF!</v>
      </c>
      <c r="HZ71" t="e">
        <f>AND(Bills!D127,"AAAAAHxvv+k=")</f>
        <v>#VALUE!</v>
      </c>
      <c r="IA71" t="e">
        <f>AND(Bills!#REF!,"AAAAAHxvv+o=")</f>
        <v>#REF!</v>
      </c>
      <c r="IB71" t="e">
        <f>AND(Bills!E127,"AAAAAHxvv+s=")</f>
        <v>#VALUE!</v>
      </c>
      <c r="IC71" t="e">
        <f>AND(Bills!F127,"AAAAAHxvv+w=")</f>
        <v>#VALUE!</v>
      </c>
      <c r="ID71" t="e">
        <f>AND(Bills!G127,"AAAAAHxvv+0=")</f>
        <v>#VALUE!</v>
      </c>
      <c r="IE71" t="e">
        <f>AND(Bills!H127,"AAAAAHxvv+4=")</f>
        <v>#VALUE!</v>
      </c>
      <c r="IF71" t="e">
        <f>AND(Bills!I127,"AAAAAHxvv+8=")</f>
        <v>#VALUE!</v>
      </c>
      <c r="IG71" t="e">
        <f>AND(Bills!J127,"AAAAAHxvv/A=")</f>
        <v>#VALUE!</v>
      </c>
      <c r="IH71" t="e">
        <f>AND(Bills!#REF!,"AAAAAHxvv/E=")</f>
        <v>#REF!</v>
      </c>
      <c r="II71" t="e">
        <f>AND(Bills!K127,"AAAAAHxvv/I=")</f>
        <v>#VALUE!</v>
      </c>
      <c r="IJ71" t="e">
        <f>AND(Bills!L127,"AAAAAHxvv/M=")</f>
        <v>#VALUE!</v>
      </c>
      <c r="IK71" t="e">
        <f>AND(Bills!M127,"AAAAAHxvv/Q=")</f>
        <v>#VALUE!</v>
      </c>
      <c r="IL71" t="e">
        <f>AND(Bills!N127,"AAAAAHxvv/U=")</f>
        <v>#VALUE!</v>
      </c>
      <c r="IM71" t="e">
        <f>AND(Bills!O127,"AAAAAHxvv/Y=")</f>
        <v>#VALUE!</v>
      </c>
      <c r="IN71" t="e">
        <f>AND(Bills!P127,"AAAAAHxvv/c=")</f>
        <v>#VALUE!</v>
      </c>
      <c r="IO71" t="e">
        <f>AND(Bills!Q127,"AAAAAHxvv/g=")</f>
        <v>#VALUE!</v>
      </c>
      <c r="IP71" t="e">
        <f>AND(Bills!R127,"AAAAAHxvv/k=")</f>
        <v>#VALUE!</v>
      </c>
      <c r="IQ71" t="e">
        <f>AND(Bills!#REF!,"AAAAAHxvv/o=")</f>
        <v>#REF!</v>
      </c>
      <c r="IR71" t="e">
        <f>AND(Bills!S127,"AAAAAHxvv/s=")</f>
        <v>#VALUE!</v>
      </c>
      <c r="IS71" t="e">
        <f>AND(Bills!T127,"AAAAAHxvv/w=")</f>
        <v>#VALUE!</v>
      </c>
      <c r="IT71" t="e">
        <f>AND(Bills!U127,"AAAAAHxvv/0=")</f>
        <v>#VALUE!</v>
      </c>
      <c r="IU71" t="e">
        <f>AND(Bills!#REF!,"AAAAAHxvv/4=")</f>
        <v>#REF!</v>
      </c>
      <c r="IV71" t="e">
        <f>AND(Bills!#REF!,"AAAAAHxvv/8=")</f>
        <v>#REF!</v>
      </c>
    </row>
    <row r="72" spans="1:256">
      <c r="A72" t="e">
        <f>AND(Bills!W127,"AAAAAH+/TgA=")</f>
        <v>#VALUE!</v>
      </c>
      <c r="B72" t="e">
        <f>AND(Bills!X127,"AAAAAH+/TgE=")</f>
        <v>#VALUE!</v>
      </c>
      <c r="C72" t="e">
        <f>AND(Bills!#REF!,"AAAAAH+/TgI=")</f>
        <v>#REF!</v>
      </c>
      <c r="D72" t="e">
        <f>AND(Bills!#REF!,"AAAAAH+/TgM=")</f>
        <v>#REF!</v>
      </c>
      <c r="E72" t="e">
        <f>AND(Bills!#REF!,"AAAAAH+/TgQ=")</f>
        <v>#REF!</v>
      </c>
      <c r="F72" t="e">
        <f>AND(Bills!#REF!,"AAAAAH+/TgU=")</f>
        <v>#REF!</v>
      </c>
      <c r="G72" t="e">
        <f>AND(Bills!#REF!,"AAAAAH+/TgY=")</f>
        <v>#REF!</v>
      </c>
      <c r="H72" t="e">
        <f>AND(Bills!#REF!,"AAAAAH+/Tgc=")</f>
        <v>#REF!</v>
      </c>
      <c r="I72" t="e">
        <f>AND(Bills!#REF!,"AAAAAH+/Tgg=")</f>
        <v>#REF!</v>
      </c>
      <c r="J72" t="e">
        <f>AND(Bills!#REF!,"AAAAAH+/Tgk=")</f>
        <v>#REF!</v>
      </c>
      <c r="K72" t="e">
        <f>AND(Bills!#REF!,"AAAAAH+/Tgo=")</f>
        <v>#REF!</v>
      </c>
      <c r="L72" t="e">
        <f>AND(Bills!Y127,"AAAAAH+/Tgs=")</f>
        <v>#VALUE!</v>
      </c>
      <c r="M72" t="e">
        <f>AND(Bills!Z127,"AAAAAH+/Tgw=")</f>
        <v>#VALUE!</v>
      </c>
      <c r="N72" t="e">
        <f>AND(Bills!#REF!,"AAAAAH+/Tg0=")</f>
        <v>#REF!</v>
      </c>
      <c r="O72" t="e">
        <f>AND(Bills!#REF!,"AAAAAH+/Tg4=")</f>
        <v>#REF!</v>
      </c>
      <c r="P72" t="e">
        <f>AND(Bills!#REF!,"AAAAAH+/Tg8=")</f>
        <v>#REF!</v>
      </c>
      <c r="Q72" t="e">
        <f>AND(Bills!AA127,"AAAAAH+/ThA=")</f>
        <v>#VALUE!</v>
      </c>
      <c r="R72" t="e">
        <f>AND(Bills!AB127,"AAAAAH+/ThE=")</f>
        <v>#VALUE!</v>
      </c>
      <c r="S72" t="e">
        <f>AND(Bills!#REF!,"AAAAAH+/ThI=")</f>
        <v>#REF!</v>
      </c>
      <c r="T72">
        <f>IF(Bills!128:128,"AAAAAH+/ThM=",0)</f>
        <v>0</v>
      </c>
      <c r="U72" t="e">
        <f>AND(Bills!B128,"AAAAAH+/ThQ=")</f>
        <v>#VALUE!</v>
      </c>
      <c r="V72" t="e">
        <f>AND(Bills!#REF!,"AAAAAH+/ThU=")</f>
        <v>#REF!</v>
      </c>
      <c r="W72" t="e">
        <f>AND(Bills!C128,"AAAAAH+/ThY=")</f>
        <v>#VALUE!</v>
      </c>
      <c r="X72" t="e">
        <f>AND(Bills!#REF!,"AAAAAH+/Thc=")</f>
        <v>#REF!</v>
      </c>
      <c r="Y72" t="e">
        <f>AND(Bills!#REF!,"AAAAAH+/Thg=")</f>
        <v>#REF!</v>
      </c>
      <c r="Z72" t="e">
        <f>AND(Bills!#REF!,"AAAAAH+/Thk=")</f>
        <v>#REF!</v>
      </c>
      <c r="AA72" t="e">
        <f>AND(Bills!#REF!,"AAAAAH+/Tho=")</f>
        <v>#REF!</v>
      </c>
      <c r="AB72" t="e">
        <f>AND(Bills!#REF!,"AAAAAH+/Ths=")</f>
        <v>#REF!</v>
      </c>
      <c r="AC72" t="e">
        <f>AND(Bills!D128,"AAAAAH+/Thw=")</f>
        <v>#VALUE!</v>
      </c>
      <c r="AD72" t="e">
        <f>AND(Bills!#REF!,"AAAAAH+/Th0=")</f>
        <v>#REF!</v>
      </c>
      <c r="AE72" t="e">
        <f>AND(Bills!E128,"AAAAAH+/Th4=")</f>
        <v>#VALUE!</v>
      </c>
      <c r="AF72" t="e">
        <f>AND(Bills!F128,"AAAAAH+/Th8=")</f>
        <v>#VALUE!</v>
      </c>
      <c r="AG72" t="e">
        <f>AND(Bills!G128,"AAAAAH+/TiA=")</f>
        <v>#VALUE!</v>
      </c>
      <c r="AH72" t="e">
        <f>AND(Bills!H128,"AAAAAH+/TiE=")</f>
        <v>#VALUE!</v>
      </c>
      <c r="AI72" t="e">
        <f>AND(Bills!I128,"AAAAAH+/TiI=")</f>
        <v>#VALUE!</v>
      </c>
      <c r="AJ72" t="e">
        <f>AND(Bills!J128,"AAAAAH+/TiM=")</f>
        <v>#VALUE!</v>
      </c>
      <c r="AK72" t="e">
        <f>AND(Bills!#REF!,"AAAAAH+/TiQ=")</f>
        <v>#REF!</v>
      </c>
      <c r="AL72" t="e">
        <f>AND(Bills!K128,"AAAAAH+/TiU=")</f>
        <v>#VALUE!</v>
      </c>
      <c r="AM72" t="e">
        <f>AND(Bills!L128,"AAAAAH+/TiY=")</f>
        <v>#VALUE!</v>
      </c>
      <c r="AN72" t="e">
        <f>AND(Bills!M128,"AAAAAH+/Tic=")</f>
        <v>#VALUE!</v>
      </c>
      <c r="AO72" t="e">
        <f>AND(Bills!N128,"AAAAAH+/Tig=")</f>
        <v>#VALUE!</v>
      </c>
      <c r="AP72" t="e">
        <f>AND(Bills!O128,"AAAAAH+/Tik=")</f>
        <v>#VALUE!</v>
      </c>
      <c r="AQ72" t="e">
        <f>AND(Bills!P128,"AAAAAH+/Tio=")</f>
        <v>#VALUE!</v>
      </c>
      <c r="AR72" t="e">
        <f>AND(Bills!Q128,"AAAAAH+/Tis=")</f>
        <v>#VALUE!</v>
      </c>
      <c r="AS72" t="e">
        <f>AND(Bills!R128,"AAAAAH+/Tiw=")</f>
        <v>#VALUE!</v>
      </c>
      <c r="AT72" t="e">
        <f>AND(Bills!#REF!,"AAAAAH+/Ti0=")</f>
        <v>#REF!</v>
      </c>
      <c r="AU72" t="e">
        <f>AND(Bills!S128,"AAAAAH+/Ti4=")</f>
        <v>#VALUE!</v>
      </c>
      <c r="AV72" t="e">
        <f>AND(Bills!T128,"AAAAAH+/Ti8=")</f>
        <v>#VALUE!</v>
      </c>
      <c r="AW72" t="e">
        <f>AND(Bills!U128,"AAAAAH+/TjA=")</f>
        <v>#VALUE!</v>
      </c>
      <c r="AX72" t="e">
        <f>AND(Bills!#REF!,"AAAAAH+/TjE=")</f>
        <v>#REF!</v>
      </c>
      <c r="AY72" t="e">
        <f>AND(Bills!#REF!,"AAAAAH+/TjI=")</f>
        <v>#REF!</v>
      </c>
      <c r="AZ72" t="e">
        <f>AND(Bills!W128,"AAAAAH+/TjM=")</f>
        <v>#VALUE!</v>
      </c>
      <c r="BA72" t="e">
        <f>AND(Bills!X128,"AAAAAH+/TjQ=")</f>
        <v>#VALUE!</v>
      </c>
      <c r="BB72" t="e">
        <f>AND(Bills!#REF!,"AAAAAH+/TjU=")</f>
        <v>#REF!</v>
      </c>
      <c r="BC72" t="e">
        <f>AND(Bills!#REF!,"AAAAAH+/TjY=")</f>
        <v>#REF!</v>
      </c>
      <c r="BD72" t="e">
        <f>AND(Bills!#REF!,"AAAAAH+/Tjc=")</f>
        <v>#REF!</v>
      </c>
      <c r="BE72" t="e">
        <f>AND(Bills!#REF!,"AAAAAH+/Tjg=")</f>
        <v>#REF!</v>
      </c>
      <c r="BF72" t="e">
        <f>AND(Bills!#REF!,"AAAAAH+/Tjk=")</f>
        <v>#REF!</v>
      </c>
      <c r="BG72" t="e">
        <f>AND(Bills!#REF!,"AAAAAH+/Tjo=")</f>
        <v>#REF!</v>
      </c>
      <c r="BH72" t="e">
        <f>AND(Bills!#REF!,"AAAAAH+/Tjs=")</f>
        <v>#REF!</v>
      </c>
      <c r="BI72" t="e">
        <f>AND(Bills!#REF!,"AAAAAH+/Tjw=")</f>
        <v>#REF!</v>
      </c>
      <c r="BJ72" t="e">
        <f>AND(Bills!#REF!,"AAAAAH+/Tj0=")</f>
        <v>#REF!</v>
      </c>
      <c r="BK72" t="e">
        <f>AND(Bills!Y128,"AAAAAH+/Tj4=")</f>
        <v>#VALUE!</v>
      </c>
      <c r="BL72" t="e">
        <f>AND(Bills!Z128,"AAAAAH+/Tj8=")</f>
        <v>#VALUE!</v>
      </c>
      <c r="BM72" t="e">
        <f>AND(Bills!#REF!,"AAAAAH+/TkA=")</f>
        <v>#REF!</v>
      </c>
      <c r="BN72" t="e">
        <f>AND(Bills!#REF!,"AAAAAH+/TkE=")</f>
        <v>#REF!</v>
      </c>
      <c r="BO72" t="e">
        <f>AND(Bills!#REF!,"AAAAAH+/TkI=")</f>
        <v>#REF!</v>
      </c>
      <c r="BP72" t="e">
        <f>AND(Bills!AA128,"AAAAAH+/TkM=")</f>
        <v>#VALUE!</v>
      </c>
      <c r="BQ72" t="e">
        <f>AND(Bills!AB128,"AAAAAH+/TkQ=")</f>
        <v>#VALUE!</v>
      </c>
      <c r="BR72" t="e">
        <f>AND(Bills!#REF!,"AAAAAH+/TkU=")</f>
        <v>#REF!</v>
      </c>
      <c r="BS72">
        <f>IF(Bills!129:129,"AAAAAH+/TkY=",0)</f>
        <v>0</v>
      </c>
      <c r="BT72" t="e">
        <f>AND(Bills!B129,"AAAAAH+/Tkc=")</f>
        <v>#VALUE!</v>
      </c>
      <c r="BU72" t="e">
        <f>AND(Bills!#REF!,"AAAAAH+/Tkg=")</f>
        <v>#REF!</v>
      </c>
      <c r="BV72" t="e">
        <f>AND(Bills!C129,"AAAAAH+/Tkk=")</f>
        <v>#VALUE!</v>
      </c>
      <c r="BW72" t="e">
        <f>AND(Bills!#REF!,"AAAAAH+/Tko=")</f>
        <v>#REF!</v>
      </c>
      <c r="BX72" t="e">
        <f>AND(Bills!#REF!,"AAAAAH+/Tks=")</f>
        <v>#REF!</v>
      </c>
      <c r="BY72" t="e">
        <f>AND(Bills!#REF!,"AAAAAH+/Tkw=")</f>
        <v>#REF!</v>
      </c>
      <c r="BZ72" t="e">
        <f>AND(Bills!#REF!,"AAAAAH+/Tk0=")</f>
        <v>#REF!</v>
      </c>
      <c r="CA72" t="e">
        <f>AND(Bills!#REF!,"AAAAAH+/Tk4=")</f>
        <v>#REF!</v>
      </c>
      <c r="CB72" t="e">
        <f>AND(Bills!D129,"AAAAAH+/Tk8=")</f>
        <v>#VALUE!</v>
      </c>
      <c r="CC72" t="e">
        <f>AND(Bills!#REF!,"AAAAAH+/TlA=")</f>
        <v>#REF!</v>
      </c>
      <c r="CD72" t="e">
        <f>AND(Bills!E129,"AAAAAH+/TlE=")</f>
        <v>#VALUE!</v>
      </c>
      <c r="CE72" t="e">
        <f>AND(Bills!F129,"AAAAAH+/TlI=")</f>
        <v>#VALUE!</v>
      </c>
      <c r="CF72" t="e">
        <f>AND(Bills!G129,"AAAAAH+/TlM=")</f>
        <v>#VALUE!</v>
      </c>
      <c r="CG72" t="e">
        <f>AND(Bills!H129,"AAAAAH+/TlQ=")</f>
        <v>#VALUE!</v>
      </c>
      <c r="CH72" t="e">
        <f>AND(Bills!I129,"AAAAAH+/TlU=")</f>
        <v>#VALUE!</v>
      </c>
      <c r="CI72" t="e">
        <f>AND(Bills!J129,"AAAAAH+/TlY=")</f>
        <v>#VALUE!</v>
      </c>
      <c r="CJ72" t="e">
        <f>AND(Bills!#REF!,"AAAAAH+/Tlc=")</f>
        <v>#REF!</v>
      </c>
      <c r="CK72" t="e">
        <f>AND(Bills!K129,"AAAAAH+/Tlg=")</f>
        <v>#VALUE!</v>
      </c>
      <c r="CL72" t="e">
        <f>AND(Bills!L129,"AAAAAH+/Tlk=")</f>
        <v>#VALUE!</v>
      </c>
      <c r="CM72" t="e">
        <f>AND(Bills!M129,"AAAAAH+/Tlo=")</f>
        <v>#VALUE!</v>
      </c>
      <c r="CN72" t="e">
        <f>AND(Bills!N129,"AAAAAH+/Tls=")</f>
        <v>#VALUE!</v>
      </c>
      <c r="CO72" t="e">
        <f>AND(Bills!O129,"AAAAAH+/Tlw=")</f>
        <v>#VALUE!</v>
      </c>
      <c r="CP72" t="e">
        <f>AND(Bills!P129,"AAAAAH+/Tl0=")</f>
        <v>#VALUE!</v>
      </c>
      <c r="CQ72" t="e">
        <f>AND(Bills!Q129,"AAAAAH+/Tl4=")</f>
        <v>#VALUE!</v>
      </c>
      <c r="CR72" t="e">
        <f>AND(Bills!R129,"AAAAAH+/Tl8=")</f>
        <v>#VALUE!</v>
      </c>
      <c r="CS72" t="e">
        <f>AND(Bills!#REF!,"AAAAAH+/TmA=")</f>
        <v>#REF!</v>
      </c>
      <c r="CT72" t="e">
        <f>AND(Bills!S129,"AAAAAH+/TmE=")</f>
        <v>#VALUE!</v>
      </c>
      <c r="CU72" t="e">
        <f>AND(Bills!T129,"AAAAAH+/TmI=")</f>
        <v>#VALUE!</v>
      </c>
      <c r="CV72" t="e">
        <f>AND(Bills!U129,"AAAAAH+/TmM=")</f>
        <v>#VALUE!</v>
      </c>
      <c r="CW72" t="e">
        <f>AND(Bills!#REF!,"AAAAAH+/TmQ=")</f>
        <v>#REF!</v>
      </c>
      <c r="CX72" t="e">
        <f>AND(Bills!#REF!,"AAAAAH+/TmU=")</f>
        <v>#REF!</v>
      </c>
      <c r="CY72" t="e">
        <f>AND(Bills!W129,"AAAAAH+/TmY=")</f>
        <v>#VALUE!</v>
      </c>
      <c r="CZ72" t="e">
        <f>AND(Bills!X129,"AAAAAH+/Tmc=")</f>
        <v>#VALUE!</v>
      </c>
      <c r="DA72" t="e">
        <f>AND(Bills!#REF!,"AAAAAH+/Tmg=")</f>
        <v>#REF!</v>
      </c>
      <c r="DB72" t="e">
        <f>AND(Bills!#REF!,"AAAAAH+/Tmk=")</f>
        <v>#REF!</v>
      </c>
      <c r="DC72" t="e">
        <f>AND(Bills!#REF!,"AAAAAH+/Tmo=")</f>
        <v>#REF!</v>
      </c>
      <c r="DD72" t="e">
        <f>AND(Bills!#REF!,"AAAAAH+/Tms=")</f>
        <v>#REF!</v>
      </c>
      <c r="DE72" t="e">
        <f>AND(Bills!#REF!,"AAAAAH+/Tmw=")</f>
        <v>#REF!</v>
      </c>
      <c r="DF72" t="e">
        <f>AND(Bills!#REF!,"AAAAAH+/Tm0=")</f>
        <v>#REF!</v>
      </c>
      <c r="DG72" t="e">
        <f>AND(Bills!#REF!,"AAAAAH+/Tm4=")</f>
        <v>#REF!</v>
      </c>
      <c r="DH72" t="e">
        <f>AND(Bills!#REF!,"AAAAAH+/Tm8=")</f>
        <v>#REF!</v>
      </c>
      <c r="DI72" t="e">
        <f>AND(Bills!#REF!,"AAAAAH+/TnA=")</f>
        <v>#REF!</v>
      </c>
      <c r="DJ72" t="e">
        <f>AND(Bills!Y129,"AAAAAH+/TnE=")</f>
        <v>#VALUE!</v>
      </c>
      <c r="DK72" t="e">
        <f>AND(Bills!Z129,"AAAAAH+/TnI=")</f>
        <v>#VALUE!</v>
      </c>
      <c r="DL72" t="e">
        <f>AND(Bills!#REF!,"AAAAAH+/TnM=")</f>
        <v>#REF!</v>
      </c>
      <c r="DM72" t="e">
        <f>AND(Bills!#REF!,"AAAAAH+/TnQ=")</f>
        <v>#REF!</v>
      </c>
      <c r="DN72" t="e">
        <f>AND(Bills!#REF!,"AAAAAH+/TnU=")</f>
        <v>#REF!</v>
      </c>
      <c r="DO72" t="e">
        <f>AND(Bills!AA129,"AAAAAH+/TnY=")</f>
        <v>#VALUE!</v>
      </c>
      <c r="DP72" t="e">
        <f>AND(Bills!AB129,"AAAAAH+/Tnc=")</f>
        <v>#VALUE!</v>
      </c>
      <c r="DQ72" t="e">
        <f>AND(Bills!#REF!,"AAAAAH+/Tng=")</f>
        <v>#REF!</v>
      </c>
      <c r="DR72">
        <f>IF(Bills!130:130,"AAAAAH+/Tnk=",0)</f>
        <v>0</v>
      </c>
      <c r="DS72" t="e">
        <f>AND(Bills!B130,"AAAAAH+/Tno=")</f>
        <v>#VALUE!</v>
      </c>
      <c r="DT72" t="e">
        <f>AND(Bills!#REF!,"AAAAAH+/Tns=")</f>
        <v>#REF!</v>
      </c>
      <c r="DU72" t="e">
        <f>AND(Bills!C130,"AAAAAH+/Tnw=")</f>
        <v>#VALUE!</v>
      </c>
      <c r="DV72" t="e">
        <f>AND(Bills!#REF!,"AAAAAH+/Tn0=")</f>
        <v>#REF!</v>
      </c>
      <c r="DW72" t="e">
        <f>AND(Bills!#REF!,"AAAAAH+/Tn4=")</f>
        <v>#REF!</v>
      </c>
      <c r="DX72" t="e">
        <f>AND(Bills!#REF!,"AAAAAH+/Tn8=")</f>
        <v>#REF!</v>
      </c>
      <c r="DY72" t="e">
        <f>AND(Bills!#REF!,"AAAAAH+/ToA=")</f>
        <v>#REF!</v>
      </c>
      <c r="DZ72" t="e">
        <f>AND(Bills!#REF!,"AAAAAH+/ToE=")</f>
        <v>#REF!</v>
      </c>
      <c r="EA72" t="e">
        <f>AND(Bills!D130,"AAAAAH+/ToI=")</f>
        <v>#VALUE!</v>
      </c>
      <c r="EB72" t="e">
        <f>AND(Bills!#REF!,"AAAAAH+/ToM=")</f>
        <v>#REF!</v>
      </c>
      <c r="EC72" t="e">
        <f>AND(Bills!E130,"AAAAAH+/ToQ=")</f>
        <v>#VALUE!</v>
      </c>
      <c r="ED72" t="e">
        <f>AND(Bills!F130,"AAAAAH+/ToU=")</f>
        <v>#VALUE!</v>
      </c>
      <c r="EE72" t="e">
        <f>AND(Bills!G130,"AAAAAH+/ToY=")</f>
        <v>#VALUE!</v>
      </c>
      <c r="EF72" t="e">
        <f>AND(Bills!H130,"AAAAAH+/Toc=")</f>
        <v>#VALUE!</v>
      </c>
      <c r="EG72" t="e">
        <f>AND(Bills!I130,"AAAAAH+/Tog=")</f>
        <v>#VALUE!</v>
      </c>
      <c r="EH72" t="e">
        <f>AND(Bills!J130,"AAAAAH+/Tok=")</f>
        <v>#VALUE!</v>
      </c>
      <c r="EI72" t="e">
        <f>AND(Bills!#REF!,"AAAAAH+/Too=")</f>
        <v>#REF!</v>
      </c>
      <c r="EJ72" t="e">
        <f>AND(Bills!K130,"AAAAAH+/Tos=")</f>
        <v>#VALUE!</v>
      </c>
      <c r="EK72" t="e">
        <f>AND(Bills!L130,"AAAAAH+/Tow=")</f>
        <v>#VALUE!</v>
      </c>
      <c r="EL72" t="e">
        <f>AND(Bills!M130,"AAAAAH+/To0=")</f>
        <v>#VALUE!</v>
      </c>
      <c r="EM72" t="e">
        <f>AND(Bills!N130,"AAAAAH+/To4=")</f>
        <v>#VALUE!</v>
      </c>
      <c r="EN72" t="e">
        <f>AND(Bills!O130,"AAAAAH+/To8=")</f>
        <v>#VALUE!</v>
      </c>
      <c r="EO72" t="e">
        <f>AND(Bills!P130,"AAAAAH+/TpA=")</f>
        <v>#VALUE!</v>
      </c>
      <c r="EP72" t="e">
        <f>AND(Bills!Q130,"AAAAAH+/TpE=")</f>
        <v>#VALUE!</v>
      </c>
      <c r="EQ72" t="e">
        <f>AND(Bills!R130,"AAAAAH+/TpI=")</f>
        <v>#VALUE!</v>
      </c>
      <c r="ER72" t="e">
        <f>AND(Bills!#REF!,"AAAAAH+/TpM=")</f>
        <v>#REF!</v>
      </c>
      <c r="ES72" t="e">
        <f>AND(Bills!S130,"AAAAAH+/TpQ=")</f>
        <v>#VALUE!</v>
      </c>
      <c r="ET72" t="e">
        <f>AND(Bills!T130,"AAAAAH+/TpU=")</f>
        <v>#VALUE!</v>
      </c>
      <c r="EU72" t="e">
        <f>AND(Bills!U130,"AAAAAH+/TpY=")</f>
        <v>#VALUE!</v>
      </c>
      <c r="EV72" t="e">
        <f>AND(Bills!#REF!,"AAAAAH+/Tpc=")</f>
        <v>#REF!</v>
      </c>
      <c r="EW72" t="e">
        <f>AND(Bills!#REF!,"AAAAAH+/Tpg=")</f>
        <v>#REF!</v>
      </c>
      <c r="EX72" t="e">
        <f>AND(Bills!W130,"AAAAAH+/Tpk=")</f>
        <v>#VALUE!</v>
      </c>
      <c r="EY72" t="e">
        <f>AND(Bills!X130,"AAAAAH+/Tpo=")</f>
        <v>#VALUE!</v>
      </c>
      <c r="EZ72" t="e">
        <f>AND(Bills!#REF!,"AAAAAH+/Tps=")</f>
        <v>#REF!</v>
      </c>
      <c r="FA72" t="e">
        <f>AND(Bills!#REF!,"AAAAAH+/Tpw=")</f>
        <v>#REF!</v>
      </c>
      <c r="FB72" t="e">
        <f>AND(Bills!#REF!,"AAAAAH+/Tp0=")</f>
        <v>#REF!</v>
      </c>
      <c r="FC72" t="e">
        <f>AND(Bills!#REF!,"AAAAAH+/Tp4=")</f>
        <v>#REF!</v>
      </c>
      <c r="FD72" t="e">
        <f>AND(Bills!#REF!,"AAAAAH+/Tp8=")</f>
        <v>#REF!</v>
      </c>
      <c r="FE72" t="e">
        <f>AND(Bills!#REF!,"AAAAAH+/TqA=")</f>
        <v>#REF!</v>
      </c>
      <c r="FF72" t="e">
        <f>AND(Bills!#REF!,"AAAAAH+/TqE=")</f>
        <v>#REF!</v>
      </c>
      <c r="FG72" t="e">
        <f>AND(Bills!#REF!,"AAAAAH+/TqI=")</f>
        <v>#REF!</v>
      </c>
      <c r="FH72" t="e">
        <f>AND(Bills!#REF!,"AAAAAH+/TqM=")</f>
        <v>#REF!</v>
      </c>
      <c r="FI72" t="e">
        <f>AND(Bills!Y130,"AAAAAH+/TqQ=")</f>
        <v>#VALUE!</v>
      </c>
      <c r="FJ72" t="e">
        <f>AND(Bills!Z130,"AAAAAH+/TqU=")</f>
        <v>#VALUE!</v>
      </c>
      <c r="FK72" t="e">
        <f>AND(Bills!#REF!,"AAAAAH+/TqY=")</f>
        <v>#REF!</v>
      </c>
      <c r="FL72" t="e">
        <f>AND(Bills!#REF!,"AAAAAH+/Tqc=")</f>
        <v>#REF!</v>
      </c>
      <c r="FM72" t="e">
        <f>AND(Bills!#REF!,"AAAAAH+/Tqg=")</f>
        <v>#REF!</v>
      </c>
      <c r="FN72" t="e">
        <f>AND(Bills!AA130,"AAAAAH+/Tqk=")</f>
        <v>#VALUE!</v>
      </c>
      <c r="FO72" t="e">
        <f>AND(Bills!AB130,"AAAAAH+/Tqo=")</f>
        <v>#VALUE!</v>
      </c>
      <c r="FP72" t="e">
        <f>AND(Bills!#REF!,"AAAAAH+/Tqs=")</f>
        <v>#REF!</v>
      </c>
      <c r="FQ72">
        <f>IF(Bills!131:131,"AAAAAH+/Tqw=",0)</f>
        <v>0</v>
      </c>
      <c r="FR72" t="e">
        <f>AND(Bills!B131,"AAAAAH+/Tq0=")</f>
        <v>#VALUE!</v>
      </c>
      <c r="FS72" t="e">
        <f>AND(Bills!#REF!,"AAAAAH+/Tq4=")</f>
        <v>#REF!</v>
      </c>
      <c r="FT72" t="e">
        <f>AND(Bills!C131,"AAAAAH+/Tq8=")</f>
        <v>#VALUE!</v>
      </c>
      <c r="FU72" t="e">
        <f>AND(Bills!#REF!,"AAAAAH+/TrA=")</f>
        <v>#REF!</v>
      </c>
      <c r="FV72" t="e">
        <f>AND(Bills!#REF!,"AAAAAH+/TrE=")</f>
        <v>#REF!</v>
      </c>
      <c r="FW72" t="e">
        <f>AND(Bills!#REF!,"AAAAAH+/TrI=")</f>
        <v>#REF!</v>
      </c>
      <c r="FX72" t="e">
        <f>AND(Bills!#REF!,"AAAAAH+/TrM=")</f>
        <v>#REF!</v>
      </c>
      <c r="FY72" t="e">
        <f>AND(Bills!#REF!,"AAAAAH+/TrQ=")</f>
        <v>#REF!</v>
      </c>
      <c r="FZ72" t="e">
        <f>AND(Bills!D131,"AAAAAH+/TrU=")</f>
        <v>#VALUE!</v>
      </c>
      <c r="GA72" t="e">
        <f>AND(Bills!#REF!,"AAAAAH+/TrY=")</f>
        <v>#REF!</v>
      </c>
      <c r="GB72" t="e">
        <f>AND(Bills!E131,"AAAAAH+/Trc=")</f>
        <v>#VALUE!</v>
      </c>
      <c r="GC72" t="e">
        <f>AND(Bills!F131,"AAAAAH+/Trg=")</f>
        <v>#VALUE!</v>
      </c>
      <c r="GD72" t="e">
        <f>AND(Bills!G131,"AAAAAH+/Trk=")</f>
        <v>#VALUE!</v>
      </c>
      <c r="GE72" t="e">
        <f>AND(Bills!H131,"AAAAAH+/Tro=")</f>
        <v>#VALUE!</v>
      </c>
      <c r="GF72" t="e">
        <f>AND(Bills!I131,"AAAAAH+/Trs=")</f>
        <v>#VALUE!</v>
      </c>
      <c r="GG72" t="e">
        <f>AND(Bills!J131,"AAAAAH+/Trw=")</f>
        <v>#VALUE!</v>
      </c>
      <c r="GH72" t="e">
        <f>AND(Bills!#REF!,"AAAAAH+/Tr0=")</f>
        <v>#REF!</v>
      </c>
      <c r="GI72" t="e">
        <f>AND(Bills!K131,"AAAAAH+/Tr4=")</f>
        <v>#VALUE!</v>
      </c>
      <c r="GJ72" t="e">
        <f>AND(Bills!L131,"AAAAAH+/Tr8=")</f>
        <v>#VALUE!</v>
      </c>
      <c r="GK72" t="e">
        <f>AND(Bills!M131,"AAAAAH+/TsA=")</f>
        <v>#VALUE!</v>
      </c>
      <c r="GL72" t="e">
        <f>AND(Bills!N131,"AAAAAH+/TsE=")</f>
        <v>#VALUE!</v>
      </c>
      <c r="GM72" t="e">
        <f>AND(Bills!O131,"AAAAAH+/TsI=")</f>
        <v>#VALUE!</v>
      </c>
      <c r="GN72" t="e">
        <f>AND(Bills!P131,"AAAAAH+/TsM=")</f>
        <v>#VALUE!</v>
      </c>
      <c r="GO72" t="e">
        <f>AND(Bills!Q131,"AAAAAH+/TsQ=")</f>
        <v>#VALUE!</v>
      </c>
      <c r="GP72" t="e">
        <f>AND(Bills!R131,"AAAAAH+/TsU=")</f>
        <v>#VALUE!</v>
      </c>
      <c r="GQ72" t="e">
        <f>AND(Bills!#REF!,"AAAAAH+/TsY=")</f>
        <v>#REF!</v>
      </c>
      <c r="GR72" t="e">
        <f>AND(Bills!S131,"AAAAAH+/Tsc=")</f>
        <v>#VALUE!</v>
      </c>
      <c r="GS72" t="e">
        <f>AND(Bills!T131,"AAAAAH+/Tsg=")</f>
        <v>#VALUE!</v>
      </c>
      <c r="GT72" t="e">
        <f>AND(Bills!U131,"AAAAAH+/Tsk=")</f>
        <v>#VALUE!</v>
      </c>
      <c r="GU72" t="e">
        <f>AND(Bills!#REF!,"AAAAAH+/Tso=")</f>
        <v>#REF!</v>
      </c>
      <c r="GV72" t="e">
        <f>AND(Bills!#REF!,"AAAAAH+/Tss=")</f>
        <v>#REF!</v>
      </c>
      <c r="GW72" t="e">
        <f>AND(Bills!W131,"AAAAAH+/Tsw=")</f>
        <v>#VALUE!</v>
      </c>
      <c r="GX72" t="e">
        <f>AND(Bills!X131,"AAAAAH+/Ts0=")</f>
        <v>#VALUE!</v>
      </c>
      <c r="GY72" t="e">
        <f>AND(Bills!#REF!,"AAAAAH+/Ts4=")</f>
        <v>#REF!</v>
      </c>
      <c r="GZ72" t="e">
        <f>AND(Bills!#REF!,"AAAAAH+/Ts8=")</f>
        <v>#REF!</v>
      </c>
      <c r="HA72" t="e">
        <f>AND(Bills!#REF!,"AAAAAH+/TtA=")</f>
        <v>#REF!</v>
      </c>
      <c r="HB72" t="e">
        <f>AND(Bills!#REF!,"AAAAAH+/TtE=")</f>
        <v>#REF!</v>
      </c>
      <c r="HC72" t="e">
        <f>AND(Bills!#REF!,"AAAAAH+/TtI=")</f>
        <v>#REF!</v>
      </c>
      <c r="HD72" t="e">
        <f>AND(Bills!#REF!,"AAAAAH+/TtM=")</f>
        <v>#REF!</v>
      </c>
      <c r="HE72" t="e">
        <f>AND(Bills!#REF!,"AAAAAH+/TtQ=")</f>
        <v>#REF!</v>
      </c>
      <c r="HF72" t="e">
        <f>AND(Bills!#REF!,"AAAAAH+/TtU=")</f>
        <v>#REF!</v>
      </c>
      <c r="HG72" t="e">
        <f>AND(Bills!#REF!,"AAAAAH+/TtY=")</f>
        <v>#REF!</v>
      </c>
      <c r="HH72" t="e">
        <f>AND(Bills!Y131,"AAAAAH+/Ttc=")</f>
        <v>#VALUE!</v>
      </c>
      <c r="HI72" t="e">
        <f>AND(Bills!Z131,"AAAAAH+/Ttg=")</f>
        <v>#VALUE!</v>
      </c>
      <c r="HJ72" t="e">
        <f>AND(Bills!#REF!,"AAAAAH+/Ttk=")</f>
        <v>#REF!</v>
      </c>
      <c r="HK72" t="e">
        <f>AND(Bills!#REF!,"AAAAAH+/Tto=")</f>
        <v>#REF!</v>
      </c>
      <c r="HL72" t="e">
        <f>AND(Bills!#REF!,"AAAAAH+/Tts=")</f>
        <v>#REF!</v>
      </c>
      <c r="HM72" t="e">
        <f>AND(Bills!AA131,"AAAAAH+/Ttw=")</f>
        <v>#VALUE!</v>
      </c>
      <c r="HN72" t="e">
        <f>AND(Bills!AB131,"AAAAAH+/Tt0=")</f>
        <v>#VALUE!</v>
      </c>
      <c r="HO72" t="e">
        <f>AND(Bills!#REF!,"AAAAAH+/Tt4=")</f>
        <v>#REF!</v>
      </c>
      <c r="HP72">
        <f>IF(Bills!132:132,"AAAAAH+/Tt8=",0)</f>
        <v>0</v>
      </c>
      <c r="HQ72" t="e">
        <f>AND(Bills!B132,"AAAAAH+/TuA=")</f>
        <v>#VALUE!</v>
      </c>
      <c r="HR72" t="e">
        <f>AND(Bills!#REF!,"AAAAAH+/TuE=")</f>
        <v>#REF!</v>
      </c>
      <c r="HS72" t="e">
        <f>AND(Bills!C132,"AAAAAH+/TuI=")</f>
        <v>#VALUE!</v>
      </c>
      <c r="HT72" t="e">
        <f>AND(Bills!#REF!,"AAAAAH+/TuM=")</f>
        <v>#REF!</v>
      </c>
      <c r="HU72" t="e">
        <f>AND(Bills!#REF!,"AAAAAH+/TuQ=")</f>
        <v>#REF!</v>
      </c>
      <c r="HV72" t="e">
        <f>AND(Bills!#REF!,"AAAAAH+/TuU=")</f>
        <v>#REF!</v>
      </c>
      <c r="HW72" t="e">
        <f>AND(Bills!#REF!,"AAAAAH+/TuY=")</f>
        <v>#REF!</v>
      </c>
      <c r="HX72" t="e">
        <f>AND(Bills!#REF!,"AAAAAH+/Tuc=")</f>
        <v>#REF!</v>
      </c>
      <c r="HY72" t="e">
        <f>AND(Bills!D132,"AAAAAH+/Tug=")</f>
        <v>#VALUE!</v>
      </c>
      <c r="HZ72" t="e">
        <f>AND(Bills!#REF!,"AAAAAH+/Tuk=")</f>
        <v>#REF!</v>
      </c>
      <c r="IA72" t="e">
        <f>AND(Bills!E132,"AAAAAH+/Tuo=")</f>
        <v>#VALUE!</v>
      </c>
      <c r="IB72" t="e">
        <f>AND(Bills!F132,"AAAAAH+/Tus=")</f>
        <v>#VALUE!</v>
      </c>
      <c r="IC72" t="e">
        <f>AND(Bills!G132,"AAAAAH+/Tuw=")</f>
        <v>#VALUE!</v>
      </c>
      <c r="ID72" t="e">
        <f>AND(Bills!H132,"AAAAAH+/Tu0=")</f>
        <v>#VALUE!</v>
      </c>
      <c r="IE72" t="e">
        <f>AND(Bills!I132,"AAAAAH+/Tu4=")</f>
        <v>#VALUE!</v>
      </c>
      <c r="IF72" t="e">
        <f>AND(Bills!J132,"AAAAAH+/Tu8=")</f>
        <v>#VALUE!</v>
      </c>
      <c r="IG72" t="e">
        <f>AND(Bills!#REF!,"AAAAAH+/TvA=")</f>
        <v>#REF!</v>
      </c>
      <c r="IH72" t="e">
        <f>AND(Bills!K132,"AAAAAH+/TvE=")</f>
        <v>#VALUE!</v>
      </c>
      <c r="II72" t="e">
        <f>AND(Bills!L132,"AAAAAH+/TvI=")</f>
        <v>#VALUE!</v>
      </c>
      <c r="IJ72" t="e">
        <f>AND(Bills!M132,"AAAAAH+/TvM=")</f>
        <v>#VALUE!</v>
      </c>
      <c r="IK72" t="e">
        <f>AND(Bills!N132,"AAAAAH+/TvQ=")</f>
        <v>#VALUE!</v>
      </c>
      <c r="IL72" t="e">
        <f>AND(Bills!O132,"AAAAAH+/TvU=")</f>
        <v>#VALUE!</v>
      </c>
      <c r="IM72" t="e">
        <f>AND(Bills!P132,"AAAAAH+/TvY=")</f>
        <v>#VALUE!</v>
      </c>
      <c r="IN72" t="e">
        <f>AND(Bills!Q132,"AAAAAH+/Tvc=")</f>
        <v>#VALUE!</v>
      </c>
      <c r="IO72" t="e">
        <f>AND(Bills!R132,"AAAAAH+/Tvg=")</f>
        <v>#VALUE!</v>
      </c>
      <c r="IP72" t="e">
        <f>AND(Bills!#REF!,"AAAAAH+/Tvk=")</f>
        <v>#REF!</v>
      </c>
      <c r="IQ72" t="e">
        <f>AND(Bills!S132,"AAAAAH+/Tvo=")</f>
        <v>#VALUE!</v>
      </c>
      <c r="IR72" t="e">
        <f>AND(Bills!T132,"AAAAAH+/Tvs=")</f>
        <v>#VALUE!</v>
      </c>
      <c r="IS72" t="e">
        <f>AND(Bills!U132,"AAAAAH+/Tvw=")</f>
        <v>#VALUE!</v>
      </c>
      <c r="IT72" t="e">
        <f>AND(Bills!#REF!,"AAAAAH+/Tv0=")</f>
        <v>#REF!</v>
      </c>
      <c r="IU72" t="e">
        <f>AND(Bills!#REF!,"AAAAAH+/Tv4=")</f>
        <v>#REF!</v>
      </c>
      <c r="IV72" t="e">
        <f>AND(Bills!W132,"AAAAAH+/Tv8=")</f>
        <v>#VALUE!</v>
      </c>
    </row>
    <row r="73" spans="1:256">
      <c r="A73" t="e">
        <f>AND(Bills!X132,"AAAAAH313gA=")</f>
        <v>#VALUE!</v>
      </c>
      <c r="B73" t="e">
        <f>AND(Bills!#REF!,"AAAAAH313gE=")</f>
        <v>#REF!</v>
      </c>
      <c r="C73" t="e">
        <f>AND(Bills!#REF!,"AAAAAH313gI=")</f>
        <v>#REF!</v>
      </c>
      <c r="D73" t="e">
        <f>AND(Bills!#REF!,"AAAAAH313gM=")</f>
        <v>#REF!</v>
      </c>
      <c r="E73" t="e">
        <f>AND(Bills!#REF!,"AAAAAH313gQ=")</f>
        <v>#REF!</v>
      </c>
      <c r="F73" t="e">
        <f>AND(Bills!#REF!,"AAAAAH313gU=")</f>
        <v>#REF!</v>
      </c>
      <c r="G73" t="e">
        <f>AND(Bills!#REF!,"AAAAAH313gY=")</f>
        <v>#REF!</v>
      </c>
      <c r="H73" t="e">
        <f>AND(Bills!#REF!,"AAAAAH313gc=")</f>
        <v>#REF!</v>
      </c>
      <c r="I73" t="e">
        <f>AND(Bills!#REF!,"AAAAAH313gg=")</f>
        <v>#REF!</v>
      </c>
      <c r="J73" t="e">
        <f>AND(Bills!#REF!,"AAAAAH313gk=")</f>
        <v>#REF!</v>
      </c>
      <c r="K73" t="e">
        <f>AND(Bills!Y132,"AAAAAH313go=")</f>
        <v>#VALUE!</v>
      </c>
      <c r="L73" t="e">
        <f>AND(Bills!Z132,"AAAAAH313gs=")</f>
        <v>#VALUE!</v>
      </c>
      <c r="M73" t="e">
        <f>AND(Bills!#REF!,"AAAAAH313gw=")</f>
        <v>#REF!</v>
      </c>
      <c r="N73" t="e">
        <f>AND(Bills!#REF!,"AAAAAH313g0=")</f>
        <v>#REF!</v>
      </c>
      <c r="O73" t="e">
        <f>AND(Bills!#REF!,"AAAAAH313g4=")</f>
        <v>#REF!</v>
      </c>
      <c r="P73" t="e">
        <f>AND(Bills!AA132,"AAAAAH313g8=")</f>
        <v>#VALUE!</v>
      </c>
      <c r="Q73" t="e">
        <f>AND(Bills!AB132,"AAAAAH313hA=")</f>
        <v>#VALUE!</v>
      </c>
      <c r="R73" t="e">
        <f>AND(Bills!#REF!,"AAAAAH313hE=")</f>
        <v>#REF!</v>
      </c>
      <c r="S73">
        <f>IF(Bills!133:133,"AAAAAH313hI=",0)</f>
        <v>0</v>
      </c>
      <c r="T73" t="e">
        <f>AND(Bills!B133,"AAAAAH313hM=")</f>
        <v>#VALUE!</v>
      </c>
      <c r="U73" t="e">
        <f>AND(Bills!#REF!,"AAAAAH313hQ=")</f>
        <v>#REF!</v>
      </c>
      <c r="V73" t="e">
        <f>AND(Bills!C133,"AAAAAH313hU=")</f>
        <v>#VALUE!</v>
      </c>
      <c r="W73" t="e">
        <f>AND(Bills!#REF!,"AAAAAH313hY=")</f>
        <v>#REF!</v>
      </c>
      <c r="X73" t="e">
        <f>AND(Bills!#REF!,"AAAAAH313hc=")</f>
        <v>#REF!</v>
      </c>
      <c r="Y73" t="e">
        <f>AND(Bills!#REF!,"AAAAAH313hg=")</f>
        <v>#REF!</v>
      </c>
      <c r="Z73" t="e">
        <f>AND(Bills!#REF!,"AAAAAH313hk=")</f>
        <v>#REF!</v>
      </c>
      <c r="AA73" t="e">
        <f>AND(Bills!#REF!,"AAAAAH313ho=")</f>
        <v>#REF!</v>
      </c>
      <c r="AB73" t="e">
        <f>AND(Bills!D133,"AAAAAH313hs=")</f>
        <v>#VALUE!</v>
      </c>
      <c r="AC73" t="e">
        <f>AND(Bills!#REF!,"AAAAAH313hw=")</f>
        <v>#REF!</v>
      </c>
      <c r="AD73" t="e">
        <f>AND(Bills!E133,"AAAAAH313h0=")</f>
        <v>#VALUE!</v>
      </c>
      <c r="AE73" t="e">
        <f>AND(Bills!F133,"AAAAAH313h4=")</f>
        <v>#VALUE!</v>
      </c>
      <c r="AF73" t="e">
        <f>AND(Bills!G133,"AAAAAH313h8=")</f>
        <v>#VALUE!</v>
      </c>
      <c r="AG73" t="e">
        <f>AND(Bills!H133,"AAAAAH313iA=")</f>
        <v>#VALUE!</v>
      </c>
      <c r="AH73" t="e">
        <f>AND(Bills!I133,"AAAAAH313iE=")</f>
        <v>#VALUE!</v>
      </c>
      <c r="AI73" t="e">
        <f>AND(Bills!J133,"AAAAAH313iI=")</f>
        <v>#VALUE!</v>
      </c>
      <c r="AJ73" t="e">
        <f>AND(Bills!#REF!,"AAAAAH313iM=")</f>
        <v>#REF!</v>
      </c>
      <c r="AK73" t="e">
        <f>AND(Bills!K133,"AAAAAH313iQ=")</f>
        <v>#VALUE!</v>
      </c>
      <c r="AL73" t="e">
        <f>AND(Bills!L133,"AAAAAH313iU=")</f>
        <v>#VALUE!</v>
      </c>
      <c r="AM73" t="e">
        <f>AND(Bills!M133,"AAAAAH313iY=")</f>
        <v>#VALUE!</v>
      </c>
      <c r="AN73" t="e">
        <f>AND(Bills!N133,"AAAAAH313ic=")</f>
        <v>#VALUE!</v>
      </c>
      <c r="AO73" t="e">
        <f>AND(Bills!O133,"AAAAAH313ig=")</f>
        <v>#VALUE!</v>
      </c>
      <c r="AP73" t="e">
        <f>AND(Bills!P133,"AAAAAH313ik=")</f>
        <v>#VALUE!</v>
      </c>
      <c r="AQ73" t="e">
        <f>AND(Bills!Q133,"AAAAAH313io=")</f>
        <v>#VALUE!</v>
      </c>
      <c r="AR73" t="e">
        <f>AND(Bills!R133,"AAAAAH313is=")</f>
        <v>#VALUE!</v>
      </c>
      <c r="AS73" t="e">
        <f>AND(Bills!#REF!,"AAAAAH313iw=")</f>
        <v>#REF!</v>
      </c>
      <c r="AT73" t="e">
        <f>AND(Bills!S133,"AAAAAH313i0=")</f>
        <v>#VALUE!</v>
      </c>
      <c r="AU73" t="e">
        <f>AND(Bills!T133,"AAAAAH313i4=")</f>
        <v>#VALUE!</v>
      </c>
      <c r="AV73" t="e">
        <f>AND(Bills!U133,"AAAAAH313i8=")</f>
        <v>#VALUE!</v>
      </c>
      <c r="AW73" t="e">
        <f>AND(Bills!#REF!,"AAAAAH313jA=")</f>
        <v>#REF!</v>
      </c>
      <c r="AX73" t="e">
        <f>AND(Bills!#REF!,"AAAAAH313jE=")</f>
        <v>#REF!</v>
      </c>
      <c r="AY73" t="e">
        <f>AND(Bills!W133,"AAAAAH313jI=")</f>
        <v>#VALUE!</v>
      </c>
      <c r="AZ73" t="e">
        <f>AND(Bills!X133,"AAAAAH313jM=")</f>
        <v>#VALUE!</v>
      </c>
      <c r="BA73" t="e">
        <f>AND(Bills!#REF!,"AAAAAH313jQ=")</f>
        <v>#REF!</v>
      </c>
      <c r="BB73" t="e">
        <f>AND(Bills!#REF!,"AAAAAH313jU=")</f>
        <v>#REF!</v>
      </c>
      <c r="BC73" t="e">
        <f>AND(Bills!#REF!,"AAAAAH313jY=")</f>
        <v>#REF!</v>
      </c>
      <c r="BD73" t="e">
        <f>AND(Bills!#REF!,"AAAAAH313jc=")</f>
        <v>#REF!</v>
      </c>
      <c r="BE73" t="e">
        <f>AND(Bills!#REF!,"AAAAAH313jg=")</f>
        <v>#REF!</v>
      </c>
      <c r="BF73" t="e">
        <f>AND(Bills!#REF!,"AAAAAH313jk=")</f>
        <v>#REF!</v>
      </c>
      <c r="BG73" t="e">
        <f>AND(Bills!#REF!,"AAAAAH313jo=")</f>
        <v>#REF!</v>
      </c>
      <c r="BH73" t="e">
        <f>AND(Bills!#REF!,"AAAAAH313js=")</f>
        <v>#REF!</v>
      </c>
      <c r="BI73" t="e">
        <f>AND(Bills!#REF!,"AAAAAH313jw=")</f>
        <v>#REF!</v>
      </c>
      <c r="BJ73" t="e">
        <f>AND(Bills!Y133,"AAAAAH313j0=")</f>
        <v>#VALUE!</v>
      </c>
      <c r="BK73" t="e">
        <f>AND(Bills!Z133,"AAAAAH313j4=")</f>
        <v>#VALUE!</v>
      </c>
      <c r="BL73" t="e">
        <f>AND(Bills!#REF!,"AAAAAH313j8=")</f>
        <v>#REF!</v>
      </c>
      <c r="BM73" t="e">
        <f>AND(Bills!#REF!,"AAAAAH313kA=")</f>
        <v>#REF!</v>
      </c>
      <c r="BN73" t="e">
        <f>AND(Bills!#REF!,"AAAAAH313kE=")</f>
        <v>#REF!</v>
      </c>
      <c r="BO73" t="e">
        <f>AND(Bills!AA133,"AAAAAH313kI=")</f>
        <v>#VALUE!</v>
      </c>
      <c r="BP73" t="e">
        <f>AND(Bills!AB133,"AAAAAH313kM=")</f>
        <v>#VALUE!</v>
      </c>
      <c r="BQ73" t="e">
        <f>AND(Bills!#REF!,"AAAAAH313kQ=")</f>
        <v>#REF!</v>
      </c>
      <c r="BR73">
        <f>IF(Bills!134:134,"AAAAAH313kU=",0)</f>
        <v>0</v>
      </c>
      <c r="BS73" t="e">
        <f>AND(Bills!B134,"AAAAAH313kY=")</f>
        <v>#VALUE!</v>
      </c>
      <c r="BT73" t="e">
        <f>AND(Bills!#REF!,"AAAAAH313kc=")</f>
        <v>#REF!</v>
      </c>
      <c r="BU73" t="e">
        <f>AND(Bills!C134,"AAAAAH313kg=")</f>
        <v>#VALUE!</v>
      </c>
      <c r="BV73" t="e">
        <f>AND(Bills!#REF!,"AAAAAH313kk=")</f>
        <v>#REF!</v>
      </c>
      <c r="BW73" t="e">
        <f>AND(Bills!#REF!,"AAAAAH313ko=")</f>
        <v>#REF!</v>
      </c>
      <c r="BX73" t="e">
        <f>AND(Bills!#REF!,"AAAAAH313ks=")</f>
        <v>#REF!</v>
      </c>
      <c r="BY73" t="e">
        <f>AND(Bills!#REF!,"AAAAAH313kw=")</f>
        <v>#REF!</v>
      </c>
      <c r="BZ73" t="e">
        <f>AND(Bills!#REF!,"AAAAAH313k0=")</f>
        <v>#REF!</v>
      </c>
      <c r="CA73" t="e">
        <f>AND(Bills!D134,"AAAAAH313k4=")</f>
        <v>#VALUE!</v>
      </c>
      <c r="CB73" t="e">
        <f>AND(Bills!#REF!,"AAAAAH313k8=")</f>
        <v>#REF!</v>
      </c>
      <c r="CC73" t="e">
        <f>AND(Bills!E134,"AAAAAH313lA=")</f>
        <v>#VALUE!</v>
      </c>
      <c r="CD73" t="e">
        <f>AND(Bills!F134,"AAAAAH313lE=")</f>
        <v>#VALUE!</v>
      </c>
      <c r="CE73" t="e">
        <f>AND(Bills!G134,"AAAAAH313lI=")</f>
        <v>#VALUE!</v>
      </c>
      <c r="CF73" t="e">
        <f>AND(Bills!H134,"AAAAAH313lM=")</f>
        <v>#VALUE!</v>
      </c>
      <c r="CG73" t="e">
        <f>AND(Bills!I134,"AAAAAH313lQ=")</f>
        <v>#VALUE!</v>
      </c>
      <c r="CH73" t="e">
        <f>AND(Bills!J134,"AAAAAH313lU=")</f>
        <v>#VALUE!</v>
      </c>
      <c r="CI73" t="e">
        <f>AND(Bills!#REF!,"AAAAAH313lY=")</f>
        <v>#REF!</v>
      </c>
      <c r="CJ73" t="e">
        <f>AND(Bills!K134,"AAAAAH313lc=")</f>
        <v>#VALUE!</v>
      </c>
      <c r="CK73" t="e">
        <f>AND(Bills!L134,"AAAAAH313lg=")</f>
        <v>#VALUE!</v>
      </c>
      <c r="CL73" t="e">
        <f>AND(Bills!M134,"AAAAAH313lk=")</f>
        <v>#VALUE!</v>
      </c>
      <c r="CM73" t="e">
        <f>AND(Bills!N134,"AAAAAH313lo=")</f>
        <v>#VALUE!</v>
      </c>
      <c r="CN73" t="e">
        <f>AND(Bills!O134,"AAAAAH313ls=")</f>
        <v>#VALUE!</v>
      </c>
      <c r="CO73" t="e">
        <f>AND(Bills!P134,"AAAAAH313lw=")</f>
        <v>#VALUE!</v>
      </c>
      <c r="CP73" t="e">
        <f>AND(Bills!Q134,"AAAAAH313l0=")</f>
        <v>#VALUE!</v>
      </c>
      <c r="CQ73" t="e">
        <f>AND(Bills!R134,"AAAAAH313l4=")</f>
        <v>#VALUE!</v>
      </c>
      <c r="CR73" t="e">
        <f>AND(Bills!#REF!,"AAAAAH313l8=")</f>
        <v>#REF!</v>
      </c>
      <c r="CS73" t="e">
        <f>AND(Bills!S134,"AAAAAH313mA=")</f>
        <v>#VALUE!</v>
      </c>
      <c r="CT73" t="e">
        <f>AND(Bills!T134,"AAAAAH313mE=")</f>
        <v>#VALUE!</v>
      </c>
      <c r="CU73" t="e">
        <f>AND(Bills!U134,"AAAAAH313mI=")</f>
        <v>#VALUE!</v>
      </c>
      <c r="CV73" t="e">
        <f>AND(Bills!#REF!,"AAAAAH313mM=")</f>
        <v>#REF!</v>
      </c>
      <c r="CW73" t="e">
        <f>AND(Bills!#REF!,"AAAAAH313mQ=")</f>
        <v>#REF!</v>
      </c>
      <c r="CX73" t="e">
        <f>AND(Bills!W134,"AAAAAH313mU=")</f>
        <v>#VALUE!</v>
      </c>
      <c r="CY73" t="e">
        <f>AND(Bills!X134,"AAAAAH313mY=")</f>
        <v>#VALUE!</v>
      </c>
      <c r="CZ73" t="e">
        <f>AND(Bills!#REF!,"AAAAAH313mc=")</f>
        <v>#REF!</v>
      </c>
      <c r="DA73" t="e">
        <f>AND(Bills!#REF!,"AAAAAH313mg=")</f>
        <v>#REF!</v>
      </c>
      <c r="DB73" t="e">
        <f>AND(Bills!#REF!,"AAAAAH313mk=")</f>
        <v>#REF!</v>
      </c>
      <c r="DC73" t="e">
        <f>AND(Bills!#REF!,"AAAAAH313mo=")</f>
        <v>#REF!</v>
      </c>
      <c r="DD73" t="e">
        <f>AND(Bills!#REF!,"AAAAAH313ms=")</f>
        <v>#REF!</v>
      </c>
      <c r="DE73" t="e">
        <f>AND(Bills!#REF!,"AAAAAH313mw=")</f>
        <v>#REF!</v>
      </c>
      <c r="DF73" t="e">
        <f>AND(Bills!#REF!,"AAAAAH313m0=")</f>
        <v>#REF!</v>
      </c>
      <c r="DG73" t="e">
        <f>AND(Bills!#REF!,"AAAAAH313m4=")</f>
        <v>#REF!</v>
      </c>
      <c r="DH73" t="e">
        <f>AND(Bills!#REF!,"AAAAAH313m8=")</f>
        <v>#REF!</v>
      </c>
      <c r="DI73" t="e">
        <f>AND(Bills!Y134,"AAAAAH313nA=")</f>
        <v>#VALUE!</v>
      </c>
      <c r="DJ73" t="e">
        <f>AND(Bills!Z134,"AAAAAH313nE=")</f>
        <v>#VALUE!</v>
      </c>
      <c r="DK73" t="e">
        <f>AND(Bills!#REF!,"AAAAAH313nI=")</f>
        <v>#REF!</v>
      </c>
      <c r="DL73" t="e">
        <f>AND(Bills!#REF!,"AAAAAH313nM=")</f>
        <v>#REF!</v>
      </c>
      <c r="DM73" t="e">
        <f>AND(Bills!#REF!,"AAAAAH313nQ=")</f>
        <v>#REF!</v>
      </c>
      <c r="DN73" t="e">
        <f>AND(Bills!AA134,"AAAAAH313nU=")</f>
        <v>#VALUE!</v>
      </c>
      <c r="DO73" t="e">
        <f>AND(Bills!AB134,"AAAAAH313nY=")</f>
        <v>#VALUE!</v>
      </c>
      <c r="DP73" t="e">
        <f>AND(Bills!#REF!,"AAAAAH313nc=")</f>
        <v>#REF!</v>
      </c>
      <c r="DQ73">
        <f>IF(Bills!135:135,"AAAAAH313ng=",0)</f>
        <v>0</v>
      </c>
      <c r="DR73" t="e">
        <f>AND(Bills!B135,"AAAAAH313nk=")</f>
        <v>#VALUE!</v>
      </c>
      <c r="DS73" t="e">
        <f>AND(Bills!#REF!,"AAAAAH313no=")</f>
        <v>#REF!</v>
      </c>
      <c r="DT73" t="e">
        <f>AND(Bills!C135,"AAAAAH313ns=")</f>
        <v>#VALUE!</v>
      </c>
      <c r="DU73" t="e">
        <f>AND(Bills!#REF!,"AAAAAH313nw=")</f>
        <v>#REF!</v>
      </c>
      <c r="DV73" t="e">
        <f>AND(Bills!#REF!,"AAAAAH313n0=")</f>
        <v>#REF!</v>
      </c>
      <c r="DW73" t="e">
        <f>AND(Bills!#REF!,"AAAAAH313n4=")</f>
        <v>#REF!</v>
      </c>
      <c r="DX73" t="e">
        <f>AND(Bills!#REF!,"AAAAAH313n8=")</f>
        <v>#REF!</v>
      </c>
      <c r="DY73" t="e">
        <f>AND(Bills!#REF!,"AAAAAH313oA=")</f>
        <v>#REF!</v>
      </c>
      <c r="DZ73" t="e">
        <f>AND(Bills!D135,"AAAAAH313oE=")</f>
        <v>#VALUE!</v>
      </c>
      <c r="EA73" t="e">
        <f>AND(Bills!#REF!,"AAAAAH313oI=")</f>
        <v>#REF!</v>
      </c>
      <c r="EB73" t="e">
        <f>AND(Bills!E135,"AAAAAH313oM=")</f>
        <v>#VALUE!</v>
      </c>
      <c r="EC73" t="e">
        <f>AND(Bills!F135,"AAAAAH313oQ=")</f>
        <v>#VALUE!</v>
      </c>
      <c r="ED73" t="e">
        <f>AND(Bills!G135,"AAAAAH313oU=")</f>
        <v>#VALUE!</v>
      </c>
      <c r="EE73" t="e">
        <f>AND(Bills!H135,"AAAAAH313oY=")</f>
        <v>#VALUE!</v>
      </c>
      <c r="EF73" t="e">
        <f>AND(Bills!I135,"AAAAAH313oc=")</f>
        <v>#VALUE!</v>
      </c>
      <c r="EG73" t="e">
        <f>AND(Bills!J135,"AAAAAH313og=")</f>
        <v>#VALUE!</v>
      </c>
      <c r="EH73" t="e">
        <f>AND(Bills!#REF!,"AAAAAH313ok=")</f>
        <v>#REF!</v>
      </c>
      <c r="EI73" t="e">
        <f>AND(Bills!K135,"AAAAAH313oo=")</f>
        <v>#VALUE!</v>
      </c>
      <c r="EJ73" t="e">
        <f>AND(Bills!L135,"AAAAAH313os=")</f>
        <v>#VALUE!</v>
      </c>
      <c r="EK73" t="e">
        <f>AND(Bills!M135,"AAAAAH313ow=")</f>
        <v>#VALUE!</v>
      </c>
      <c r="EL73" t="e">
        <f>AND(Bills!N135,"AAAAAH313o0=")</f>
        <v>#VALUE!</v>
      </c>
      <c r="EM73" t="e">
        <f>AND(Bills!O135,"AAAAAH313o4=")</f>
        <v>#VALUE!</v>
      </c>
      <c r="EN73" t="e">
        <f>AND(Bills!P135,"AAAAAH313o8=")</f>
        <v>#VALUE!</v>
      </c>
      <c r="EO73" t="e">
        <f>AND(Bills!Q135,"AAAAAH313pA=")</f>
        <v>#VALUE!</v>
      </c>
      <c r="EP73" t="e">
        <f>AND(Bills!R135,"AAAAAH313pE=")</f>
        <v>#VALUE!</v>
      </c>
      <c r="EQ73" t="e">
        <f>AND(Bills!#REF!,"AAAAAH313pI=")</f>
        <v>#REF!</v>
      </c>
      <c r="ER73" t="e">
        <f>AND(Bills!S135,"AAAAAH313pM=")</f>
        <v>#VALUE!</v>
      </c>
      <c r="ES73" t="e">
        <f>AND(Bills!T135,"AAAAAH313pQ=")</f>
        <v>#VALUE!</v>
      </c>
      <c r="ET73" t="e">
        <f>AND(Bills!U135,"AAAAAH313pU=")</f>
        <v>#VALUE!</v>
      </c>
      <c r="EU73" t="e">
        <f>AND(Bills!#REF!,"AAAAAH313pY=")</f>
        <v>#REF!</v>
      </c>
      <c r="EV73" t="e">
        <f>AND(Bills!#REF!,"AAAAAH313pc=")</f>
        <v>#REF!</v>
      </c>
      <c r="EW73" t="e">
        <f>AND(Bills!W135,"AAAAAH313pg=")</f>
        <v>#VALUE!</v>
      </c>
      <c r="EX73" t="e">
        <f>AND(Bills!X135,"AAAAAH313pk=")</f>
        <v>#VALUE!</v>
      </c>
      <c r="EY73" t="e">
        <f>AND(Bills!#REF!,"AAAAAH313po=")</f>
        <v>#REF!</v>
      </c>
      <c r="EZ73" t="e">
        <f>AND(Bills!#REF!,"AAAAAH313ps=")</f>
        <v>#REF!</v>
      </c>
      <c r="FA73" t="e">
        <f>AND(Bills!#REF!,"AAAAAH313pw=")</f>
        <v>#REF!</v>
      </c>
      <c r="FB73" t="e">
        <f>AND(Bills!#REF!,"AAAAAH313p0=")</f>
        <v>#REF!</v>
      </c>
      <c r="FC73" t="e">
        <f>AND(Bills!#REF!,"AAAAAH313p4=")</f>
        <v>#REF!</v>
      </c>
      <c r="FD73" t="e">
        <f>AND(Bills!#REF!,"AAAAAH313p8=")</f>
        <v>#REF!</v>
      </c>
      <c r="FE73" t="e">
        <f>AND(Bills!#REF!,"AAAAAH313qA=")</f>
        <v>#REF!</v>
      </c>
      <c r="FF73" t="e">
        <f>AND(Bills!#REF!,"AAAAAH313qE=")</f>
        <v>#REF!</v>
      </c>
      <c r="FG73" t="e">
        <f>AND(Bills!#REF!,"AAAAAH313qI=")</f>
        <v>#REF!</v>
      </c>
      <c r="FH73" t="e">
        <f>AND(Bills!Y135,"AAAAAH313qM=")</f>
        <v>#VALUE!</v>
      </c>
      <c r="FI73" t="e">
        <f>AND(Bills!Z135,"AAAAAH313qQ=")</f>
        <v>#VALUE!</v>
      </c>
      <c r="FJ73" t="e">
        <f>AND(Bills!#REF!,"AAAAAH313qU=")</f>
        <v>#REF!</v>
      </c>
      <c r="FK73" t="e">
        <f>AND(Bills!#REF!,"AAAAAH313qY=")</f>
        <v>#REF!</v>
      </c>
      <c r="FL73" t="e">
        <f>AND(Bills!#REF!,"AAAAAH313qc=")</f>
        <v>#REF!</v>
      </c>
      <c r="FM73" t="e">
        <f>AND(Bills!AA135,"AAAAAH313qg=")</f>
        <v>#VALUE!</v>
      </c>
      <c r="FN73" t="e">
        <f>AND(Bills!AB135,"AAAAAH313qk=")</f>
        <v>#VALUE!</v>
      </c>
      <c r="FO73" t="e">
        <f>AND(Bills!#REF!,"AAAAAH313qo=")</f>
        <v>#REF!</v>
      </c>
      <c r="FP73">
        <f>IF(Bills!136:136,"AAAAAH313qs=",0)</f>
        <v>0</v>
      </c>
      <c r="FQ73" t="e">
        <f>AND(Bills!B136,"AAAAAH313qw=")</f>
        <v>#VALUE!</v>
      </c>
      <c r="FR73" t="e">
        <f>AND(Bills!#REF!,"AAAAAH313q0=")</f>
        <v>#REF!</v>
      </c>
      <c r="FS73" t="e">
        <f>AND(Bills!C136,"AAAAAH313q4=")</f>
        <v>#VALUE!</v>
      </c>
      <c r="FT73" t="e">
        <f>AND(Bills!#REF!,"AAAAAH313q8=")</f>
        <v>#REF!</v>
      </c>
      <c r="FU73" t="e">
        <f>AND(Bills!#REF!,"AAAAAH313rA=")</f>
        <v>#REF!</v>
      </c>
      <c r="FV73" t="e">
        <f>AND(Bills!#REF!,"AAAAAH313rE=")</f>
        <v>#REF!</v>
      </c>
      <c r="FW73" t="e">
        <f>AND(Bills!#REF!,"AAAAAH313rI=")</f>
        <v>#REF!</v>
      </c>
      <c r="FX73" t="e">
        <f>AND(Bills!#REF!,"AAAAAH313rM=")</f>
        <v>#REF!</v>
      </c>
      <c r="FY73" t="e">
        <f>AND(Bills!D136,"AAAAAH313rQ=")</f>
        <v>#VALUE!</v>
      </c>
      <c r="FZ73" t="e">
        <f>AND(Bills!#REF!,"AAAAAH313rU=")</f>
        <v>#REF!</v>
      </c>
      <c r="GA73" t="e">
        <f>AND(Bills!E136,"AAAAAH313rY=")</f>
        <v>#VALUE!</v>
      </c>
      <c r="GB73" t="e">
        <f>AND(Bills!F136,"AAAAAH313rc=")</f>
        <v>#VALUE!</v>
      </c>
      <c r="GC73" t="e">
        <f>AND(Bills!G136,"AAAAAH313rg=")</f>
        <v>#VALUE!</v>
      </c>
      <c r="GD73" t="e">
        <f>AND(Bills!H136,"AAAAAH313rk=")</f>
        <v>#VALUE!</v>
      </c>
      <c r="GE73" t="e">
        <f>AND(Bills!I136,"AAAAAH313ro=")</f>
        <v>#VALUE!</v>
      </c>
      <c r="GF73" t="e">
        <f>AND(Bills!J136,"AAAAAH313rs=")</f>
        <v>#VALUE!</v>
      </c>
      <c r="GG73" t="e">
        <f>AND(Bills!#REF!,"AAAAAH313rw=")</f>
        <v>#REF!</v>
      </c>
      <c r="GH73" t="e">
        <f>AND(Bills!K136,"AAAAAH313r0=")</f>
        <v>#VALUE!</v>
      </c>
      <c r="GI73" t="e">
        <f>AND(Bills!L136,"AAAAAH313r4=")</f>
        <v>#VALUE!</v>
      </c>
      <c r="GJ73" t="e">
        <f>AND(Bills!M136,"AAAAAH313r8=")</f>
        <v>#VALUE!</v>
      </c>
      <c r="GK73" t="e">
        <f>AND(Bills!N136,"AAAAAH313sA=")</f>
        <v>#VALUE!</v>
      </c>
      <c r="GL73" t="e">
        <f>AND(Bills!O136,"AAAAAH313sE=")</f>
        <v>#VALUE!</v>
      </c>
      <c r="GM73" t="e">
        <f>AND(Bills!P136,"AAAAAH313sI=")</f>
        <v>#VALUE!</v>
      </c>
      <c r="GN73" t="e">
        <f>AND(Bills!Q136,"AAAAAH313sM=")</f>
        <v>#VALUE!</v>
      </c>
      <c r="GO73" t="e">
        <f>AND(Bills!R136,"AAAAAH313sQ=")</f>
        <v>#VALUE!</v>
      </c>
      <c r="GP73" t="e">
        <f>AND(Bills!#REF!,"AAAAAH313sU=")</f>
        <v>#REF!</v>
      </c>
      <c r="GQ73" t="e">
        <f>AND(Bills!S136,"AAAAAH313sY=")</f>
        <v>#VALUE!</v>
      </c>
      <c r="GR73" t="e">
        <f>AND(Bills!T136,"AAAAAH313sc=")</f>
        <v>#VALUE!</v>
      </c>
      <c r="GS73" t="e">
        <f>AND(Bills!U136,"AAAAAH313sg=")</f>
        <v>#VALUE!</v>
      </c>
      <c r="GT73" t="e">
        <f>AND(Bills!#REF!,"AAAAAH313sk=")</f>
        <v>#REF!</v>
      </c>
      <c r="GU73" t="e">
        <f>AND(Bills!#REF!,"AAAAAH313so=")</f>
        <v>#REF!</v>
      </c>
      <c r="GV73" t="e">
        <f>AND(Bills!W136,"AAAAAH313ss=")</f>
        <v>#VALUE!</v>
      </c>
      <c r="GW73" t="e">
        <f>AND(Bills!X136,"AAAAAH313sw=")</f>
        <v>#VALUE!</v>
      </c>
      <c r="GX73" t="e">
        <f>AND(Bills!#REF!,"AAAAAH313s0=")</f>
        <v>#REF!</v>
      </c>
      <c r="GY73" t="e">
        <f>AND(Bills!#REF!,"AAAAAH313s4=")</f>
        <v>#REF!</v>
      </c>
      <c r="GZ73" t="e">
        <f>AND(Bills!#REF!,"AAAAAH313s8=")</f>
        <v>#REF!</v>
      </c>
      <c r="HA73" t="e">
        <f>AND(Bills!#REF!,"AAAAAH313tA=")</f>
        <v>#REF!</v>
      </c>
      <c r="HB73" t="e">
        <f>AND(Bills!#REF!,"AAAAAH313tE=")</f>
        <v>#REF!</v>
      </c>
      <c r="HC73" t="e">
        <f>AND(Bills!#REF!,"AAAAAH313tI=")</f>
        <v>#REF!</v>
      </c>
      <c r="HD73" t="e">
        <f>AND(Bills!#REF!,"AAAAAH313tM=")</f>
        <v>#REF!</v>
      </c>
      <c r="HE73" t="e">
        <f>AND(Bills!#REF!,"AAAAAH313tQ=")</f>
        <v>#REF!</v>
      </c>
      <c r="HF73" t="e">
        <f>AND(Bills!#REF!,"AAAAAH313tU=")</f>
        <v>#REF!</v>
      </c>
      <c r="HG73" t="e">
        <f>AND(Bills!Y136,"AAAAAH313tY=")</f>
        <v>#VALUE!</v>
      </c>
      <c r="HH73" t="e">
        <f>AND(Bills!Z136,"AAAAAH313tc=")</f>
        <v>#VALUE!</v>
      </c>
      <c r="HI73" t="e">
        <f>AND(Bills!#REF!,"AAAAAH313tg=")</f>
        <v>#REF!</v>
      </c>
      <c r="HJ73" t="e">
        <f>AND(Bills!#REF!,"AAAAAH313tk=")</f>
        <v>#REF!</v>
      </c>
      <c r="HK73" t="e">
        <f>AND(Bills!#REF!,"AAAAAH313to=")</f>
        <v>#REF!</v>
      </c>
      <c r="HL73" t="e">
        <f>AND(Bills!AA136,"AAAAAH313ts=")</f>
        <v>#VALUE!</v>
      </c>
      <c r="HM73" t="e">
        <f>AND(Bills!AB136,"AAAAAH313tw=")</f>
        <v>#VALUE!</v>
      </c>
      <c r="HN73" t="e">
        <f>AND(Bills!#REF!,"AAAAAH313t0=")</f>
        <v>#REF!</v>
      </c>
      <c r="HO73">
        <f>IF(Bills!137:137,"AAAAAH313t4=",0)</f>
        <v>0</v>
      </c>
      <c r="HP73" t="e">
        <f>AND(Bills!B137,"AAAAAH313t8=")</f>
        <v>#VALUE!</v>
      </c>
      <c r="HQ73" t="e">
        <f>AND(Bills!#REF!,"AAAAAH313uA=")</f>
        <v>#REF!</v>
      </c>
      <c r="HR73" t="e">
        <f>AND(Bills!C137,"AAAAAH313uE=")</f>
        <v>#VALUE!</v>
      </c>
      <c r="HS73" t="e">
        <f>AND(Bills!#REF!,"AAAAAH313uI=")</f>
        <v>#REF!</v>
      </c>
      <c r="HT73" t="e">
        <f>AND(Bills!#REF!,"AAAAAH313uM=")</f>
        <v>#REF!</v>
      </c>
      <c r="HU73" t="e">
        <f>AND(Bills!#REF!,"AAAAAH313uQ=")</f>
        <v>#REF!</v>
      </c>
      <c r="HV73" t="e">
        <f>AND(Bills!#REF!,"AAAAAH313uU=")</f>
        <v>#REF!</v>
      </c>
      <c r="HW73" t="e">
        <f>AND(Bills!#REF!,"AAAAAH313uY=")</f>
        <v>#REF!</v>
      </c>
      <c r="HX73" t="e">
        <f>AND(Bills!D137,"AAAAAH313uc=")</f>
        <v>#VALUE!</v>
      </c>
      <c r="HY73" t="e">
        <f>AND(Bills!#REF!,"AAAAAH313ug=")</f>
        <v>#REF!</v>
      </c>
      <c r="HZ73" t="e">
        <f>AND(Bills!E137,"AAAAAH313uk=")</f>
        <v>#VALUE!</v>
      </c>
      <c r="IA73" t="e">
        <f>AND(Bills!F137,"AAAAAH313uo=")</f>
        <v>#VALUE!</v>
      </c>
      <c r="IB73" t="e">
        <f>AND(Bills!G137,"AAAAAH313us=")</f>
        <v>#VALUE!</v>
      </c>
      <c r="IC73" t="e">
        <f>AND(Bills!H137,"AAAAAH313uw=")</f>
        <v>#VALUE!</v>
      </c>
      <c r="ID73" t="e">
        <f>AND(Bills!I137,"AAAAAH313u0=")</f>
        <v>#VALUE!</v>
      </c>
      <c r="IE73" t="e">
        <f>AND(Bills!J137,"AAAAAH313u4=")</f>
        <v>#VALUE!</v>
      </c>
      <c r="IF73" t="e">
        <f>AND(Bills!#REF!,"AAAAAH313u8=")</f>
        <v>#REF!</v>
      </c>
      <c r="IG73" t="e">
        <f>AND(Bills!K137,"AAAAAH313vA=")</f>
        <v>#VALUE!</v>
      </c>
      <c r="IH73" t="e">
        <f>AND(Bills!L137,"AAAAAH313vE=")</f>
        <v>#VALUE!</v>
      </c>
      <c r="II73" t="e">
        <f>AND(Bills!M137,"AAAAAH313vI=")</f>
        <v>#VALUE!</v>
      </c>
      <c r="IJ73" t="e">
        <f>AND(Bills!N137,"AAAAAH313vM=")</f>
        <v>#VALUE!</v>
      </c>
      <c r="IK73" t="e">
        <f>AND(Bills!O137,"AAAAAH313vQ=")</f>
        <v>#VALUE!</v>
      </c>
      <c r="IL73" t="e">
        <f>AND(Bills!P137,"AAAAAH313vU=")</f>
        <v>#VALUE!</v>
      </c>
      <c r="IM73" t="e">
        <f>AND(Bills!Q137,"AAAAAH313vY=")</f>
        <v>#VALUE!</v>
      </c>
      <c r="IN73" t="e">
        <f>AND(Bills!R137,"AAAAAH313vc=")</f>
        <v>#VALUE!</v>
      </c>
      <c r="IO73" t="e">
        <f>AND(Bills!#REF!,"AAAAAH313vg=")</f>
        <v>#REF!</v>
      </c>
      <c r="IP73" t="e">
        <f>AND(Bills!S137,"AAAAAH313vk=")</f>
        <v>#VALUE!</v>
      </c>
      <c r="IQ73" t="e">
        <f>AND(Bills!T137,"AAAAAH313vo=")</f>
        <v>#VALUE!</v>
      </c>
      <c r="IR73" t="e">
        <f>AND(Bills!U137,"AAAAAH313vs=")</f>
        <v>#VALUE!</v>
      </c>
      <c r="IS73" t="e">
        <f>AND(Bills!#REF!,"AAAAAH313vw=")</f>
        <v>#REF!</v>
      </c>
      <c r="IT73" t="e">
        <f>AND(Bills!#REF!,"AAAAAH313v0=")</f>
        <v>#REF!</v>
      </c>
      <c r="IU73" t="e">
        <f>AND(Bills!W137,"AAAAAH313v4=")</f>
        <v>#VALUE!</v>
      </c>
      <c r="IV73" t="e">
        <f>AND(Bills!X137,"AAAAAH313v8=")</f>
        <v>#VALUE!</v>
      </c>
    </row>
    <row r="74" spans="1:256">
      <c r="A74" t="e">
        <f>AND(Bills!#REF!,"AAAAAB3PxwA=")</f>
        <v>#REF!</v>
      </c>
      <c r="B74" t="e">
        <f>AND(Bills!#REF!,"AAAAAB3PxwE=")</f>
        <v>#REF!</v>
      </c>
      <c r="C74" t="e">
        <f>AND(Bills!#REF!,"AAAAAB3PxwI=")</f>
        <v>#REF!</v>
      </c>
      <c r="D74" t="e">
        <f>AND(Bills!#REF!,"AAAAAB3PxwM=")</f>
        <v>#REF!</v>
      </c>
      <c r="E74" t="e">
        <f>AND(Bills!#REF!,"AAAAAB3PxwQ=")</f>
        <v>#REF!</v>
      </c>
      <c r="F74" t="e">
        <f>AND(Bills!#REF!,"AAAAAB3PxwU=")</f>
        <v>#REF!</v>
      </c>
      <c r="G74" t="e">
        <f>AND(Bills!#REF!,"AAAAAB3PxwY=")</f>
        <v>#REF!</v>
      </c>
      <c r="H74" t="e">
        <f>AND(Bills!#REF!,"AAAAAB3Pxwc=")</f>
        <v>#REF!</v>
      </c>
      <c r="I74" t="e">
        <f>AND(Bills!#REF!,"AAAAAB3Pxwg=")</f>
        <v>#REF!</v>
      </c>
      <c r="J74" t="e">
        <f>AND(Bills!Y137,"AAAAAB3Pxwk=")</f>
        <v>#VALUE!</v>
      </c>
      <c r="K74" t="e">
        <f>AND(Bills!Z137,"AAAAAB3Pxwo=")</f>
        <v>#VALUE!</v>
      </c>
      <c r="L74" t="e">
        <f>AND(Bills!#REF!,"AAAAAB3Pxws=")</f>
        <v>#REF!</v>
      </c>
      <c r="M74" t="e">
        <f>AND(Bills!#REF!,"AAAAAB3Pxww=")</f>
        <v>#REF!</v>
      </c>
      <c r="N74" t="e">
        <f>AND(Bills!#REF!,"AAAAAB3Pxw0=")</f>
        <v>#REF!</v>
      </c>
      <c r="O74" t="e">
        <f>AND(Bills!AA137,"AAAAAB3Pxw4=")</f>
        <v>#VALUE!</v>
      </c>
      <c r="P74" t="e">
        <f>AND(Bills!AB137,"AAAAAB3Pxw8=")</f>
        <v>#VALUE!</v>
      </c>
      <c r="Q74" t="e">
        <f>AND(Bills!#REF!,"AAAAAB3PxxA=")</f>
        <v>#REF!</v>
      </c>
      <c r="R74">
        <f>IF(Bills!138:138,"AAAAAB3PxxE=",0)</f>
        <v>0</v>
      </c>
      <c r="S74" t="e">
        <f>AND(Bills!B138,"AAAAAB3PxxI=")</f>
        <v>#VALUE!</v>
      </c>
      <c r="T74" t="e">
        <f>AND(Bills!#REF!,"AAAAAB3PxxM=")</f>
        <v>#REF!</v>
      </c>
      <c r="U74" t="e">
        <f>AND(Bills!C138,"AAAAAB3PxxQ=")</f>
        <v>#VALUE!</v>
      </c>
      <c r="V74" t="e">
        <f>AND(Bills!#REF!,"AAAAAB3PxxU=")</f>
        <v>#REF!</v>
      </c>
      <c r="W74" t="e">
        <f>AND(Bills!#REF!,"AAAAAB3PxxY=")</f>
        <v>#REF!</v>
      </c>
      <c r="X74" t="e">
        <f>AND(Bills!#REF!,"AAAAAB3Pxxc=")</f>
        <v>#REF!</v>
      </c>
      <c r="Y74" t="e">
        <f>AND(Bills!#REF!,"AAAAAB3Pxxg=")</f>
        <v>#REF!</v>
      </c>
      <c r="Z74" t="e">
        <f>AND(Bills!#REF!,"AAAAAB3Pxxk=")</f>
        <v>#REF!</v>
      </c>
      <c r="AA74" t="e">
        <f>AND(Bills!D138,"AAAAAB3Pxxo=")</f>
        <v>#VALUE!</v>
      </c>
      <c r="AB74" t="e">
        <f>AND(Bills!#REF!,"AAAAAB3Pxxs=")</f>
        <v>#REF!</v>
      </c>
      <c r="AC74" t="e">
        <f>AND(Bills!E138,"AAAAAB3Pxxw=")</f>
        <v>#VALUE!</v>
      </c>
      <c r="AD74" t="e">
        <f>AND(Bills!F138,"AAAAAB3Pxx0=")</f>
        <v>#VALUE!</v>
      </c>
      <c r="AE74" t="e">
        <f>AND(Bills!G138,"AAAAAB3Pxx4=")</f>
        <v>#VALUE!</v>
      </c>
      <c r="AF74" t="e">
        <f>AND(Bills!H138,"AAAAAB3Pxx8=")</f>
        <v>#VALUE!</v>
      </c>
      <c r="AG74" t="e">
        <f>AND(Bills!I138,"AAAAAB3PxyA=")</f>
        <v>#VALUE!</v>
      </c>
      <c r="AH74" t="e">
        <f>AND(Bills!J138,"AAAAAB3PxyE=")</f>
        <v>#VALUE!</v>
      </c>
      <c r="AI74" t="e">
        <f>AND(Bills!#REF!,"AAAAAB3PxyI=")</f>
        <v>#REF!</v>
      </c>
      <c r="AJ74" t="e">
        <f>AND(Bills!K138,"AAAAAB3PxyM=")</f>
        <v>#VALUE!</v>
      </c>
      <c r="AK74" t="e">
        <f>AND(Bills!L138,"AAAAAB3PxyQ=")</f>
        <v>#VALUE!</v>
      </c>
      <c r="AL74" t="e">
        <f>AND(Bills!M138,"AAAAAB3PxyU=")</f>
        <v>#VALUE!</v>
      </c>
      <c r="AM74" t="e">
        <f>AND(Bills!N138,"AAAAAB3PxyY=")</f>
        <v>#VALUE!</v>
      </c>
      <c r="AN74" t="e">
        <f>AND(Bills!O138,"AAAAAB3Pxyc=")</f>
        <v>#VALUE!</v>
      </c>
      <c r="AO74" t="e">
        <f>AND(Bills!P138,"AAAAAB3Pxyg=")</f>
        <v>#VALUE!</v>
      </c>
      <c r="AP74" t="e">
        <f>AND(Bills!Q138,"AAAAAB3Pxyk=")</f>
        <v>#VALUE!</v>
      </c>
      <c r="AQ74" t="e">
        <f>AND(Bills!R138,"AAAAAB3Pxyo=")</f>
        <v>#VALUE!</v>
      </c>
      <c r="AR74" t="e">
        <f>AND(Bills!#REF!,"AAAAAB3Pxys=")</f>
        <v>#REF!</v>
      </c>
      <c r="AS74" t="e">
        <f>AND(Bills!S138,"AAAAAB3Pxyw=")</f>
        <v>#VALUE!</v>
      </c>
      <c r="AT74" t="e">
        <f>AND(Bills!T138,"AAAAAB3Pxy0=")</f>
        <v>#VALUE!</v>
      </c>
      <c r="AU74" t="e">
        <f>AND(Bills!U138,"AAAAAB3Pxy4=")</f>
        <v>#VALUE!</v>
      </c>
      <c r="AV74" t="e">
        <f>AND(Bills!#REF!,"AAAAAB3Pxy8=")</f>
        <v>#REF!</v>
      </c>
      <c r="AW74" t="e">
        <f>AND(Bills!#REF!,"AAAAAB3PxzA=")</f>
        <v>#REF!</v>
      </c>
      <c r="AX74" t="e">
        <f>AND(Bills!W138,"AAAAAB3PxzE=")</f>
        <v>#VALUE!</v>
      </c>
      <c r="AY74" t="e">
        <f>AND(Bills!X138,"AAAAAB3PxzI=")</f>
        <v>#VALUE!</v>
      </c>
      <c r="AZ74" t="e">
        <f>AND(Bills!#REF!,"AAAAAB3PxzM=")</f>
        <v>#REF!</v>
      </c>
      <c r="BA74" t="e">
        <f>AND(Bills!#REF!,"AAAAAB3PxzQ=")</f>
        <v>#REF!</v>
      </c>
      <c r="BB74" t="e">
        <f>AND(Bills!#REF!,"AAAAAB3PxzU=")</f>
        <v>#REF!</v>
      </c>
      <c r="BC74" t="e">
        <f>AND(Bills!#REF!,"AAAAAB3PxzY=")</f>
        <v>#REF!</v>
      </c>
      <c r="BD74" t="e">
        <f>AND(Bills!#REF!,"AAAAAB3Pxzc=")</f>
        <v>#REF!</v>
      </c>
      <c r="BE74" t="e">
        <f>AND(Bills!#REF!,"AAAAAB3Pxzg=")</f>
        <v>#REF!</v>
      </c>
      <c r="BF74" t="e">
        <f>AND(Bills!#REF!,"AAAAAB3Pxzk=")</f>
        <v>#REF!</v>
      </c>
      <c r="BG74" t="e">
        <f>AND(Bills!#REF!,"AAAAAB3Pxzo=")</f>
        <v>#REF!</v>
      </c>
      <c r="BH74" t="e">
        <f>AND(Bills!#REF!,"AAAAAB3Pxzs=")</f>
        <v>#REF!</v>
      </c>
      <c r="BI74" t="e">
        <f>AND(Bills!Y138,"AAAAAB3Pxzw=")</f>
        <v>#VALUE!</v>
      </c>
      <c r="BJ74" t="e">
        <f>AND(Bills!Z138,"AAAAAB3Pxz0=")</f>
        <v>#VALUE!</v>
      </c>
      <c r="BK74" t="e">
        <f>AND(Bills!#REF!,"AAAAAB3Pxz4=")</f>
        <v>#REF!</v>
      </c>
      <c r="BL74" t="e">
        <f>AND(Bills!#REF!,"AAAAAB3Pxz8=")</f>
        <v>#REF!</v>
      </c>
      <c r="BM74" t="e">
        <f>AND(Bills!#REF!,"AAAAAB3Px0A=")</f>
        <v>#REF!</v>
      </c>
      <c r="BN74" t="e">
        <f>AND(Bills!AA138,"AAAAAB3Px0E=")</f>
        <v>#VALUE!</v>
      </c>
      <c r="BO74" t="e">
        <f>AND(Bills!AB138,"AAAAAB3Px0I=")</f>
        <v>#VALUE!</v>
      </c>
      <c r="BP74" t="e">
        <f>AND(Bills!#REF!,"AAAAAB3Px0M=")</f>
        <v>#REF!</v>
      </c>
      <c r="BQ74">
        <f>IF(Bills!139:139,"AAAAAB3Px0Q=",0)</f>
        <v>0</v>
      </c>
      <c r="BR74" t="e">
        <f>AND(Bills!B139,"AAAAAB3Px0U=")</f>
        <v>#VALUE!</v>
      </c>
      <c r="BS74" t="e">
        <f>AND(Bills!#REF!,"AAAAAB3Px0Y=")</f>
        <v>#REF!</v>
      </c>
      <c r="BT74" t="e">
        <f>AND(Bills!C139,"AAAAAB3Px0c=")</f>
        <v>#VALUE!</v>
      </c>
      <c r="BU74" t="e">
        <f>AND(Bills!#REF!,"AAAAAB3Px0g=")</f>
        <v>#REF!</v>
      </c>
      <c r="BV74" t="e">
        <f>AND(Bills!#REF!,"AAAAAB3Px0k=")</f>
        <v>#REF!</v>
      </c>
      <c r="BW74" t="e">
        <f>AND(Bills!#REF!,"AAAAAB3Px0o=")</f>
        <v>#REF!</v>
      </c>
      <c r="BX74" t="e">
        <f>AND(Bills!#REF!,"AAAAAB3Px0s=")</f>
        <v>#REF!</v>
      </c>
      <c r="BY74" t="e">
        <f>AND(Bills!#REF!,"AAAAAB3Px0w=")</f>
        <v>#REF!</v>
      </c>
      <c r="BZ74" t="e">
        <f>AND(Bills!D139,"AAAAAB3Px00=")</f>
        <v>#VALUE!</v>
      </c>
      <c r="CA74" t="e">
        <f>AND(Bills!#REF!,"AAAAAB3Px04=")</f>
        <v>#REF!</v>
      </c>
      <c r="CB74" t="e">
        <f>AND(Bills!E139,"AAAAAB3Px08=")</f>
        <v>#VALUE!</v>
      </c>
      <c r="CC74" t="e">
        <f>AND(Bills!F139,"AAAAAB3Px1A=")</f>
        <v>#VALUE!</v>
      </c>
      <c r="CD74" t="e">
        <f>AND(Bills!G139,"AAAAAB3Px1E=")</f>
        <v>#VALUE!</v>
      </c>
      <c r="CE74" t="e">
        <f>AND(Bills!H139,"AAAAAB3Px1I=")</f>
        <v>#VALUE!</v>
      </c>
      <c r="CF74" t="e">
        <f>AND(Bills!I139,"AAAAAB3Px1M=")</f>
        <v>#VALUE!</v>
      </c>
      <c r="CG74" t="e">
        <f>AND(Bills!J139,"AAAAAB3Px1Q=")</f>
        <v>#VALUE!</v>
      </c>
      <c r="CH74" t="e">
        <f>AND(Bills!#REF!,"AAAAAB3Px1U=")</f>
        <v>#REF!</v>
      </c>
      <c r="CI74" t="e">
        <f>AND(Bills!K139,"AAAAAB3Px1Y=")</f>
        <v>#VALUE!</v>
      </c>
      <c r="CJ74" t="e">
        <f>AND(Bills!L139,"AAAAAB3Px1c=")</f>
        <v>#VALUE!</v>
      </c>
      <c r="CK74" t="e">
        <f>AND(Bills!M139,"AAAAAB3Px1g=")</f>
        <v>#VALUE!</v>
      </c>
      <c r="CL74" t="e">
        <f>AND(Bills!N139,"AAAAAB3Px1k=")</f>
        <v>#VALUE!</v>
      </c>
      <c r="CM74" t="e">
        <f>AND(Bills!O139,"AAAAAB3Px1o=")</f>
        <v>#VALUE!</v>
      </c>
      <c r="CN74" t="e">
        <f>AND(Bills!P139,"AAAAAB3Px1s=")</f>
        <v>#VALUE!</v>
      </c>
      <c r="CO74" t="e">
        <f>AND(Bills!Q139,"AAAAAB3Px1w=")</f>
        <v>#VALUE!</v>
      </c>
      <c r="CP74" t="e">
        <f>AND(Bills!R139,"AAAAAB3Px10=")</f>
        <v>#VALUE!</v>
      </c>
      <c r="CQ74" t="e">
        <f>AND(Bills!#REF!,"AAAAAB3Px14=")</f>
        <v>#REF!</v>
      </c>
      <c r="CR74" t="e">
        <f>AND(Bills!S139,"AAAAAB3Px18=")</f>
        <v>#VALUE!</v>
      </c>
      <c r="CS74" t="e">
        <f>AND(Bills!T139,"AAAAAB3Px2A=")</f>
        <v>#VALUE!</v>
      </c>
      <c r="CT74" t="e">
        <f>AND(Bills!U139,"AAAAAB3Px2E=")</f>
        <v>#VALUE!</v>
      </c>
      <c r="CU74" t="e">
        <f>AND(Bills!#REF!,"AAAAAB3Px2I=")</f>
        <v>#REF!</v>
      </c>
      <c r="CV74" t="e">
        <f>AND(Bills!#REF!,"AAAAAB3Px2M=")</f>
        <v>#REF!</v>
      </c>
      <c r="CW74" t="e">
        <f>AND(Bills!W139,"AAAAAB3Px2Q=")</f>
        <v>#VALUE!</v>
      </c>
      <c r="CX74" t="e">
        <f>AND(Bills!X139,"AAAAAB3Px2U=")</f>
        <v>#VALUE!</v>
      </c>
      <c r="CY74" t="e">
        <f>AND(Bills!#REF!,"AAAAAB3Px2Y=")</f>
        <v>#REF!</v>
      </c>
      <c r="CZ74" t="e">
        <f>AND(Bills!#REF!,"AAAAAB3Px2c=")</f>
        <v>#REF!</v>
      </c>
      <c r="DA74" t="e">
        <f>AND(Bills!#REF!,"AAAAAB3Px2g=")</f>
        <v>#REF!</v>
      </c>
      <c r="DB74" t="e">
        <f>AND(Bills!#REF!,"AAAAAB3Px2k=")</f>
        <v>#REF!</v>
      </c>
      <c r="DC74" t="e">
        <f>AND(Bills!#REF!,"AAAAAB3Px2o=")</f>
        <v>#REF!</v>
      </c>
      <c r="DD74" t="e">
        <f>AND(Bills!#REF!,"AAAAAB3Px2s=")</f>
        <v>#REF!</v>
      </c>
      <c r="DE74" t="e">
        <f>AND(Bills!#REF!,"AAAAAB3Px2w=")</f>
        <v>#REF!</v>
      </c>
      <c r="DF74" t="e">
        <f>AND(Bills!#REF!,"AAAAAB3Px20=")</f>
        <v>#REF!</v>
      </c>
      <c r="DG74" t="e">
        <f>AND(Bills!#REF!,"AAAAAB3Px24=")</f>
        <v>#REF!</v>
      </c>
      <c r="DH74" t="e">
        <f>AND(Bills!Y139,"AAAAAB3Px28=")</f>
        <v>#VALUE!</v>
      </c>
      <c r="DI74" t="e">
        <f>AND(Bills!Z139,"AAAAAB3Px3A=")</f>
        <v>#VALUE!</v>
      </c>
      <c r="DJ74" t="e">
        <f>AND(Bills!#REF!,"AAAAAB3Px3E=")</f>
        <v>#REF!</v>
      </c>
      <c r="DK74" t="e">
        <f>AND(Bills!#REF!,"AAAAAB3Px3I=")</f>
        <v>#REF!</v>
      </c>
      <c r="DL74" t="e">
        <f>AND(Bills!#REF!,"AAAAAB3Px3M=")</f>
        <v>#REF!</v>
      </c>
      <c r="DM74" t="e">
        <f>AND(Bills!AA139,"AAAAAB3Px3Q=")</f>
        <v>#VALUE!</v>
      </c>
      <c r="DN74" t="e">
        <f>AND(Bills!AB139,"AAAAAB3Px3U=")</f>
        <v>#VALUE!</v>
      </c>
      <c r="DO74" t="e">
        <f>AND(Bills!#REF!,"AAAAAB3Px3Y=")</f>
        <v>#REF!</v>
      </c>
      <c r="DP74">
        <f>IF(Bills!140:140,"AAAAAB3Px3c=",0)</f>
        <v>0</v>
      </c>
      <c r="DQ74" t="e">
        <f>AND(Bills!B140,"AAAAAB3Px3g=")</f>
        <v>#VALUE!</v>
      </c>
      <c r="DR74" t="e">
        <f>AND(Bills!#REF!,"AAAAAB3Px3k=")</f>
        <v>#REF!</v>
      </c>
      <c r="DS74" t="e">
        <f>AND(Bills!C140,"AAAAAB3Px3o=")</f>
        <v>#VALUE!</v>
      </c>
      <c r="DT74" t="e">
        <f>AND(Bills!#REF!,"AAAAAB3Px3s=")</f>
        <v>#REF!</v>
      </c>
      <c r="DU74" t="e">
        <f>AND(Bills!#REF!,"AAAAAB3Px3w=")</f>
        <v>#REF!</v>
      </c>
      <c r="DV74" t="e">
        <f>AND(Bills!#REF!,"AAAAAB3Px30=")</f>
        <v>#REF!</v>
      </c>
      <c r="DW74" t="e">
        <f>AND(Bills!#REF!,"AAAAAB3Px34=")</f>
        <v>#REF!</v>
      </c>
      <c r="DX74" t="e">
        <f>AND(Bills!#REF!,"AAAAAB3Px38=")</f>
        <v>#REF!</v>
      </c>
      <c r="DY74" t="e">
        <f>AND(Bills!D140,"AAAAAB3Px4A=")</f>
        <v>#VALUE!</v>
      </c>
      <c r="DZ74" t="e">
        <f>AND(Bills!#REF!,"AAAAAB3Px4E=")</f>
        <v>#REF!</v>
      </c>
      <c r="EA74" t="e">
        <f>AND(Bills!E140,"AAAAAB3Px4I=")</f>
        <v>#VALUE!</v>
      </c>
      <c r="EB74" t="e">
        <f>AND(Bills!F140,"AAAAAB3Px4M=")</f>
        <v>#VALUE!</v>
      </c>
      <c r="EC74" t="e">
        <f>AND(Bills!G140,"AAAAAB3Px4Q=")</f>
        <v>#VALUE!</v>
      </c>
      <c r="ED74" t="e">
        <f>AND(Bills!H140,"AAAAAB3Px4U=")</f>
        <v>#VALUE!</v>
      </c>
      <c r="EE74" t="e">
        <f>AND(Bills!I140,"AAAAAB3Px4Y=")</f>
        <v>#VALUE!</v>
      </c>
      <c r="EF74" t="e">
        <f>AND(Bills!J140,"AAAAAB3Px4c=")</f>
        <v>#VALUE!</v>
      </c>
      <c r="EG74" t="e">
        <f>AND(Bills!#REF!,"AAAAAB3Px4g=")</f>
        <v>#REF!</v>
      </c>
      <c r="EH74" t="e">
        <f>AND(Bills!K140,"AAAAAB3Px4k=")</f>
        <v>#VALUE!</v>
      </c>
      <c r="EI74" t="e">
        <f>AND(Bills!L140,"AAAAAB3Px4o=")</f>
        <v>#VALUE!</v>
      </c>
      <c r="EJ74" t="e">
        <f>AND(Bills!M140,"AAAAAB3Px4s=")</f>
        <v>#VALUE!</v>
      </c>
      <c r="EK74" t="e">
        <f>AND(Bills!N140,"AAAAAB3Px4w=")</f>
        <v>#VALUE!</v>
      </c>
      <c r="EL74" t="e">
        <f>AND(Bills!O140,"AAAAAB3Px40=")</f>
        <v>#VALUE!</v>
      </c>
      <c r="EM74" t="e">
        <f>AND(Bills!P140,"AAAAAB3Px44=")</f>
        <v>#VALUE!</v>
      </c>
      <c r="EN74" t="e">
        <f>AND(Bills!Q140,"AAAAAB3Px48=")</f>
        <v>#VALUE!</v>
      </c>
      <c r="EO74" t="e">
        <f>AND(Bills!R140,"AAAAAB3Px5A=")</f>
        <v>#VALUE!</v>
      </c>
      <c r="EP74" t="e">
        <f>AND(Bills!#REF!,"AAAAAB3Px5E=")</f>
        <v>#REF!</v>
      </c>
      <c r="EQ74" t="e">
        <f>AND(Bills!S140,"AAAAAB3Px5I=")</f>
        <v>#VALUE!</v>
      </c>
      <c r="ER74" t="e">
        <f>AND(Bills!T140,"AAAAAB3Px5M=")</f>
        <v>#VALUE!</v>
      </c>
      <c r="ES74" t="e">
        <f>AND(Bills!U140,"AAAAAB3Px5Q=")</f>
        <v>#VALUE!</v>
      </c>
      <c r="ET74" t="e">
        <f>AND(Bills!#REF!,"AAAAAB3Px5U=")</f>
        <v>#REF!</v>
      </c>
      <c r="EU74" t="e">
        <f>AND(Bills!#REF!,"AAAAAB3Px5Y=")</f>
        <v>#REF!</v>
      </c>
      <c r="EV74" t="e">
        <f>AND(Bills!W140,"AAAAAB3Px5c=")</f>
        <v>#VALUE!</v>
      </c>
      <c r="EW74" t="e">
        <f>AND(Bills!X140,"AAAAAB3Px5g=")</f>
        <v>#VALUE!</v>
      </c>
      <c r="EX74" t="e">
        <f>AND(Bills!#REF!,"AAAAAB3Px5k=")</f>
        <v>#REF!</v>
      </c>
      <c r="EY74" t="e">
        <f>AND(Bills!#REF!,"AAAAAB3Px5o=")</f>
        <v>#REF!</v>
      </c>
      <c r="EZ74" t="e">
        <f>AND(Bills!#REF!,"AAAAAB3Px5s=")</f>
        <v>#REF!</v>
      </c>
      <c r="FA74" t="e">
        <f>AND(Bills!#REF!,"AAAAAB3Px5w=")</f>
        <v>#REF!</v>
      </c>
      <c r="FB74" t="e">
        <f>AND(Bills!#REF!,"AAAAAB3Px50=")</f>
        <v>#REF!</v>
      </c>
      <c r="FC74" t="e">
        <f>AND(Bills!#REF!,"AAAAAB3Px54=")</f>
        <v>#REF!</v>
      </c>
      <c r="FD74" t="e">
        <f>AND(Bills!#REF!,"AAAAAB3Px58=")</f>
        <v>#REF!</v>
      </c>
      <c r="FE74" t="e">
        <f>AND(Bills!#REF!,"AAAAAB3Px6A=")</f>
        <v>#REF!</v>
      </c>
      <c r="FF74" t="e">
        <f>AND(Bills!#REF!,"AAAAAB3Px6E=")</f>
        <v>#REF!</v>
      </c>
      <c r="FG74" t="e">
        <f>AND(Bills!Y140,"AAAAAB3Px6I=")</f>
        <v>#VALUE!</v>
      </c>
      <c r="FH74" t="e">
        <f>AND(Bills!Z140,"AAAAAB3Px6M=")</f>
        <v>#VALUE!</v>
      </c>
      <c r="FI74" t="e">
        <f>AND(Bills!#REF!,"AAAAAB3Px6Q=")</f>
        <v>#REF!</v>
      </c>
      <c r="FJ74" t="e">
        <f>AND(Bills!#REF!,"AAAAAB3Px6U=")</f>
        <v>#REF!</v>
      </c>
      <c r="FK74" t="e">
        <f>AND(Bills!#REF!,"AAAAAB3Px6Y=")</f>
        <v>#REF!</v>
      </c>
      <c r="FL74" t="e">
        <f>AND(Bills!AA140,"AAAAAB3Px6c=")</f>
        <v>#VALUE!</v>
      </c>
      <c r="FM74" t="e">
        <f>AND(Bills!AB140,"AAAAAB3Px6g=")</f>
        <v>#VALUE!</v>
      </c>
      <c r="FN74" t="e">
        <f>AND(Bills!#REF!,"AAAAAB3Px6k=")</f>
        <v>#REF!</v>
      </c>
      <c r="FO74">
        <f>IF(Bills!141:141,"AAAAAB3Px6o=",0)</f>
        <v>0</v>
      </c>
      <c r="FP74" t="e">
        <f>AND(Bills!B141,"AAAAAB3Px6s=")</f>
        <v>#VALUE!</v>
      </c>
      <c r="FQ74" t="e">
        <f>AND(Bills!#REF!,"AAAAAB3Px6w=")</f>
        <v>#REF!</v>
      </c>
      <c r="FR74" t="e">
        <f>AND(Bills!C141,"AAAAAB3Px60=")</f>
        <v>#VALUE!</v>
      </c>
      <c r="FS74" t="e">
        <f>AND(Bills!#REF!,"AAAAAB3Px64=")</f>
        <v>#REF!</v>
      </c>
      <c r="FT74" t="e">
        <f>AND(Bills!#REF!,"AAAAAB3Px68=")</f>
        <v>#REF!</v>
      </c>
      <c r="FU74" t="e">
        <f>AND(Bills!#REF!,"AAAAAB3Px7A=")</f>
        <v>#REF!</v>
      </c>
      <c r="FV74" t="e">
        <f>AND(Bills!#REF!,"AAAAAB3Px7E=")</f>
        <v>#REF!</v>
      </c>
      <c r="FW74" t="e">
        <f>AND(Bills!#REF!,"AAAAAB3Px7I=")</f>
        <v>#REF!</v>
      </c>
      <c r="FX74" t="e">
        <f>AND(Bills!D141,"AAAAAB3Px7M=")</f>
        <v>#VALUE!</v>
      </c>
      <c r="FY74" t="e">
        <f>AND(Bills!#REF!,"AAAAAB3Px7Q=")</f>
        <v>#REF!</v>
      </c>
      <c r="FZ74" t="e">
        <f>AND(Bills!E141,"AAAAAB3Px7U=")</f>
        <v>#VALUE!</v>
      </c>
      <c r="GA74" t="e">
        <f>AND(Bills!F141,"AAAAAB3Px7Y=")</f>
        <v>#VALUE!</v>
      </c>
      <c r="GB74" t="e">
        <f>AND(Bills!G141,"AAAAAB3Px7c=")</f>
        <v>#VALUE!</v>
      </c>
      <c r="GC74" t="e">
        <f>AND(Bills!H141,"AAAAAB3Px7g=")</f>
        <v>#VALUE!</v>
      </c>
      <c r="GD74" t="e">
        <f>AND(Bills!I141,"AAAAAB3Px7k=")</f>
        <v>#VALUE!</v>
      </c>
      <c r="GE74" t="e">
        <f>AND(Bills!J141,"AAAAAB3Px7o=")</f>
        <v>#VALUE!</v>
      </c>
      <c r="GF74" t="e">
        <f>AND(Bills!#REF!,"AAAAAB3Px7s=")</f>
        <v>#REF!</v>
      </c>
      <c r="GG74" t="e">
        <f>AND(Bills!K141,"AAAAAB3Px7w=")</f>
        <v>#VALUE!</v>
      </c>
      <c r="GH74" t="e">
        <f>AND(Bills!L141,"AAAAAB3Px70=")</f>
        <v>#VALUE!</v>
      </c>
      <c r="GI74" t="e">
        <f>AND(Bills!M141,"AAAAAB3Px74=")</f>
        <v>#VALUE!</v>
      </c>
      <c r="GJ74" t="e">
        <f>AND(Bills!N141,"AAAAAB3Px78=")</f>
        <v>#VALUE!</v>
      </c>
      <c r="GK74" t="e">
        <f>AND(Bills!O141,"AAAAAB3Px8A=")</f>
        <v>#VALUE!</v>
      </c>
      <c r="GL74" t="e">
        <f>AND(Bills!P141,"AAAAAB3Px8E=")</f>
        <v>#VALUE!</v>
      </c>
      <c r="GM74" t="e">
        <f>AND(Bills!Q141,"AAAAAB3Px8I=")</f>
        <v>#VALUE!</v>
      </c>
      <c r="GN74" t="e">
        <f>AND(Bills!R141,"AAAAAB3Px8M=")</f>
        <v>#VALUE!</v>
      </c>
      <c r="GO74" t="e">
        <f>AND(Bills!#REF!,"AAAAAB3Px8Q=")</f>
        <v>#REF!</v>
      </c>
      <c r="GP74" t="e">
        <f>AND(Bills!S141,"AAAAAB3Px8U=")</f>
        <v>#VALUE!</v>
      </c>
      <c r="GQ74" t="e">
        <f>AND(Bills!T141,"AAAAAB3Px8Y=")</f>
        <v>#VALUE!</v>
      </c>
      <c r="GR74" t="e">
        <f>AND(Bills!U141,"AAAAAB3Px8c=")</f>
        <v>#VALUE!</v>
      </c>
      <c r="GS74" t="e">
        <f>AND(Bills!#REF!,"AAAAAB3Px8g=")</f>
        <v>#REF!</v>
      </c>
      <c r="GT74" t="e">
        <f>AND(Bills!#REF!,"AAAAAB3Px8k=")</f>
        <v>#REF!</v>
      </c>
      <c r="GU74" t="e">
        <f>AND(Bills!W141,"AAAAAB3Px8o=")</f>
        <v>#VALUE!</v>
      </c>
      <c r="GV74" t="e">
        <f>AND(Bills!X141,"AAAAAB3Px8s=")</f>
        <v>#VALUE!</v>
      </c>
      <c r="GW74" t="e">
        <f>AND(Bills!#REF!,"AAAAAB3Px8w=")</f>
        <v>#REF!</v>
      </c>
      <c r="GX74" t="e">
        <f>AND(Bills!#REF!,"AAAAAB3Px80=")</f>
        <v>#REF!</v>
      </c>
      <c r="GY74" t="e">
        <f>AND(Bills!#REF!,"AAAAAB3Px84=")</f>
        <v>#REF!</v>
      </c>
      <c r="GZ74" t="e">
        <f>AND(Bills!#REF!,"AAAAAB3Px88=")</f>
        <v>#REF!</v>
      </c>
      <c r="HA74" t="e">
        <f>AND(Bills!#REF!,"AAAAAB3Px9A=")</f>
        <v>#REF!</v>
      </c>
      <c r="HB74" t="e">
        <f>AND(Bills!#REF!,"AAAAAB3Px9E=")</f>
        <v>#REF!</v>
      </c>
      <c r="HC74" t="e">
        <f>AND(Bills!#REF!,"AAAAAB3Px9I=")</f>
        <v>#REF!</v>
      </c>
      <c r="HD74" t="e">
        <f>AND(Bills!#REF!,"AAAAAB3Px9M=")</f>
        <v>#REF!</v>
      </c>
      <c r="HE74" t="e">
        <f>AND(Bills!#REF!,"AAAAAB3Px9Q=")</f>
        <v>#REF!</v>
      </c>
      <c r="HF74" t="e">
        <f>AND(Bills!Y141,"AAAAAB3Px9U=")</f>
        <v>#VALUE!</v>
      </c>
      <c r="HG74" t="e">
        <f>AND(Bills!Z141,"AAAAAB3Px9Y=")</f>
        <v>#VALUE!</v>
      </c>
      <c r="HH74" t="e">
        <f>AND(Bills!#REF!,"AAAAAB3Px9c=")</f>
        <v>#REF!</v>
      </c>
      <c r="HI74" t="e">
        <f>AND(Bills!#REF!,"AAAAAB3Px9g=")</f>
        <v>#REF!</v>
      </c>
      <c r="HJ74" t="e">
        <f>AND(Bills!#REF!,"AAAAAB3Px9k=")</f>
        <v>#REF!</v>
      </c>
      <c r="HK74" t="e">
        <f>AND(Bills!AA141,"AAAAAB3Px9o=")</f>
        <v>#VALUE!</v>
      </c>
      <c r="HL74" t="e">
        <f>AND(Bills!AB141,"AAAAAB3Px9s=")</f>
        <v>#VALUE!</v>
      </c>
      <c r="HM74" t="e">
        <f>AND(Bills!#REF!,"AAAAAB3Px9w=")</f>
        <v>#REF!</v>
      </c>
      <c r="HN74">
        <f>IF(Bills!142:142,"AAAAAB3Px90=",0)</f>
        <v>0</v>
      </c>
      <c r="HO74" t="e">
        <f>AND(Bills!B142,"AAAAAB3Px94=")</f>
        <v>#VALUE!</v>
      </c>
      <c r="HP74" t="e">
        <f>AND(Bills!#REF!,"AAAAAB3Px98=")</f>
        <v>#REF!</v>
      </c>
      <c r="HQ74" t="e">
        <f>AND(Bills!C142,"AAAAAB3Px+A=")</f>
        <v>#VALUE!</v>
      </c>
      <c r="HR74" t="e">
        <f>AND(Bills!#REF!,"AAAAAB3Px+E=")</f>
        <v>#REF!</v>
      </c>
      <c r="HS74" t="e">
        <f>AND(Bills!#REF!,"AAAAAB3Px+I=")</f>
        <v>#REF!</v>
      </c>
      <c r="HT74" t="e">
        <f>AND(Bills!#REF!,"AAAAAB3Px+M=")</f>
        <v>#REF!</v>
      </c>
      <c r="HU74" t="e">
        <f>AND(Bills!#REF!,"AAAAAB3Px+Q=")</f>
        <v>#REF!</v>
      </c>
      <c r="HV74" t="e">
        <f>AND(Bills!#REF!,"AAAAAB3Px+U=")</f>
        <v>#REF!</v>
      </c>
      <c r="HW74" t="e">
        <f>AND(Bills!D142,"AAAAAB3Px+Y=")</f>
        <v>#VALUE!</v>
      </c>
      <c r="HX74" t="e">
        <f>AND(Bills!#REF!,"AAAAAB3Px+c=")</f>
        <v>#REF!</v>
      </c>
      <c r="HY74" t="e">
        <f>AND(Bills!E142,"AAAAAB3Px+g=")</f>
        <v>#VALUE!</v>
      </c>
      <c r="HZ74" t="e">
        <f>AND(Bills!F142,"AAAAAB3Px+k=")</f>
        <v>#VALUE!</v>
      </c>
      <c r="IA74" t="e">
        <f>AND(Bills!G142,"AAAAAB3Px+o=")</f>
        <v>#VALUE!</v>
      </c>
      <c r="IB74" t="e">
        <f>AND(Bills!H142,"AAAAAB3Px+s=")</f>
        <v>#VALUE!</v>
      </c>
      <c r="IC74" t="e">
        <f>AND(Bills!I142,"AAAAAB3Px+w=")</f>
        <v>#VALUE!</v>
      </c>
      <c r="ID74" t="e">
        <f>AND(Bills!J142,"AAAAAB3Px+0=")</f>
        <v>#VALUE!</v>
      </c>
      <c r="IE74" t="e">
        <f>AND(Bills!#REF!,"AAAAAB3Px+4=")</f>
        <v>#REF!</v>
      </c>
      <c r="IF74" t="e">
        <f>AND(Bills!K142,"AAAAAB3Px+8=")</f>
        <v>#VALUE!</v>
      </c>
      <c r="IG74" t="e">
        <f>AND(Bills!L142,"AAAAAB3Px/A=")</f>
        <v>#VALUE!</v>
      </c>
      <c r="IH74" t="e">
        <f>AND(Bills!M142,"AAAAAB3Px/E=")</f>
        <v>#VALUE!</v>
      </c>
      <c r="II74" t="e">
        <f>AND(Bills!N142,"AAAAAB3Px/I=")</f>
        <v>#VALUE!</v>
      </c>
      <c r="IJ74" t="e">
        <f>AND(Bills!O142,"AAAAAB3Px/M=")</f>
        <v>#VALUE!</v>
      </c>
      <c r="IK74" t="e">
        <f>AND(Bills!P142,"AAAAAB3Px/Q=")</f>
        <v>#VALUE!</v>
      </c>
      <c r="IL74" t="e">
        <f>AND(Bills!Q142,"AAAAAB3Px/U=")</f>
        <v>#VALUE!</v>
      </c>
      <c r="IM74" t="e">
        <f>AND(Bills!R142,"AAAAAB3Px/Y=")</f>
        <v>#VALUE!</v>
      </c>
      <c r="IN74" t="e">
        <f>AND(Bills!#REF!,"AAAAAB3Px/c=")</f>
        <v>#REF!</v>
      </c>
      <c r="IO74" t="e">
        <f>AND(Bills!S142,"AAAAAB3Px/g=")</f>
        <v>#VALUE!</v>
      </c>
      <c r="IP74" t="e">
        <f>AND(Bills!T142,"AAAAAB3Px/k=")</f>
        <v>#VALUE!</v>
      </c>
      <c r="IQ74" t="e">
        <f>AND(Bills!U142,"AAAAAB3Px/o=")</f>
        <v>#VALUE!</v>
      </c>
      <c r="IR74" t="e">
        <f>AND(Bills!#REF!,"AAAAAB3Px/s=")</f>
        <v>#REF!</v>
      </c>
      <c r="IS74" t="e">
        <f>AND(Bills!#REF!,"AAAAAB3Px/w=")</f>
        <v>#REF!</v>
      </c>
      <c r="IT74" t="e">
        <f>AND(Bills!W142,"AAAAAB3Px/0=")</f>
        <v>#VALUE!</v>
      </c>
      <c r="IU74" t="e">
        <f>AND(Bills!X142,"AAAAAB3Px/4=")</f>
        <v>#VALUE!</v>
      </c>
      <c r="IV74" t="e">
        <f>AND(Bills!#REF!,"AAAAAB3Px/8=")</f>
        <v>#REF!</v>
      </c>
    </row>
    <row r="75" spans="1:256">
      <c r="A75" t="e">
        <f>AND(Bills!#REF!,"AAAAAD1f/wA=")</f>
        <v>#REF!</v>
      </c>
      <c r="B75" t="e">
        <f>AND(Bills!#REF!,"AAAAAD1f/wE=")</f>
        <v>#REF!</v>
      </c>
      <c r="C75" t="e">
        <f>AND(Bills!#REF!,"AAAAAD1f/wI=")</f>
        <v>#REF!</v>
      </c>
      <c r="D75" t="e">
        <f>AND(Bills!#REF!,"AAAAAD1f/wM=")</f>
        <v>#REF!</v>
      </c>
      <c r="E75" t="e">
        <f>AND(Bills!#REF!,"AAAAAD1f/wQ=")</f>
        <v>#REF!</v>
      </c>
      <c r="F75" t="e">
        <f>AND(Bills!#REF!,"AAAAAD1f/wU=")</f>
        <v>#REF!</v>
      </c>
      <c r="G75" t="e">
        <f>AND(Bills!#REF!,"AAAAAD1f/wY=")</f>
        <v>#REF!</v>
      </c>
      <c r="H75" t="e">
        <f>AND(Bills!#REF!,"AAAAAD1f/wc=")</f>
        <v>#REF!</v>
      </c>
      <c r="I75" t="e">
        <f>AND(Bills!Y142,"AAAAAD1f/wg=")</f>
        <v>#VALUE!</v>
      </c>
      <c r="J75" t="e">
        <f>AND(Bills!Z142,"AAAAAD1f/wk=")</f>
        <v>#VALUE!</v>
      </c>
      <c r="K75" t="e">
        <f>AND(Bills!#REF!,"AAAAAD1f/wo=")</f>
        <v>#REF!</v>
      </c>
      <c r="L75" t="e">
        <f>AND(Bills!#REF!,"AAAAAD1f/ws=")</f>
        <v>#REF!</v>
      </c>
      <c r="M75" t="e">
        <f>AND(Bills!#REF!,"AAAAAD1f/ww=")</f>
        <v>#REF!</v>
      </c>
      <c r="N75" t="e">
        <f>AND(Bills!AA142,"AAAAAD1f/w0=")</f>
        <v>#VALUE!</v>
      </c>
      <c r="O75" t="e">
        <f>AND(Bills!AB142,"AAAAAD1f/w4=")</f>
        <v>#VALUE!</v>
      </c>
      <c r="P75" t="e">
        <f>AND(Bills!#REF!,"AAAAAD1f/w8=")</f>
        <v>#REF!</v>
      </c>
      <c r="Q75">
        <f>IF(Bills!143:143,"AAAAAD1f/xA=",0)</f>
        <v>0</v>
      </c>
      <c r="R75" t="e">
        <f>AND(Bills!B143,"AAAAAD1f/xE=")</f>
        <v>#VALUE!</v>
      </c>
      <c r="S75" t="e">
        <f>AND(Bills!#REF!,"AAAAAD1f/xI=")</f>
        <v>#REF!</v>
      </c>
      <c r="T75" t="e">
        <f>AND(Bills!C143,"AAAAAD1f/xM=")</f>
        <v>#VALUE!</v>
      </c>
      <c r="U75" t="e">
        <f>AND(Bills!#REF!,"AAAAAD1f/xQ=")</f>
        <v>#REF!</v>
      </c>
      <c r="V75" t="e">
        <f>AND(Bills!#REF!,"AAAAAD1f/xU=")</f>
        <v>#REF!</v>
      </c>
      <c r="W75" t="e">
        <f>AND(Bills!#REF!,"AAAAAD1f/xY=")</f>
        <v>#REF!</v>
      </c>
      <c r="X75" t="e">
        <f>AND(Bills!#REF!,"AAAAAD1f/xc=")</f>
        <v>#REF!</v>
      </c>
      <c r="Y75" t="e">
        <f>AND(Bills!#REF!,"AAAAAD1f/xg=")</f>
        <v>#REF!</v>
      </c>
      <c r="Z75" t="e">
        <f>AND(Bills!D143,"AAAAAD1f/xk=")</f>
        <v>#VALUE!</v>
      </c>
      <c r="AA75" t="e">
        <f>AND(Bills!#REF!,"AAAAAD1f/xo=")</f>
        <v>#REF!</v>
      </c>
      <c r="AB75" t="e">
        <f>AND(Bills!E143,"AAAAAD1f/xs=")</f>
        <v>#VALUE!</v>
      </c>
      <c r="AC75" t="e">
        <f>AND(Bills!F143,"AAAAAD1f/xw=")</f>
        <v>#VALUE!</v>
      </c>
      <c r="AD75" t="e">
        <f>AND(Bills!G143,"AAAAAD1f/x0=")</f>
        <v>#VALUE!</v>
      </c>
      <c r="AE75" t="e">
        <f>AND(Bills!H143,"AAAAAD1f/x4=")</f>
        <v>#VALUE!</v>
      </c>
      <c r="AF75" t="e">
        <f>AND(Bills!I143,"AAAAAD1f/x8=")</f>
        <v>#VALUE!</v>
      </c>
      <c r="AG75" t="e">
        <f>AND(Bills!J143,"AAAAAD1f/yA=")</f>
        <v>#VALUE!</v>
      </c>
      <c r="AH75" t="e">
        <f>AND(Bills!#REF!,"AAAAAD1f/yE=")</f>
        <v>#REF!</v>
      </c>
      <c r="AI75" t="e">
        <f>AND(Bills!K143,"AAAAAD1f/yI=")</f>
        <v>#VALUE!</v>
      </c>
      <c r="AJ75" t="e">
        <f>AND(Bills!L143,"AAAAAD1f/yM=")</f>
        <v>#VALUE!</v>
      </c>
      <c r="AK75" t="e">
        <f>AND(Bills!M143,"AAAAAD1f/yQ=")</f>
        <v>#VALUE!</v>
      </c>
      <c r="AL75" t="e">
        <f>AND(Bills!N143,"AAAAAD1f/yU=")</f>
        <v>#VALUE!</v>
      </c>
      <c r="AM75" t="e">
        <f>AND(Bills!O143,"AAAAAD1f/yY=")</f>
        <v>#VALUE!</v>
      </c>
      <c r="AN75" t="e">
        <f>AND(Bills!P143,"AAAAAD1f/yc=")</f>
        <v>#VALUE!</v>
      </c>
      <c r="AO75" t="e">
        <f>AND(Bills!Q143,"AAAAAD1f/yg=")</f>
        <v>#VALUE!</v>
      </c>
      <c r="AP75" t="e">
        <f>AND(Bills!R143,"AAAAAD1f/yk=")</f>
        <v>#VALUE!</v>
      </c>
      <c r="AQ75" t="e">
        <f>AND(Bills!#REF!,"AAAAAD1f/yo=")</f>
        <v>#REF!</v>
      </c>
      <c r="AR75" t="e">
        <f>AND(Bills!S143,"AAAAAD1f/ys=")</f>
        <v>#VALUE!</v>
      </c>
      <c r="AS75" t="e">
        <f>AND(Bills!T143,"AAAAAD1f/yw=")</f>
        <v>#VALUE!</v>
      </c>
      <c r="AT75" t="e">
        <f>AND(Bills!U143,"AAAAAD1f/y0=")</f>
        <v>#VALUE!</v>
      </c>
      <c r="AU75" t="e">
        <f>AND(Bills!#REF!,"AAAAAD1f/y4=")</f>
        <v>#REF!</v>
      </c>
      <c r="AV75" t="e">
        <f>AND(Bills!#REF!,"AAAAAD1f/y8=")</f>
        <v>#REF!</v>
      </c>
      <c r="AW75" t="e">
        <f>AND(Bills!W143,"AAAAAD1f/zA=")</f>
        <v>#VALUE!</v>
      </c>
      <c r="AX75" t="e">
        <f>AND(Bills!X143,"AAAAAD1f/zE=")</f>
        <v>#VALUE!</v>
      </c>
      <c r="AY75" t="e">
        <f>AND(Bills!#REF!,"AAAAAD1f/zI=")</f>
        <v>#REF!</v>
      </c>
      <c r="AZ75" t="e">
        <f>AND(Bills!#REF!,"AAAAAD1f/zM=")</f>
        <v>#REF!</v>
      </c>
      <c r="BA75" t="e">
        <f>AND(Bills!#REF!,"AAAAAD1f/zQ=")</f>
        <v>#REF!</v>
      </c>
      <c r="BB75" t="e">
        <f>AND(Bills!#REF!,"AAAAAD1f/zU=")</f>
        <v>#REF!</v>
      </c>
      <c r="BC75" t="e">
        <f>AND(Bills!#REF!,"AAAAAD1f/zY=")</f>
        <v>#REF!</v>
      </c>
      <c r="BD75" t="e">
        <f>AND(Bills!#REF!,"AAAAAD1f/zc=")</f>
        <v>#REF!</v>
      </c>
      <c r="BE75" t="e">
        <f>AND(Bills!#REF!,"AAAAAD1f/zg=")</f>
        <v>#REF!</v>
      </c>
      <c r="BF75" t="e">
        <f>AND(Bills!#REF!,"AAAAAD1f/zk=")</f>
        <v>#REF!</v>
      </c>
      <c r="BG75" t="e">
        <f>AND(Bills!#REF!,"AAAAAD1f/zo=")</f>
        <v>#REF!</v>
      </c>
      <c r="BH75" t="e">
        <f>AND(Bills!Y143,"AAAAAD1f/zs=")</f>
        <v>#VALUE!</v>
      </c>
      <c r="BI75" t="e">
        <f>AND(Bills!Z143,"AAAAAD1f/zw=")</f>
        <v>#VALUE!</v>
      </c>
      <c r="BJ75" t="e">
        <f>AND(Bills!#REF!,"AAAAAD1f/z0=")</f>
        <v>#REF!</v>
      </c>
      <c r="BK75" t="e">
        <f>AND(Bills!#REF!,"AAAAAD1f/z4=")</f>
        <v>#REF!</v>
      </c>
      <c r="BL75" t="e">
        <f>AND(Bills!#REF!,"AAAAAD1f/z8=")</f>
        <v>#REF!</v>
      </c>
      <c r="BM75" t="e">
        <f>AND(Bills!AA143,"AAAAAD1f/0A=")</f>
        <v>#VALUE!</v>
      </c>
      <c r="BN75" t="e">
        <f>AND(Bills!AB143,"AAAAAD1f/0E=")</f>
        <v>#VALUE!</v>
      </c>
      <c r="BO75" t="e">
        <f>AND(Bills!#REF!,"AAAAAD1f/0I=")</f>
        <v>#REF!</v>
      </c>
      <c r="BP75">
        <f>IF(Bills!144:144,"AAAAAD1f/0M=",0)</f>
        <v>0</v>
      </c>
      <c r="BQ75" t="e">
        <f>AND(Bills!B144,"AAAAAD1f/0Q=")</f>
        <v>#VALUE!</v>
      </c>
      <c r="BR75" t="e">
        <f>AND(Bills!#REF!,"AAAAAD1f/0U=")</f>
        <v>#REF!</v>
      </c>
      <c r="BS75" t="e">
        <f>AND(Bills!C144,"AAAAAD1f/0Y=")</f>
        <v>#VALUE!</v>
      </c>
      <c r="BT75" t="e">
        <f>AND(Bills!#REF!,"AAAAAD1f/0c=")</f>
        <v>#REF!</v>
      </c>
      <c r="BU75" t="e">
        <f>AND(Bills!#REF!,"AAAAAD1f/0g=")</f>
        <v>#REF!</v>
      </c>
      <c r="BV75" t="e">
        <f>AND(Bills!#REF!,"AAAAAD1f/0k=")</f>
        <v>#REF!</v>
      </c>
      <c r="BW75" t="e">
        <f>AND(Bills!#REF!,"AAAAAD1f/0o=")</f>
        <v>#REF!</v>
      </c>
      <c r="BX75" t="e">
        <f>AND(Bills!#REF!,"AAAAAD1f/0s=")</f>
        <v>#REF!</v>
      </c>
      <c r="BY75" t="e">
        <f>AND(Bills!D144,"AAAAAD1f/0w=")</f>
        <v>#VALUE!</v>
      </c>
      <c r="BZ75" t="e">
        <f>AND(Bills!#REF!,"AAAAAD1f/00=")</f>
        <v>#REF!</v>
      </c>
      <c r="CA75" t="e">
        <f>AND(Bills!E144,"AAAAAD1f/04=")</f>
        <v>#VALUE!</v>
      </c>
      <c r="CB75" t="e">
        <f>AND(Bills!F144,"AAAAAD1f/08=")</f>
        <v>#VALUE!</v>
      </c>
      <c r="CC75" t="e">
        <f>AND(Bills!G144,"AAAAAD1f/1A=")</f>
        <v>#VALUE!</v>
      </c>
      <c r="CD75" t="e">
        <f>AND(Bills!H144,"AAAAAD1f/1E=")</f>
        <v>#VALUE!</v>
      </c>
      <c r="CE75" t="e">
        <f>AND(Bills!I144,"AAAAAD1f/1I=")</f>
        <v>#VALUE!</v>
      </c>
      <c r="CF75" t="e">
        <f>AND(Bills!J144,"AAAAAD1f/1M=")</f>
        <v>#VALUE!</v>
      </c>
      <c r="CG75" t="e">
        <f>AND(Bills!#REF!,"AAAAAD1f/1Q=")</f>
        <v>#REF!</v>
      </c>
      <c r="CH75" t="e">
        <f>AND(Bills!K144,"AAAAAD1f/1U=")</f>
        <v>#VALUE!</v>
      </c>
      <c r="CI75" t="e">
        <f>AND(Bills!L144,"AAAAAD1f/1Y=")</f>
        <v>#VALUE!</v>
      </c>
      <c r="CJ75" t="e">
        <f>AND(Bills!M144,"AAAAAD1f/1c=")</f>
        <v>#VALUE!</v>
      </c>
      <c r="CK75" t="e">
        <f>AND(Bills!N144,"AAAAAD1f/1g=")</f>
        <v>#VALUE!</v>
      </c>
      <c r="CL75" t="e">
        <f>AND(Bills!O144,"AAAAAD1f/1k=")</f>
        <v>#VALUE!</v>
      </c>
      <c r="CM75" t="e">
        <f>AND(Bills!P144,"AAAAAD1f/1o=")</f>
        <v>#VALUE!</v>
      </c>
      <c r="CN75" t="e">
        <f>AND(Bills!Q144,"AAAAAD1f/1s=")</f>
        <v>#VALUE!</v>
      </c>
      <c r="CO75" t="e">
        <f>AND(Bills!R144,"AAAAAD1f/1w=")</f>
        <v>#VALUE!</v>
      </c>
      <c r="CP75" t="e">
        <f>AND(Bills!#REF!,"AAAAAD1f/10=")</f>
        <v>#REF!</v>
      </c>
      <c r="CQ75" t="e">
        <f>AND(Bills!S144,"AAAAAD1f/14=")</f>
        <v>#VALUE!</v>
      </c>
      <c r="CR75" t="e">
        <f>AND(Bills!T144,"AAAAAD1f/18=")</f>
        <v>#VALUE!</v>
      </c>
      <c r="CS75" t="e">
        <f>AND(Bills!U144,"AAAAAD1f/2A=")</f>
        <v>#VALUE!</v>
      </c>
      <c r="CT75" t="e">
        <f>AND(Bills!#REF!,"AAAAAD1f/2E=")</f>
        <v>#REF!</v>
      </c>
      <c r="CU75" t="e">
        <f>AND(Bills!#REF!,"AAAAAD1f/2I=")</f>
        <v>#REF!</v>
      </c>
      <c r="CV75" t="e">
        <f>AND(Bills!W144,"AAAAAD1f/2M=")</f>
        <v>#VALUE!</v>
      </c>
      <c r="CW75" t="e">
        <f>AND(Bills!X144,"AAAAAD1f/2Q=")</f>
        <v>#VALUE!</v>
      </c>
      <c r="CX75" t="e">
        <f>AND(Bills!#REF!,"AAAAAD1f/2U=")</f>
        <v>#REF!</v>
      </c>
      <c r="CY75" t="e">
        <f>AND(Bills!#REF!,"AAAAAD1f/2Y=")</f>
        <v>#REF!</v>
      </c>
      <c r="CZ75" t="e">
        <f>AND(Bills!#REF!,"AAAAAD1f/2c=")</f>
        <v>#REF!</v>
      </c>
      <c r="DA75" t="e">
        <f>AND(Bills!#REF!,"AAAAAD1f/2g=")</f>
        <v>#REF!</v>
      </c>
      <c r="DB75" t="e">
        <f>AND(Bills!#REF!,"AAAAAD1f/2k=")</f>
        <v>#REF!</v>
      </c>
      <c r="DC75" t="e">
        <f>AND(Bills!#REF!,"AAAAAD1f/2o=")</f>
        <v>#REF!</v>
      </c>
      <c r="DD75" t="e">
        <f>AND(Bills!#REF!,"AAAAAD1f/2s=")</f>
        <v>#REF!</v>
      </c>
      <c r="DE75" t="e">
        <f>AND(Bills!#REF!,"AAAAAD1f/2w=")</f>
        <v>#REF!</v>
      </c>
      <c r="DF75" t="e">
        <f>AND(Bills!#REF!,"AAAAAD1f/20=")</f>
        <v>#REF!</v>
      </c>
      <c r="DG75" t="e">
        <f>AND(Bills!Y144,"AAAAAD1f/24=")</f>
        <v>#VALUE!</v>
      </c>
      <c r="DH75" t="e">
        <f>AND(Bills!Z144,"AAAAAD1f/28=")</f>
        <v>#VALUE!</v>
      </c>
      <c r="DI75" t="e">
        <f>AND(Bills!#REF!,"AAAAAD1f/3A=")</f>
        <v>#REF!</v>
      </c>
      <c r="DJ75" t="e">
        <f>AND(Bills!#REF!,"AAAAAD1f/3E=")</f>
        <v>#REF!</v>
      </c>
      <c r="DK75" t="e">
        <f>AND(Bills!#REF!,"AAAAAD1f/3I=")</f>
        <v>#REF!</v>
      </c>
      <c r="DL75" t="e">
        <f>AND(Bills!AA144,"AAAAAD1f/3M=")</f>
        <v>#VALUE!</v>
      </c>
      <c r="DM75" t="e">
        <f>AND(Bills!AB144,"AAAAAD1f/3Q=")</f>
        <v>#VALUE!</v>
      </c>
      <c r="DN75" t="e">
        <f>AND(Bills!#REF!,"AAAAAD1f/3U=")</f>
        <v>#REF!</v>
      </c>
      <c r="DO75">
        <f>IF(Bills!145:145,"AAAAAD1f/3Y=",0)</f>
        <v>0</v>
      </c>
      <c r="DP75" t="e">
        <f>AND(Bills!B145,"AAAAAD1f/3c=")</f>
        <v>#VALUE!</v>
      </c>
      <c r="DQ75" t="e">
        <f>AND(Bills!#REF!,"AAAAAD1f/3g=")</f>
        <v>#REF!</v>
      </c>
      <c r="DR75" t="e">
        <f>AND(Bills!C145,"AAAAAD1f/3k=")</f>
        <v>#VALUE!</v>
      </c>
      <c r="DS75" t="e">
        <f>AND(Bills!#REF!,"AAAAAD1f/3o=")</f>
        <v>#REF!</v>
      </c>
      <c r="DT75" t="e">
        <f>AND(Bills!#REF!,"AAAAAD1f/3s=")</f>
        <v>#REF!</v>
      </c>
      <c r="DU75" t="e">
        <f>AND(Bills!#REF!,"AAAAAD1f/3w=")</f>
        <v>#REF!</v>
      </c>
      <c r="DV75" t="e">
        <f>AND(Bills!#REF!,"AAAAAD1f/30=")</f>
        <v>#REF!</v>
      </c>
      <c r="DW75" t="e">
        <f>AND(Bills!#REF!,"AAAAAD1f/34=")</f>
        <v>#REF!</v>
      </c>
      <c r="DX75" t="e">
        <f>AND(Bills!D145,"AAAAAD1f/38=")</f>
        <v>#VALUE!</v>
      </c>
      <c r="DY75" t="e">
        <f>AND(Bills!#REF!,"AAAAAD1f/4A=")</f>
        <v>#REF!</v>
      </c>
      <c r="DZ75" t="e">
        <f>AND(Bills!E145,"AAAAAD1f/4E=")</f>
        <v>#VALUE!</v>
      </c>
      <c r="EA75" t="e">
        <f>AND(Bills!F145,"AAAAAD1f/4I=")</f>
        <v>#VALUE!</v>
      </c>
      <c r="EB75" t="e">
        <f>AND(Bills!G145,"AAAAAD1f/4M=")</f>
        <v>#VALUE!</v>
      </c>
      <c r="EC75" t="e">
        <f>AND(Bills!H145,"AAAAAD1f/4Q=")</f>
        <v>#VALUE!</v>
      </c>
      <c r="ED75" t="e">
        <f>AND(Bills!I145,"AAAAAD1f/4U=")</f>
        <v>#VALUE!</v>
      </c>
      <c r="EE75" t="e">
        <f>AND(Bills!J145,"AAAAAD1f/4Y=")</f>
        <v>#VALUE!</v>
      </c>
      <c r="EF75" t="e">
        <f>AND(Bills!#REF!,"AAAAAD1f/4c=")</f>
        <v>#REF!</v>
      </c>
      <c r="EG75" t="e">
        <f>AND(Bills!K145,"AAAAAD1f/4g=")</f>
        <v>#VALUE!</v>
      </c>
      <c r="EH75" t="e">
        <f>AND(Bills!L145,"AAAAAD1f/4k=")</f>
        <v>#VALUE!</v>
      </c>
      <c r="EI75" t="e">
        <f>AND(Bills!M145,"AAAAAD1f/4o=")</f>
        <v>#VALUE!</v>
      </c>
      <c r="EJ75" t="e">
        <f>AND(Bills!N145,"AAAAAD1f/4s=")</f>
        <v>#VALUE!</v>
      </c>
      <c r="EK75" t="e">
        <f>AND(Bills!O145,"AAAAAD1f/4w=")</f>
        <v>#VALUE!</v>
      </c>
      <c r="EL75" t="e">
        <f>AND(Bills!P145,"AAAAAD1f/40=")</f>
        <v>#VALUE!</v>
      </c>
      <c r="EM75" t="e">
        <f>AND(Bills!Q145,"AAAAAD1f/44=")</f>
        <v>#VALUE!</v>
      </c>
      <c r="EN75" t="e">
        <f>AND(Bills!R145,"AAAAAD1f/48=")</f>
        <v>#VALUE!</v>
      </c>
      <c r="EO75" t="e">
        <f>AND(Bills!#REF!,"AAAAAD1f/5A=")</f>
        <v>#REF!</v>
      </c>
      <c r="EP75" t="e">
        <f>AND(Bills!S145,"AAAAAD1f/5E=")</f>
        <v>#VALUE!</v>
      </c>
      <c r="EQ75" t="e">
        <f>AND(Bills!T145,"AAAAAD1f/5I=")</f>
        <v>#VALUE!</v>
      </c>
      <c r="ER75" t="e">
        <f>AND(Bills!U145,"AAAAAD1f/5M=")</f>
        <v>#VALUE!</v>
      </c>
      <c r="ES75" t="e">
        <f>AND(Bills!#REF!,"AAAAAD1f/5Q=")</f>
        <v>#REF!</v>
      </c>
      <c r="ET75" t="e">
        <f>AND(Bills!#REF!,"AAAAAD1f/5U=")</f>
        <v>#REF!</v>
      </c>
      <c r="EU75" t="e">
        <f>AND(Bills!W145,"AAAAAD1f/5Y=")</f>
        <v>#VALUE!</v>
      </c>
      <c r="EV75" t="e">
        <f>AND(Bills!X145,"AAAAAD1f/5c=")</f>
        <v>#VALUE!</v>
      </c>
      <c r="EW75" t="e">
        <f>AND(Bills!#REF!,"AAAAAD1f/5g=")</f>
        <v>#REF!</v>
      </c>
      <c r="EX75" t="e">
        <f>AND(Bills!#REF!,"AAAAAD1f/5k=")</f>
        <v>#REF!</v>
      </c>
      <c r="EY75" t="e">
        <f>AND(Bills!#REF!,"AAAAAD1f/5o=")</f>
        <v>#REF!</v>
      </c>
      <c r="EZ75" t="e">
        <f>AND(Bills!#REF!,"AAAAAD1f/5s=")</f>
        <v>#REF!</v>
      </c>
      <c r="FA75" t="e">
        <f>AND(Bills!#REF!,"AAAAAD1f/5w=")</f>
        <v>#REF!</v>
      </c>
      <c r="FB75" t="e">
        <f>AND(Bills!#REF!,"AAAAAD1f/50=")</f>
        <v>#REF!</v>
      </c>
      <c r="FC75" t="e">
        <f>AND(Bills!#REF!,"AAAAAD1f/54=")</f>
        <v>#REF!</v>
      </c>
      <c r="FD75" t="e">
        <f>AND(Bills!#REF!,"AAAAAD1f/58=")</f>
        <v>#REF!</v>
      </c>
      <c r="FE75" t="e">
        <f>AND(Bills!#REF!,"AAAAAD1f/6A=")</f>
        <v>#REF!</v>
      </c>
      <c r="FF75" t="e">
        <f>AND(Bills!Y145,"AAAAAD1f/6E=")</f>
        <v>#VALUE!</v>
      </c>
      <c r="FG75" t="e">
        <f>AND(Bills!Z145,"AAAAAD1f/6I=")</f>
        <v>#VALUE!</v>
      </c>
      <c r="FH75" t="e">
        <f>AND(Bills!#REF!,"AAAAAD1f/6M=")</f>
        <v>#REF!</v>
      </c>
      <c r="FI75" t="e">
        <f>AND(Bills!#REF!,"AAAAAD1f/6Q=")</f>
        <v>#REF!</v>
      </c>
      <c r="FJ75" t="e">
        <f>AND(Bills!#REF!,"AAAAAD1f/6U=")</f>
        <v>#REF!</v>
      </c>
      <c r="FK75" t="e">
        <f>AND(Bills!AA145,"AAAAAD1f/6Y=")</f>
        <v>#VALUE!</v>
      </c>
      <c r="FL75" t="e">
        <f>AND(Bills!AB145,"AAAAAD1f/6c=")</f>
        <v>#VALUE!</v>
      </c>
      <c r="FM75" t="e">
        <f>AND(Bills!#REF!,"AAAAAD1f/6g=")</f>
        <v>#REF!</v>
      </c>
      <c r="FN75">
        <f>IF(Bills!146:146,"AAAAAD1f/6k=",0)</f>
        <v>0</v>
      </c>
      <c r="FO75" t="e">
        <f>AND(Bills!B146,"AAAAAD1f/6o=")</f>
        <v>#VALUE!</v>
      </c>
      <c r="FP75" t="e">
        <f>AND(Bills!#REF!,"AAAAAD1f/6s=")</f>
        <v>#REF!</v>
      </c>
      <c r="FQ75" t="e">
        <f>AND(Bills!C146,"AAAAAD1f/6w=")</f>
        <v>#VALUE!</v>
      </c>
      <c r="FR75" t="e">
        <f>AND(Bills!#REF!,"AAAAAD1f/60=")</f>
        <v>#REF!</v>
      </c>
      <c r="FS75" t="e">
        <f>AND(Bills!#REF!,"AAAAAD1f/64=")</f>
        <v>#REF!</v>
      </c>
      <c r="FT75" t="e">
        <f>AND(Bills!#REF!,"AAAAAD1f/68=")</f>
        <v>#REF!</v>
      </c>
      <c r="FU75" t="e">
        <f>AND(Bills!#REF!,"AAAAAD1f/7A=")</f>
        <v>#REF!</v>
      </c>
      <c r="FV75" t="e">
        <f>AND(Bills!#REF!,"AAAAAD1f/7E=")</f>
        <v>#REF!</v>
      </c>
      <c r="FW75" t="e">
        <f>AND(Bills!D146,"AAAAAD1f/7I=")</f>
        <v>#VALUE!</v>
      </c>
      <c r="FX75" t="e">
        <f>AND(Bills!#REF!,"AAAAAD1f/7M=")</f>
        <v>#REF!</v>
      </c>
      <c r="FY75" t="e">
        <f>AND(Bills!E146,"AAAAAD1f/7Q=")</f>
        <v>#VALUE!</v>
      </c>
      <c r="FZ75" t="e">
        <f>AND(Bills!F146,"AAAAAD1f/7U=")</f>
        <v>#VALUE!</v>
      </c>
      <c r="GA75" t="e">
        <f>AND(Bills!G146,"AAAAAD1f/7Y=")</f>
        <v>#VALUE!</v>
      </c>
      <c r="GB75" t="e">
        <f>AND(Bills!H146,"AAAAAD1f/7c=")</f>
        <v>#VALUE!</v>
      </c>
      <c r="GC75" t="e">
        <f>AND(Bills!I146,"AAAAAD1f/7g=")</f>
        <v>#VALUE!</v>
      </c>
      <c r="GD75" t="e">
        <f>AND(Bills!J146,"AAAAAD1f/7k=")</f>
        <v>#VALUE!</v>
      </c>
      <c r="GE75" t="e">
        <f>AND(Bills!#REF!,"AAAAAD1f/7o=")</f>
        <v>#REF!</v>
      </c>
      <c r="GF75" t="e">
        <f>AND(Bills!K146,"AAAAAD1f/7s=")</f>
        <v>#VALUE!</v>
      </c>
      <c r="GG75" t="e">
        <f>AND(Bills!L146,"AAAAAD1f/7w=")</f>
        <v>#VALUE!</v>
      </c>
      <c r="GH75" t="e">
        <f>AND(Bills!M146,"AAAAAD1f/70=")</f>
        <v>#VALUE!</v>
      </c>
      <c r="GI75" t="e">
        <f>AND(Bills!N146,"AAAAAD1f/74=")</f>
        <v>#VALUE!</v>
      </c>
      <c r="GJ75" t="e">
        <f>AND(Bills!O146,"AAAAAD1f/78=")</f>
        <v>#VALUE!</v>
      </c>
      <c r="GK75" t="e">
        <f>AND(Bills!P146,"AAAAAD1f/8A=")</f>
        <v>#VALUE!</v>
      </c>
      <c r="GL75" t="e">
        <f>AND(Bills!Q146,"AAAAAD1f/8E=")</f>
        <v>#VALUE!</v>
      </c>
      <c r="GM75" t="e">
        <f>AND(Bills!R146,"AAAAAD1f/8I=")</f>
        <v>#VALUE!</v>
      </c>
      <c r="GN75" t="e">
        <f>AND(Bills!#REF!,"AAAAAD1f/8M=")</f>
        <v>#REF!</v>
      </c>
      <c r="GO75" t="e">
        <f>AND(Bills!S146,"AAAAAD1f/8Q=")</f>
        <v>#VALUE!</v>
      </c>
      <c r="GP75" t="e">
        <f>AND(Bills!T146,"AAAAAD1f/8U=")</f>
        <v>#VALUE!</v>
      </c>
      <c r="GQ75" t="e">
        <f>AND(Bills!U146,"AAAAAD1f/8Y=")</f>
        <v>#VALUE!</v>
      </c>
      <c r="GR75" t="e">
        <f>AND(Bills!#REF!,"AAAAAD1f/8c=")</f>
        <v>#REF!</v>
      </c>
      <c r="GS75" t="e">
        <f>AND(Bills!#REF!,"AAAAAD1f/8g=")</f>
        <v>#REF!</v>
      </c>
      <c r="GT75" t="e">
        <f>AND(Bills!W146,"AAAAAD1f/8k=")</f>
        <v>#VALUE!</v>
      </c>
      <c r="GU75" t="e">
        <f>AND(Bills!X146,"AAAAAD1f/8o=")</f>
        <v>#VALUE!</v>
      </c>
      <c r="GV75" t="e">
        <f>AND(Bills!#REF!,"AAAAAD1f/8s=")</f>
        <v>#REF!</v>
      </c>
      <c r="GW75" t="e">
        <f>AND(Bills!#REF!,"AAAAAD1f/8w=")</f>
        <v>#REF!</v>
      </c>
      <c r="GX75" t="e">
        <f>AND(Bills!#REF!,"AAAAAD1f/80=")</f>
        <v>#REF!</v>
      </c>
      <c r="GY75" t="e">
        <f>AND(Bills!#REF!,"AAAAAD1f/84=")</f>
        <v>#REF!</v>
      </c>
      <c r="GZ75" t="e">
        <f>AND(Bills!#REF!,"AAAAAD1f/88=")</f>
        <v>#REF!</v>
      </c>
      <c r="HA75" t="e">
        <f>AND(Bills!#REF!,"AAAAAD1f/9A=")</f>
        <v>#REF!</v>
      </c>
      <c r="HB75" t="e">
        <f>AND(Bills!#REF!,"AAAAAD1f/9E=")</f>
        <v>#REF!</v>
      </c>
      <c r="HC75" t="e">
        <f>AND(Bills!#REF!,"AAAAAD1f/9I=")</f>
        <v>#REF!</v>
      </c>
      <c r="HD75" t="e">
        <f>AND(Bills!#REF!,"AAAAAD1f/9M=")</f>
        <v>#REF!</v>
      </c>
      <c r="HE75" t="e">
        <f>AND(Bills!Y146,"AAAAAD1f/9Q=")</f>
        <v>#VALUE!</v>
      </c>
      <c r="HF75" t="e">
        <f>AND(Bills!Z146,"AAAAAD1f/9U=")</f>
        <v>#VALUE!</v>
      </c>
      <c r="HG75" t="e">
        <f>AND(Bills!#REF!,"AAAAAD1f/9Y=")</f>
        <v>#REF!</v>
      </c>
      <c r="HH75" t="e">
        <f>AND(Bills!#REF!,"AAAAAD1f/9c=")</f>
        <v>#REF!</v>
      </c>
      <c r="HI75" t="e">
        <f>AND(Bills!#REF!,"AAAAAD1f/9g=")</f>
        <v>#REF!</v>
      </c>
      <c r="HJ75" t="e">
        <f>AND(Bills!AA146,"AAAAAD1f/9k=")</f>
        <v>#VALUE!</v>
      </c>
      <c r="HK75" t="e">
        <f>AND(Bills!AB146,"AAAAAD1f/9o=")</f>
        <v>#VALUE!</v>
      </c>
      <c r="HL75" t="e">
        <f>AND(Bills!#REF!,"AAAAAD1f/9s=")</f>
        <v>#REF!</v>
      </c>
      <c r="HM75">
        <f>IF(Bills!147:147,"AAAAAD1f/9w=",0)</f>
        <v>0</v>
      </c>
      <c r="HN75" t="e">
        <f>AND(Bills!B147,"AAAAAD1f/90=")</f>
        <v>#VALUE!</v>
      </c>
      <c r="HO75" t="e">
        <f>AND(Bills!#REF!,"AAAAAD1f/94=")</f>
        <v>#REF!</v>
      </c>
      <c r="HP75" t="e">
        <f>AND(Bills!C147,"AAAAAD1f/98=")</f>
        <v>#VALUE!</v>
      </c>
      <c r="HQ75" t="e">
        <f>AND(Bills!#REF!,"AAAAAD1f/+A=")</f>
        <v>#REF!</v>
      </c>
      <c r="HR75" t="e">
        <f>AND(Bills!#REF!,"AAAAAD1f/+E=")</f>
        <v>#REF!</v>
      </c>
      <c r="HS75" t="e">
        <f>AND(Bills!#REF!,"AAAAAD1f/+I=")</f>
        <v>#REF!</v>
      </c>
      <c r="HT75" t="e">
        <f>AND(Bills!#REF!,"AAAAAD1f/+M=")</f>
        <v>#REF!</v>
      </c>
      <c r="HU75" t="e">
        <f>AND(Bills!#REF!,"AAAAAD1f/+Q=")</f>
        <v>#REF!</v>
      </c>
      <c r="HV75" t="e">
        <f>AND(Bills!D147,"AAAAAD1f/+U=")</f>
        <v>#VALUE!</v>
      </c>
      <c r="HW75" t="e">
        <f>AND(Bills!#REF!,"AAAAAD1f/+Y=")</f>
        <v>#REF!</v>
      </c>
      <c r="HX75" t="e">
        <f>AND(Bills!E147,"AAAAAD1f/+c=")</f>
        <v>#VALUE!</v>
      </c>
      <c r="HY75" t="e">
        <f>AND(Bills!F147,"AAAAAD1f/+g=")</f>
        <v>#VALUE!</v>
      </c>
      <c r="HZ75" t="e">
        <f>AND(Bills!G147,"AAAAAD1f/+k=")</f>
        <v>#VALUE!</v>
      </c>
      <c r="IA75" t="e">
        <f>AND(Bills!H147,"AAAAAD1f/+o=")</f>
        <v>#VALUE!</v>
      </c>
      <c r="IB75" t="e">
        <f>AND(Bills!I147,"AAAAAD1f/+s=")</f>
        <v>#VALUE!</v>
      </c>
      <c r="IC75" t="e">
        <f>AND(Bills!J147,"AAAAAD1f/+w=")</f>
        <v>#VALUE!</v>
      </c>
      <c r="ID75" t="e">
        <f>AND(Bills!#REF!,"AAAAAD1f/+0=")</f>
        <v>#REF!</v>
      </c>
      <c r="IE75" t="e">
        <f>AND(Bills!K147,"AAAAAD1f/+4=")</f>
        <v>#VALUE!</v>
      </c>
      <c r="IF75" t="e">
        <f>AND(Bills!L147,"AAAAAD1f/+8=")</f>
        <v>#VALUE!</v>
      </c>
      <c r="IG75" t="e">
        <f>AND(Bills!M147,"AAAAAD1f//A=")</f>
        <v>#VALUE!</v>
      </c>
      <c r="IH75" t="e">
        <f>AND(Bills!N147,"AAAAAD1f//E=")</f>
        <v>#VALUE!</v>
      </c>
      <c r="II75" t="e">
        <f>AND(Bills!O147,"AAAAAD1f//I=")</f>
        <v>#VALUE!</v>
      </c>
      <c r="IJ75" t="e">
        <f>AND(Bills!P147,"AAAAAD1f//M=")</f>
        <v>#VALUE!</v>
      </c>
      <c r="IK75" t="e">
        <f>AND(Bills!Q147,"AAAAAD1f//Q=")</f>
        <v>#VALUE!</v>
      </c>
      <c r="IL75" t="e">
        <f>AND(Bills!R147,"AAAAAD1f//U=")</f>
        <v>#VALUE!</v>
      </c>
      <c r="IM75" t="e">
        <f>AND(Bills!#REF!,"AAAAAD1f//Y=")</f>
        <v>#REF!</v>
      </c>
      <c r="IN75" t="e">
        <f>AND(Bills!S147,"AAAAAD1f//c=")</f>
        <v>#VALUE!</v>
      </c>
      <c r="IO75" t="e">
        <f>AND(Bills!T147,"AAAAAD1f//g=")</f>
        <v>#VALUE!</v>
      </c>
      <c r="IP75" t="e">
        <f>AND(Bills!U147,"AAAAAD1f//k=")</f>
        <v>#VALUE!</v>
      </c>
      <c r="IQ75" t="e">
        <f>AND(Bills!#REF!,"AAAAAD1f//o=")</f>
        <v>#REF!</v>
      </c>
      <c r="IR75" t="e">
        <f>AND(Bills!#REF!,"AAAAAD1f//s=")</f>
        <v>#REF!</v>
      </c>
      <c r="IS75" t="e">
        <f>AND(Bills!W147,"AAAAAD1f//w=")</f>
        <v>#VALUE!</v>
      </c>
      <c r="IT75" t="e">
        <f>AND(Bills!X147,"AAAAAD1f//0=")</f>
        <v>#VALUE!</v>
      </c>
      <c r="IU75" t="e">
        <f>AND(Bills!#REF!,"AAAAAD1f//4=")</f>
        <v>#REF!</v>
      </c>
      <c r="IV75" t="e">
        <f>AND(Bills!#REF!,"AAAAAD1f//8=")</f>
        <v>#REF!</v>
      </c>
    </row>
    <row r="76" spans="1:256">
      <c r="A76" t="e">
        <f>AND(Bills!#REF!,"AAAAACv/+QA=")</f>
        <v>#REF!</v>
      </c>
      <c r="B76" t="e">
        <f>AND(Bills!#REF!,"AAAAACv/+QE=")</f>
        <v>#REF!</v>
      </c>
      <c r="C76" t="e">
        <f>AND(Bills!#REF!,"AAAAACv/+QI=")</f>
        <v>#REF!</v>
      </c>
      <c r="D76" t="e">
        <f>AND(Bills!#REF!,"AAAAACv/+QM=")</f>
        <v>#REF!</v>
      </c>
      <c r="E76" t="e">
        <f>AND(Bills!#REF!,"AAAAACv/+QQ=")</f>
        <v>#REF!</v>
      </c>
      <c r="F76" t="e">
        <f>AND(Bills!#REF!,"AAAAACv/+QU=")</f>
        <v>#REF!</v>
      </c>
      <c r="G76" t="e">
        <f>AND(Bills!#REF!,"AAAAACv/+QY=")</f>
        <v>#REF!</v>
      </c>
      <c r="H76" t="e">
        <f>AND(Bills!Y147,"AAAAACv/+Qc=")</f>
        <v>#VALUE!</v>
      </c>
      <c r="I76" t="e">
        <f>AND(Bills!Z147,"AAAAACv/+Qg=")</f>
        <v>#VALUE!</v>
      </c>
      <c r="J76" t="e">
        <f>AND(Bills!#REF!,"AAAAACv/+Qk=")</f>
        <v>#REF!</v>
      </c>
      <c r="K76" t="e">
        <f>AND(Bills!#REF!,"AAAAACv/+Qo=")</f>
        <v>#REF!</v>
      </c>
      <c r="L76" t="e">
        <f>AND(Bills!#REF!,"AAAAACv/+Qs=")</f>
        <v>#REF!</v>
      </c>
      <c r="M76" t="e">
        <f>AND(Bills!AA147,"AAAAACv/+Qw=")</f>
        <v>#VALUE!</v>
      </c>
      <c r="N76" t="e">
        <f>AND(Bills!AB147,"AAAAACv/+Q0=")</f>
        <v>#VALUE!</v>
      </c>
      <c r="O76" t="e">
        <f>AND(Bills!#REF!,"AAAAACv/+Q4=")</f>
        <v>#REF!</v>
      </c>
      <c r="P76">
        <f>IF(Bills!148:148,"AAAAACv/+Q8=",0)</f>
        <v>0</v>
      </c>
      <c r="Q76" t="e">
        <f>AND(Bills!B148,"AAAAACv/+RA=")</f>
        <v>#VALUE!</v>
      </c>
      <c r="R76" t="e">
        <f>AND(Bills!#REF!,"AAAAACv/+RE=")</f>
        <v>#REF!</v>
      </c>
      <c r="S76" t="e">
        <f>AND(Bills!C148,"AAAAACv/+RI=")</f>
        <v>#VALUE!</v>
      </c>
      <c r="T76" t="e">
        <f>AND(Bills!#REF!,"AAAAACv/+RM=")</f>
        <v>#REF!</v>
      </c>
      <c r="U76" t="e">
        <f>AND(Bills!#REF!,"AAAAACv/+RQ=")</f>
        <v>#REF!</v>
      </c>
      <c r="V76" t="e">
        <f>AND(Bills!#REF!,"AAAAACv/+RU=")</f>
        <v>#REF!</v>
      </c>
      <c r="W76" t="e">
        <f>AND(Bills!#REF!,"AAAAACv/+RY=")</f>
        <v>#REF!</v>
      </c>
      <c r="X76" t="e">
        <f>AND(Bills!#REF!,"AAAAACv/+Rc=")</f>
        <v>#REF!</v>
      </c>
      <c r="Y76" t="e">
        <f>AND(Bills!D148,"AAAAACv/+Rg=")</f>
        <v>#VALUE!</v>
      </c>
      <c r="Z76" t="e">
        <f>AND(Bills!#REF!,"AAAAACv/+Rk=")</f>
        <v>#REF!</v>
      </c>
      <c r="AA76" t="e">
        <f>AND(Bills!E148,"AAAAACv/+Ro=")</f>
        <v>#VALUE!</v>
      </c>
      <c r="AB76" t="e">
        <f>AND(Bills!F148,"AAAAACv/+Rs=")</f>
        <v>#VALUE!</v>
      </c>
      <c r="AC76" t="e">
        <f>AND(Bills!G148,"AAAAACv/+Rw=")</f>
        <v>#VALUE!</v>
      </c>
      <c r="AD76" t="e">
        <f>AND(Bills!H148,"AAAAACv/+R0=")</f>
        <v>#VALUE!</v>
      </c>
      <c r="AE76" t="e">
        <f>AND(Bills!I148,"AAAAACv/+R4=")</f>
        <v>#VALUE!</v>
      </c>
      <c r="AF76" t="e">
        <f>AND(Bills!J148,"AAAAACv/+R8=")</f>
        <v>#VALUE!</v>
      </c>
      <c r="AG76" t="e">
        <f>AND(Bills!#REF!,"AAAAACv/+SA=")</f>
        <v>#REF!</v>
      </c>
      <c r="AH76" t="e">
        <f>AND(Bills!K148,"AAAAACv/+SE=")</f>
        <v>#VALUE!</v>
      </c>
      <c r="AI76" t="e">
        <f>AND(Bills!L148,"AAAAACv/+SI=")</f>
        <v>#VALUE!</v>
      </c>
      <c r="AJ76" t="e">
        <f>AND(Bills!M148,"AAAAACv/+SM=")</f>
        <v>#VALUE!</v>
      </c>
      <c r="AK76" t="e">
        <f>AND(Bills!N148,"AAAAACv/+SQ=")</f>
        <v>#VALUE!</v>
      </c>
      <c r="AL76" t="e">
        <f>AND(Bills!O148,"AAAAACv/+SU=")</f>
        <v>#VALUE!</v>
      </c>
      <c r="AM76" t="e">
        <f>AND(Bills!P148,"AAAAACv/+SY=")</f>
        <v>#VALUE!</v>
      </c>
      <c r="AN76" t="e">
        <f>AND(Bills!Q148,"AAAAACv/+Sc=")</f>
        <v>#VALUE!</v>
      </c>
      <c r="AO76" t="e">
        <f>AND(Bills!R148,"AAAAACv/+Sg=")</f>
        <v>#VALUE!</v>
      </c>
      <c r="AP76" t="e">
        <f>AND(Bills!#REF!,"AAAAACv/+Sk=")</f>
        <v>#REF!</v>
      </c>
      <c r="AQ76" t="e">
        <f>AND(Bills!S148,"AAAAACv/+So=")</f>
        <v>#VALUE!</v>
      </c>
      <c r="AR76" t="e">
        <f>AND(Bills!T148,"AAAAACv/+Ss=")</f>
        <v>#VALUE!</v>
      </c>
      <c r="AS76" t="e">
        <f>AND(Bills!U148,"AAAAACv/+Sw=")</f>
        <v>#VALUE!</v>
      </c>
      <c r="AT76" t="e">
        <f>AND(Bills!#REF!,"AAAAACv/+S0=")</f>
        <v>#REF!</v>
      </c>
      <c r="AU76" t="e">
        <f>AND(Bills!#REF!,"AAAAACv/+S4=")</f>
        <v>#REF!</v>
      </c>
      <c r="AV76" t="e">
        <f>AND(Bills!W148,"AAAAACv/+S8=")</f>
        <v>#VALUE!</v>
      </c>
      <c r="AW76" t="e">
        <f>AND(Bills!X148,"AAAAACv/+TA=")</f>
        <v>#VALUE!</v>
      </c>
      <c r="AX76" t="e">
        <f>AND(Bills!#REF!,"AAAAACv/+TE=")</f>
        <v>#REF!</v>
      </c>
      <c r="AY76" t="e">
        <f>AND(Bills!#REF!,"AAAAACv/+TI=")</f>
        <v>#REF!</v>
      </c>
      <c r="AZ76" t="e">
        <f>AND(Bills!#REF!,"AAAAACv/+TM=")</f>
        <v>#REF!</v>
      </c>
      <c r="BA76" t="e">
        <f>AND(Bills!#REF!,"AAAAACv/+TQ=")</f>
        <v>#REF!</v>
      </c>
      <c r="BB76" t="e">
        <f>AND(Bills!#REF!,"AAAAACv/+TU=")</f>
        <v>#REF!</v>
      </c>
      <c r="BC76" t="e">
        <f>AND(Bills!#REF!,"AAAAACv/+TY=")</f>
        <v>#REF!</v>
      </c>
      <c r="BD76" t="e">
        <f>AND(Bills!#REF!,"AAAAACv/+Tc=")</f>
        <v>#REF!</v>
      </c>
      <c r="BE76" t="e">
        <f>AND(Bills!#REF!,"AAAAACv/+Tg=")</f>
        <v>#REF!</v>
      </c>
      <c r="BF76" t="e">
        <f>AND(Bills!#REF!,"AAAAACv/+Tk=")</f>
        <v>#REF!</v>
      </c>
      <c r="BG76" t="e">
        <f>AND(Bills!Y148,"AAAAACv/+To=")</f>
        <v>#VALUE!</v>
      </c>
      <c r="BH76" t="e">
        <f>AND(Bills!Z148,"AAAAACv/+Ts=")</f>
        <v>#VALUE!</v>
      </c>
      <c r="BI76" t="e">
        <f>AND(Bills!#REF!,"AAAAACv/+Tw=")</f>
        <v>#REF!</v>
      </c>
      <c r="BJ76" t="e">
        <f>AND(Bills!#REF!,"AAAAACv/+T0=")</f>
        <v>#REF!</v>
      </c>
      <c r="BK76" t="e">
        <f>AND(Bills!#REF!,"AAAAACv/+T4=")</f>
        <v>#REF!</v>
      </c>
      <c r="BL76" t="e">
        <f>AND(Bills!AA148,"AAAAACv/+T8=")</f>
        <v>#VALUE!</v>
      </c>
      <c r="BM76" t="e">
        <f>AND(Bills!AB148,"AAAAACv/+UA=")</f>
        <v>#VALUE!</v>
      </c>
      <c r="BN76" t="e">
        <f>AND(Bills!#REF!,"AAAAACv/+UE=")</f>
        <v>#REF!</v>
      </c>
      <c r="BO76">
        <f>IF(Bills!149:149,"AAAAACv/+UI=",0)</f>
        <v>0</v>
      </c>
      <c r="BP76" t="e">
        <f>AND(Bills!B149,"AAAAACv/+UM=")</f>
        <v>#VALUE!</v>
      </c>
      <c r="BQ76" t="e">
        <f>AND(Bills!#REF!,"AAAAACv/+UQ=")</f>
        <v>#REF!</v>
      </c>
      <c r="BR76" t="e">
        <f>AND(Bills!C149,"AAAAACv/+UU=")</f>
        <v>#VALUE!</v>
      </c>
      <c r="BS76" t="e">
        <f>AND(Bills!#REF!,"AAAAACv/+UY=")</f>
        <v>#REF!</v>
      </c>
      <c r="BT76" t="e">
        <f>AND(Bills!#REF!,"AAAAACv/+Uc=")</f>
        <v>#REF!</v>
      </c>
      <c r="BU76" t="e">
        <f>AND(Bills!#REF!,"AAAAACv/+Ug=")</f>
        <v>#REF!</v>
      </c>
      <c r="BV76" t="e">
        <f>AND(Bills!#REF!,"AAAAACv/+Uk=")</f>
        <v>#REF!</v>
      </c>
      <c r="BW76" t="e">
        <f>AND(Bills!#REF!,"AAAAACv/+Uo=")</f>
        <v>#REF!</v>
      </c>
      <c r="BX76" t="e">
        <f>AND(Bills!D149,"AAAAACv/+Us=")</f>
        <v>#VALUE!</v>
      </c>
      <c r="BY76" t="e">
        <f>AND(Bills!#REF!,"AAAAACv/+Uw=")</f>
        <v>#REF!</v>
      </c>
      <c r="BZ76" t="e">
        <f>AND(Bills!E149,"AAAAACv/+U0=")</f>
        <v>#VALUE!</v>
      </c>
      <c r="CA76" t="e">
        <f>AND(Bills!F149,"AAAAACv/+U4=")</f>
        <v>#VALUE!</v>
      </c>
      <c r="CB76" t="e">
        <f>AND(Bills!G149,"AAAAACv/+U8=")</f>
        <v>#VALUE!</v>
      </c>
      <c r="CC76" t="e">
        <f>AND(Bills!H149,"AAAAACv/+VA=")</f>
        <v>#VALUE!</v>
      </c>
      <c r="CD76" t="e">
        <f>AND(Bills!I149,"AAAAACv/+VE=")</f>
        <v>#VALUE!</v>
      </c>
      <c r="CE76" t="e">
        <f>AND(Bills!J149,"AAAAACv/+VI=")</f>
        <v>#VALUE!</v>
      </c>
      <c r="CF76" t="e">
        <f>AND(Bills!#REF!,"AAAAACv/+VM=")</f>
        <v>#REF!</v>
      </c>
      <c r="CG76" t="e">
        <f>AND(Bills!K149,"AAAAACv/+VQ=")</f>
        <v>#VALUE!</v>
      </c>
      <c r="CH76" t="e">
        <f>AND(Bills!L149,"AAAAACv/+VU=")</f>
        <v>#VALUE!</v>
      </c>
      <c r="CI76" t="e">
        <f>AND(Bills!M149,"AAAAACv/+VY=")</f>
        <v>#VALUE!</v>
      </c>
      <c r="CJ76" t="e">
        <f>AND(Bills!N149,"AAAAACv/+Vc=")</f>
        <v>#VALUE!</v>
      </c>
      <c r="CK76" t="e">
        <f>AND(Bills!O149,"AAAAACv/+Vg=")</f>
        <v>#VALUE!</v>
      </c>
      <c r="CL76" t="e">
        <f>AND(Bills!P149,"AAAAACv/+Vk=")</f>
        <v>#VALUE!</v>
      </c>
      <c r="CM76" t="e">
        <f>AND(Bills!Q149,"AAAAACv/+Vo=")</f>
        <v>#VALUE!</v>
      </c>
      <c r="CN76" t="e">
        <f>AND(Bills!R149,"AAAAACv/+Vs=")</f>
        <v>#VALUE!</v>
      </c>
      <c r="CO76" t="e">
        <f>AND(Bills!#REF!,"AAAAACv/+Vw=")</f>
        <v>#REF!</v>
      </c>
      <c r="CP76" t="e">
        <f>AND(Bills!S149,"AAAAACv/+V0=")</f>
        <v>#VALUE!</v>
      </c>
      <c r="CQ76" t="e">
        <f>AND(Bills!T149,"AAAAACv/+V4=")</f>
        <v>#VALUE!</v>
      </c>
      <c r="CR76" t="e">
        <f>AND(Bills!U149,"AAAAACv/+V8=")</f>
        <v>#VALUE!</v>
      </c>
      <c r="CS76" t="e">
        <f>AND(Bills!#REF!,"AAAAACv/+WA=")</f>
        <v>#REF!</v>
      </c>
      <c r="CT76" t="e">
        <f>AND(Bills!#REF!,"AAAAACv/+WE=")</f>
        <v>#REF!</v>
      </c>
      <c r="CU76" t="e">
        <f>AND(Bills!W149,"AAAAACv/+WI=")</f>
        <v>#VALUE!</v>
      </c>
      <c r="CV76" t="e">
        <f>AND(Bills!X149,"AAAAACv/+WM=")</f>
        <v>#VALUE!</v>
      </c>
      <c r="CW76" t="e">
        <f>AND(Bills!#REF!,"AAAAACv/+WQ=")</f>
        <v>#REF!</v>
      </c>
      <c r="CX76" t="e">
        <f>AND(Bills!#REF!,"AAAAACv/+WU=")</f>
        <v>#REF!</v>
      </c>
      <c r="CY76" t="e">
        <f>AND(Bills!#REF!,"AAAAACv/+WY=")</f>
        <v>#REF!</v>
      </c>
      <c r="CZ76" t="e">
        <f>AND(Bills!#REF!,"AAAAACv/+Wc=")</f>
        <v>#REF!</v>
      </c>
      <c r="DA76" t="e">
        <f>AND(Bills!#REF!,"AAAAACv/+Wg=")</f>
        <v>#REF!</v>
      </c>
      <c r="DB76" t="e">
        <f>AND(Bills!#REF!,"AAAAACv/+Wk=")</f>
        <v>#REF!</v>
      </c>
      <c r="DC76" t="e">
        <f>AND(Bills!#REF!,"AAAAACv/+Wo=")</f>
        <v>#REF!</v>
      </c>
      <c r="DD76" t="e">
        <f>AND(Bills!#REF!,"AAAAACv/+Ws=")</f>
        <v>#REF!</v>
      </c>
      <c r="DE76" t="e">
        <f>AND(Bills!#REF!,"AAAAACv/+Ww=")</f>
        <v>#REF!</v>
      </c>
      <c r="DF76" t="e">
        <f>AND(Bills!Y149,"AAAAACv/+W0=")</f>
        <v>#VALUE!</v>
      </c>
      <c r="DG76" t="e">
        <f>AND(Bills!Z149,"AAAAACv/+W4=")</f>
        <v>#VALUE!</v>
      </c>
      <c r="DH76" t="e">
        <f>AND(Bills!#REF!,"AAAAACv/+W8=")</f>
        <v>#REF!</v>
      </c>
      <c r="DI76" t="e">
        <f>AND(Bills!#REF!,"AAAAACv/+XA=")</f>
        <v>#REF!</v>
      </c>
      <c r="DJ76" t="e">
        <f>AND(Bills!#REF!,"AAAAACv/+XE=")</f>
        <v>#REF!</v>
      </c>
      <c r="DK76" t="e">
        <f>AND(Bills!AA149,"AAAAACv/+XI=")</f>
        <v>#VALUE!</v>
      </c>
      <c r="DL76" t="e">
        <f>AND(Bills!AB149,"AAAAACv/+XM=")</f>
        <v>#VALUE!</v>
      </c>
      <c r="DM76" t="e">
        <f>AND(Bills!#REF!,"AAAAACv/+XQ=")</f>
        <v>#REF!</v>
      </c>
      <c r="DN76">
        <f>IF(Bills!150:150,"AAAAACv/+XU=",0)</f>
        <v>0</v>
      </c>
      <c r="DO76" t="e">
        <f>AND(Bills!B150,"AAAAACv/+XY=")</f>
        <v>#VALUE!</v>
      </c>
      <c r="DP76" t="e">
        <f>AND(Bills!#REF!,"AAAAACv/+Xc=")</f>
        <v>#REF!</v>
      </c>
      <c r="DQ76" t="e">
        <f>AND(Bills!C150,"AAAAACv/+Xg=")</f>
        <v>#VALUE!</v>
      </c>
      <c r="DR76" t="e">
        <f>AND(Bills!#REF!,"AAAAACv/+Xk=")</f>
        <v>#REF!</v>
      </c>
      <c r="DS76" t="e">
        <f>AND(Bills!#REF!,"AAAAACv/+Xo=")</f>
        <v>#REF!</v>
      </c>
      <c r="DT76" t="e">
        <f>AND(Bills!#REF!,"AAAAACv/+Xs=")</f>
        <v>#REF!</v>
      </c>
      <c r="DU76" t="e">
        <f>AND(Bills!#REF!,"AAAAACv/+Xw=")</f>
        <v>#REF!</v>
      </c>
      <c r="DV76" t="e">
        <f>AND(Bills!#REF!,"AAAAACv/+X0=")</f>
        <v>#REF!</v>
      </c>
      <c r="DW76" t="e">
        <f>AND(Bills!D150,"AAAAACv/+X4=")</f>
        <v>#VALUE!</v>
      </c>
      <c r="DX76" t="e">
        <f>AND(Bills!#REF!,"AAAAACv/+X8=")</f>
        <v>#REF!</v>
      </c>
      <c r="DY76" t="e">
        <f>AND(Bills!E150,"AAAAACv/+YA=")</f>
        <v>#VALUE!</v>
      </c>
      <c r="DZ76" t="e">
        <f>AND(Bills!F150,"AAAAACv/+YE=")</f>
        <v>#VALUE!</v>
      </c>
      <c r="EA76" t="e">
        <f>AND(Bills!G150,"AAAAACv/+YI=")</f>
        <v>#VALUE!</v>
      </c>
      <c r="EB76" t="e">
        <f>AND(Bills!H150,"AAAAACv/+YM=")</f>
        <v>#VALUE!</v>
      </c>
      <c r="EC76" t="e">
        <f>AND(Bills!I150,"AAAAACv/+YQ=")</f>
        <v>#VALUE!</v>
      </c>
      <c r="ED76" t="e">
        <f>AND(Bills!J150,"AAAAACv/+YU=")</f>
        <v>#VALUE!</v>
      </c>
      <c r="EE76" t="e">
        <f>AND(Bills!#REF!,"AAAAACv/+YY=")</f>
        <v>#REF!</v>
      </c>
      <c r="EF76" t="e">
        <f>AND(Bills!K150,"AAAAACv/+Yc=")</f>
        <v>#VALUE!</v>
      </c>
      <c r="EG76" t="e">
        <f>AND(Bills!L150,"AAAAACv/+Yg=")</f>
        <v>#VALUE!</v>
      </c>
      <c r="EH76" t="e">
        <f>AND(Bills!M150,"AAAAACv/+Yk=")</f>
        <v>#VALUE!</v>
      </c>
      <c r="EI76" t="e">
        <f>AND(Bills!N150,"AAAAACv/+Yo=")</f>
        <v>#VALUE!</v>
      </c>
      <c r="EJ76" t="e">
        <f>AND(Bills!O150,"AAAAACv/+Ys=")</f>
        <v>#VALUE!</v>
      </c>
      <c r="EK76" t="e">
        <f>AND(Bills!P150,"AAAAACv/+Yw=")</f>
        <v>#VALUE!</v>
      </c>
      <c r="EL76" t="e">
        <f>AND(Bills!Q150,"AAAAACv/+Y0=")</f>
        <v>#VALUE!</v>
      </c>
      <c r="EM76" t="e">
        <f>AND(Bills!R150,"AAAAACv/+Y4=")</f>
        <v>#VALUE!</v>
      </c>
      <c r="EN76" t="e">
        <f>AND(Bills!#REF!,"AAAAACv/+Y8=")</f>
        <v>#REF!</v>
      </c>
      <c r="EO76" t="e">
        <f>AND(Bills!S150,"AAAAACv/+ZA=")</f>
        <v>#VALUE!</v>
      </c>
      <c r="EP76" t="e">
        <f>AND(Bills!T150,"AAAAACv/+ZE=")</f>
        <v>#VALUE!</v>
      </c>
      <c r="EQ76" t="e">
        <f>AND(Bills!U150,"AAAAACv/+ZI=")</f>
        <v>#VALUE!</v>
      </c>
      <c r="ER76" t="e">
        <f>AND(Bills!#REF!,"AAAAACv/+ZM=")</f>
        <v>#REF!</v>
      </c>
      <c r="ES76" t="e">
        <f>AND(Bills!#REF!,"AAAAACv/+ZQ=")</f>
        <v>#REF!</v>
      </c>
      <c r="ET76" t="e">
        <f>AND(Bills!W150,"AAAAACv/+ZU=")</f>
        <v>#VALUE!</v>
      </c>
      <c r="EU76" t="e">
        <f>AND(Bills!X150,"AAAAACv/+ZY=")</f>
        <v>#VALUE!</v>
      </c>
      <c r="EV76" t="e">
        <f>AND(Bills!#REF!,"AAAAACv/+Zc=")</f>
        <v>#REF!</v>
      </c>
      <c r="EW76" t="e">
        <f>AND(Bills!#REF!,"AAAAACv/+Zg=")</f>
        <v>#REF!</v>
      </c>
      <c r="EX76" t="e">
        <f>AND(Bills!#REF!,"AAAAACv/+Zk=")</f>
        <v>#REF!</v>
      </c>
      <c r="EY76" t="e">
        <f>AND(Bills!#REF!,"AAAAACv/+Zo=")</f>
        <v>#REF!</v>
      </c>
      <c r="EZ76" t="e">
        <f>AND(Bills!#REF!,"AAAAACv/+Zs=")</f>
        <v>#REF!</v>
      </c>
      <c r="FA76" t="e">
        <f>AND(Bills!#REF!,"AAAAACv/+Zw=")</f>
        <v>#REF!</v>
      </c>
      <c r="FB76" t="e">
        <f>AND(Bills!#REF!,"AAAAACv/+Z0=")</f>
        <v>#REF!</v>
      </c>
      <c r="FC76" t="e">
        <f>AND(Bills!#REF!,"AAAAACv/+Z4=")</f>
        <v>#REF!</v>
      </c>
      <c r="FD76" t="e">
        <f>AND(Bills!#REF!,"AAAAACv/+Z8=")</f>
        <v>#REF!</v>
      </c>
      <c r="FE76" t="e">
        <f>AND(Bills!Y150,"AAAAACv/+aA=")</f>
        <v>#VALUE!</v>
      </c>
      <c r="FF76" t="e">
        <f>AND(Bills!Z150,"AAAAACv/+aE=")</f>
        <v>#VALUE!</v>
      </c>
      <c r="FG76" t="e">
        <f>AND(Bills!#REF!,"AAAAACv/+aI=")</f>
        <v>#REF!</v>
      </c>
      <c r="FH76" t="e">
        <f>AND(Bills!#REF!,"AAAAACv/+aM=")</f>
        <v>#REF!</v>
      </c>
      <c r="FI76" t="e">
        <f>AND(Bills!#REF!,"AAAAACv/+aQ=")</f>
        <v>#REF!</v>
      </c>
      <c r="FJ76" t="e">
        <f>AND(Bills!AA150,"AAAAACv/+aU=")</f>
        <v>#VALUE!</v>
      </c>
      <c r="FK76" t="e">
        <f>AND(Bills!AB150,"AAAAACv/+aY=")</f>
        <v>#VALUE!</v>
      </c>
      <c r="FL76" t="e">
        <f>AND(Bills!#REF!,"AAAAACv/+ac=")</f>
        <v>#REF!</v>
      </c>
      <c r="FM76">
        <f>IF(Bills!151:151,"AAAAACv/+ag=",0)</f>
        <v>0</v>
      </c>
      <c r="FN76" t="e">
        <f>AND(Bills!B151,"AAAAACv/+ak=")</f>
        <v>#VALUE!</v>
      </c>
      <c r="FO76" t="e">
        <f>AND(Bills!#REF!,"AAAAACv/+ao=")</f>
        <v>#REF!</v>
      </c>
      <c r="FP76" t="e">
        <f>AND(Bills!C151,"AAAAACv/+as=")</f>
        <v>#VALUE!</v>
      </c>
      <c r="FQ76" t="e">
        <f>AND(Bills!#REF!,"AAAAACv/+aw=")</f>
        <v>#REF!</v>
      </c>
      <c r="FR76" t="e">
        <f>AND(Bills!#REF!,"AAAAACv/+a0=")</f>
        <v>#REF!</v>
      </c>
      <c r="FS76" t="e">
        <f>AND(Bills!#REF!,"AAAAACv/+a4=")</f>
        <v>#REF!</v>
      </c>
      <c r="FT76" t="e">
        <f>AND(Bills!#REF!,"AAAAACv/+a8=")</f>
        <v>#REF!</v>
      </c>
      <c r="FU76" t="e">
        <f>AND(Bills!#REF!,"AAAAACv/+bA=")</f>
        <v>#REF!</v>
      </c>
      <c r="FV76" t="e">
        <f>AND(Bills!D151,"AAAAACv/+bE=")</f>
        <v>#VALUE!</v>
      </c>
      <c r="FW76" t="e">
        <f>AND(Bills!#REF!,"AAAAACv/+bI=")</f>
        <v>#REF!</v>
      </c>
      <c r="FX76" t="e">
        <f>AND(Bills!E151,"AAAAACv/+bM=")</f>
        <v>#VALUE!</v>
      </c>
      <c r="FY76" t="e">
        <f>AND(Bills!F151,"AAAAACv/+bQ=")</f>
        <v>#VALUE!</v>
      </c>
      <c r="FZ76" t="e">
        <f>AND(Bills!G151,"AAAAACv/+bU=")</f>
        <v>#VALUE!</v>
      </c>
      <c r="GA76" t="e">
        <f>AND(Bills!H151,"AAAAACv/+bY=")</f>
        <v>#VALUE!</v>
      </c>
      <c r="GB76" t="e">
        <f>AND(Bills!I151,"AAAAACv/+bc=")</f>
        <v>#VALUE!</v>
      </c>
      <c r="GC76" t="e">
        <f>AND(Bills!J151,"AAAAACv/+bg=")</f>
        <v>#VALUE!</v>
      </c>
      <c r="GD76" t="e">
        <f>AND(Bills!#REF!,"AAAAACv/+bk=")</f>
        <v>#REF!</v>
      </c>
      <c r="GE76" t="e">
        <f>AND(Bills!K151,"AAAAACv/+bo=")</f>
        <v>#VALUE!</v>
      </c>
      <c r="GF76" t="e">
        <f>AND(Bills!L151,"AAAAACv/+bs=")</f>
        <v>#VALUE!</v>
      </c>
      <c r="GG76" t="e">
        <f>AND(Bills!M151,"AAAAACv/+bw=")</f>
        <v>#VALUE!</v>
      </c>
      <c r="GH76" t="e">
        <f>AND(Bills!N151,"AAAAACv/+b0=")</f>
        <v>#VALUE!</v>
      </c>
      <c r="GI76" t="e">
        <f>AND(Bills!O151,"AAAAACv/+b4=")</f>
        <v>#VALUE!</v>
      </c>
      <c r="GJ76" t="e">
        <f>AND(Bills!P151,"AAAAACv/+b8=")</f>
        <v>#VALUE!</v>
      </c>
      <c r="GK76" t="e">
        <f>AND(Bills!Q151,"AAAAACv/+cA=")</f>
        <v>#VALUE!</v>
      </c>
      <c r="GL76" t="e">
        <f>AND(Bills!R151,"AAAAACv/+cE=")</f>
        <v>#VALUE!</v>
      </c>
      <c r="GM76" t="e">
        <f>AND(Bills!#REF!,"AAAAACv/+cI=")</f>
        <v>#REF!</v>
      </c>
      <c r="GN76" t="e">
        <f>AND(Bills!S151,"AAAAACv/+cM=")</f>
        <v>#VALUE!</v>
      </c>
      <c r="GO76" t="e">
        <f>AND(Bills!T151,"AAAAACv/+cQ=")</f>
        <v>#VALUE!</v>
      </c>
      <c r="GP76" t="e">
        <f>AND(Bills!U151,"AAAAACv/+cU=")</f>
        <v>#VALUE!</v>
      </c>
      <c r="GQ76" t="e">
        <f>AND(Bills!#REF!,"AAAAACv/+cY=")</f>
        <v>#REF!</v>
      </c>
      <c r="GR76" t="e">
        <f>AND(Bills!#REF!,"AAAAACv/+cc=")</f>
        <v>#REF!</v>
      </c>
      <c r="GS76" t="e">
        <f>AND(Bills!W151,"AAAAACv/+cg=")</f>
        <v>#VALUE!</v>
      </c>
      <c r="GT76" t="e">
        <f>AND(Bills!X151,"AAAAACv/+ck=")</f>
        <v>#VALUE!</v>
      </c>
      <c r="GU76" t="e">
        <f>AND(Bills!#REF!,"AAAAACv/+co=")</f>
        <v>#REF!</v>
      </c>
      <c r="GV76" t="e">
        <f>AND(Bills!#REF!,"AAAAACv/+cs=")</f>
        <v>#REF!</v>
      </c>
      <c r="GW76" t="e">
        <f>AND(Bills!#REF!,"AAAAACv/+cw=")</f>
        <v>#REF!</v>
      </c>
      <c r="GX76" t="e">
        <f>AND(Bills!#REF!,"AAAAACv/+c0=")</f>
        <v>#REF!</v>
      </c>
      <c r="GY76" t="e">
        <f>AND(Bills!#REF!,"AAAAACv/+c4=")</f>
        <v>#REF!</v>
      </c>
      <c r="GZ76" t="e">
        <f>AND(Bills!#REF!,"AAAAACv/+c8=")</f>
        <v>#REF!</v>
      </c>
      <c r="HA76" t="e">
        <f>AND(Bills!#REF!,"AAAAACv/+dA=")</f>
        <v>#REF!</v>
      </c>
      <c r="HB76" t="e">
        <f>AND(Bills!#REF!,"AAAAACv/+dE=")</f>
        <v>#REF!</v>
      </c>
      <c r="HC76" t="e">
        <f>AND(Bills!#REF!,"AAAAACv/+dI=")</f>
        <v>#REF!</v>
      </c>
      <c r="HD76" t="e">
        <f>AND(Bills!Y151,"AAAAACv/+dM=")</f>
        <v>#VALUE!</v>
      </c>
      <c r="HE76" t="e">
        <f>AND(Bills!Z151,"AAAAACv/+dQ=")</f>
        <v>#VALUE!</v>
      </c>
      <c r="HF76" t="e">
        <f>AND(Bills!#REF!,"AAAAACv/+dU=")</f>
        <v>#REF!</v>
      </c>
      <c r="HG76" t="e">
        <f>AND(Bills!#REF!,"AAAAACv/+dY=")</f>
        <v>#REF!</v>
      </c>
      <c r="HH76" t="e">
        <f>AND(Bills!#REF!,"AAAAACv/+dc=")</f>
        <v>#REF!</v>
      </c>
      <c r="HI76" t="e">
        <f>AND(Bills!AA151,"AAAAACv/+dg=")</f>
        <v>#VALUE!</v>
      </c>
      <c r="HJ76" t="e">
        <f>AND(Bills!AB151,"AAAAACv/+dk=")</f>
        <v>#VALUE!</v>
      </c>
      <c r="HK76" t="e">
        <f>AND(Bills!#REF!,"AAAAACv/+do=")</f>
        <v>#REF!</v>
      </c>
      <c r="HL76">
        <f>IF(Bills!152:152,"AAAAACv/+ds=",0)</f>
        <v>0</v>
      </c>
      <c r="HM76" t="e">
        <f>AND(Bills!B152,"AAAAACv/+dw=")</f>
        <v>#VALUE!</v>
      </c>
      <c r="HN76" t="e">
        <f>AND(Bills!#REF!,"AAAAACv/+d0=")</f>
        <v>#REF!</v>
      </c>
      <c r="HO76" t="e">
        <f>AND(Bills!C152,"AAAAACv/+d4=")</f>
        <v>#VALUE!</v>
      </c>
      <c r="HP76" t="e">
        <f>AND(Bills!#REF!,"AAAAACv/+d8=")</f>
        <v>#REF!</v>
      </c>
      <c r="HQ76" t="e">
        <f>AND(Bills!#REF!,"AAAAACv/+eA=")</f>
        <v>#REF!</v>
      </c>
      <c r="HR76" t="e">
        <f>AND(Bills!#REF!,"AAAAACv/+eE=")</f>
        <v>#REF!</v>
      </c>
      <c r="HS76" t="e">
        <f>AND(Bills!#REF!,"AAAAACv/+eI=")</f>
        <v>#REF!</v>
      </c>
      <c r="HT76" t="e">
        <f>AND(Bills!#REF!,"AAAAACv/+eM=")</f>
        <v>#REF!</v>
      </c>
      <c r="HU76" t="e">
        <f>AND(Bills!D152,"AAAAACv/+eQ=")</f>
        <v>#VALUE!</v>
      </c>
      <c r="HV76" t="e">
        <f>AND(Bills!#REF!,"AAAAACv/+eU=")</f>
        <v>#REF!</v>
      </c>
      <c r="HW76" t="e">
        <f>AND(Bills!E152,"AAAAACv/+eY=")</f>
        <v>#VALUE!</v>
      </c>
      <c r="HX76" t="e">
        <f>AND(Bills!F152,"AAAAACv/+ec=")</f>
        <v>#VALUE!</v>
      </c>
      <c r="HY76" t="e">
        <f>AND(Bills!G152,"AAAAACv/+eg=")</f>
        <v>#VALUE!</v>
      </c>
      <c r="HZ76" t="e">
        <f>AND(Bills!H152,"AAAAACv/+ek=")</f>
        <v>#VALUE!</v>
      </c>
      <c r="IA76" t="e">
        <f>AND(Bills!I152,"AAAAACv/+eo=")</f>
        <v>#VALUE!</v>
      </c>
      <c r="IB76" t="e">
        <f>AND(Bills!J152,"AAAAACv/+es=")</f>
        <v>#VALUE!</v>
      </c>
      <c r="IC76" t="e">
        <f>AND(Bills!#REF!,"AAAAACv/+ew=")</f>
        <v>#REF!</v>
      </c>
      <c r="ID76" t="e">
        <f>AND(Bills!K152,"AAAAACv/+e0=")</f>
        <v>#VALUE!</v>
      </c>
      <c r="IE76" t="e">
        <f>AND(Bills!L152,"AAAAACv/+e4=")</f>
        <v>#VALUE!</v>
      </c>
      <c r="IF76" t="e">
        <f>AND(Bills!M152,"AAAAACv/+e8=")</f>
        <v>#VALUE!</v>
      </c>
      <c r="IG76" t="e">
        <f>AND(Bills!N152,"AAAAACv/+fA=")</f>
        <v>#VALUE!</v>
      </c>
      <c r="IH76" t="e">
        <f>AND(Bills!O152,"AAAAACv/+fE=")</f>
        <v>#VALUE!</v>
      </c>
      <c r="II76" t="e">
        <f>AND(Bills!P152,"AAAAACv/+fI=")</f>
        <v>#VALUE!</v>
      </c>
      <c r="IJ76" t="e">
        <f>AND(Bills!Q152,"AAAAACv/+fM=")</f>
        <v>#VALUE!</v>
      </c>
      <c r="IK76" t="e">
        <f>AND(Bills!R152,"AAAAACv/+fQ=")</f>
        <v>#VALUE!</v>
      </c>
      <c r="IL76" t="e">
        <f>AND(Bills!#REF!,"AAAAACv/+fU=")</f>
        <v>#REF!</v>
      </c>
      <c r="IM76" t="e">
        <f>AND(Bills!S152,"AAAAACv/+fY=")</f>
        <v>#VALUE!</v>
      </c>
      <c r="IN76" t="e">
        <f>AND(Bills!T152,"AAAAACv/+fc=")</f>
        <v>#VALUE!</v>
      </c>
      <c r="IO76" t="e">
        <f>AND(Bills!U152,"AAAAACv/+fg=")</f>
        <v>#VALUE!</v>
      </c>
      <c r="IP76" t="e">
        <f>AND(Bills!#REF!,"AAAAACv/+fk=")</f>
        <v>#REF!</v>
      </c>
      <c r="IQ76" t="e">
        <f>AND(Bills!#REF!,"AAAAACv/+fo=")</f>
        <v>#REF!</v>
      </c>
      <c r="IR76" t="e">
        <f>AND(Bills!W152,"AAAAACv/+fs=")</f>
        <v>#VALUE!</v>
      </c>
      <c r="IS76" t="e">
        <f>AND(Bills!X152,"AAAAACv/+fw=")</f>
        <v>#VALUE!</v>
      </c>
      <c r="IT76" t="e">
        <f>AND(Bills!#REF!,"AAAAACv/+f0=")</f>
        <v>#REF!</v>
      </c>
      <c r="IU76" t="e">
        <f>AND(Bills!#REF!,"AAAAACv/+f4=")</f>
        <v>#REF!</v>
      </c>
      <c r="IV76" t="e">
        <f>AND(Bills!#REF!,"AAAAACv/+f8=")</f>
        <v>#REF!</v>
      </c>
    </row>
    <row r="77" spans="1:256">
      <c r="A77" t="e">
        <f>AND(Bills!#REF!,"AAAAAH+5zQA=")</f>
        <v>#REF!</v>
      </c>
      <c r="B77" t="e">
        <f>AND(Bills!#REF!,"AAAAAH+5zQE=")</f>
        <v>#REF!</v>
      </c>
      <c r="C77" t="e">
        <f>AND(Bills!#REF!,"AAAAAH+5zQI=")</f>
        <v>#REF!</v>
      </c>
      <c r="D77" t="e">
        <f>AND(Bills!#REF!,"AAAAAH+5zQM=")</f>
        <v>#REF!</v>
      </c>
      <c r="E77" t="e">
        <f>AND(Bills!#REF!,"AAAAAH+5zQQ=")</f>
        <v>#REF!</v>
      </c>
      <c r="F77" t="e">
        <f>AND(Bills!#REF!,"AAAAAH+5zQU=")</f>
        <v>#REF!</v>
      </c>
      <c r="G77" t="e">
        <f>AND(Bills!Y152,"AAAAAH+5zQY=")</f>
        <v>#VALUE!</v>
      </c>
      <c r="H77" t="e">
        <f>AND(Bills!Z152,"AAAAAH+5zQc=")</f>
        <v>#VALUE!</v>
      </c>
      <c r="I77" t="e">
        <f>AND(Bills!#REF!,"AAAAAH+5zQg=")</f>
        <v>#REF!</v>
      </c>
      <c r="J77" t="e">
        <f>AND(Bills!#REF!,"AAAAAH+5zQk=")</f>
        <v>#REF!</v>
      </c>
      <c r="K77" t="e">
        <f>AND(Bills!#REF!,"AAAAAH+5zQo=")</f>
        <v>#REF!</v>
      </c>
      <c r="L77" t="e">
        <f>AND(Bills!AA152,"AAAAAH+5zQs=")</f>
        <v>#VALUE!</v>
      </c>
      <c r="M77" t="e">
        <f>AND(Bills!AB152,"AAAAAH+5zQw=")</f>
        <v>#VALUE!</v>
      </c>
      <c r="N77" t="e">
        <f>AND(Bills!#REF!,"AAAAAH+5zQ0=")</f>
        <v>#REF!</v>
      </c>
      <c r="O77">
        <f>IF(Bills!153:153,"AAAAAH+5zQ4=",0)</f>
        <v>0</v>
      </c>
      <c r="P77" t="e">
        <f>AND(Bills!B153,"AAAAAH+5zQ8=")</f>
        <v>#VALUE!</v>
      </c>
      <c r="Q77" t="e">
        <f>AND(Bills!#REF!,"AAAAAH+5zRA=")</f>
        <v>#REF!</v>
      </c>
      <c r="R77" t="e">
        <f>AND(Bills!C153,"AAAAAH+5zRE=")</f>
        <v>#VALUE!</v>
      </c>
      <c r="S77" t="e">
        <f>AND(Bills!#REF!,"AAAAAH+5zRI=")</f>
        <v>#REF!</v>
      </c>
      <c r="T77" t="e">
        <f>AND(Bills!#REF!,"AAAAAH+5zRM=")</f>
        <v>#REF!</v>
      </c>
      <c r="U77" t="e">
        <f>AND(Bills!#REF!,"AAAAAH+5zRQ=")</f>
        <v>#REF!</v>
      </c>
      <c r="V77" t="e">
        <f>AND(Bills!#REF!,"AAAAAH+5zRU=")</f>
        <v>#REF!</v>
      </c>
      <c r="W77" t="e">
        <f>AND(Bills!#REF!,"AAAAAH+5zRY=")</f>
        <v>#REF!</v>
      </c>
      <c r="X77" t="e">
        <f>AND(Bills!D153,"AAAAAH+5zRc=")</f>
        <v>#VALUE!</v>
      </c>
      <c r="Y77" t="e">
        <f>AND(Bills!#REF!,"AAAAAH+5zRg=")</f>
        <v>#REF!</v>
      </c>
      <c r="Z77" t="e">
        <f>AND(Bills!E153,"AAAAAH+5zRk=")</f>
        <v>#VALUE!</v>
      </c>
      <c r="AA77" t="e">
        <f>AND(Bills!F153,"AAAAAH+5zRo=")</f>
        <v>#VALUE!</v>
      </c>
      <c r="AB77" t="e">
        <f>AND(Bills!G153,"AAAAAH+5zRs=")</f>
        <v>#VALUE!</v>
      </c>
      <c r="AC77" t="e">
        <f>AND(Bills!H153,"AAAAAH+5zRw=")</f>
        <v>#VALUE!</v>
      </c>
      <c r="AD77" t="e">
        <f>AND(Bills!I153,"AAAAAH+5zR0=")</f>
        <v>#VALUE!</v>
      </c>
      <c r="AE77" t="e">
        <f>AND(Bills!J153,"AAAAAH+5zR4=")</f>
        <v>#VALUE!</v>
      </c>
      <c r="AF77" t="e">
        <f>AND(Bills!#REF!,"AAAAAH+5zR8=")</f>
        <v>#REF!</v>
      </c>
      <c r="AG77" t="e">
        <f>AND(Bills!K153,"AAAAAH+5zSA=")</f>
        <v>#VALUE!</v>
      </c>
      <c r="AH77" t="e">
        <f>AND(Bills!L153,"AAAAAH+5zSE=")</f>
        <v>#VALUE!</v>
      </c>
      <c r="AI77" t="e">
        <f>AND(Bills!M153,"AAAAAH+5zSI=")</f>
        <v>#VALUE!</v>
      </c>
      <c r="AJ77" t="e">
        <f>AND(Bills!N153,"AAAAAH+5zSM=")</f>
        <v>#VALUE!</v>
      </c>
      <c r="AK77" t="e">
        <f>AND(Bills!O153,"AAAAAH+5zSQ=")</f>
        <v>#VALUE!</v>
      </c>
      <c r="AL77" t="e">
        <f>AND(Bills!P153,"AAAAAH+5zSU=")</f>
        <v>#VALUE!</v>
      </c>
      <c r="AM77" t="e">
        <f>AND(Bills!Q153,"AAAAAH+5zSY=")</f>
        <v>#VALUE!</v>
      </c>
      <c r="AN77" t="e">
        <f>AND(Bills!R153,"AAAAAH+5zSc=")</f>
        <v>#VALUE!</v>
      </c>
      <c r="AO77" t="e">
        <f>AND(Bills!#REF!,"AAAAAH+5zSg=")</f>
        <v>#REF!</v>
      </c>
      <c r="AP77" t="e">
        <f>AND(Bills!S153,"AAAAAH+5zSk=")</f>
        <v>#VALUE!</v>
      </c>
      <c r="AQ77" t="e">
        <f>AND(Bills!T153,"AAAAAH+5zSo=")</f>
        <v>#VALUE!</v>
      </c>
      <c r="AR77" t="e">
        <f>AND(Bills!U153,"AAAAAH+5zSs=")</f>
        <v>#VALUE!</v>
      </c>
      <c r="AS77" t="e">
        <f>AND(Bills!#REF!,"AAAAAH+5zSw=")</f>
        <v>#REF!</v>
      </c>
      <c r="AT77" t="e">
        <f>AND(Bills!#REF!,"AAAAAH+5zS0=")</f>
        <v>#REF!</v>
      </c>
      <c r="AU77" t="e">
        <f>AND(Bills!W153,"AAAAAH+5zS4=")</f>
        <v>#VALUE!</v>
      </c>
      <c r="AV77" t="e">
        <f>AND(Bills!X153,"AAAAAH+5zS8=")</f>
        <v>#VALUE!</v>
      </c>
      <c r="AW77" t="e">
        <f>AND(Bills!#REF!,"AAAAAH+5zTA=")</f>
        <v>#REF!</v>
      </c>
      <c r="AX77" t="e">
        <f>AND(Bills!#REF!,"AAAAAH+5zTE=")</f>
        <v>#REF!</v>
      </c>
      <c r="AY77" t="e">
        <f>AND(Bills!#REF!,"AAAAAH+5zTI=")</f>
        <v>#REF!</v>
      </c>
      <c r="AZ77" t="e">
        <f>AND(Bills!#REF!,"AAAAAH+5zTM=")</f>
        <v>#REF!</v>
      </c>
      <c r="BA77" t="e">
        <f>AND(Bills!#REF!,"AAAAAH+5zTQ=")</f>
        <v>#REF!</v>
      </c>
      <c r="BB77" t="e">
        <f>AND(Bills!#REF!,"AAAAAH+5zTU=")</f>
        <v>#REF!</v>
      </c>
      <c r="BC77" t="e">
        <f>AND(Bills!#REF!,"AAAAAH+5zTY=")</f>
        <v>#REF!</v>
      </c>
      <c r="BD77" t="e">
        <f>AND(Bills!#REF!,"AAAAAH+5zTc=")</f>
        <v>#REF!</v>
      </c>
      <c r="BE77" t="e">
        <f>AND(Bills!#REF!,"AAAAAH+5zTg=")</f>
        <v>#REF!</v>
      </c>
      <c r="BF77" t="e">
        <f>AND(Bills!Y153,"AAAAAH+5zTk=")</f>
        <v>#VALUE!</v>
      </c>
      <c r="BG77" t="e">
        <f>AND(Bills!Z153,"AAAAAH+5zTo=")</f>
        <v>#VALUE!</v>
      </c>
      <c r="BH77" t="e">
        <f>AND(Bills!#REF!,"AAAAAH+5zTs=")</f>
        <v>#REF!</v>
      </c>
      <c r="BI77" t="e">
        <f>AND(Bills!#REF!,"AAAAAH+5zTw=")</f>
        <v>#REF!</v>
      </c>
      <c r="BJ77" t="e">
        <f>AND(Bills!#REF!,"AAAAAH+5zT0=")</f>
        <v>#REF!</v>
      </c>
      <c r="BK77" t="e">
        <f>AND(Bills!AA153,"AAAAAH+5zT4=")</f>
        <v>#VALUE!</v>
      </c>
      <c r="BL77" t="e">
        <f>AND(Bills!AB153,"AAAAAH+5zT8=")</f>
        <v>#VALUE!</v>
      </c>
      <c r="BM77" t="e">
        <f>AND(Bills!#REF!,"AAAAAH+5zUA=")</f>
        <v>#REF!</v>
      </c>
      <c r="BN77">
        <f>IF(Bills!154:154,"AAAAAH+5zUE=",0)</f>
        <v>0</v>
      </c>
      <c r="BO77" t="e">
        <f>AND(Bills!B154,"AAAAAH+5zUI=")</f>
        <v>#VALUE!</v>
      </c>
      <c r="BP77" t="e">
        <f>AND(Bills!#REF!,"AAAAAH+5zUM=")</f>
        <v>#REF!</v>
      </c>
      <c r="BQ77" t="e">
        <f>AND(Bills!C154,"AAAAAH+5zUQ=")</f>
        <v>#VALUE!</v>
      </c>
      <c r="BR77" t="e">
        <f>AND(Bills!#REF!,"AAAAAH+5zUU=")</f>
        <v>#REF!</v>
      </c>
      <c r="BS77" t="e">
        <f>AND(Bills!#REF!,"AAAAAH+5zUY=")</f>
        <v>#REF!</v>
      </c>
      <c r="BT77" t="e">
        <f>AND(Bills!#REF!,"AAAAAH+5zUc=")</f>
        <v>#REF!</v>
      </c>
      <c r="BU77" t="e">
        <f>AND(Bills!#REF!,"AAAAAH+5zUg=")</f>
        <v>#REF!</v>
      </c>
      <c r="BV77" t="e">
        <f>AND(Bills!#REF!,"AAAAAH+5zUk=")</f>
        <v>#REF!</v>
      </c>
      <c r="BW77" t="e">
        <f>AND(Bills!D154,"AAAAAH+5zUo=")</f>
        <v>#VALUE!</v>
      </c>
      <c r="BX77" t="e">
        <f>AND(Bills!#REF!,"AAAAAH+5zUs=")</f>
        <v>#REF!</v>
      </c>
      <c r="BY77" t="e">
        <f>AND(Bills!E154,"AAAAAH+5zUw=")</f>
        <v>#VALUE!</v>
      </c>
      <c r="BZ77" t="e">
        <f>AND(Bills!F154,"AAAAAH+5zU0=")</f>
        <v>#VALUE!</v>
      </c>
      <c r="CA77" t="e">
        <f>AND(Bills!G154,"AAAAAH+5zU4=")</f>
        <v>#VALUE!</v>
      </c>
      <c r="CB77" t="e">
        <f>AND(Bills!H154,"AAAAAH+5zU8=")</f>
        <v>#VALUE!</v>
      </c>
      <c r="CC77" t="e">
        <f>AND(Bills!I154,"AAAAAH+5zVA=")</f>
        <v>#VALUE!</v>
      </c>
      <c r="CD77" t="e">
        <f>AND(Bills!J154,"AAAAAH+5zVE=")</f>
        <v>#VALUE!</v>
      </c>
      <c r="CE77" t="e">
        <f>AND(Bills!#REF!,"AAAAAH+5zVI=")</f>
        <v>#REF!</v>
      </c>
      <c r="CF77" t="e">
        <f>AND(Bills!K154,"AAAAAH+5zVM=")</f>
        <v>#VALUE!</v>
      </c>
      <c r="CG77" t="e">
        <f>AND(Bills!L154,"AAAAAH+5zVQ=")</f>
        <v>#VALUE!</v>
      </c>
      <c r="CH77" t="e">
        <f>AND(Bills!M154,"AAAAAH+5zVU=")</f>
        <v>#VALUE!</v>
      </c>
      <c r="CI77" t="e">
        <f>AND(Bills!N154,"AAAAAH+5zVY=")</f>
        <v>#VALUE!</v>
      </c>
      <c r="CJ77" t="e">
        <f>AND(Bills!O154,"AAAAAH+5zVc=")</f>
        <v>#VALUE!</v>
      </c>
      <c r="CK77" t="e">
        <f>AND(Bills!P154,"AAAAAH+5zVg=")</f>
        <v>#VALUE!</v>
      </c>
      <c r="CL77" t="e">
        <f>AND(Bills!Q154,"AAAAAH+5zVk=")</f>
        <v>#VALUE!</v>
      </c>
      <c r="CM77" t="e">
        <f>AND(Bills!R154,"AAAAAH+5zVo=")</f>
        <v>#VALUE!</v>
      </c>
      <c r="CN77" t="e">
        <f>AND(Bills!#REF!,"AAAAAH+5zVs=")</f>
        <v>#REF!</v>
      </c>
      <c r="CO77" t="e">
        <f>AND(Bills!S154,"AAAAAH+5zVw=")</f>
        <v>#VALUE!</v>
      </c>
      <c r="CP77" t="e">
        <f>AND(Bills!T154,"AAAAAH+5zV0=")</f>
        <v>#VALUE!</v>
      </c>
      <c r="CQ77" t="e">
        <f>AND(Bills!U154,"AAAAAH+5zV4=")</f>
        <v>#VALUE!</v>
      </c>
      <c r="CR77" t="e">
        <f>AND(Bills!#REF!,"AAAAAH+5zV8=")</f>
        <v>#REF!</v>
      </c>
      <c r="CS77" t="e">
        <f>AND(Bills!#REF!,"AAAAAH+5zWA=")</f>
        <v>#REF!</v>
      </c>
      <c r="CT77" t="e">
        <f>AND(Bills!W154,"AAAAAH+5zWE=")</f>
        <v>#VALUE!</v>
      </c>
      <c r="CU77" t="e">
        <f>AND(Bills!X154,"AAAAAH+5zWI=")</f>
        <v>#VALUE!</v>
      </c>
      <c r="CV77" t="e">
        <f>AND(Bills!#REF!,"AAAAAH+5zWM=")</f>
        <v>#REF!</v>
      </c>
      <c r="CW77" t="e">
        <f>AND(Bills!#REF!,"AAAAAH+5zWQ=")</f>
        <v>#REF!</v>
      </c>
      <c r="CX77" t="e">
        <f>AND(Bills!#REF!,"AAAAAH+5zWU=")</f>
        <v>#REF!</v>
      </c>
      <c r="CY77" t="e">
        <f>AND(Bills!#REF!,"AAAAAH+5zWY=")</f>
        <v>#REF!</v>
      </c>
      <c r="CZ77" t="e">
        <f>AND(Bills!#REF!,"AAAAAH+5zWc=")</f>
        <v>#REF!</v>
      </c>
      <c r="DA77" t="e">
        <f>AND(Bills!#REF!,"AAAAAH+5zWg=")</f>
        <v>#REF!</v>
      </c>
      <c r="DB77" t="e">
        <f>AND(Bills!#REF!,"AAAAAH+5zWk=")</f>
        <v>#REF!</v>
      </c>
      <c r="DC77" t="e">
        <f>AND(Bills!#REF!,"AAAAAH+5zWo=")</f>
        <v>#REF!</v>
      </c>
      <c r="DD77" t="e">
        <f>AND(Bills!#REF!,"AAAAAH+5zWs=")</f>
        <v>#REF!</v>
      </c>
      <c r="DE77" t="e">
        <f>AND(Bills!Y154,"AAAAAH+5zWw=")</f>
        <v>#VALUE!</v>
      </c>
      <c r="DF77" t="e">
        <f>AND(Bills!Z154,"AAAAAH+5zW0=")</f>
        <v>#VALUE!</v>
      </c>
      <c r="DG77" t="e">
        <f>AND(Bills!#REF!,"AAAAAH+5zW4=")</f>
        <v>#REF!</v>
      </c>
      <c r="DH77" t="e">
        <f>AND(Bills!#REF!,"AAAAAH+5zW8=")</f>
        <v>#REF!</v>
      </c>
      <c r="DI77" t="e">
        <f>AND(Bills!#REF!,"AAAAAH+5zXA=")</f>
        <v>#REF!</v>
      </c>
      <c r="DJ77" t="e">
        <f>AND(Bills!AA154,"AAAAAH+5zXE=")</f>
        <v>#VALUE!</v>
      </c>
      <c r="DK77" t="e">
        <f>AND(Bills!AB154,"AAAAAH+5zXI=")</f>
        <v>#VALUE!</v>
      </c>
      <c r="DL77" t="e">
        <f>AND(Bills!#REF!,"AAAAAH+5zXM=")</f>
        <v>#REF!</v>
      </c>
      <c r="DM77">
        <f>IF(Bills!155:155,"AAAAAH+5zXQ=",0)</f>
        <v>0</v>
      </c>
      <c r="DN77" t="e">
        <f>AND(Bills!B155,"AAAAAH+5zXU=")</f>
        <v>#VALUE!</v>
      </c>
      <c r="DO77" t="e">
        <f>AND(Bills!#REF!,"AAAAAH+5zXY=")</f>
        <v>#REF!</v>
      </c>
      <c r="DP77" t="e">
        <f>AND(Bills!C155,"AAAAAH+5zXc=")</f>
        <v>#VALUE!</v>
      </c>
      <c r="DQ77" t="e">
        <f>AND(Bills!#REF!,"AAAAAH+5zXg=")</f>
        <v>#REF!</v>
      </c>
      <c r="DR77" t="e">
        <f>AND(Bills!#REF!,"AAAAAH+5zXk=")</f>
        <v>#REF!</v>
      </c>
      <c r="DS77" t="e">
        <f>AND(Bills!#REF!,"AAAAAH+5zXo=")</f>
        <v>#REF!</v>
      </c>
      <c r="DT77" t="e">
        <f>AND(Bills!#REF!,"AAAAAH+5zXs=")</f>
        <v>#REF!</v>
      </c>
      <c r="DU77" t="e">
        <f>AND(Bills!#REF!,"AAAAAH+5zXw=")</f>
        <v>#REF!</v>
      </c>
      <c r="DV77" t="e">
        <f>AND(Bills!D155,"AAAAAH+5zX0=")</f>
        <v>#VALUE!</v>
      </c>
      <c r="DW77" t="e">
        <f>AND(Bills!#REF!,"AAAAAH+5zX4=")</f>
        <v>#REF!</v>
      </c>
      <c r="DX77" t="e">
        <f>AND(Bills!E155,"AAAAAH+5zX8=")</f>
        <v>#VALUE!</v>
      </c>
      <c r="DY77" t="e">
        <f>AND(Bills!F155,"AAAAAH+5zYA=")</f>
        <v>#VALUE!</v>
      </c>
      <c r="DZ77" t="e">
        <f>AND(Bills!G155,"AAAAAH+5zYE=")</f>
        <v>#VALUE!</v>
      </c>
      <c r="EA77" t="e">
        <f>AND(Bills!H155,"AAAAAH+5zYI=")</f>
        <v>#VALUE!</v>
      </c>
      <c r="EB77" t="e">
        <f>AND(Bills!I155,"AAAAAH+5zYM=")</f>
        <v>#VALUE!</v>
      </c>
      <c r="EC77" t="e">
        <f>AND(Bills!J155,"AAAAAH+5zYQ=")</f>
        <v>#VALUE!</v>
      </c>
      <c r="ED77" t="e">
        <f>AND(Bills!#REF!,"AAAAAH+5zYU=")</f>
        <v>#REF!</v>
      </c>
      <c r="EE77" t="e">
        <f>AND(Bills!K155,"AAAAAH+5zYY=")</f>
        <v>#VALUE!</v>
      </c>
      <c r="EF77" t="e">
        <f>AND(Bills!L155,"AAAAAH+5zYc=")</f>
        <v>#VALUE!</v>
      </c>
      <c r="EG77" t="e">
        <f>AND(Bills!M155,"AAAAAH+5zYg=")</f>
        <v>#VALUE!</v>
      </c>
      <c r="EH77" t="e">
        <f>AND(Bills!N155,"AAAAAH+5zYk=")</f>
        <v>#VALUE!</v>
      </c>
      <c r="EI77" t="e">
        <f>AND(Bills!O155,"AAAAAH+5zYo=")</f>
        <v>#VALUE!</v>
      </c>
      <c r="EJ77" t="e">
        <f>AND(Bills!P155,"AAAAAH+5zYs=")</f>
        <v>#VALUE!</v>
      </c>
      <c r="EK77" t="e">
        <f>AND(Bills!Q155,"AAAAAH+5zYw=")</f>
        <v>#VALUE!</v>
      </c>
      <c r="EL77" t="e">
        <f>AND(Bills!R155,"AAAAAH+5zY0=")</f>
        <v>#VALUE!</v>
      </c>
      <c r="EM77" t="e">
        <f>AND(Bills!#REF!,"AAAAAH+5zY4=")</f>
        <v>#REF!</v>
      </c>
      <c r="EN77" t="e">
        <f>AND(Bills!S155,"AAAAAH+5zY8=")</f>
        <v>#VALUE!</v>
      </c>
      <c r="EO77" t="e">
        <f>AND(Bills!T155,"AAAAAH+5zZA=")</f>
        <v>#VALUE!</v>
      </c>
      <c r="EP77" t="e">
        <f>AND(Bills!U155,"AAAAAH+5zZE=")</f>
        <v>#VALUE!</v>
      </c>
      <c r="EQ77" t="e">
        <f>AND(Bills!#REF!,"AAAAAH+5zZI=")</f>
        <v>#REF!</v>
      </c>
      <c r="ER77" t="e">
        <f>AND(Bills!#REF!,"AAAAAH+5zZM=")</f>
        <v>#REF!</v>
      </c>
      <c r="ES77" t="e">
        <f>AND(Bills!W155,"AAAAAH+5zZQ=")</f>
        <v>#VALUE!</v>
      </c>
      <c r="ET77" t="e">
        <f>AND(Bills!X155,"AAAAAH+5zZU=")</f>
        <v>#VALUE!</v>
      </c>
      <c r="EU77" t="e">
        <f>AND(Bills!#REF!,"AAAAAH+5zZY=")</f>
        <v>#REF!</v>
      </c>
      <c r="EV77" t="e">
        <f>AND(Bills!#REF!,"AAAAAH+5zZc=")</f>
        <v>#REF!</v>
      </c>
      <c r="EW77" t="e">
        <f>AND(Bills!#REF!,"AAAAAH+5zZg=")</f>
        <v>#REF!</v>
      </c>
      <c r="EX77" t="e">
        <f>AND(Bills!#REF!,"AAAAAH+5zZk=")</f>
        <v>#REF!</v>
      </c>
      <c r="EY77" t="e">
        <f>AND(Bills!#REF!,"AAAAAH+5zZo=")</f>
        <v>#REF!</v>
      </c>
      <c r="EZ77" t="e">
        <f>AND(Bills!#REF!,"AAAAAH+5zZs=")</f>
        <v>#REF!</v>
      </c>
      <c r="FA77" t="e">
        <f>AND(Bills!#REF!,"AAAAAH+5zZw=")</f>
        <v>#REF!</v>
      </c>
      <c r="FB77" t="e">
        <f>AND(Bills!#REF!,"AAAAAH+5zZ0=")</f>
        <v>#REF!</v>
      </c>
      <c r="FC77" t="e">
        <f>AND(Bills!#REF!,"AAAAAH+5zZ4=")</f>
        <v>#REF!</v>
      </c>
      <c r="FD77" t="e">
        <f>AND(Bills!Y155,"AAAAAH+5zZ8=")</f>
        <v>#VALUE!</v>
      </c>
      <c r="FE77" t="e">
        <f>AND(Bills!Z155,"AAAAAH+5zaA=")</f>
        <v>#VALUE!</v>
      </c>
      <c r="FF77" t="e">
        <f>AND(Bills!#REF!,"AAAAAH+5zaE=")</f>
        <v>#REF!</v>
      </c>
      <c r="FG77" t="e">
        <f>AND(Bills!#REF!,"AAAAAH+5zaI=")</f>
        <v>#REF!</v>
      </c>
      <c r="FH77" t="e">
        <f>AND(Bills!#REF!,"AAAAAH+5zaM=")</f>
        <v>#REF!</v>
      </c>
      <c r="FI77" t="e">
        <f>AND(Bills!AA155,"AAAAAH+5zaQ=")</f>
        <v>#VALUE!</v>
      </c>
      <c r="FJ77" t="e">
        <f>AND(Bills!AB155,"AAAAAH+5zaU=")</f>
        <v>#VALUE!</v>
      </c>
      <c r="FK77" t="e">
        <f>AND(Bills!#REF!,"AAAAAH+5zaY=")</f>
        <v>#REF!</v>
      </c>
      <c r="FL77">
        <f>IF(Bills!156:156,"AAAAAH+5zac=",0)</f>
        <v>0</v>
      </c>
      <c r="FM77" t="e">
        <f>AND(Bills!B156,"AAAAAH+5zag=")</f>
        <v>#VALUE!</v>
      </c>
      <c r="FN77" t="e">
        <f>AND(Bills!#REF!,"AAAAAH+5zak=")</f>
        <v>#REF!</v>
      </c>
      <c r="FO77" t="e">
        <f>AND(Bills!C156,"AAAAAH+5zao=")</f>
        <v>#VALUE!</v>
      </c>
      <c r="FP77" t="e">
        <f>AND(Bills!#REF!,"AAAAAH+5zas=")</f>
        <v>#REF!</v>
      </c>
      <c r="FQ77" t="e">
        <f>AND(Bills!#REF!,"AAAAAH+5zaw=")</f>
        <v>#REF!</v>
      </c>
      <c r="FR77" t="e">
        <f>AND(Bills!#REF!,"AAAAAH+5za0=")</f>
        <v>#REF!</v>
      </c>
      <c r="FS77" t="e">
        <f>AND(Bills!#REF!,"AAAAAH+5za4=")</f>
        <v>#REF!</v>
      </c>
      <c r="FT77" t="e">
        <f>AND(Bills!#REF!,"AAAAAH+5za8=")</f>
        <v>#REF!</v>
      </c>
      <c r="FU77" t="e">
        <f>AND(Bills!D156,"AAAAAH+5zbA=")</f>
        <v>#VALUE!</v>
      </c>
      <c r="FV77" t="e">
        <f>AND(Bills!#REF!,"AAAAAH+5zbE=")</f>
        <v>#REF!</v>
      </c>
      <c r="FW77" t="e">
        <f>AND(Bills!E156,"AAAAAH+5zbI=")</f>
        <v>#VALUE!</v>
      </c>
      <c r="FX77" t="e">
        <f>AND(Bills!F156,"AAAAAH+5zbM=")</f>
        <v>#VALUE!</v>
      </c>
      <c r="FY77" t="e">
        <f>AND(Bills!G156,"AAAAAH+5zbQ=")</f>
        <v>#VALUE!</v>
      </c>
      <c r="FZ77" t="e">
        <f>AND(Bills!H156,"AAAAAH+5zbU=")</f>
        <v>#VALUE!</v>
      </c>
      <c r="GA77" t="e">
        <f>AND(Bills!I156,"AAAAAH+5zbY=")</f>
        <v>#VALUE!</v>
      </c>
      <c r="GB77" t="e">
        <f>AND(Bills!J156,"AAAAAH+5zbc=")</f>
        <v>#VALUE!</v>
      </c>
      <c r="GC77" t="e">
        <f>AND(Bills!#REF!,"AAAAAH+5zbg=")</f>
        <v>#REF!</v>
      </c>
      <c r="GD77" t="e">
        <f>AND(Bills!K156,"AAAAAH+5zbk=")</f>
        <v>#VALUE!</v>
      </c>
      <c r="GE77" t="e">
        <f>AND(Bills!L156,"AAAAAH+5zbo=")</f>
        <v>#VALUE!</v>
      </c>
      <c r="GF77" t="e">
        <f>AND(Bills!M156,"AAAAAH+5zbs=")</f>
        <v>#VALUE!</v>
      </c>
      <c r="GG77" t="e">
        <f>AND(Bills!N156,"AAAAAH+5zbw=")</f>
        <v>#VALUE!</v>
      </c>
      <c r="GH77" t="e">
        <f>AND(Bills!O156,"AAAAAH+5zb0=")</f>
        <v>#VALUE!</v>
      </c>
      <c r="GI77" t="e">
        <f>AND(Bills!P156,"AAAAAH+5zb4=")</f>
        <v>#VALUE!</v>
      </c>
      <c r="GJ77" t="e">
        <f>AND(Bills!Q156,"AAAAAH+5zb8=")</f>
        <v>#VALUE!</v>
      </c>
      <c r="GK77" t="e">
        <f>AND(Bills!R156,"AAAAAH+5zcA=")</f>
        <v>#VALUE!</v>
      </c>
      <c r="GL77" t="e">
        <f>AND(Bills!#REF!,"AAAAAH+5zcE=")</f>
        <v>#REF!</v>
      </c>
      <c r="GM77" t="e">
        <f>AND(Bills!S156,"AAAAAH+5zcI=")</f>
        <v>#VALUE!</v>
      </c>
      <c r="GN77" t="e">
        <f>AND(Bills!T156,"AAAAAH+5zcM=")</f>
        <v>#VALUE!</v>
      </c>
      <c r="GO77" t="e">
        <f>AND(Bills!U156,"AAAAAH+5zcQ=")</f>
        <v>#VALUE!</v>
      </c>
      <c r="GP77" t="e">
        <f>AND(Bills!#REF!,"AAAAAH+5zcU=")</f>
        <v>#REF!</v>
      </c>
      <c r="GQ77" t="e">
        <f>AND(Bills!#REF!,"AAAAAH+5zcY=")</f>
        <v>#REF!</v>
      </c>
      <c r="GR77" t="e">
        <f>AND(Bills!W156,"AAAAAH+5zcc=")</f>
        <v>#VALUE!</v>
      </c>
      <c r="GS77" t="e">
        <f>AND(Bills!X156,"AAAAAH+5zcg=")</f>
        <v>#VALUE!</v>
      </c>
      <c r="GT77" t="e">
        <f>AND(Bills!#REF!,"AAAAAH+5zck=")</f>
        <v>#REF!</v>
      </c>
      <c r="GU77" t="e">
        <f>AND(Bills!#REF!,"AAAAAH+5zco=")</f>
        <v>#REF!</v>
      </c>
      <c r="GV77" t="e">
        <f>AND(Bills!#REF!,"AAAAAH+5zcs=")</f>
        <v>#REF!</v>
      </c>
      <c r="GW77" t="e">
        <f>AND(Bills!#REF!,"AAAAAH+5zcw=")</f>
        <v>#REF!</v>
      </c>
      <c r="GX77" t="e">
        <f>AND(Bills!#REF!,"AAAAAH+5zc0=")</f>
        <v>#REF!</v>
      </c>
      <c r="GY77" t="e">
        <f>AND(Bills!#REF!,"AAAAAH+5zc4=")</f>
        <v>#REF!</v>
      </c>
      <c r="GZ77" t="e">
        <f>AND(Bills!#REF!,"AAAAAH+5zc8=")</f>
        <v>#REF!</v>
      </c>
      <c r="HA77" t="e">
        <f>AND(Bills!#REF!,"AAAAAH+5zdA=")</f>
        <v>#REF!</v>
      </c>
      <c r="HB77" t="e">
        <f>AND(Bills!#REF!,"AAAAAH+5zdE=")</f>
        <v>#REF!</v>
      </c>
      <c r="HC77" t="e">
        <f>AND(Bills!Y156,"AAAAAH+5zdI=")</f>
        <v>#VALUE!</v>
      </c>
      <c r="HD77" t="e">
        <f>AND(Bills!Z156,"AAAAAH+5zdM=")</f>
        <v>#VALUE!</v>
      </c>
      <c r="HE77" t="e">
        <f>AND(Bills!#REF!,"AAAAAH+5zdQ=")</f>
        <v>#REF!</v>
      </c>
      <c r="HF77" t="e">
        <f>AND(Bills!#REF!,"AAAAAH+5zdU=")</f>
        <v>#REF!</v>
      </c>
      <c r="HG77" t="e">
        <f>AND(Bills!#REF!,"AAAAAH+5zdY=")</f>
        <v>#REF!</v>
      </c>
      <c r="HH77" t="e">
        <f>AND(Bills!AA156,"AAAAAH+5zdc=")</f>
        <v>#VALUE!</v>
      </c>
      <c r="HI77" t="e">
        <f>AND(Bills!AB156,"AAAAAH+5zdg=")</f>
        <v>#VALUE!</v>
      </c>
      <c r="HJ77" t="e">
        <f>AND(Bills!#REF!,"AAAAAH+5zdk=")</f>
        <v>#REF!</v>
      </c>
      <c r="HK77">
        <f>IF(Bills!157:157,"AAAAAH+5zdo=",0)</f>
        <v>0</v>
      </c>
      <c r="HL77" t="e">
        <f>AND(Bills!B157,"AAAAAH+5zds=")</f>
        <v>#VALUE!</v>
      </c>
      <c r="HM77" t="e">
        <f>AND(Bills!#REF!,"AAAAAH+5zdw=")</f>
        <v>#REF!</v>
      </c>
      <c r="HN77" t="e">
        <f>AND(Bills!C157,"AAAAAH+5zd0=")</f>
        <v>#VALUE!</v>
      </c>
      <c r="HO77" t="e">
        <f>AND(Bills!#REF!,"AAAAAH+5zd4=")</f>
        <v>#REF!</v>
      </c>
      <c r="HP77" t="e">
        <f>AND(Bills!#REF!,"AAAAAH+5zd8=")</f>
        <v>#REF!</v>
      </c>
      <c r="HQ77" t="e">
        <f>AND(Bills!#REF!,"AAAAAH+5zeA=")</f>
        <v>#REF!</v>
      </c>
      <c r="HR77" t="e">
        <f>AND(Bills!#REF!,"AAAAAH+5zeE=")</f>
        <v>#REF!</v>
      </c>
      <c r="HS77" t="e">
        <f>AND(Bills!#REF!,"AAAAAH+5zeI=")</f>
        <v>#REF!</v>
      </c>
      <c r="HT77" t="e">
        <f>AND(Bills!D157,"AAAAAH+5zeM=")</f>
        <v>#VALUE!</v>
      </c>
      <c r="HU77" t="e">
        <f>AND(Bills!#REF!,"AAAAAH+5zeQ=")</f>
        <v>#REF!</v>
      </c>
      <c r="HV77" t="e">
        <f>AND(Bills!E157,"AAAAAH+5zeU=")</f>
        <v>#VALUE!</v>
      </c>
      <c r="HW77" t="e">
        <f>AND(Bills!F157,"AAAAAH+5zeY=")</f>
        <v>#VALUE!</v>
      </c>
      <c r="HX77" t="e">
        <f>AND(Bills!G157,"AAAAAH+5zec=")</f>
        <v>#VALUE!</v>
      </c>
      <c r="HY77" t="e">
        <f>AND(Bills!H157,"AAAAAH+5zeg=")</f>
        <v>#VALUE!</v>
      </c>
      <c r="HZ77" t="e">
        <f>AND(Bills!I157,"AAAAAH+5zek=")</f>
        <v>#VALUE!</v>
      </c>
      <c r="IA77" t="e">
        <f>AND(Bills!J157,"AAAAAH+5zeo=")</f>
        <v>#VALUE!</v>
      </c>
      <c r="IB77" t="e">
        <f>AND(Bills!#REF!,"AAAAAH+5zes=")</f>
        <v>#REF!</v>
      </c>
      <c r="IC77" t="e">
        <f>AND(Bills!K157,"AAAAAH+5zew=")</f>
        <v>#VALUE!</v>
      </c>
      <c r="ID77" t="e">
        <f>AND(Bills!L157,"AAAAAH+5ze0=")</f>
        <v>#VALUE!</v>
      </c>
      <c r="IE77" t="e">
        <f>AND(Bills!M157,"AAAAAH+5ze4=")</f>
        <v>#VALUE!</v>
      </c>
      <c r="IF77" t="e">
        <f>AND(Bills!N157,"AAAAAH+5ze8=")</f>
        <v>#VALUE!</v>
      </c>
      <c r="IG77" t="e">
        <f>AND(Bills!O157,"AAAAAH+5zfA=")</f>
        <v>#VALUE!</v>
      </c>
      <c r="IH77" t="e">
        <f>AND(Bills!P157,"AAAAAH+5zfE=")</f>
        <v>#VALUE!</v>
      </c>
      <c r="II77" t="e">
        <f>AND(Bills!Q157,"AAAAAH+5zfI=")</f>
        <v>#VALUE!</v>
      </c>
      <c r="IJ77" t="e">
        <f>AND(Bills!R157,"AAAAAH+5zfM=")</f>
        <v>#VALUE!</v>
      </c>
      <c r="IK77" t="e">
        <f>AND(Bills!#REF!,"AAAAAH+5zfQ=")</f>
        <v>#REF!</v>
      </c>
      <c r="IL77" t="e">
        <f>AND(Bills!S157,"AAAAAH+5zfU=")</f>
        <v>#VALUE!</v>
      </c>
      <c r="IM77" t="e">
        <f>AND(Bills!T157,"AAAAAH+5zfY=")</f>
        <v>#VALUE!</v>
      </c>
      <c r="IN77" t="e">
        <f>AND(Bills!U157,"AAAAAH+5zfc=")</f>
        <v>#VALUE!</v>
      </c>
      <c r="IO77" t="e">
        <f>AND(Bills!#REF!,"AAAAAH+5zfg=")</f>
        <v>#REF!</v>
      </c>
      <c r="IP77" t="e">
        <f>AND(Bills!#REF!,"AAAAAH+5zfk=")</f>
        <v>#REF!</v>
      </c>
      <c r="IQ77" t="e">
        <f>AND(Bills!W157,"AAAAAH+5zfo=")</f>
        <v>#VALUE!</v>
      </c>
      <c r="IR77" t="e">
        <f>AND(Bills!X157,"AAAAAH+5zfs=")</f>
        <v>#VALUE!</v>
      </c>
      <c r="IS77" t="e">
        <f>AND(Bills!#REF!,"AAAAAH+5zfw=")</f>
        <v>#REF!</v>
      </c>
      <c r="IT77" t="e">
        <f>AND(Bills!#REF!,"AAAAAH+5zf0=")</f>
        <v>#REF!</v>
      </c>
      <c r="IU77" t="e">
        <f>AND(Bills!#REF!,"AAAAAH+5zf4=")</f>
        <v>#REF!</v>
      </c>
      <c r="IV77" t="e">
        <f>AND(Bills!#REF!,"AAAAAH+5zf8=")</f>
        <v>#REF!</v>
      </c>
    </row>
    <row r="78" spans="1:256">
      <c r="A78" t="e">
        <f>AND(Bills!#REF!,"AAAAAE97/wA=")</f>
        <v>#REF!</v>
      </c>
      <c r="B78" t="e">
        <f>AND(Bills!#REF!,"AAAAAE97/wE=")</f>
        <v>#REF!</v>
      </c>
      <c r="C78" t="e">
        <f>AND(Bills!#REF!,"AAAAAE97/wI=")</f>
        <v>#REF!</v>
      </c>
      <c r="D78" t="e">
        <f>AND(Bills!#REF!,"AAAAAE97/wM=")</f>
        <v>#REF!</v>
      </c>
      <c r="E78" t="e">
        <f>AND(Bills!#REF!,"AAAAAE97/wQ=")</f>
        <v>#REF!</v>
      </c>
      <c r="F78" t="e">
        <f>AND(Bills!Y157,"AAAAAE97/wU=")</f>
        <v>#VALUE!</v>
      </c>
      <c r="G78" t="e">
        <f>AND(Bills!Z157,"AAAAAE97/wY=")</f>
        <v>#VALUE!</v>
      </c>
      <c r="H78" t="e">
        <f>AND(Bills!#REF!,"AAAAAE97/wc=")</f>
        <v>#REF!</v>
      </c>
      <c r="I78" t="e">
        <f>AND(Bills!#REF!,"AAAAAE97/wg=")</f>
        <v>#REF!</v>
      </c>
      <c r="J78" t="e">
        <f>AND(Bills!#REF!,"AAAAAE97/wk=")</f>
        <v>#REF!</v>
      </c>
      <c r="K78" t="e">
        <f>AND(Bills!AA157,"AAAAAE97/wo=")</f>
        <v>#VALUE!</v>
      </c>
      <c r="L78" t="e">
        <f>AND(Bills!AB157,"AAAAAE97/ws=")</f>
        <v>#VALUE!</v>
      </c>
      <c r="M78" t="e">
        <f>AND(Bills!#REF!,"AAAAAE97/ww=")</f>
        <v>#REF!</v>
      </c>
      <c r="N78">
        <f>IF(Bills!158:158,"AAAAAE97/w0=",0)</f>
        <v>0</v>
      </c>
      <c r="O78" t="e">
        <f>AND(Bills!B158,"AAAAAE97/w4=")</f>
        <v>#VALUE!</v>
      </c>
      <c r="P78" t="e">
        <f>AND(Bills!#REF!,"AAAAAE97/w8=")</f>
        <v>#REF!</v>
      </c>
      <c r="Q78" t="e">
        <f>AND(Bills!C158,"AAAAAE97/xA=")</f>
        <v>#VALUE!</v>
      </c>
      <c r="R78" t="e">
        <f>AND(Bills!#REF!,"AAAAAE97/xE=")</f>
        <v>#REF!</v>
      </c>
      <c r="S78" t="e">
        <f>AND(Bills!#REF!,"AAAAAE97/xI=")</f>
        <v>#REF!</v>
      </c>
      <c r="T78" t="e">
        <f>AND(Bills!#REF!,"AAAAAE97/xM=")</f>
        <v>#REF!</v>
      </c>
      <c r="U78" t="e">
        <f>AND(Bills!#REF!,"AAAAAE97/xQ=")</f>
        <v>#REF!</v>
      </c>
      <c r="V78" t="e">
        <f>AND(Bills!#REF!,"AAAAAE97/xU=")</f>
        <v>#REF!</v>
      </c>
      <c r="W78" t="e">
        <f>AND(Bills!D158,"AAAAAE97/xY=")</f>
        <v>#VALUE!</v>
      </c>
      <c r="X78" t="e">
        <f>AND(Bills!#REF!,"AAAAAE97/xc=")</f>
        <v>#REF!</v>
      </c>
      <c r="Y78" t="e">
        <f>AND(Bills!E158,"AAAAAE97/xg=")</f>
        <v>#VALUE!</v>
      </c>
      <c r="Z78" t="e">
        <f>AND(Bills!F158,"AAAAAE97/xk=")</f>
        <v>#VALUE!</v>
      </c>
      <c r="AA78" t="e">
        <f>AND(Bills!G158,"AAAAAE97/xo=")</f>
        <v>#VALUE!</v>
      </c>
      <c r="AB78" t="e">
        <f>AND(Bills!H158,"AAAAAE97/xs=")</f>
        <v>#VALUE!</v>
      </c>
      <c r="AC78" t="e">
        <f>AND(Bills!I158,"AAAAAE97/xw=")</f>
        <v>#VALUE!</v>
      </c>
      <c r="AD78" t="e">
        <f>AND(Bills!J158,"AAAAAE97/x0=")</f>
        <v>#VALUE!</v>
      </c>
      <c r="AE78" t="e">
        <f>AND(Bills!#REF!,"AAAAAE97/x4=")</f>
        <v>#REF!</v>
      </c>
      <c r="AF78" t="e">
        <f>AND(Bills!K158,"AAAAAE97/x8=")</f>
        <v>#VALUE!</v>
      </c>
      <c r="AG78" t="e">
        <f>AND(Bills!L158,"AAAAAE97/yA=")</f>
        <v>#VALUE!</v>
      </c>
      <c r="AH78" t="e">
        <f>AND(Bills!M158,"AAAAAE97/yE=")</f>
        <v>#VALUE!</v>
      </c>
      <c r="AI78" t="e">
        <f>AND(Bills!N158,"AAAAAE97/yI=")</f>
        <v>#VALUE!</v>
      </c>
      <c r="AJ78" t="e">
        <f>AND(Bills!O158,"AAAAAE97/yM=")</f>
        <v>#VALUE!</v>
      </c>
      <c r="AK78" t="e">
        <f>AND(Bills!P158,"AAAAAE97/yQ=")</f>
        <v>#VALUE!</v>
      </c>
      <c r="AL78" t="e">
        <f>AND(Bills!Q158,"AAAAAE97/yU=")</f>
        <v>#VALUE!</v>
      </c>
      <c r="AM78" t="e">
        <f>AND(Bills!R158,"AAAAAE97/yY=")</f>
        <v>#VALUE!</v>
      </c>
      <c r="AN78" t="e">
        <f>AND(Bills!#REF!,"AAAAAE97/yc=")</f>
        <v>#REF!</v>
      </c>
      <c r="AO78" t="e">
        <f>AND(Bills!S158,"AAAAAE97/yg=")</f>
        <v>#VALUE!</v>
      </c>
      <c r="AP78" t="e">
        <f>AND(Bills!T158,"AAAAAE97/yk=")</f>
        <v>#VALUE!</v>
      </c>
      <c r="AQ78" t="e">
        <f>AND(Bills!U158,"AAAAAE97/yo=")</f>
        <v>#VALUE!</v>
      </c>
      <c r="AR78" t="e">
        <f>AND(Bills!#REF!,"AAAAAE97/ys=")</f>
        <v>#REF!</v>
      </c>
      <c r="AS78" t="e">
        <f>AND(Bills!#REF!,"AAAAAE97/yw=")</f>
        <v>#REF!</v>
      </c>
      <c r="AT78" t="e">
        <f>AND(Bills!W158,"AAAAAE97/y0=")</f>
        <v>#VALUE!</v>
      </c>
      <c r="AU78" t="e">
        <f>AND(Bills!X158,"AAAAAE97/y4=")</f>
        <v>#VALUE!</v>
      </c>
      <c r="AV78" t="e">
        <f>AND(Bills!#REF!,"AAAAAE97/y8=")</f>
        <v>#REF!</v>
      </c>
      <c r="AW78" t="e">
        <f>AND(Bills!#REF!,"AAAAAE97/zA=")</f>
        <v>#REF!</v>
      </c>
      <c r="AX78" t="e">
        <f>AND(Bills!#REF!,"AAAAAE97/zE=")</f>
        <v>#REF!</v>
      </c>
      <c r="AY78" t="e">
        <f>AND(Bills!#REF!,"AAAAAE97/zI=")</f>
        <v>#REF!</v>
      </c>
      <c r="AZ78" t="e">
        <f>AND(Bills!#REF!,"AAAAAE97/zM=")</f>
        <v>#REF!</v>
      </c>
      <c r="BA78" t="e">
        <f>AND(Bills!#REF!,"AAAAAE97/zQ=")</f>
        <v>#REF!</v>
      </c>
      <c r="BB78" t="e">
        <f>AND(Bills!#REF!,"AAAAAE97/zU=")</f>
        <v>#REF!</v>
      </c>
      <c r="BC78" t="e">
        <f>AND(Bills!#REF!,"AAAAAE97/zY=")</f>
        <v>#REF!</v>
      </c>
      <c r="BD78" t="e">
        <f>AND(Bills!#REF!,"AAAAAE97/zc=")</f>
        <v>#REF!</v>
      </c>
      <c r="BE78" t="e">
        <f>AND(Bills!Y158,"AAAAAE97/zg=")</f>
        <v>#VALUE!</v>
      </c>
      <c r="BF78" t="e">
        <f>AND(Bills!Z158,"AAAAAE97/zk=")</f>
        <v>#VALUE!</v>
      </c>
      <c r="BG78" t="e">
        <f>AND(Bills!#REF!,"AAAAAE97/zo=")</f>
        <v>#REF!</v>
      </c>
      <c r="BH78" t="e">
        <f>AND(Bills!#REF!,"AAAAAE97/zs=")</f>
        <v>#REF!</v>
      </c>
      <c r="BI78" t="e">
        <f>AND(Bills!#REF!,"AAAAAE97/zw=")</f>
        <v>#REF!</v>
      </c>
      <c r="BJ78" t="e">
        <f>AND(Bills!AA158,"AAAAAE97/z0=")</f>
        <v>#VALUE!</v>
      </c>
      <c r="BK78" t="e">
        <f>AND(Bills!AB158,"AAAAAE97/z4=")</f>
        <v>#VALUE!</v>
      </c>
      <c r="BL78" t="e">
        <f>AND(Bills!#REF!,"AAAAAE97/z8=")</f>
        <v>#REF!</v>
      </c>
      <c r="BM78">
        <f>IF(Bills!159:159,"AAAAAE97/0A=",0)</f>
        <v>0</v>
      </c>
      <c r="BN78" t="e">
        <f>AND(Bills!B159,"AAAAAE97/0E=")</f>
        <v>#VALUE!</v>
      </c>
      <c r="BO78" t="e">
        <f>AND(Bills!#REF!,"AAAAAE97/0I=")</f>
        <v>#REF!</v>
      </c>
      <c r="BP78" t="e">
        <f>AND(Bills!C159,"AAAAAE97/0M=")</f>
        <v>#VALUE!</v>
      </c>
      <c r="BQ78" t="e">
        <f>AND(Bills!#REF!,"AAAAAE97/0Q=")</f>
        <v>#REF!</v>
      </c>
      <c r="BR78" t="e">
        <f>AND(Bills!#REF!,"AAAAAE97/0U=")</f>
        <v>#REF!</v>
      </c>
      <c r="BS78" t="e">
        <f>AND(Bills!#REF!,"AAAAAE97/0Y=")</f>
        <v>#REF!</v>
      </c>
      <c r="BT78" t="e">
        <f>AND(Bills!#REF!,"AAAAAE97/0c=")</f>
        <v>#REF!</v>
      </c>
      <c r="BU78" t="e">
        <f>AND(Bills!#REF!,"AAAAAE97/0g=")</f>
        <v>#REF!</v>
      </c>
      <c r="BV78" t="e">
        <f>AND(Bills!D159,"AAAAAE97/0k=")</f>
        <v>#VALUE!</v>
      </c>
      <c r="BW78" t="e">
        <f>AND(Bills!#REF!,"AAAAAE97/0o=")</f>
        <v>#REF!</v>
      </c>
      <c r="BX78" t="e">
        <f>AND(Bills!E159,"AAAAAE97/0s=")</f>
        <v>#VALUE!</v>
      </c>
      <c r="BY78" t="e">
        <f>AND(Bills!F159,"AAAAAE97/0w=")</f>
        <v>#VALUE!</v>
      </c>
      <c r="BZ78" t="e">
        <f>AND(Bills!G159,"AAAAAE97/00=")</f>
        <v>#VALUE!</v>
      </c>
      <c r="CA78" t="e">
        <f>AND(Bills!H159,"AAAAAE97/04=")</f>
        <v>#VALUE!</v>
      </c>
      <c r="CB78" t="e">
        <f>AND(Bills!I159,"AAAAAE97/08=")</f>
        <v>#VALUE!</v>
      </c>
      <c r="CC78" t="e">
        <f>AND(Bills!J159,"AAAAAE97/1A=")</f>
        <v>#VALUE!</v>
      </c>
      <c r="CD78" t="e">
        <f>AND(Bills!#REF!,"AAAAAE97/1E=")</f>
        <v>#REF!</v>
      </c>
      <c r="CE78" t="e">
        <f>AND(Bills!K159,"AAAAAE97/1I=")</f>
        <v>#VALUE!</v>
      </c>
      <c r="CF78" t="e">
        <f>AND(Bills!L159,"AAAAAE97/1M=")</f>
        <v>#VALUE!</v>
      </c>
      <c r="CG78" t="e">
        <f>AND(Bills!M159,"AAAAAE97/1Q=")</f>
        <v>#VALUE!</v>
      </c>
      <c r="CH78" t="e">
        <f>AND(Bills!N159,"AAAAAE97/1U=")</f>
        <v>#VALUE!</v>
      </c>
      <c r="CI78" t="e">
        <f>AND(Bills!O159,"AAAAAE97/1Y=")</f>
        <v>#VALUE!</v>
      </c>
      <c r="CJ78" t="e">
        <f>AND(Bills!P159,"AAAAAE97/1c=")</f>
        <v>#VALUE!</v>
      </c>
      <c r="CK78" t="e">
        <f>AND(Bills!Q159,"AAAAAE97/1g=")</f>
        <v>#VALUE!</v>
      </c>
      <c r="CL78" t="e">
        <f>AND(Bills!R159,"AAAAAE97/1k=")</f>
        <v>#VALUE!</v>
      </c>
      <c r="CM78" t="e">
        <f>AND(Bills!#REF!,"AAAAAE97/1o=")</f>
        <v>#REF!</v>
      </c>
      <c r="CN78" t="e">
        <f>AND(Bills!S159,"AAAAAE97/1s=")</f>
        <v>#VALUE!</v>
      </c>
      <c r="CO78" t="e">
        <f>AND(Bills!T159,"AAAAAE97/1w=")</f>
        <v>#VALUE!</v>
      </c>
      <c r="CP78" t="e">
        <f>AND(Bills!U159,"AAAAAE97/10=")</f>
        <v>#VALUE!</v>
      </c>
      <c r="CQ78" t="e">
        <f>AND(Bills!#REF!,"AAAAAE97/14=")</f>
        <v>#REF!</v>
      </c>
      <c r="CR78" t="e">
        <f>AND(Bills!#REF!,"AAAAAE97/18=")</f>
        <v>#REF!</v>
      </c>
      <c r="CS78" t="e">
        <f>AND(Bills!W159,"AAAAAE97/2A=")</f>
        <v>#VALUE!</v>
      </c>
      <c r="CT78" t="e">
        <f>AND(Bills!X159,"AAAAAE97/2E=")</f>
        <v>#VALUE!</v>
      </c>
      <c r="CU78" t="e">
        <f>AND(Bills!#REF!,"AAAAAE97/2I=")</f>
        <v>#REF!</v>
      </c>
      <c r="CV78" t="e">
        <f>AND(Bills!#REF!,"AAAAAE97/2M=")</f>
        <v>#REF!</v>
      </c>
      <c r="CW78" t="e">
        <f>AND(Bills!#REF!,"AAAAAE97/2Q=")</f>
        <v>#REF!</v>
      </c>
      <c r="CX78" t="e">
        <f>AND(Bills!#REF!,"AAAAAE97/2U=")</f>
        <v>#REF!</v>
      </c>
      <c r="CY78" t="e">
        <f>AND(Bills!#REF!,"AAAAAE97/2Y=")</f>
        <v>#REF!</v>
      </c>
      <c r="CZ78" t="e">
        <f>AND(Bills!#REF!,"AAAAAE97/2c=")</f>
        <v>#REF!</v>
      </c>
      <c r="DA78" t="e">
        <f>AND(Bills!#REF!,"AAAAAE97/2g=")</f>
        <v>#REF!</v>
      </c>
      <c r="DB78" t="e">
        <f>AND(Bills!#REF!,"AAAAAE97/2k=")</f>
        <v>#REF!</v>
      </c>
      <c r="DC78" t="e">
        <f>AND(Bills!#REF!,"AAAAAE97/2o=")</f>
        <v>#REF!</v>
      </c>
      <c r="DD78" t="e">
        <f>AND(Bills!Y159,"AAAAAE97/2s=")</f>
        <v>#VALUE!</v>
      </c>
      <c r="DE78" t="e">
        <f>AND(Bills!Z159,"AAAAAE97/2w=")</f>
        <v>#VALUE!</v>
      </c>
      <c r="DF78" t="e">
        <f>AND(Bills!#REF!,"AAAAAE97/20=")</f>
        <v>#REF!</v>
      </c>
      <c r="DG78" t="e">
        <f>AND(Bills!#REF!,"AAAAAE97/24=")</f>
        <v>#REF!</v>
      </c>
      <c r="DH78" t="e">
        <f>AND(Bills!#REF!,"AAAAAE97/28=")</f>
        <v>#REF!</v>
      </c>
      <c r="DI78" t="e">
        <f>AND(Bills!AA159,"AAAAAE97/3A=")</f>
        <v>#VALUE!</v>
      </c>
      <c r="DJ78" t="e">
        <f>AND(Bills!AB159,"AAAAAE97/3E=")</f>
        <v>#VALUE!</v>
      </c>
      <c r="DK78" t="e">
        <f>AND(Bills!#REF!,"AAAAAE97/3I=")</f>
        <v>#REF!</v>
      </c>
      <c r="DL78">
        <f>IF(Bills!160:160,"AAAAAE97/3M=",0)</f>
        <v>0</v>
      </c>
      <c r="DM78" t="e">
        <f>AND(Bills!B160,"AAAAAE97/3Q=")</f>
        <v>#VALUE!</v>
      </c>
      <c r="DN78" t="e">
        <f>AND(Bills!#REF!,"AAAAAE97/3U=")</f>
        <v>#REF!</v>
      </c>
      <c r="DO78" t="e">
        <f>AND(Bills!C160,"AAAAAE97/3Y=")</f>
        <v>#VALUE!</v>
      </c>
      <c r="DP78" t="e">
        <f>AND(Bills!#REF!,"AAAAAE97/3c=")</f>
        <v>#REF!</v>
      </c>
      <c r="DQ78" t="e">
        <f>AND(Bills!#REF!,"AAAAAE97/3g=")</f>
        <v>#REF!</v>
      </c>
      <c r="DR78" t="e">
        <f>AND(Bills!#REF!,"AAAAAE97/3k=")</f>
        <v>#REF!</v>
      </c>
      <c r="DS78" t="e">
        <f>AND(Bills!#REF!,"AAAAAE97/3o=")</f>
        <v>#REF!</v>
      </c>
      <c r="DT78" t="e">
        <f>AND(Bills!#REF!,"AAAAAE97/3s=")</f>
        <v>#REF!</v>
      </c>
      <c r="DU78" t="e">
        <f>AND(Bills!D160,"AAAAAE97/3w=")</f>
        <v>#VALUE!</v>
      </c>
      <c r="DV78" t="e">
        <f>AND(Bills!#REF!,"AAAAAE97/30=")</f>
        <v>#REF!</v>
      </c>
      <c r="DW78" t="e">
        <f>AND(Bills!E160,"AAAAAE97/34=")</f>
        <v>#VALUE!</v>
      </c>
      <c r="DX78" t="e">
        <f>AND(Bills!F160,"AAAAAE97/38=")</f>
        <v>#VALUE!</v>
      </c>
      <c r="DY78" t="e">
        <f>AND(Bills!G160,"AAAAAE97/4A=")</f>
        <v>#VALUE!</v>
      </c>
      <c r="DZ78" t="e">
        <f>AND(Bills!H160,"AAAAAE97/4E=")</f>
        <v>#VALUE!</v>
      </c>
      <c r="EA78" t="e">
        <f>AND(Bills!I160,"AAAAAE97/4I=")</f>
        <v>#VALUE!</v>
      </c>
      <c r="EB78" t="e">
        <f>AND(Bills!J160,"AAAAAE97/4M=")</f>
        <v>#VALUE!</v>
      </c>
      <c r="EC78" t="e">
        <f>AND(Bills!#REF!,"AAAAAE97/4Q=")</f>
        <v>#REF!</v>
      </c>
      <c r="ED78" t="e">
        <f>AND(Bills!K160,"AAAAAE97/4U=")</f>
        <v>#VALUE!</v>
      </c>
      <c r="EE78" t="e">
        <f>AND(Bills!L160,"AAAAAE97/4Y=")</f>
        <v>#VALUE!</v>
      </c>
      <c r="EF78" t="e">
        <f>AND(Bills!M160,"AAAAAE97/4c=")</f>
        <v>#VALUE!</v>
      </c>
      <c r="EG78" t="e">
        <f>AND(Bills!N160,"AAAAAE97/4g=")</f>
        <v>#VALUE!</v>
      </c>
      <c r="EH78" t="e">
        <f>AND(Bills!O160,"AAAAAE97/4k=")</f>
        <v>#VALUE!</v>
      </c>
      <c r="EI78" t="e">
        <f>AND(Bills!P160,"AAAAAE97/4o=")</f>
        <v>#VALUE!</v>
      </c>
      <c r="EJ78" t="e">
        <f>AND(Bills!Q160,"AAAAAE97/4s=")</f>
        <v>#VALUE!</v>
      </c>
      <c r="EK78" t="e">
        <f>AND(Bills!R160,"AAAAAE97/4w=")</f>
        <v>#VALUE!</v>
      </c>
      <c r="EL78" t="e">
        <f>AND(Bills!#REF!,"AAAAAE97/40=")</f>
        <v>#REF!</v>
      </c>
      <c r="EM78" t="e">
        <f>AND(Bills!S160,"AAAAAE97/44=")</f>
        <v>#VALUE!</v>
      </c>
      <c r="EN78" t="e">
        <f>AND(Bills!T160,"AAAAAE97/48=")</f>
        <v>#VALUE!</v>
      </c>
      <c r="EO78" t="e">
        <f>AND(Bills!U160,"AAAAAE97/5A=")</f>
        <v>#VALUE!</v>
      </c>
      <c r="EP78" t="e">
        <f>AND(Bills!#REF!,"AAAAAE97/5E=")</f>
        <v>#REF!</v>
      </c>
      <c r="EQ78" t="e">
        <f>AND(Bills!#REF!,"AAAAAE97/5I=")</f>
        <v>#REF!</v>
      </c>
      <c r="ER78" t="e">
        <f>AND(Bills!W160,"AAAAAE97/5M=")</f>
        <v>#VALUE!</v>
      </c>
      <c r="ES78" t="e">
        <f>AND(Bills!X160,"AAAAAE97/5Q=")</f>
        <v>#VALUE!</v>
      </c>
      <c r="ET78" t="e">
        <f>AND(Bills!#REF!,"AAAAAE97/5U=")</f>
        <v>#REF!</v>
      </c>
      <c r="EU78" t="e">
        <f>AND(Bills!#REF!,"AAAAAE97/5Y=")</f>
        <v>#REF!</v>
      </c>
      <c r="EV78" t="e">
        <f>AND(Bills!#REF!,"AAAAAE97/5c=")</f>
        <v>#REF!</v>
      </c>
      <c r="EW78" t="e">
        <f>AND(Bills!#REF!,"AAAAAE97/5g=")</f>
        <v>#REF!</v>
      </c>
      <c r="EX78" t="e">
        <f>AND(Bills!#REF!,"AAAAAE97/5k=")</f>
        <v>#REF!</v>
      </c>
      <c r="EY78" t="e">
        <f>AND(Bills!#REF!,"AAAAAE97/5o=")</f>
        <v>#REF!</v>
      </c>
      <c r="EZ78" t="e">
        <f>AND(Bills!#REF!,"AAAAAE97/5s=")</f>
        <v>#REF!</v>
      </c>
      <c r="FA78" t="e">
        <f>AND(Bills!#REF!,"AAAAAE97/5w=")</f>
        <v>#REF!</v>
      </c>
      <c r="FB78" t="e">
        <f>AND(Bills!#REF!,"AAAAAE97/50=")</f>
        <v>#REF!</v>
      </c>
      <c r="FC78" t="e">
        <f>AND(Bills!Y160,"AAAAAE97/54=")</f>
        <v>#VALUE!</v>
      </c>
      <c r="FD78" t="e">
        <f>AND(Bills!Z160,"AAAAAE97/58=")</f>
        <v>#VALUE!</v>
      </c>
      <c r="FE78" t="e">
        <f>AND(Bills!#REF!,"AAAAAE97/6A=")</f>
        <v>#REF!</v>
      </c>
      <c r="FF78" t="e">
        <f>AND(Bills!#REF!,"AAAAAE97/6E=")</f>
        <v>#REF!</v>
      </c>
      <c r="FG78" t="e">
        <f>AND(Bills!#REF!,"AAAAAE97/6I=")</f>
        <v>#REF!</v>
      </c>
      <c r="FH78" t="e">
        <f>AND(Bills!AA160,"AAAAAE97/6M=")</f>
        <v>#VALUE!</v>
      </c>
      <c r="FI78" t="e">
        <f>AND(Bills!AB160,"AAAAAE97/6Q=")</f>
        <v>#VALUE!</v>
      </c>
      <c r="FJ78" t="e">
        <f>AND(Bills!#REF!,"AAAAAE97/6U=")</f>
        <v>#REF!</v>
      </c>
      <c r="FK78">
        <f>IF(Bills!161:161,"AAAAAE97/6Y=",0)</f>
        <v>0</v>
      </c>
      <c r="FL78" t="e">
        <f>AND(Bills!B161,"AAAAAE97/6c=")</f>
        <v>#VALUE!</v>
      </c>
      <c r="FM78" t="e">
        <f>AND(Bills!#REF!,"AAAAAE97/6g=")</f>
        <v>#REF!</v>
      </c>
      <c r="FN78" t="e">
        <f>AND(Bills!C161,"AAAAAE97/6k=")</f>
        <v>#VALUE!</v>
      </c>
      <c r="FO78" t="e">
        <f>AND(Bills!#REF!,"AAAAAE97/6o=")</f>
        <v>#REF!</v>
      </c>
      <c r="FP78" t="e">
        <f>AND(Bills!#REF!,"AAAAAE97/6s=")</f>
        <v>#REF!</v>
      </c>
      <c r="FQ78" t="e">
        <f>AND(Bills!#REF!,"AAAAAE97/6w=")</f>
        <v>#REF!</v>
      </c>
      <c r="FR78" t="e">
        <f>AND(Bills!#REF!,"AAAAAE97/60=")</f>
        <v>#REF!</v>
      </c>
      <c r="FS78" t="e">
        <f>AND(Bills!#REF!,"AAAAAE97/64=")</f>
        <v>#REF!</v>
      </c>
      <c r="FT78" t="e">
        <f>AND(Bills!D161,"AAAAAE97/68=")</f>
        <v>#VALUE!</v>
      </c>
      <c r="FU78" t="e">
        <f>AND(Bills!#REF!,"AAAAAE97/7A=")</f>
        <v>#REF!</v>
      </c>
      <c r="FV78" t="e">
        <f>AND(Bills!E161,"AAAAAE97/7E=")</f>
        <v>#VALUE!</v>
      </c>
      <c r="FW78" t="e">
        <f>AND(Bills!F161,"AAAAAE97/7I=")</f>
        <v>#VALUE!</v>
      </c>
      <c r="FX78" t="e">
        <f>AND(Bills!G161,"AAAAAE97/7M=")</f>
        <v>#VALUE!</v>
      </c>
      <c r="FY78" t="e">
        <f>AND(Bills!H161,"AAAAAE97/7Q=")</f>
        <v>#VALUE!</v>
      </c>
      <c r="FZ78" t="e">
        <f>AND(Bills!I161,"AAAAAE97/7U=")</f>
        <v>#VALUE!</v>
      </c>
      <c r="GA78" t="e">
        <f>AND(Bills!J161,"AAAAAE97/7Y=")</f>
        <v>#VALUE!</v>
      </c>
      <c r="GB78" t="e">
        <f>AND(Bills!#REF!,"AAAAAE97/7c=")</f>
        <v>#REF!</v>
      </c>
      <c r="GC78" t="e">
        <f>AND(Bills!K161,"AAAAAE97/7g=")</f>
        <v>#VALUE!</v>
      </c>
      <c r="GD78" t="e">
        <f>AND(Bills!L161,"AAAAAE97/7k=")</f>
        <v>#VALUE!</v>
      </c>
      <c r="GE78" t="e">
        <f>AND(Bills!M161,"AAAAAE97/7o=")</f>
        <v>#VALUE!</v>
      </c>
      <c r="GF78" t="e">
        <f>AND(Bills!N161,"AAAAAE97/7s=")</f>
        <v>#VALUE!</v>
      </c>
      <c r="GG78" t="e">
        <f>AND(Bills!O161,"AAAAAE97/7w=")</f>
        <v>#VALUE!</v>
      </c>
      <c r="GH78" t="e">
        <f>AND(Bills!P161,"AAAAAE97/70=")</f>
        <v>#VALUE!</v>
      </c>
      <c r="GI78" t="e">
        <f>AND(Bills!Q161,"AAAAAE97/74=")</f>
        <v>#VALUE!</v>
      </c>
      <c r="GJ78" t="e">
        <f>AND(Bills!R161,"AAAAAE97/78=")</f>
        <v>#VALUE!</v>
      </c>
      <c r="GK78" t="e">
        <f>AND(Bills!#REF!,"AAAAAE97/8A=")</f>
        <v>#REF!</v>
      </c>
      <c r="GL78" t="e">
        <f>AND(Bills!S161,"AAAAAE97/8E=")</f>
        <v>#VALUE!</v>
      </c>
      <c r="GM78" t="e">
        <f>AND(Bills!T161,"AAAAAE97/8I=")</f>
        <v>#VALUE!</v>
      </c>
      <c r="GN78" t="e">
        <f>AND(Bills!U161,"AAAAAE97/8M=")</f>
        <v>#VALUE!</v>
      </c>
      <c r="GO78" t="e">
        <f>AND(Bills!#REF!,"AAAAAE97/8Q=")</f>
        <v>#REF!</v>
      </c>
      <c r="GP78" t="e">
        <f>AND(Bills!#REF!,"AAAAAE97/8U=")</f>
        <v>#REF!</v>
      </c>
      <c r="GQ78" t="e">
        <f>AND(Bills!W161,"AAAAAE97/8Y=")</f>
        <v>#VALUE!</v>
      </c>
      <c r="GR78" t="e">
        <f>AND(Bills!X161,"AAAAAE97/8c=")</f>
        <v>#VALUE!</v>
      </c>
      <c r="GS78" t="e">
        <f>AND(Bills!#REF!,"AAAAAE97/8g=")</f>
        <v>#REF!</v>
      </c>
      <c r="GT78" t="e">
        <f>AND(Bills!#REF!,"AAAAAE97/8k=")</f>
        <v>#REF!</v>
      </c>
      <c r="GU78" t="e">
        <f>AND(Bills!#REF!,"AAAAAE97/8o=")</f>
        <v>#REF!</v>
      </c>
      <c r="GV78" t="e">
        <f>AND(Bills!#REF!,"AAAAAE97/8s=")</f>
        <v>#REF!</v>
      </c>
      <c r="GW78" t="e">
        <f>AND(Bills!#REF!,"AAAAAE97/8w=")</f>
        <v>#REF!</v>
      </c>
      <c r="GX78" t="e">
        <f>AND(Bills!#REF!,"AAAAAE97/80=")</f>
        <v>#REF!</v>
      </c>
      <c r="GY78" t="e">
        <f>AND(Bills!#REF!,"AAAAAE97/84=")</f>
        <v>#REF!</v>
      </c>
      <c r="GZ78" t="e">
        <f>AND(Bills!#REF!,"AAAAAE97/88=")</f>
        <v>#REF!</v>
      </c>
      <c r="HA78" t="e">
        <f>AND(Bills!#REF!,"AAAAAE97/9A=")</f>
        <v>#REF!</v>
      </c>
      <c r="HB78" t="e">
        <f>AND(Bills!Y161,"AAAAAE97/9E=")</f>
        <v>#VALUE!</v>
      </c>
      <c r="HC78" t="e">
        <f>AND(Bills!Z161,"AAAAAE97/9I=")</f>
        <v>#VALUE!</v>
      </c>
      <c r="HD78" t="e">
        <f>AND(Bills!#REF!,"AAAAAE97/9M=")</f>
        <v>#REF!</v>
      </c>
      <c r="HE78" t="e">
        <f>AND(Bills!#REF!,"AAAAAE97/9Q=")</f>
        <v>#REF!</v>
      </c>
      <c r="HF78" t="e">
        <f>AND(Bills!#REF!,"AAAAAE97/9U=")</f>
        <v>#REF!</v>
      </c>
      <c r="HG78" t="e">
        <f>AND(Bills!AA161,"AAAAAE97/9Y=")</f>
        <v>#VALUE!</v>
      </c>
      <c r="HH78" t="e">
        <f>AND(Bills!AB161,"AAAAAE97/9c=")</f>
        <v>#VALUE!</v>
      </c>
      <c r="HI78" t="e">
        <f>AND(Bills!#REF!,"AAAAAE97/9g=")</f>
        <v>#REF!</v>
      </c>
      <c r="HJ78">
        <f>IF(Bills!162:162,"AAAAAE97/9k=",0)</f>
        <v>0</v>
      </c>
      <c r="HK78" t="e">
        <f>AND(Bills!B162,"AAAAAE97/9o=")</f>
        <v>#VALUE!</v>
      </c>
      <c r="HL78" t="e">
        <f>AND(Bills!#REF!,"AAAAAE97/9s=")</f>
        <v>#REF!</v>
      </c>
      <c r="HM78" t="e">
        <f>AND(Bills!C162,"AAAAAE97/9w=")</f>
        <v>#VALUE!</v>
      </c>
      <c r="HN78" t="e">
        <f>AND(Bills!#REF!,"AAAAAE97/90=")</f>
        <v>#REF!</v>
      </c>
      <c r="HO78" t="e">
        <f>AND(Bills!#REF!,"AAAAAE97/94=")</f>
        <v>#REF!</v>
      </c>
      <c r="HP78" t="e">
        <f>AND(Bills!#REF!,"AAAAAE97/98=")</f>
        <v>#REF!</v>
      </c>
      <c r="HQ78" t="e">
        <f>AND(Bills!#REF!,"AAAAAE97/+A=")</f>
        <v>#REF!</v>
      </c>
      <c r="HR78" t="e">
        <f>AND(Bills!#REF!,"AAAAAE97/+E=")</f>
        <v>#REF!</v>
      </c>
      <c r="HS78" t="e">
        <f>AND(Bills!D162,"AAAAAE97/+I=")</f>
        <v>#VALUE!</v>
      </c>
      <c r="HT78" t="e">
        <f>AND(Bills!#REF!,"AAAAAE97/+M=")</f>
        <v>#REF!</v>
      </c>
      <c r="HU78" t="e">
        <f>AND(Bills!E162,"AAAAAE97/+Q=")</f>
        <v>#VALUE!</v>
      </c>
      <c r="HV78" t="e">
        <f>AND(Bills!F162,"AAAAAE97/+U=")</f>
        <v>#VALUE!</v>
      </c>
      <c r="HW78" t="e">
        <f>AND(Bills!G162,"AAAAAE97/+Y=")</f>
        <v>#VALUE!</v>
      </c>
      <c r="HX78" t="e">
        <f>AND(Bills!H162,"AAAAAE97/+c=")</f>
        <v>#VALUE!</v>
      </c>
      <c r="HY78" t="e">
        <f>AND(Bills!I162,"AAAAAE97/+g=")</f>
        <v>#VALUE!</v>
      </c>
      <c r="HZ78" t="e">
        <f>AND(Bills!J162,"AAAAAE97/+k=")</f>
        <v>#VALUE!</v>
      </c>
      <c r="IA78" t="e">
        <f>AND(Bills!#REF!,"AAAAAE97/+o=")</f>
        <v>#REF!</v>
      </c>
      <c r="IB78" t="e">
        <f>AND(Bills!K162,"AAAAAE97/+s=")</f>
        <v>#VALUE!</v>
      </c>
      <c r="IC78" t="e">
        <f>AND(Bills!L162,"AAAAAE97/+w=")</f>
        <v>#VALUE!</v>
      </c>
      <c r="ID78" t="e">
        <f>AND(Bills!M162,"AAAAAE97/+0=")</f>
        <v>#VALUE!</v>
      </c>
      <c r="IE78" t="e">
        <f>AND(Bills!N162,"AAAAAE97/+4=")</f>
        <v>#VALUE!</v>
      </c>
      <c r="IF78" t="e">
        <f>AND(Bills!O162,"AAAAAE97/+8=")</f>
        <v>#VALUE!</v>
      </c>
      <c r="IG78" t="e">
        <f>AND(Bills!P162,"AAAAAE97//A=")</f>
        <v>#VALUE!</v>
      </c>
      <c r="IH78" t="e">
        <f>AND(Bills!Q162,"AAAAAE97//E=")</f>
        <v>#VALUE!</v>
      </c>
      <c r="II78" t="e">
        <f>AND(Bills!R162,"AAAAAE97//I=")</f>
        <v>#VALUE!</v>
      </c>
      <c r="IJ78" t="e">
        <f>AND(Bills!#REF!,"AAAAAE97//M=")</f>
        <v>#REF!</v>
      </c>
      <c r="IK78" t="e">
        <f>AND(Bills!S162,"AAAAAE97//Q=")</f>
        <v>#VALUE!</v>
      </c>
      <c r="IL78" t="e">
        <f>AND(Bills!T162,"AAAAAE97//U=")</f>
        <v>#VALUE!</v>
      </c>
      <c r="IM78" t="e">
        <f>AND(Bills!U162,"AAAAAE97//Y=")</f>
        <v>#VALUE!</v>
      </c>
      <c r="IN78" t="e">
        <f>AND(Bills!#REF!,"AAAAAE97//c=")</f>
        <v>#REF!</v>
      </c>
      <c r="IO78" t="e">
        <f>AND(Bills!#REF!,"AAAAAE97//g=")</f>
        <v>#REF!</v>
      </c>
      <c r="IP78" t="e">
        <f>AND(Bills!W162,"AAAAAE97//k=")</f>
        <v>#VALUE!</v>
      </c>
      <c r="IQ78" t="e">
        <f>AND(Bills!X162,"AAAAAE97//o=")</f>
        <v>#VALUE!</v>
      </c>
      <c r="IR78" t="e">
        <f>AND(Bills!#REF!,"AAAAAE97//s=")</f>
        <v>#REF!</v>
      </c>
      <c r="IS78" t="e">
        <f>AND(Bills!#REF!,"AAAAAE97//w=")</f>
        <v>#REF!</v>
      </c>
      <c r="IT78" t="e">
        <f>AND(Bills!#REF!,"AAAAAE97//0=")</f>
        <v>#REF!</v>
      </c>
      <c r="IU78" t="e">
        <f>AND(Bills!#REF!,"AAAAAE97//4=")</f>
        <v>#REF!</v>
      </c>
      <c r="IV78" t="e">
        <f>AND(Bills!#REF!,"AAAAAE97//8=")</f>
        <v>#REF!</v>
      </c>
    </row>
    <row r="79" spans="1:256">
      <c r="A79" t="e">
        <f>AND(Bills!#REF!,"AAAAAH3stgA=")</f>
        <v>#REF!</v>
      </c>
      <c r="B79" t="e">
        <f>AND(Bills!#REF!,"AAAAAH3stgE=")</f>
        <v>#REF!</v>
      </c>
      <c r="C79" t="e">
        <f>AND(Bills!#REF!,"AAAAAH3stgI=")</f>
        <v>#REF!</v>
      </c>
      <c r="D79" t="e">
        <f>AND(Bills!#REF!,"AAAAAH3stgM=")</f>
        <v>#REF!</v>
      </c>
      <c r="E79" t="e">
        <f>AND(Bills!Y162,"AAAAAH3stgQ=")</f>
        <v>#VALUE!</v>
      </c>
      <c r="F79" t="e">
        <f>AND(Bills!Z162,"AAAAAH3stgU=")</f>
        <v>#VALUE!</v>
      </c>
      <c r="G79" t="e">
        <f>AND(Bills!#REF!,"AAAAAH3stgY=")</f>
        <v>#REF!</v>
      </c>
      <c r="H79" t="e">
        <f>AND(Bills!#REF!,"AAAAAH3stgc=")</f>
        <v>#REF!</v>
      </c>
      <c r="I79" t="e">
        <f>AND(Bills!#REF!,"AAAAAH3stgg=")</f>
        <v>#REF!</v>
      </c>
      <c r="J79" t="e">
        <f>AND(Bills!AA162,"AAAAAH3stgk=")</f>
        <v>#VALUE!</v>
      </c>
      <c r="K79" t="e">
        <f>AND(Bills!AB162,"AAAAAH3stgo=")</f>
        <v>#VALUE!</v>
      </c>
      <c r="L79" t="e">
        <f>AND(Bills!#REF!,"AAAAAH3stgs=")</f>
        <v>#REF!</v>
      </c>
      <c r="M79">
        <f>IF(Bills!163:163,"AAAAAH3stgw=",0)</f>
        <v>0</v>
      </c>
      <c r="N79" t="e">
        <f>AND(Bills!B163,"AAAAAH3stg0=")</f>
        <v>#VALUE!</v>
      </c>
      <c r="O79" t="e">
        <f>AND(Bills!#REF!,"AAAAAH3stg4=")</f>
        <v>#REF!</v>
      </c>
      <c r="P79" t="e">
        <f>AND(Bills!C163,"AAAAAH3stg8=")</f>
        <v>#VALUE!</v>
      </c>
      <c r="Q79" t="e">
        <f>AND(Bills!#REF!,"AAAAAH3sthA=")</f>
        <v>#REF!</v>
      </c>
      <c r="R79" t="e">
        <f>AND(Bills!#REF!,"AAAAAH3sthE=")</f>
        <v>#REF!</v>
      </c>
      <c r="S79" t="e">
        <f>AND(Bills!#REF!,"AAAAAH3sthI=")</f>
        <v>#REF!</v>
      </c>
      <c r="T79" t="e">
        <f>AND(Bills!#REF!,"AAAAAH3sthM=")</f>
        <v>#REF!</v>
      </c>
      <c r="U79" t="e">
        <f>AND(Bills!#REF!,"AAAAAH3sthQ=")</f>
        <v>#REF!</v>
      </c>
      <c r="V79" t="e">
        <f>AND(Bills!D163,"AAAAAH3sthU=")</f>
        <v>#VALUE!</v>
      </c>
      <c r="W79" t="e">
        <f>AND(Bills!#REF!,"AAAAAH3sthY=")</f>
        <v>#REF!</v>
      </c>
      <c r="X79" t="e">
        <f>AND(Bills!E163,"AAAAAH3sthc=")</f>
        <v>#VALUE!</v>
      </c>
      <c r="Y79" t="e">
        <f>AND(Bills!F163,"AAAAAH3sthg=")</f>
        <v>#VALUE!</v>
      </c>
      <c r="Z79" t="e">
        <f>AND(Bills!G163,"AAAAAH3sthk=")</f>
        <v>#VALUE!</v>
      </c>
      <c r="AA79" t="e">
        <f>AND(Bills!H163,"AAAAAH3stho=")</f>
        <v>#VALUE!</v>
      </c>
      <c r="AB79" t="e">
        <f>AND(Bills!I163,"AAAAAH3sths=")</f>
        <v>#VALUE!</v>
      </c>
      <c r="AC79" t="e">
        <f>AND(Bills!J163,"AAAAAH3sthw=")</f>
        <v>#VALUE!</v>
      </c>
      <c r="AD79" t="e">
        <f>AND(Bills!#REF!,"AAAAAH3sth0=")</f>
        <v>#REF!</v>
      </c>
      <c r="AE79" t="e">
        <f>AND(Bills!K163,"AAAAAH3sth4=")</f>
        <v>#VALUE!</v>
      </c>
      <c r="AF79" t="e">
        <f>AND(Bills!L163,"AAAAAH3sth8=")</f>
        <v>#VALUE!</v>
      </c>
      <c r="AG79" t="e">
        <f>AND(Bills!M163,"AAAAAH3stiA=")</f>
        <v>#VALUE!</v>
      </c>
      <c r="AH79" t="e">
        <f>AND(Bills!N163,"AAAAAH3stiE=")</f>
        <v>#VALUE!</v>
      </c>
      <c r="AI79" t="e">
        <f>AND(Bills!O163,"AAAAAH3stiI=")</f>
        <v>#VALUE!</v>
      </c>
      <c r="AJ79" t="e">
        <f>AND(Bills!P163,"AAAAAH3stiM=")</f>
        <v>#VALUE!</v>
      </c>
      <c r="AK79" t="e">
        <f>AND(Bills!Q163,"AAAAAH3stiQ=")</f>
        <v>#VALUE!</v>
      </c>
      <c r="AL79" t="e">
        <f>AND(Bills!R163,"AAAAAH3stiU=")</f>
        <v>#VALUE!</v>
      </c>
      <c r="AM79" t="e">
        <f>AND(Bills!#REF!,"AAAAAH3stiY=")</f>
        <v>#REF!</v>
      </c>
      <c r="AN79" t="e">
        <f>AND(Bills!S163,"AAAAAH3stic=")</f>
        <v>#VALUE!</v>
      </c>
      <c r="AO79" t="e">
        <f>AND(Bills!T163,"AAAAAH3stig=")</f>
        <v>#VALUE!</v>
      </c>
      <c r="AP79" t="e">
        <f>AND(Bills!U163,"AAAAAH3stik=")</f>
        <v>#VALUE!</v>
      </c>
      <c r="AQ79" t="e">
        <f>AND(Bills!#REF!,"AAAAAH3stio=")</f>
        <v>#REF!</v>
      </c>
      <c r="AR79" t="e">
        <f>AND(Bills!#REF!,"AAAAAH3stis=")</f>
        <v>#REF!</v>
      </c>
      <c r="AS79" t="e">
        <f>AND(Bills!W163,"AAAAAH3stiw=")</f>
        <v>#VALUE!</v>
      </c>
      <c r="AT79" t="e">
        <f>AND(Bills!X163,"AAAAAH3sti0=")</f>
        <v>#VALUE!</v>
      </c>
      <c r="AU79" t="e">
        <f>AND(Bills!#REF!,"AAAAAH3sti4=")</f>
        <v>#REF!</v>
      </c>
      <c r="AV79" t="e">
        <f>AND(Bills!#REF!,"AAAAAH3sti8=")</f>
        <v>#REF!</v>
      </c>
      <c r="AW79" t="e">
        <f>AND(Bills!#REF!,"AAAAAH3stjA=")</f>
        <v>#REF!</v>
      </c>
      <c r="AX79" t="e">
        <f>AND(Bills!#REF!,"AAAAAH3stjE=")</f>
        <v>#REF!</v>
      </c>
      <c r="AY79" t="e">
        <f>AND(Bills!#REF!,"AAAAAH3stjI=")</f>
        <v>#REF!</v>
      </c>
      <c r="AZ79" t="e">
        <f>AND(Bills!#REF!,"AAAAAH3stjM=")</f>
        <v>#REF!</v>
      </c>
      <c r="BA79" t="e">
        <f>AND(Bills!#REF!,"AAAAAH3stjQ=")</f>
        <v>#REF!</v>
      </c>
      <c r="BB79" t="e">
        <f>AND(Bills!#REF!,"AAAAAH3stjU=")</f>
        <v>#REF!</v>
      </c>
      <c r="BC79" t="e">
        <f>AND(Bills!#REF!,"AAAAAH3stjY=")</f>
        <v>#REF!</v>
      </c>
      <c r="BD79" t="e">
        <f>AND(Bills!Y163,"AAAAAH3stjc=")</f>
        <v>#VALUE!</v>
      </c>
      <c r="BE79" t="e">
        <f>AND(Bills!Z163,"AAAAAH3stjg=")</f>
        <v>#VALUE!</v>
      </c>
      <c r="BF79" t="e">
        <f>AND(Bills!#REF!,"AAAAAH3stjk=")</f>
        <v>#REF!</v>
      </c>
      <c r="BG79" t="e">
        <f>AND(Bills!#REF!,"AAAAAH3stjo=")</f>
        <v>#REF!</v>
      </c>
      <c r="BH79" t="e">
        <f>AND(Bills!#REF!,"AAAAAH3stjs=")</f>
        <v>#REF!</v>
      </c>
      <c r="BI79" t="e">
        <f>AND(Bills!AA163,"AAAAAH3stjw=")</f>
        <v>#VALUE!</v>
      </c>
      <c r="BJ79" t="e">
        <f>AND(Bills!AB163,"AAAAAH3stj0=")</f>
        <v>#VALUE!</v>
      </c>
      <c r="BK79" t="e">
        <f>AND(Bills!#REF!,"AAAAAH3stj4=")</f>
        <v>#REF!</v>
      </c>
      <c r="BL79">
        <f>IF(Bills!164:164,"AAAAAH3stj8=",0)</f>
        <v>0</v>
      </c>
      <c r="BM79" t="e">
        <f>AND(Bills!B164,"AAAAAH3stkA=")</f>
        <v>#VALUE!</v>
      </c>
      <c r="BN79" t="e">
        <f>AND(Bills!#REF!,"AAAAAH3stkE=")</f>
        <v>#REF!</v>
      </c>
      <c r="BO79" t="e">
        <f>AND(Bills!C164,"AAAAAH3stkI=")</f>
        <v>#VALUE!</v>
      </c>
      <c r="BP79" t="e">
        <f>AND(Bills!#REF!,"AAAAAH3stkM=")</f>
        <v>#REF!</v>
      </c>
      <c r="BQ79" t="e">
        <f>AND(Bills!#REF!,"AAAAAH3stkQ=")</f>
        <v>#REF!</v>
      </c>
      <c r="BR79" t="e">
        <f>AND(Bills!#REF!,"AAAAAH3stkU=")</f>
        <v>#REF!</v>
      </c>
      <c r="BS79" t="e">
        <f>AND(Bills!#REF!,"AAAAAH3stkY=")</f>
        <v>#REF!</v>
      </c>
      <c r="BT79" t="e">
        <f>AND(Bills!#REF!,"AAAAAH3stkc=")</f>
        <v>#REF!</v>
      </c>
      <c r="BU79" t="e">
        <f>AND(Bills!D164,"AAAAAH3stkg=")</f>
        <v>#VALUE!</v>
      </c>
      <c r="BV79" t="e">
        <f>AND(Bills!#REF!,"AAAAAH3stkk=")</f>
        <v>#REF!</v>
      </c>
      <c r="BW79" t="e">
        <f>AND(Bills!E164,"AAAAAH3stko=")</f>
        <v>#VALUE!</v>
      </c>
      <c r="BX79" t="e">
        <f>AND(Bills!F164,"AAAAAH3stks=")</f>
        <v>#VALUE!</v>
      </c>
      <c r="BY79" t="e">
        <f>AND(Bills!G164,"AAAAAH3stkw=")</f>
        <v>#VALUE!</v>
      </c>
      <c r="BZ79" t="e">
        <f>AND(Bills!H164,"AAAAAH3stk0=")</f>
        <v>#VALUE!</v>
      </c>
      <c r="CA79" t="e">
        <f>AND(Bills!I164,"AAAAAH3stk4=")</f>
        <v>#VALUE!</v>
      </c>
      <c r="CB79" t="e">
        <f>AND(Bills!J164,"AAAAAH3stk8=")</f>
        <v>#VALUE!</v>
      </c>
      <c r="CC79" t="e">
        <f>AND(Bills!#REF!,"AAAAAH3stlA=")</f>
        <v>#REF!</v>
      </c>
      <c r="CD79" t="e">
        <f>AND(Bills!K164,"AAAAAH3stlE=")</f>
        <v>#VALUE!</v>
      </c>
      <c r="CE79" t="e">
        <f>AND(Bills!L164,"AAAAAH3stlI=")</f>
        <v>#VALUE!</v>
      </c>
      <c r="CF79" t="e">
        <f>AND(Bills!M164,"AAAAAH3stlM=")</f>
        <v>#VALUE!</v>
      </c>
      <c r="CG79" t="e">
        <f>AND(Bills!N164,"AAAAAH3stlQ=")</f>
        <v>#VALUE!</v>
      </c>
      <c r="CH79" t="e">
        <f>AND(Bills!O164,"AAAAAH3stlU=")</f>
        <v>#VALUE!</v>
      </c>
      <c r="CI79" t="e">
        <f>AND(Bills!P164,"AAAAAH3stlY=")</f>
        <v>#VALUE!</v>
      </c>
      <c r="CJ79" t="e">
        <f>AND(Bills!Q164,"AAAAAH3stlc=")</f>
        <v>#VALUE!</v>
      </c>
      <c r="CK79" t="e">
        <f>AND(Bills!R164,"AAAAAH3stlg=")</f>
        <v>#VALUE!</v>
      </c>
      <c r="CL79" t="e">
        <f>AND(Bills!#REF!,"AAAAAH3stlk=")</f>
        <v>#REF!</v>
      </c>
      <c r="CM79" t="e">
        <f>AND(Bills!S164,"AAAAAH3stlo=")</f>
        <v>#VALUE!</v>
      </c>
      <c r="CN79" t="e">
        <f>AND(Bills!T164,"AAAAAH3stls=")</f>
        <v>#VALUE!</v>
      </c>
      <c r="CO79" t="e">
        <f>AND(Bills!U164,"AAAAAH3stlw=")</f>
        <v>#VALUE!</v>
      </c>
      <c r="CP79" t="e">
        <f>AND(Bills!#REF!,"AAAAAH3stl0=")</f>
        <v>#REF!</v>
      </c>
      <c r="CQ79" t="e">
        <f>AND(Bills!#REF!,"AAAAAH3stl4=")</f>
        <v>#REF!</v>
      </c>
      <c r="CR79" t="e">
        <f>AND(Bills!W164,"AAAAAH3stl8=")</f>
        <v>#VALUE!</v>
      </c>
      <c r="CS79" t="e">
        <f>AND(Bills!X164,"AAAAAH3stmA=")</f>
        <v>#VALUE!</v>
      </c>
      <c r="CT79" t="e">
        <f>AND(Bills!#REF!,"AAAAAH3stmE=")</f>
        <v>#REF!</v>
      </c>
      <c r="CU79" t="e">
        <f>AND(Bills!#REF!,"AAAAAH3stmI=")</f>
        <v>#REF!</v>
      </c>
      <c r="CV79" t="e">
        <f>AND(Bills!#REF!,"AAAAAH3stmM=")</f>
        <v>#REF!</v>
      </c>
      <c r="CW79" t="e">
        <f>AND(Bills!#REF!,"AAAAAH3stmQ=")</f>
        <v>#REF!</v>
      </c>
      <c r="CX79" t="e">
        <f>AND(Bills!#REF!,"AAAAAH3stmU=")</f>
        <v>#REF!</v>
      </c>
      <c r="CY79" t="e">
        <f>AND(Bills!#REF!,"AAAAAH3stmY=")</f>
        <v>#REF!</v>
      </c>
      <c r="CZ79" t="e">
        <f>AND(Bills!#REF!,"AAAAAH3stmc=")</f>
        <v>#REF!</v>
      </c>
      <c r="DA79" t="e">
        <f>AND(Bills!#REF!,"AAAAAH3stmg=")</f>
        <v>#REF!</v>
      </c>
      <c r="DB79" t="e">
        <f>AND(Bills!#REF!,"AAAAAH3stmk=")</f>
        <v>#REF!</v>
      </c>
      <c r="DC79" t="e">
        <f>AND(Bills!Y164,"AAAAAH3stmo=")</f>
        <v>#VALUE!</v>
      </c>
      <c r="DD79" t="e">
        <f>AND(Bills!Z164,"AAAAAH3stms=")</f>
        <v>#VALUE!</v>
      </c>
      <c r="DE79" t="e">
        <f>AND(Bills!#REF!,"AAAAAH3stmw=")</f>
        <v>#REF!</v>
      </c>
      <c r="DF79" t="e">
        <f>AND(Bills!#REF!,"AAAAAH3stm0=")</f>
        <v>#REF!</v>
      </c>
      <c r="DG79" t="e">
        <f>AND(Bills!#REF!,"AAAAAH3stm4=")</f>
        <v>#REF!</v>
      </c>
      <c r="DH79" t="e">
        <f>AND(Bills!AA164,"AAAAAH3stm8=")</f>
        <v>#VALUE!</v>
      </c>
      <c r="DI79" t="e">
        <f>AND(Bills!AB164,"AAAAAH3stnA=")</f>
        <v>#VALUE!</v>
      </c>
      <c r="DJ79" t="e">
        <f>AND(Bills!#REF!,"AAAAAH3stnE=")</f>
        <v>#REF!</v>
      </c>
      <c r="DK79">
        <f>IF(Bills!165:165,"AAAAAH3stnI=",0)</f>
        <v>0</v>
      </c>
      <c r="DL79" t="e">
        <f>AND(Bills!B165,"AAAAAH3stnM=")</f>
        <v>#VALUE!</v>
      </c>
      <c r="DM79" t="e">
        <f>AND(Bills!#REF!,"AAAAAH3stnQ=")</f>
        <v>#REF!</v>
      </c>
      <c r="DN79" t="e">
        <f>AND(Bills!C165,"AAAAAH3stnU=")</f>
        <v>#VALUE!</v>
      </c>
      <c r="DO79" t="e">
        <f>AND(Bills!#REF!,"AAAAAH3stnY=")</f>
        <v>#REF!</v>
      </c>
      <c r="DP79" t="e">
        <f>AND(Bills!#REF!,"AAAAAH3stnc=")</f>
        <v>#REF!</v>
      </c>
      <c r="DQ79" t="e">
        <f>AND(Bills!#REF!,"AAAAAH3stng=")</f>
        <v>#REF!</v>
      </c>
      <c r="DR79" t="e">
        <f>AND(Bills!#REF!,"AAAAAH3stnk=")</f>
        <v>#REF!</v>
      </c>
      <c r="DS79" t="e">
        <f>AND(Bills!#REF!,"AAAAAH3stno=")</f>
        <v>#REF!</v>
      </c>
      <c r="DT79" t="e">
        <f>AND(Bills!D165,"AAAAAH3stns=")</f>
        <v>#VALUE!</v>
      </c>
      <c r="DU79" t="e">
        <f>AND(Bills!#REF!,"AAAAAH3stnw=")</f>
        <v>#REF!</v>
      </c>
      <c r="DV79" t="e">
        <f>AND(Bills!E165,"AAAAAH3stn0=")</f>
        <v>#VALUE!</v>
      </c>
      <c r="DW79" t="e">
        <f>AND(Bills!F165,"AAAAAH3stn4=")</f>
        <v>#VALUE!</v>
      </c>
      <c r="DX79" t="e">
        <f>AND(Bills!G165,"AAAAAH3stn8=")</f>
        <v>#VALUE!</v>
      </c>
      <c r="DY79" t="e">
        <f>AND(Bills!H165,"AAAAAH3stoA=")</f>
        <v>#VALUE!</v>
      </c>
      <c r="DZ79" t="e">
        <f>AND(Bills!I165,"AAAAAH3stoE=")</f>
        <v>#VALUE!</v>
      </c>
      <c r="EA79" t="e">
        <f>AND(Bills!J165,"AAAAAH3stoI=")</f>
        <v>#VALUE!</v>
      </c>
      <c r="EB79" t="e">
        <f>AND(Bills!#REF!,"AAAAAH3stoM=")</f>
        <v>#REF!</v>
      </c>
      <c r="EC79" t="e">
        <f>AND(Bills!K165,"AAAAAH3stoQ=")</f>
        <v>#VALUE!</v>
      </c>
      <c r="ED79" t="e">
        <f>AND(Bills!L165,"AAAAAH3stoU=")</f>
        <v>#VALUE!</v>
      </c>
      <c r="EE79" t="e">
        <f>AND(Bills!M165,"AAAAAH3stoY=")</f>
        <v>#VALUE!</v>
      </c>
      <c r="EF79" t="e">
        <f>AND(Bills!N165,"AAAAAH3stoc=")</f>
        <v>#VALUE!</v>
      </c>
      <c r="EG79" t="e">
        <f>AND(Bills!O165,"AAAAAH3stog=")</f>
        <v>#VALUE!</v>
      </c>
      <c r="EH79" t="e">
        <f>AND(Bills!P165,"AAAAAH3stok=")</f>
        <v>#VALUE!</v>
      </c>
      <c r="EI79" t="e">
        <f>AND(Bills!Q165,"AAAAAH3stoo=")</f>
        <v>#VALUE!</v>
      </c>
      <c r="EJ79" t="e">
        <f>AND(Bills!R165,"AAAAAH3stos=")</f>
        <v>#VALUE!</v>
      </c>
      <c r="EK79" t="e">
        <f>AND(Bills!#REF!,"AAAAAH3stow=")</f>
        <v>#REF!</v>
      </c>
      <c r="EL79" t="e">
        <f>AND(Bills!S165,"AAAAAH3sto0=")</f>
        <v>#VALUE!</v>
      </c>
      <c r="EM79" t="e">
        <f>AND(Bills!T165,"AAAAAH3sto4=")</f>
        <v>#VALUE!</v>
      </c>
      <c r="EN79" t="e">
        <f>AND(Bills!U165,"AAAAAH3sto8=")</f>
        <v>#VALUE!</v>
      </c>
      <c r="EO79" t="e">
        <f>AND(Bills!#REF!,"AAAAAH3stpA=")</f>
        <v>#REF!</v>
      </c>
      <c r="EP79" t="e">
        <f>AND(Bills!#REF!,"AAAAAH3stpE=")</f>
        <v>#REF!</v>
      </c>
      <c r="EQ79" t="e">
        <f>AND(Bills!W165,"AAAAAH3stpI=")</f>
        <v>#VALUE!</v>
      </c>
      <c r="ER79" t="e">
        <f>AND(Bills!X165,"AAAAAH3stpM=")</f>
        <v>#VALUE!</v>
      </c>
      <c r="ES79" t="e">
        <f>AND(Bills!#REF!,"AAAAAH3stpQ=")</f>
        <v>#REF!</v>
      </c>
      <c r="ET79" t="e">
        <f>AND(Bills!#REF!,"AAAAAH3stpU=")</f>
        <v>#REF!</v>
      </c>
      <c r="EU79" t="e">
        <f>AND(Bills!#REF!,"AAAAAH3stpY=")</f>
        <v>#REF!</v>
      </c>
      <c r="EV79" t="e">
        <f>AND(Bills!#REF!,"AAAAAH3stpc=")</f>
        <v>#REF!</v>
      </c>
      <c r="EW79" t="e">
        <f>AND(Bills!#REF!,"AAAAAH3stpg=")</f>
        <v>#REF!</v>
      </c>
      <c r="EX79" t="e">
        <f>AND(Bills!#REF!,"AAAAAH3stpk=")</f>
        <v>#REF!</v>
      </c>
      <c r="EY79" t="e">
        <f>AND(Bills!#REF!,"AAAAAH3stpo=")</f>
        <v>#REF!</v>
      </c>
      <c r="EZ79" t="e">
        <f>AND(Bills!#REF!,"AAAAAH3stps=")</f>
        <v>#REF!</v>
      </c>
      <c r="FA79" t="e">
        <f>AND(Bills!#REF!,"AAAAAH3stpw=")</f>
        <v>#REF!</v>
      </c>
      <c r="FB79" t="e">
        <f>AND(Bills!Y165,"AAAAAH3stp0=")</f>
        <v>#VALUE!</v>
      </c>
      <c r="FC79" t="e">
        <f>AND(Bills!Z165,"AAAAAH3stp4=")</f>
        <v>#VALUE!</v>
      </c>
      <c r="FD79" t="e">
        <f>AND(Bills!#REF!,"AAAAAH3stp8=")</f>
        <v>#REF!</v>
      </c>
      <c r="FE79" t="e">
        <f>AND(Bills!#REF!,"AAAAAH3stqA=")</f>
        <v>#REF!</v>
      </c>
      <c r="FF79" t="e">
        <f>AND(Bills!#REF!,"AAAAAH3stqE=")</f>
        <v>#REF!</v>
      </c>
      <c r="FG79" t="e">
        <f>AND(Bills!AA165,"AAAAAH3stqI=")</f>
        <v>#VALUE!</v>
      </c>
      <c r="FH79" t="e">
        <f>AND(Bills!AB165,"AAAAAH3stqM=")</f>
        <v>#VALUE!</v>
      </c>
      <c r="FI79" t="e">
        <f>AND(Bills!#REF!,"AAAAAH3stqQ=")</f>
        <v>#REF!</v>
      </c>
      <c r="FJ79">
        <f>IF(Bills!166:166,"AAAAAH3stqU=",0)</f>
        <v>0</v>
      </c>
      <c r="FK79" t="e">
        <f>AND(Bills!B166,"AAAAAH3stqY=")</f>
        <v>#VALUE!</v>
      </c>
      <c r="FL79" t="e">
        <f>AND(Bills!#REF!,"AAAAAH3stqc=")</f>
        <v>#REF!</v>
      </c>
      <c r="FM79" t="e">
        <f>AND(Bills!C166,"AAAAAH3stqg=")</f>
        <v>#VALUE!</v>
      </c>
      <c r="FN79" t="e">
        <f>AND(Bills!#REF!,"AAAAAH3stqk=")</f>
        <v>#REF!</v>
      </c>
      <c r="FO79" t="e">
        <f>AND(Bills!#REF!,"AAAAAH3stqo=")</f>
        <v>#REF!</v>
      </c>
      <c r="FP79" t="e">
        <f>AND(Bills!#REF!,"AAAAAH3stqs=")</f>
        <v>#REF!</v>
      </c>
      <c r="FQ79" t="e">
        <f>AND(Bills!#REF!,"AAAAAH3stqw=")</f>
        <v>#REF!</v>
      </c>
      <c r="FR79" t="e">
        <f>AND(Bills!#REF!,"AAAAAH3stq0=")</f>
        <v>#REF!</v>
      </c>
      <c r="FS79" t="e">
        <f>AND(Bills!D166,"AAAAAH3stq4=")</f>
        <v>#VALUE!</v>
      </c>
      <c r="FT79" t="e">
        <f>AND(Bills!#REF!,"AAAAAH3stq8=")</f>
        <v>#REF!</v>
      </c>
      <c r="FU79" t="e">
        <f>AND(Bills!E166,"AAAAAH3strA=")</f>
        <v>#VALUE!</v>
      </c>
      <c r="FV79" t="e">
        <f>AND(Bills!F166,"AAAAAH3strE=")</f>
        <v>#VALUE!</v>
      </c>
      <c r="FW79" t="e">
        <f>AND(Bills!G166,"AAAAAH3strI=")</f>
        <v>#VALUE!</v>
      </c>
      <c r="FX79" t="e">
        <f>AND(Bills!H166,"AAAAAH3strM=")</f>
        <v>#VALUE!</v>
      </c>
      <c r="FY79" t="e">
        <f>AND(Bills!I166,"AAAAAH3strQ=")</f>
        <v>#VALUE!</v>
      </c>
      <c r="FZ79" t="e">
        <f>AND(Bills!J166,"AAAAAH3strU=")</f>
        <v>#VALUE!</v>
      </c>
      <c r="GA79" t="e">
        <f>AND(Bills!#REF!,"AAAAAH3strY=")</f>
        <v>#REF!</v>
      </c>
      <c r="GB79" t="e">
        <f>AND(Bills!K166,"AAAAAH3strc=")</f>
        <v>#VALUE!</v>
      </c>
      <c r="GC79" t="e">
        <f>AND(Bills!L166,"AAAAAH3strg=")</f>
        <v>#VALUE!</v>
      </c>
      <c r="GD79" t="e">
        <f>AND(Bills!M166,"AAAAAH3strk=")</f>
        <v>#VALUE!</v>
      </c>
      <c r="GE79" t="e">
        <f>AND(Bills!N166,"AAAAAH3stro=")</f>
        <v>#VALUE!</v>
      </c>
      <c r="GF79" t="e">
        <f>AND(Bills!O166,"AAAAAH3strs=")</f>
        <v>#VALUE!</v>
      </c>
      <c r="GG79" t="e">
        <f>AND(Bills!P166,"AAAAAH3strw=")</f>
        <v>#VALUE!</v>
      </c>
      <c r="GH79" t="e">
        <f>AND(Bills!Q166,"AAAAAH3str0=")</f>
        <v>#VALUE!</v>
      </c>
      <c r="GI79" t="e">
        <f>AND(Bills!R166,"AAAAAH3str4=")</f>
        <v>#VALUE!</v>
      </c>
      <c r="GJ79" t="e">
        <f>AND(Bills!#REF!,"AAAAAH3str8=")</f>
        <v>#REF!</v>
      </c>
      <c r="GK79" t="e">
        <f>AND(Bills!S166,"AAAAAH3stsA=")</f>
        <v>#VALUE!</v>
      </c>
      <c r="GL79" t="e">
        <f>AND(Bills!T166,"AAAAAH3stsE=")</f>
        <v>#VALUE!</v>
      </c>
      <c r="GM79" t="e">
        <f>AND(Bills!U166,"AAAAAH3stsI=")</f>
        <v>#VALUE!</v>
      </c>
      <c r="GN79" t="e">
        <f>AND(Bills!#REF!,"AAAAAH3stsM=")</f>
        <v>#REF!</v>
      </c>
      <c r="GO79" t="e">
        <f>AND(Bills!#REF!,"AAAAAH3stsQ=")</f>
        <v>#REF!</v>
      </c>
      <c r="GP79" t="e">
        <f>AND(Bills!W166,"AAAAAH3stsU=")</f>
        <v>#VALUE!</v>
      </c>
      <c r="GQ79" t="e">
        <f>AND(Bills!X166,"AAAAAH3stsY=")</f>
        <v>#VALUE!</v>
      </c>
      <c r="GR79" t="e">
        <f>AND(Bills!#REF!,"AAAAAH3stsc=")</f>
        <v>#REF!</v>
      </c>
      <c r="GS79" t="e">
        <f>AND(Bills!#REF!,"AAAAAH3stsg=")</f>
        <v>#REF!</v>
      </c>
      <c r="GT79" t="e">
        <f>AND(Bills!#REF!,"AAAAAH3stsk=")</f>
        <v>#REF!</v>
      </c>
      <c r="GU79" t="e">
        <f>AND(Bills!#REF!,"AAAAAH3stso=")</f>
        <v>#REF!</v>
      </c>
      <c r="GV79" t="e">
        <f>AND(Bills!#REF!,"AAAAAH3stss=")</f>
        <v>#REF!</v>
      </c>
      <c r="GW79" t="e">
        <f>AND(Bills!#REF!,"AAAAAH3stsw=")</f>
        <v>#REF!</v>
      </c>
      <c r="GX79" t="e">
        <f>AND(Bills!#REF!,"AAAAAH3sts0=")</f>
        <v>#REF!</v>
      </c>
      <c r="GY79" t="e">
        <f>AND(Bills!#REF!,"AAAAAH3sts4=")</f>
        <v>#REF!</v>
      </c>
      <c r="GZ79" t="e">
        <f>AND(Bills!#REF!,"AAAAAH3sts8=")</f>
        <v>#REF!</v>
      </c>
      <c r="HA79" t="e">
        <f>AND(Bills!Y166,"AAAAAH3sttA=")</f>
        <v>#VALUE!</v>
      </c>
      <c r="HB79" t="e">
        <f>AND(Bills!Z166,"AAAAAH3sttE=")</f>
        <v>#VALUE!</v>
      </c>
      <c r="HC79" t="e">
        <f>AND(Bills!#REF!,"AAAAAH3sttI=")</f>
        <v>#REF!</v>
      </c>
      <c r="HD79" t="e">
        <f>AND(Bills!#REF!,"AAAAAH3sttM=")</f>
        <v>#REF!</v>
      </c>
      <c r="HE79" t="e">
        <f>AND(Bills!#REF!,"AAAAAH3sttQ=")</f>
        <v>#REF!</v>
      </c>
      <c r="HF79" t="e">
        <f>AND(Bills!AA166,"AAAAAH3sttU=")</f>
        <v>#VALUE!</v>
      </c>
      <c r="HG79" t="e">
        <f>AND(Bills!AB166,"AAAAAH3sttY=")</f>
        <v>#VALUE!</v>
      </c>
      <c r="HH79" t="e">
        <f>AND(Bills!#REF!,"AAAAAH3sttc=")</f>
        <v>#REF!</v>
      </c>
      <c r="HI79">
        <f>IF(Bills!167:167,"AAAAAH3sttg=",0)</f>
        <v>0</v>
      </c>
      <c r="HJ79" t="e">
        <f>AND(Bills!B167,"AAAAAH3sttk=")</f>
        <v>#VALUE!</v>
      </c>
      <c r="HK79" t="e">
        <f>AND(Bills!#REF!,"AAAAAH3stto=")</f>
        <v>#REF!</v>
      </c>
      <c r="HL79" t="e">
        <f>AND(Bills!C167,"AAAAAH3stts=")</f>
        <v>#VALUE!</v>
      </c>
      <c r="HM79" t="e">
        <f>AND(Bills!#REF!,"AAAAAH3sttw=")</f>
        <v>#REF!</v>
      </c>
      <c r="HN79" t="e">
        <f>AND(Bills!#REF!,"AAAAAH3stt0=")</f>
        <v>#REF!</v>
      </c>
      <c r="HO79" t="e">
        <f>AND(Bills!#REF!,"AAAAAH3stt4=")</f>
        <v>#REF!</v>
      </c>
      <c r="HP79" t="e">
        <f>AND(Bills!#REF!,"AAAAAH3stt8=")</f>
        <v>#REF!</v>
      </c>
      <c r="HQ79" t="e">
        <f>AND(Bills!#REF!,"AAAAAH3stuA=")</f>
        <v>#REF!</v>
      </c>
      <c r="HR79" t="e">
        <f>AND(Bills!D167,"AAAAAH3stuE=")</f>
        <v>#VALUE!</v>
      </c>
      <c r="HS79" t="e">
        <f>AND(Bills!#REF!,"AAAAAH3stuI=")</f>
        <v>#REF!</v>
      </c>
      <c r="HT79" t="e">
        <f>AND(Bills!E167,"AAAAAH3stuM=")</f>
        <v>#VALUE!</v>
      </c>
      <c r="HU79" t="e">
        <f>AND(Bills!F167,"AAAAAH3stuQ=")</f>
        <v>#VALUE!</v>
      </c>
      <c r="HV79" t="e">
        <f>AND(Bills!G167,"AAAAAH3stuU=")</f>
        <v>#VALUE!</v>
      </c>
      <c r="HW79" t="e">
        <f>AND(Bills!H167,"AAAAAH3stuY=")</f>
        <v>#VALUE!</v>
      </c>
      <c r="HX79" t="e">
        <f>AND(Bills!I167,"AAAAAH3stuc=")</f>
        <v>#VALUE!</v>
      </c>
      <c r="HY79" t="e">
        <f>AND(Bills!J167,"AAAAAH3stug=")</f>
        <v>#VALUE!</v>
      </c>
      <c r="HZ79" t="e">
        <f>AND(Bills!#REF!,"AAAAAH3stuk=")</f>
        <v>#REF!</v>
      </c>
      <c r="IA79" t="e">
        <f>AND(Bills!K167,"AAAAAH3stuo=")</f>
        <v>#VALUE!</v>
      </c>
      <c r="IB79" t="e">
        <f>AND(Bills!L167,"AAAAAH3stus=")</f>
        <v>#VALUE!</v>
      </c>
      <c r="IC79" t="e">
        <f>AND(Bills!M167,"AAAAAH3stuw=")</f>
        <v>#VALUE!</v>
      </c>
      <c r="ID79" t="e">
        <f>AND(Bills!N167,"AAAAAH3stu0=")</f>
        <v>#VALUE!</v>
      </c>
      <c r="IE79" t="e">
        <f>AND(Bills!O167,"AAAAAH3stu4=")</f>
        <v>#VALUE!</v>
      </c>
      <c r="IF79" t="e">
        <f>AND(Bills!P167,"AAAAAH3stu8=")</f>
        <v>#VALUE!</v>
      </c>
      <c r="IG79" t="e">
        <f>AND(Bills!Q167,"AAAAAH3stvA=")</f>
        <v>#VALUE!</v>
      </c>
      <c r="IH79" t="e">
        <f>AND(Bills!R167,"AAAAAH3stvE=")</f>
        <v>#VALUE!</v>
      </c>
      <c r="II79" t="e">
        <f>AND(Bills!#REF!,"AAAAAH3stvI=")</f>
        <v>#REF!</v>
      </c>
      <c r="IJ79" t="e">
        <f>AND(Bills!S167,"AAAAAH3stvM=")</f>
        <v>#VALUE!</v>
      </c>
      <c r="IK79" t="e">
        <f>AND(Bills!T167,"AAAAAH3stvQ=")</f>
        <v>#VALUE!</v>
      </c>
      <c r="IL79" t="e">
        <f>AND(Bills!U167,"AAAAAH3stvU=")</f>
        <v>#VALUE!</v>
      </c>
      <c r="IM79" t="e">
        <f>AND(Bills!#REF!,"AAAAAH3stvY=")</f>
        <v>#REF!</v>
      </c>
      <c r="IN79" t="e">
        <f>AND(Bills!#REF!,"AAAAAH3stvc=")</f>
        <v>#REF!</v>
      </c>
      <c r="IO79" t="e">
        <f>AND(Bills!W167,"AAAAAH3stvg=")</f>
        <v>#VALUE!</v>
      </c>
      <c r="IP79" t="e">
        <f>AND(Bills!X167,"AAAAAH3stvk=")</f>
        <v>#VALUE!</v>
      </c>
      <c r="IQ79" t="e">
        <f>AND(Bills!#REF!,"AAAAAH3stvo=")</f>
        <v>#REF!</v>
      </c>
      <c r="IR79" t="e">
        <f>AND(Bills!#REF!,"AAAAAH3stvs=")</f>
        <v>#REF!</v>
      </c>
      <c r="IS79" t="e">
        <f>AND(Bills!#REF!,"AAAAAH3stvw=")</f>
        <v>#REF!</v>
      </c>
      <c r="IT79" t="e">
        <f>AND(Bills!#REF!,"AAAAAH3stv0=")</f>
        <v>#REF!</v>
      </c>
      <c r="IU79" t="e">
        <f>AND(Bills!#REF!,"AAAAAH3stv4=")</f>
        <v>#REF!</v>
      </c>
      <c r="IV79" t="e">
        <f>AND(Bills!#REF!,"AAAAAH3stv8=")</f>
        <v>#REF!</v>
      </c>
    </row>
    <row r="80" spans="1:256">
      <c r="A80" t="e">
        <f>AND(Bills!#REF!,"AAAAAEn5fwA=")</f>
        <v>#REF!</v>
      </c>
      <c r="B80" t="e">
        <f>AND(Bills!#REF!,"AAAAAEn5fwE=")</f>
        <v>#REF!</v>
      </c>
      <c r="C80" t="e">
        <f>AND(Bills!#REF!,"AAAAAEn5fwI=")</f>
        <v>#REF!</v>
      </c>
      <c r="D80" t="e">
        <f>AND(Bills!Y167,"AAAAAEn5fwM=")</f>
        <v>#VALUE!</v>
      </c>
      <c r="E80" t="e">
        <f>AND(Bills!Z167,"AAAAAEn5fwQ=")</f>
        <v>#VALUE!</v>
      </c>
      <c r="F80" t="e">
        <f>AND(Bills!#REF!,"AAAAAEn5fwU=")</f>
        <v>#REF!</v>
      </c>
      <c r="G80" t="e">
        <f>AND(Bills!#REF!,"AAAAAEn5fwY=")</f>
        <v>#REF!</v>
      </c>
      <c r="H80" t="e">
        <f>AND(Bills!#REF!,"AAAAAEn5fwc=")</f>
        <v>#REF!</v>
      </c>
      <c r="I80" t="e">
        <f>AND(Bills!AA167,"AAAAAEn5fwg=")</f>
        <v>#VALUE!</v>
      </c>
      <c r="J80" t="e">
        <f>AND(Bills!AB167,"AAAAAEn5fwk=")</f>
        <v>#VALUE!</v>
      </c>
      <c r="K80" t="e">
        <f>AND(Bills!#REF!,"AAAAAEn5fwo=")</f>
        <v>#REF!</v>
      </c>
      <c r="L80">
        <f>IF(Bills!168:168,"AAAAAEn5fws=",0)</f>
        <v>0</v>
      </c>
      <c r="M80" t="e">
        <f>AND(Bills!B168,"AAAAAEn5fww=")</f>
        <v>#VALUE!</v>
      </c>
      <c r="N80" t="e">
        <f>AND(Bills!#REF!,"AAAAAEn5fw0=")</f>
        <v>#REF!</v>
      </c>
      <c r="O80" t="e">
        <f>AND(Bills!C168,"AAAAAEn5fw4=")</f>
        <v>#VALUE!</v>
      </c>
      <c r="P80" t="e">
        <f>AND(Bills!#REF!,"AAAAAEn5fw8=")</f>
        <v>#REF!</v>
      </c>
      <c r="Q80" t="e">
        <f>AND(Bills!#REF!,"AAAAAEn5fxA=")</f>
        <v>#REF!</v>
      </c>
      <c r="R80" t="e">
        <f>AND(Bills!#REF!,"AAAAAEn5fxE=")</f>
        <v>#REF!</v>
      </c>
      <c r="S80" t="e">
        <f>AND(Bills!#REF!,"AAAAAEn5fxI=")</f>
        <v>#REF!</v>
      </c>
      <c r="T80" t="e">
        <f>AND(Bills!#REF!,"AAAAAEn5fxM=")</f>
        <v>#REF!</v>
      </c>
      <c r="U80" t="e">
        <f>AND(Bills!D168,"AAAAAEn5fxQ=")</f>
        <v>#VALUE!</v>
      </c>
      <c r="V80" t="e">
        <f>AND(Bills!#REF!,"AAAAAEn5fxU=")</f>
        <v>#REF!</v>
      </c>
      <c r="W80" t="e">
        <f>AND(Bills!E168,"AAAAAEn5fxY=")</f>
        <v>#VALUE!</v>
      </c>
      <c r="X80" t="e">
        <f>AND(Bills!F168,"AAAAAEn5fxc=")</f>
        <v>#VALUE!</v>
      </c>
      <c r="Y80" t="e">
        <f>AND(Bills!G168,"AAAAAEn5fxg=")</f>
        <v>#VALUE!</v>
      </c>
      <c r="Z80" t="e">
        <f>AND(Bills!H168,"AAAAAEn5fxk=")</f>
        <v>#VALUE!</v>
      </c>
      <c r="AA80" t="e">
        <f>AND(Bills!I168,"AAAAAEn5fxo=")</f>
        <v>#VALUE!</v>
      </c>
      <c r="AB80" t="e">
        <f>AND(Bills!J168,"AAAAAEn5fxs=")</f>
        <v>#VALUE!</v>
      </c>
      <c r="AC80" t="e">
        <f>AND(Bills!#REF!,"AAAAAEn5fxw=")</f>
        <v>#REF!</v>
      </c>
      <c r="AD80" t="e">
        <f>AND(Bills!K168,"AAAAAEn5fx0=")</f>
        <v>#VALUE!</v>
      </c>
      <c r="AE80" t="e">
        <f>AND(Bills!L168,"AAAAAEn5fx4=")</f>
        <v>#VALUE!</v>
      </c>
      <c r="AF80" t="e">
        <f>AND(Bills!M168,"AAAAAEn5fx8=")</f>
        <v>#VALUE!</v>
      </c>
      <c r="AG80" t="e">
        <f>AND(Bills!N168,"AAAAAEn5fyA=")</f>
        <v>#VALUE!</v>
      </c>
      <c r="AH80" t="e">
        <f>AND(Bills!O168,"AAAAAEn5fyE=")</f>
        <v>#VALUE!</v>
      </c>
      <c r="AI80" t="e">
        <f>AND(Bills!P168,"AAAAAEn5fyI=")</f>
        <v>#VALUE!</v>
      </c>
      <c r="AJ80" t="e">
        <f>AND(Bills!Q168,"AAAAAEn5fyM=")</f>
        <v>#VALUE!</v>
      </c>
      <c r="AK80" t="e">
        <f>AND(Bills!R168,"AAAAAEn5fyQ=")</f>
        <v>#VALUE!</v>
      </c>
      <c r="AL80" t="e">
        <f>AND(Bills!#REF!,"AAAAAEn5fyU=")</f>
        <v>#REF!</v>
      </c>
      <c r="AM80" t="e">
        <f>AND(Bills!S168,"AAAAAEn5fyY=")</f>
        <v>#VALUE!</v>
      </c>
      <c r="AN80" t="e">
        <f>AND(Bills!T168,"AAAAAEn5fyc=")</f>
        <v>#VALUE!</v>
      </c>
      <c r="AO80" t="e">
        <f>AND(Bills!U168,"AAAAAEn5fyg=")</f>
        <v>#VALUE!</v>
      </c>
      <c r="AP80" t="e">
        <f>AND(Bills!#REF!,"AAAAAEn5fyk=")</f>
        <v>#REF!</v>
      </c>
      <c r="AQ80" t="e">
        <f>AND(Bills!#REF!,"AAAAAEn5fyo=")</f>
        <v>#REF!</v>
      </c>
      <c r="AR80" t="e">
        <f>AND(Bills!W168,"AAAAAEn5fys=")</f>
        <v>#VALUE!</v>
      </c>
      <c r="AS80" t="e">
        <f>AND(Bills!X168,"AAAAAEn5fyw=")</f>
        <v>#VALUE!</v>
      </c>
      <c r="AT80" t="e">
        <f>AND(Bills!#REF!,"AAAAAEn5fy0=")</f>
        <v>#REF!</v>
      </c>
      <c r="AU80" t="e">
        <f>AND(Bills!#REF!,"AAAAAEn5fy4=")</f>
        <v>#REF!</v>
      </c>
      <c r="AV80" t="e">
        <f>AND(Bills!#REF!,"AAAAAEn5fy8=")</f>
        <v>#REF!</v>
      </c>
      <c r="AW80" t="e">
        <f>AND(Bills!#REF!,"AAAAAEn5fzA=")</f>
        <v>#REF!</v>
      </c>
      <c r="AX80" t="e">
        <f>AND(Bills!#REF!,"AAAAAEn5fzE=")</f>
        <v>#REF!</v>
      </c>
      <c r="AY80" t="e">
        <f>AND(Bills!#REF!,"AAAAAEn5fzI=")</f>
        <v>#REF!</v>
      </c>
      <c r="AZ80" t="e">
        <f>AND(Bills!#REF!,"AAAAAEn5fzM=")</f>
        <v>#REF!</v>
      </c>
      <c r="BA80" t="e">
        <f>AND(Bills!#REF!,"AAAAAEn5fzQ=")</f>
        <v>#REF!</v>
      </c>
      <c r="BB80" t="e">
        <f>AND(Bills!#REF!,"AAAAAEn5fzU=")</f>
        <v>#REF!</v>
      </c>
      <c r="BC80" t="e">
        <f>AND(Bills!Y168,"AAAAAEn5fzY=")</f>
        <v>#VALUE!</v>
      </c>
      <c r="BD80" t="e">
        <f>AND(Bills!Z168,"AAAAAEn5fzc=")</f>
        <v>#VALUE!</v>
      </c>
      <c r="BE80" t="e">
        <f>AND(Bills!#REF!,"AAAAAEn5fzg=")</f>
        <v>#REF!</v>
      </c>
      <c r="BF80" t="e">
        <f>AND(Bills!#REF!,"AAAAAEn5fzk=")</f>
        <v>#REF!</v>
      </c>
      <c r="BG80" t="e">
        <f>AND(Bills!#REF!,"AAAAAEn5fzo=")</f>
        <v>#REF!</v>
      </c>
      <c r="BH80" t="e">
        <f>AND(Bills!AA168,"AAAAAEn5fzs=")</f>
        <v>#VALUE!</v>
      </c>
      <c r="BI80" t="e">
        <f>AND(Bills!AB168,"AAAAAEn5fzw=")</f>
        <v>#VALUE!</v>
      </c>
      <c r="BJ80" t="e">
        <f>AND(Bills!#REF!,"AAAAAEn5fz0=")</f>
        <v>#REF!</v>
      </c>
      <c r="BK80">
        <f>IF(Bills!169:169,"AAAAAEn5fz4=",0)</f>
        <v>0</v>
      </c>
      <c r="BL80" t="e">
        <f>AND(Bills!B169,"AAAAAEn5fz8=")</f>
        <v>#VALUE!</v>
      </c>
      <c r="BM80" t="e">
        <f>AND(Bills!#REF!,"AAAAAEn5f0A=")</f>
        <v>#REF!</v>
      </c>
      <c r="BN80" t="e">
        <f>AND(Bills!C169,"AAAAAEn5f0E=")</f>
        <v>#VALUE!</v>
      </c>
      <c r="BO80" t="e">
        <f>AND(Bills!#REF!,"AAAAAEn5f0I=")</f>
        <v>#REF!</v>
      </c>
      <c r="BP80" t="e">
        <f>AND(Bills!#REF!,"AAAAAEn5f0M=")</f>
        <v>#REF!</v>
      </c>
      <c r="BQ80" t="e">
        <f>AND(Bills!#REF!,"AAAAAEn5f0Q=")</f>
        <v>#REF!</v>
      </c>
      <c r="BR80" t="e">
        <f>AND(Bills!#REF!,"AAAAAEn5f0U=")</f>
        <v>#REF!</v>
      </c>
      <c r="BS80" t="e">
        <f>AND(Bills!#REF!,"AAAAAEn5f0Y=")</f>
        <v>#REF!</v>
      </c>
      <c r="BT80" t="e">
        <f>AND(Bills!D169,"AAAAAEn5f0c=")</f>
        <v>#VALUE!</v>
      </c>
      <c r="BU80" t="e">
        <f>AND(Bills!#REF!,"AAAAAEn5f0g=")</f>
        <v>#REF!</v>
      </c>
      <c r="BV80" t="e">
        <f>AND(Bills!E169,"AAAAAEn5f0k=")</f>
        <v>#VALUE!</v>
      </c>
      <c r="BW80" t="e">
        <f>AND(Bills!F169,"AAAAAEn5f0o=")</f>
        <v>#VALUE!</v>
      </c>
      <c r="BX80" t="e">
        <f>AND(Bills!G169,"AAAAAEn5f0s=")</f>
        <v>#VALUE!</v>
      </c>
      <c r="BY80" t="e">
        <f>AND(Bills!H169,"AAAAAEn5f0w=")</f>
        <v>#VALUE!</v>
      </c>
      <c r="BZ80" t="e">
        <f>AND(Bills!I169,"AAAAAEn5f00=")</f>
        <v>#VALUE!</v>
      </c>
      <c r="CA80" t="e">
        <f>AND(Bills!J169,"AAAAAEn5f04=")</f>
        <v>#VALUE!</v>
      </c>
      <c r="CB80" t="e">
        <f>AND(Bills!#REF!,"AAAAAEn5f08=")</f>
        <v>#REF!</v>
      </c>
      <c r="CC80" t="e">
        <f>AND(Bills!K169,"AAAAAEn5f1A=")</f>
        <v>#VALUE!</v>
      </c>
      <c r="CD80" t="e">
        <f>AND(Bills!L169,"AAAAAEn5f1E=")</f>
        <v>#VALUE!</v>
      </c>
      <c r="CE80" t="e">
        <f>AND(Bills!M169,"AAAAAEn5f1I=")</f>
        <v>#VALUE!</v>
      </c>
      <c r="CF80" t="e">
        <f>AND(Bills!N169,"AAAAAEn5f1M=")</f>
        <v>#VALUE!</v>
      </c>
      <c r="CG80" t="e">
        <f>AND(Bills!O169,"AAAAAEn5f1Q=")</f>
        <v>#VALUE!</v>
      </c>
      <c r="CH80" t="e">
        <f>AND(Bills!P169,"AAAAAEn5f1U=")</f>
        <v>#VALUE!</v>
      </c>
      <c r="CI80" t="e">
        <f>AND(Bills!Q169,"AAAAAEn5f1Y=")</f>
        <v>#VALUE!</v>
      </c>
      <c r="CJ80" t="e">
        <f>AND(Bills!R169,"AAAAAEn5f1c=")</f>
        <v>#VALUE!</v>
      </c>
      <c r="CK80" t="e">
        <f>AND(Bills!#REF!,"AAAAAEn5f1g=")</f>
        <v>#REF!</v>
      </c>
      <c r="CL80" t="e">
        <f>AND(Bills!S169,"AAAAAEn5f1k=")</f>
        <v>#VALUE!</v>
      </c>
      <c r="CM80" t="e">
        <f>AND(Bills!T169,"AAAAAEn5f1o=")</f>
        <v>#VALUE!</v>
      </c>
      <c r="CN80" t="e">
        <f>AND(Bills!U169,"AAAAAEn5f1s=")</f>
        <v>#VALUE!</v>
      </c>
      <c r="CO80" t="e">
        <f>AND(Bills!#REF!,"AAAAAEn5f1w=")</f>
        <v>#REF!</v>
      </c>
      <c r="CP80" t="e">
        <f>AND(Bills!#REF!,"AAAAAEn5f10=")</f>
        <v>#REF!</v>
      </c>
      <c r="CQ80" t="e">
        <f>AND(Bills!W169,"AAAAAEn5f14=")</f>
        <v>#VALUE!</v>
      </c>
      <c r="CR80" t="e">
        <f>AND(Bills!X169,"AAAAAEn5f18=")</f>
        <v>#VALUE!</v>
      </c>
      <c r="CS80" t="e">
        <f>AND(Bills!#REF!,"AAAAAEn5f2A=")</f>
        <v>#REF!</v>
      </c>
      <c r="CT80" t="e">
        <f>AND(Bills!#REF!,"AAAAAEn5f2E=")</f>
        <v>#REF!</v>
      </c>
      <c r="CU80" t="e">
        <f>AND(Bills!#REF!,"AAAAAEn5f2I=")</f>
        <v>#REF!</v>
      </c>
      <c r="CV80" t="e">
        <f>AND(Bills!#REF!,"AAAAAEn5f2M=")</f>
        <v>#REF!</v>
      </c>
      <c r="CW80" t="e">
        <f>AND(Bills!#REF!,"AAAAAEn5f2Q=")</f>
        <v>#REF!</v>
      </c>
      <c r="CX80" t="e">
        <f>AND(Bills!#REF!,"AAAAAEn5f2U=")</f>
        <v>#REF!</v>
      </c>
      <c r="CY80" t="e">
        <f>AND(Bills!#REF!,"AAAAAEn5f2Y=")</f>
        <v>#REF!</v>
      </c>
      <c r="CZ80" t="e">
        <f>AND(Bills!#REF!,"AAAAAEn5f2c=")</f>
        <v>#REF!</v>
      </c>
      <c r="DA80" t="e">
        <f>AND(Bills!#REF!,"AAAAAEn5f2g=")</f>
        <v>#REF!</v>
      </c>
      <c r="DB80" t="e">
        <f>AND(Bills!Y169,"AAAAAEn5f2k=")</f>
        <v>#VALUE!</v>
      </c>
      <c r="DC80" t="e">
        <f>AND(Bills!Z169,"AAAAAEn5f2o=")</f>
        <v>#VALUE!</v>
      </c>
      <c r="DD80" t="e">
        <f>AND(Bills!#REF!,"AAAAAEn5f2s=")</f>
        <v>#REF!</v>
      </c>
      <c r="DE80" t="e">
        <f>AND(Bills!#REF!,"AAAAAEn5f2w=")</f>
        <v>#REF!</v>
      </c>
      <c r="DF80" t="e">
        <f>AND(Bills!#REF!,"AAAAAEn5f20=")</f>
        <v>#REF!</v>
      </c>
      <c r="DG80" t="e">
        <f>AND(Bills!AA169,"AAAAAEn5f24=")</f>
        <v>#VALUE!</v>
      </c>
      <c r="DH80" t="e">
        <f>AND(Bills!AB169,"AAAAAEn5f28=")</f>
        <v>#VALUE!</v>
      </c>
      <c r="DI80" t="e">
        <f>AND(Bills!#REF!,"AAAAAEn5f3A=")</f>
        <v>#REF!</v>
      </c>
      <c r="DJ80">
        <f>IF(Bills!170:170,"AAAAAEn5f3E=",0)</f>
        <v>0</v>
      </c>
      <c r="DK80" t="e">
        <f>AND(Bills!B170,"AAAAAEn5f3I=")</f>
        <v>#VALUE!</v>
      </c>
      <c r="DL80" t="e">
        <f>AND(Bills!#REF!,"AAAAAEn5f3M=")</f>
        <v>#REF!</v>
      </c>
      <c r="DM80" t="e">
        <f>AND(Bills!C170,"AAAAAEn5f3Q=")</f>
        <v>#VALUE!</v>
      </c>
      <c r="DN80" t="e">
        <f>AND(Bills!#REF!,"AAAAAEn5f3U=")</f>
        <v>#REF!</v>
      </c>
      <c r="DO80" t="e">
        <f>AND(Bills!#REF!,"AAAAAEn5f3Y=")</f>
        <v>#REF!</v>
      </c>
      <c r="DP80" t="e">
        <f>AND(Bills!#REF!,"AAAAAEn5f3c=")</f>
        <v>#REF!</v>
      </c>
      <c r="DQ80" t="e">
        <f>AND(Bills!#REF!,"AAAAAEn5f3g=")</f>
        <v>#REF!</v>
      </c>
      <c r="DR80" t="e">
        <f>AND(Bills!#REF!,"AAAAAEn5f3k=")</f>
        <v>#REF!</v>
      </c>
      <c r="DS80" t="e">
        <f>AND(Bills!D170,"AAAAAEn5f3o=")</f>
        <v>#VALUE!</v>
      </c>
      <c r="DT80" t="e">
        <f>AND(Bills!#REF!,"AAAAAEn5f3s=")</f>
        <v>#REF!</v>
      </c>
      <c r="DU80" t="e">
        <f>AND(Bills!E170,"AAAAAEn5f3w=")</f>
        <v>#VALUE!</v>
      </c>
      <c r="DV80" t="e">
        <f>AND(Bills!F170,"AAAAAEn5f30=")</f>
        <v>#VALUE!</v>
      </c>
      <c r="DW80" t="e">
        <f>AND(Bills!G170,"AAAAAEn5f34=")</f>
        <v>#VALUE!</v>
      </c>
      <c r="DX80" t="e">
        <f>AND(Bills!H170,"AAAAAEn5f38=")</f>
        <v>#VALUE!</v>
      </c>
      <c r="DY80" t="e">
        <f>AND(Bills!I170,"AAAAAEn5f4A=")</f>
        <v>#VALUE!</v>
      </c>
      <c r="DZ80" t="e">
        <f>AND(Bills!J170,"AAAAAEn5f4E=")</f>
        <v>#VALUE!</v>
      </c>
      <c r="EA80" t="e">
        <f>AND(Bills!#REF!,"AAAAAEn5f4I=")</f>
        <v>#REF!</v>
      </c>
      <c r="EB80" t="e">
        <f>AND(Bills!K170,"AAAAAEn5f4M=")</f>
        <v>#VALUE!</v>
      </c>
      <c r="EC80" t="e">
        <f>AND(Bills!L170,"AAAAAEn5f4Q=")</f>
        <v>#VALUE!</v>
      </c>
      <c r="ED80" t="e">
        <f>AND(Bills!M170,"AAAAAEn5f4U=")</f>
        <v>#VALUE!</v>
      </c>
      <c r="EE80" t="e">
        <f>AND(Bills!N170,"AAAAAEn5f4Y=")</f>
        <v>#VALUE!</v>
      </c>
      <c r="EF80" t="e">
        <f>AND(Bills!O170,"AAAAAEn5f4c=")</f>
        <v>#VALUE!</v>
      </c>
      <c r="EG80" t="e">
        <f>AND(Bills!P170,"AAAAAEn5f4g=")</f>
        <v>#VALUE!</v>
      </c>
      <c r="EH80" t="e">
        <f>AND(Bills!Q170,"AAAAAEn5f4k=")</f>
        <v>#VALUE!</v>
      </c>
      <c r="EI80" t="e">
        <f>AND(Bills!R170,"AAAAAEn5f4o=")</f>
        <v>#VALUE!</v>
      </c>
      <c r="EJ80" t="e">
        <f>AND(Bills!#REF!,"AAAAAEn5f4s=")</f>
        <v>#REF!</v>
      </c>
      <c r="EK80" t="e">
        <f>AND(Bills!S170,"AAAAAEn5f4w=")</f>
        <v>#VALUE!</v>
      </c>
      <c r="EL80" t="e">
        <f>AND(Bills!T170,"AAAAAEn5f40=")</f>
        <v>#VALUE!</v>
      </c>
      <c r="EM80" t="e">
        <f>AND(Bills!U170,"AAAAAEn5f44=")</f>
        <v>#VALUE!</v>
      </c>
      <c r="EN80" t="e">
        <f>AND(Bills!#REF!,"AAAAAEn5f48=")</f>
        <v>#REF!</v>
      </c>
      <c r="EO80" t="e">
        <f>AND(Bills!#REF!,"AAAAAEn5f5A=")</f>
        <v>#REF!</v>
      </c>
      <c r="EP80" t="e">
        <f>AND(Bills!W170,"AAAAAEn5f5E=")</f>
        <v>#VALUE!</v>
      </c>
      <c r="EQ80" t="e">
        <f>AND(Bills!X170,"AAAAAEn5f5I=")</f>
        <v>#VALUE!</v>
      </c>
      <c r="ER80" t="e">
        <f>AND(Bills!#REF!,"AAAAAEn5f5M=")</f>
        <v>#REF!</v>
      </c>
      <c r="ES80" t="e">
        <f>AND(Bills!#REF!,"AAAAAEn5f5Q=")</f>
        <v>#REF!</v>
      </c>
      <c r="ET80" t="e">
        <f>AND(Bills!#REF!,"AAAAAEn5f5U=")</f>
        <v>#REF!</v>
      </c>
      <c r="EU80" t="e">
        <f>AND(Bills!#REF!,"AAAAAEn5f5Y=")</f>
        <v>#REF!</v>
      </c>
      <c r="EV80" t="e">
        <f>AND(Bills!#REF!,"AAAAAEn5f5c=")</f>
        <v>#REF!</v>
      </c>
      <c r="EW80" t="e">
        <f>AND(Bills!#REF!,"AAAAAEn5f5g=")</f>
        <v>#REF!</v>
      </c>
      <c r="EX80" t="e">
        <f>AND(Bills!#REF!,"AAAAAEn5f5k=")</f>
        <v>#REF!</v>
      </c>
      <c r="EY80" t="e">
        <f>AND(Bills!#REF!,"AAAAAEn5f5o=")</f>
        <v>#REF!</v>
      </c>
      <c r="EZ80" t="e">
        <f>AND(Bills!#REF!,"AAAAAEn5f5s=")</f>
        <v>#REF!</v>
      </c>
      <c r="FA80" t="e">
        <f>AND(Bills!Y170,"AAAAAEn5f5w=")</f>
        <v>#VALUE!</v>
      </c>
      <c r="FB80" t="e">
        <f>AND(Bills!Z170,"AAAAAEn5f50=")</f>
        <v>#VALUE!</v>
      </c>
      <c r="FC80" t="e">
        <f>AND(Bills!#REF!,"AAAAAEn5f54=")</f>
        <v>#REF!</v>
      </c>
      <c r="FD80" t="e">
        <f>AND(Bills!#REF!,"AAAAAEn5f58=")</f>
        <v>#REF!</v>
      </c>
      <c r="FE80" t="e">
        <f>AND(Bills!#REF!,"AAAAAEn5f6A=")</f>
        <v>#REF!</v>
      </c>
      <c r="FF80" t="e">
        <f>AND(Bills!AA170,"AAAAAEn5f6E=")</f>
        <v>#VALUE!</v>
      </c>
      <c r="FG80" t="e">
        <f>AND(Bills!AB170,"AAAAAEn5f6I=")</f>
        <v>#VALUE!</v>
      </c>
      <c r="FH80" t="e">
        <f>AND(Bills!#REF!,"AAAAAEn5f6M=")</f>
        <v>#REF!</v>
      </c>
      <c r="FI80">
        <f>IF(Bills!171:171,"AAAAAEn5f6Q=",0)</f>
        <v>0</v>
      </c>
      <c r="FJ80" t="e">
        <f>AND(Bills!B171,"AAAAAEn5f6U=")</f>
        <v>#VALUE!</v>
      </c>
      <c r="FK80" t="e">
        <f>AND(Bills!#REF!,"AAAAAEn5f6Y=")</f>
        <v>#REF!</v>
      </c>
      <c r="FL80" t="e">
        <f>AND(Bills!C171,"AAAAAEn5f6c=")</f>
        <v>#VALUE!</v>
      </c>
      <c r="FM80" t="e">
        <f>AND(Bills!#REF!,"AAAAAEn5f6g=")</f>
        <v>#REF!</v>
      </c>
      <c r="FN80" t="e">
        <f>AND(Bills!#REF!,"AAAAAEn5f6k=")</f>
        <v>#REF!</v>
      </c>
      <c r="FO80" t="e">
        <f>AND(Bills!#REF!,"AAAAAEn5f6o=")</f>
        <v>#REF!</v>
      </c>
      <c r="FP80" t="e">
        <f>AND(Bills!#REF!,"AAAAAEn5f6s=")</f>
        <v>#REF!</v>
      </c>
      <c r="FQ80" t="e">
        <f>AND(Bills!#REF!,"AAAAAEn5f6w=")</f>
        <v>#REF!</v>
      </c>
      <c r="FR80" t="e">
        <f>AND(Bills!D171,"AAAAAEn5f60=")</f>
        <v>#VALUE!</v>
      </c>
      <c r="FS80" t="e">
        <f>AND(Bills!#REF!,"AAAAAEn5f64=")</f>
        <v>#REF!</v>
      </c>
      <c r="FT80" t="e">
        <f>AND(Bills!E171,"AAAAAEn5f68=")</f>
        <v>#VALUE!</v>
      </c>
      <c r="FU80" t="e">
        <f>AND(Bills!F171,"AAAAAEn5f7A=")</f>
        <v>#VALUE!</v>
      </c>
      <c r="FV80" t="e">
        <f>AND(Bills!G171,"AAAAAEn5f7E=")</f>
        <v>#VALUE!</v>
      </c>
      <c r="FW80" t="e">
        <f>AND(Bills!H171,"AAAAAEn5f7I=")</f>
        <v>#VALUE!</v>
      </c>
      <c r="FX80" t="e">
        <f>AND(Bills!I171,"AAAAAEn5f7M=")</f>
        <v>#VALUE!</v>
      </c>
      <c r="FY80" t="e">
        <f>AND(Bills!J171,"AAAAAEn5f7Q=")</f>
        <v>#VALUE!</v>
      </c>
      <c r="FZ80" t="e">
        <f>AND(Bills!#REF!,"AAAAAEn5f7U=")</f>
        <v>#REF!</v>
      </c>
      <c r="GA80" t="e">
        <f>AND(Bills!K171,"AAAAAEn5f7Y=")</f>
        <v>#VALUE!</v>
      </c>
      <c r="GB80" t="e">
        <f>AND(Bills!L171,"AAAAAEn5f7c=")</f>
        <v>#VALUE!</v>
      </c>
      <c r="GC80" t="e">
        <f>AND(Bills!M171,"AAAAAEn5f7g=")</f>
        <v>#VALUE!</v>
      </c>
      <c r="GD80" t="e">
        <f>AND(Bills!N171,"AAAAAEn5f7k=")</f>
        <v>#VALUE!</v>
      </c>
      <c r="GE80" t="e">
        <f>AND(Bills!O171,"AAAAAEn5f7o=")</f>
        <v>#VALUE!</v>
      </c>
      <c r="GF80" t="e">
        <f>AND(Bills!P171,"AAAAAEn5f7s=")</f>
        <v>#VALUE!</v>
      </c>
      <c r="GG80" t="e">
        <f>AND(Bills!Q171,"AAAAAEn5f7w=")</f>
        <v>#VALUE!</v>
      </c>
      <c r="GH80" t="e">
        <f>AND(Bills!R171,"AAAAAEn5f70=")</f>
        <v>#VALUE!</v>
      </c>
      <c r="GI80" t="e">
        <f>AND(Bills!#REF!,"AAAAAEn5f74=")</f>
        <v>#REF!</v>
      </c>
      <c r="GJ80" t="e">
        <f>AND(Bills!S171,"AAAAAEn5f78=")</f>
        <v>#VALUE!</v>
      </c>
      <c r="GK80" t="e">
        <f>AND(Bills!T171,"AAAAAEn5f8A=")</f>
        <v>#VALUE!</v>
      </c>
      <c r="GL80" t="e">
        <f>AND(Bills!U171,"AAAAAEn5f8E=")</f>
        <v>#VALUE!</v>
      </c>
      <c r="GM80" t="e">
        <f>AND(Bills!#REF!,"AAAAAEn5f8I=")</f>
        <v>#REF!</v>
      </c>
      <c r="GN80" t="e">
        <f>AND(Bills!#REF!,"AAAAAEn5f8M=")</f>
        <v>#REF!</v>
      </c>
      <c r="GO80" t="e">
        <f>AND(Bills!W171,"AAAAAEn5f8Q=")</f>
        <v>#VALUE!</v>
      </c>
      <c r="GP80" t="e">
        <f>AND(Bills!X171,"AAAAAEn5f8U=")</f>
        <v>#VALUE!</v>
      </c>
      <c r="GQ80" t="e">
        <f>AND(Bills!#REF!,"AAAAAEn5f8Y=")</f>
        <v>#REF!</v>
      </c>
      <c r="GR80" t="e">
        <f>AND(Bills!#REF!,"AAAAAEn5f8c=")</f>
        <v>#REF!</v>
      </c>
      <c r="GS80" t="e">
        <f>AND(Bills!#REF!,"AAAAAEn5f8g=")</f>
        <v>#REF!</v>
      </c>
      <c r="GT80" t="e">
        <f>AND(Bills!#REF!,"AAAAAEn5f8k=")</f>
        <v>#REF!</v>
      </c>
      <c r="GU80" t="e">
        <f>AND(Bills!#REF!,"AAAAAEn5f8o=")</f>
        <v>#REF!</v>
      </c>
      <c r="GV80" t="e">
        <f>AND(Bills!#REF!,"AAAAAEn5f8s=")</f>
        <v>#REF!</v>
      </c>
      <c r="GW80" t="e">
        <f>AND(Bills!#REF!,"AAAAAEn5f8w=")</f>
        <v>#REF!</v>
      </c>
      <c r="GX80" t="e">
        <f>AND(Bills!#REF!,"AAAAAEn5f80=")</f>
        <v>#REF!</v>
      </c>
      <c r="GY80" t="e">
        <f>AND(Bills!#REF!,"AAAAAEn5f84=")</f>
        <v>#REF!</v>
      </c>
      <c r="GZ80" t="e">
        <f>AND(Bills!Y171,"AAAAAEn5f88=")</f>
        <v>#VALUE!</v>
      </c>
      <c r="HA80" t="e">
        <f>AND(Bills!Z171,"AAAAAEn5f9A=")</f>
        <v>#VALUE!</v>
      </c>
      <c r="HB80" t="e">
        <f>AND(Bills!#REF!,"AAAAAEn5f9E=")</f>
        <v>#REF!</v>
      </c>
      <c r="HC80" t="e">
        <f>AND(Bills!#REF!,"AAAAAEn5f9I=")</f>
        <v>#REF!</v>
      </c>
      <c r="HD80" t="e">
        <f>AND(Bills!#REF!,"AAAAAEn5f9M=")</f>
        <v>#REF!</v>
      </c>
      <c r="HE80" t="e">
        <f>AND(Bills!AA171,"AAAAAEn5f9Q=")</f>
        <v>#VALUE!</v>
      </c>
      <c r="HF80" t="e">
        <f>AND(Bills!AB171,"AAAAAEn5f9U=")</f>
        <v>#VALUE!</v>
      </c>
      <c r="HG80" t="e">
        <f>AND(Bills!#REF!,"AAAAAEn5f9Y=")</f>
        <v>#REF!</v>
      </c>
      <c r="HH80">
        <f>IF(Bills!172:172,"AAAAAEn5f9c=",0)</f>
        <v>0</v>
      </c>
      <c r="HI80" t="e">
        <f>AND(Bills!B172,"AAAAAEn5f9g=")</f>
        <v>#VALUE!</v>
      </c>
      <c r="HJ80" t="e">
        <f>AND(Bills!#REF!,"AAAAAEn5f9k=")</f>
        <v>#REF!</v>
      </c>
      <c r="HK80" t="e">
        <f>AND(Bills!C172,"AAAAAEn5f9o=")</f>
        <v>#VALUE!</v>
      </c>
      <c r="HL80" t="e">
        <f>AND(Bills!#REF!,"AAAAAEn5f9s=")</f>
        <v>#REF!</v>
      </c>
      <c r="HM80" t="e">
        <f>AND(Bills!#REF!,"AAAAAEn5f9w=")</f>
        <v>#REF!</v>
      </c>
      <c r="HN80" t="e">
        <f>AND(Bills!#REF!,"AAAAAEn5f90=")</f>
        <v>#REF!</v>
      </c>
      <c r="HO80" t="e">
        <f>AND(Bills!#REF!,"AAAAAEn5f94=")</f>
        <v>#REF!</v>
      </c>
      <c r="HP80" t="e">
        <f>AND(Bills!#REF!,"AAAAAEn5f98=")</f>
        <v>#REF!</v>
      </c>
      <c r="HQ80" t="e">
        <f>AND(Bills!D172,"AAAAAEn5f+A=")</f>
        <v>#VALUE!</v>
      </c>
      <c r="HR80" t="e">
        <f>AND(Bills!#REF!,"AAAAAEn5f+E=")</f>
        <v>#REF!</v>
      </c>
      <c r="HS80" t="e">
        <f>AND(Bills!E172,"AAAAAEn5f+I=")</f>
        <v>#VALUE!</v>
      </c>
      <c r="HT80" t="e">
        <f>AND(Bills!F172,"AAAAAEn5f+M=")</f>
        <v>#VALUE!</v>
      </c>
      <c r="HU80" t="e">
        <f>AND(Bills!G172,"AAAAAEn5f+Q=")</f>
        <v>#VALUE!</v>
      </c>
      <c r="HV80" t="e">
        <f>AND(Bills!H172,"AAAAAEn5f+U=")</f>
        <v>#VALUE!</v>
      </c>
      <c r="HW80" t="e">
        <f>AND(Bills!I172,"AAAAAEn5f+Y=")</f>
        <v>#VALUE!</v>
      </c>
      <c r="HX80" t="e">
        <f>AND(Bills!J172,"AAAAAEn5f+c=")</f>
        <v>#VALUE!</v>
      </c>
      <c r="HY80" t="e">
        <f>AND(Bills!#REF!,"AAAAAEn5f+g=")</f>
        <v>#REF!</v>
      </c>
      <c r="HZ80" t="e">
        <f>AND(Bills!K172,"AAAAAEn5f+k=")</f>
        <v>#VALUE!</v>
      </c>
      <c r="IA80" t="e">
        <f>AND(Bills!L172,"AAAAAEn5f+o=")</f>
        <v>#VALUE!</v>
      </c>
      <c r="IB80" t="e">
        <f>AND(Bills!M172,"AAAAAEn5f+s=")</f>
        <v>#VALUE!</v>
      </c>
      <c r="IC80" t="e">
        <f>AND(Bills!N172,"AAAAAEn5f+w=")</f>
        <v>#VALUE!</v>
      </c>
      <c r="ID80" t="e">
        <f>AND(Bills!O172,"AAAAAEn5f+0=")</f>
        <v>#VALUE!</v>
      </c>
      <c r="IE80" t="e">
        <f>AND(Bills!P172,"AAAAAEn5f+4=")</f>
        <v>#VALUE!</v>
      </c>
      <c r="IF80" t="e">
        <f>AND(Bills!Q172,"AAAAAEn5f+8=")</f>
        <v>#VALUE!</v>
      </c>
      <c r="IG80" t="e">
        <f>AND(Bills!R172,"AAAAAEn5f/A=")</f>
        <v>#VALUE!</v>
      </c>
      <c r="IH80" t="e">
        <f>AND(Bills!#REF!,"AAAAAEn5f/E=")</f>
        <v>#REF!</v>
      </c>
      <c r="II80" t="e">
        <f>AND(Bills!S172,"AAAAAEn5f/I=")</f>
        <v>#VALUE!</v>
      </c>
      <c r="IJ80" t="e">
        <f>AND(Bills!T172,"AAAAAEn5f/M=")</f>
        <v>#VALUE!</v>
      </c>
      <c r="IK80" t="e">
        <f>AND(Bills!U172,"AAAAAEn5f/Q=")</f>
        <v>#VALUE!</v>
      </c>
      <c r="IL80" t="e">
        <f>AND(Bills!#REF!,"AAAAAEn5f/U=")</f>
        <v>#REF!</v>
      </c>
      <c r="IM80" t="e">
        <f>AND(Bills!#REF!,"AAAAAEn5f/Y=")</f>
        <v>#REF!</v>
      </c>
      <c r="IN80" t="e">
        <f>AND(Bills!W172,"AAAAAEn5f/c=")</f>
        <v>#VALUE!</v>
      </c>
      <c r="IO80" t="e">
        <f>AND(Bills!X172,"AAAAAEn5f/g=")</f>
        <v>#VALUE!</v>
      </c>
      <c r="IP80" t="e">
        <f>AND(Bills!#REF!,"AAAAAEn5f/k=")</f>
        <v>#REF!</v>
      </c>
      <c r="IQ80" t="e">
        <f>AND(Bills!#REF!,"AAAAAEn5f/o=")</f>
        <v>#REF!</v>
      </c>
      <c r="IR80" t="e">
        <f>AND(Bills!#REF!,"AAAAAEn5f/s=")</f>
        <v>#REF!</v>
      </c>
      <c r="IS80" t="e">
        <f>AND(Bills!#REF!,"AAAAAEn5f/w=")</f>
        <v>#REF!</v>
      </c>
      <c r="IT80" t="e">
        <f>AND(Bills!#REF!,"AAAAAEn5f/0=")</f>
        <v>#REF!</v>
      </c>
      <c r="IU80" t="e">
        <f>AND(Bills!#REF!,"AAAAAEn5f/4=")</f>
        <v>#REF!</v>
      </c>
      <c r="IV80" t="e">
        <f>AND(Bills!#REF!,"AAAAAEn5f/8=")</f>
        <v>#REF!</v>
      </c>
    </row>
    <row r="81" spans="1:256">
      <c r="A81" t="e">
        <f>AND(Bills!#REF!,"AAAAAH3uzAA=")</f>
        <v>#REF!</v>
      </c>
      <c r="B81" t="e">
        <f>AND(Bills!#REF!,"AAAAAH3uzAE=")</f>
        <v>#REF!</v>
      </c>
      <c r="C81" t="e">
        <f>AND(Bills!Y172,"AAAAAH3uzAI=")</f>
        <v>#VALUE!</v>
      </c>
      <c r="D81" t="e">
        <f>AND(Bills!Z172,"AAAAAH3uzAM=")</f>
        <v>#VALUE!</v>
      </c>
      <c r="E81" t="e">
        <f>AND(Bills!#REF!,"AAAAAH3uzAQ=")</f>
        <v>#REF!</v>
      </c>
      <c r="F81" t="e">
        <f>AND(Bills!#REF!,"AAAAAH3uzAU=")</f>
        <v>#REF!</v>
      </c>
      <c r="G81" t="e">
        <f>AND(Bills!#REF!,"AAAAAH3uzAY=")</f>
        <v>#REF!</v>
      </c>
      <c r="H81" t="e">
        <f>AND(Bills!AA172,"AAAAAH3uzAc=")</f>
        <v>#VALUE!</v>
      </c>
      <c r="I81" t="e">
        <f>AND(Bills!AB172,"AAAAAH3uzAg=")</f>
        <v>#VALUE!</v>
      </c>
      <c r="J81" t="e">
        <f>AND(Bills!#REF!,"AAAAAH3uzAk=")</f>
        <v>#REF!</v>
      </c>
      <c r="K81">
        <f>IF(Bills!173:173,"AAAAAH3uzAo=",0)</f>
        <v>0</v>
      </c>
      <c r="L81" t="e">
        <f>AND(Bills!B173,"AAAAAH3uzAs=")</f>
        <v>#VALUE!</v>
      </c>
      <c r="M81" t="e">
        <f>AND(Bills!#REF!,"AAAAAH3uzAw=")</f>
        <v>#REF!</v>
      </c>
      <c r="N81" t="e">
        <f>AND(Bills!C173,"AAAAAH3uzA0=")</f>
        <v>#VALUE!</v>
      </c>
      <c r="O81" t="e">
        <f>AND(Bills!#REF!,"AAAAAH3uzA4=")</f>
        <v>#REF!</v>
      </c>
      <c r="P81" t="e">
        <f>AND(Bills!#REF!,"AAAAAH3uzA8=")</f>
        <v>#REF!</v>
      </c>
      <c r="Q81" t="e">
        <f>AND(Bills!#REF!,"AAAAAH3uzBA=")</f>
        <v>#REF!</v>
      </c>
      <c r="R81" t="e">
        <f>AND(Bills!#REF!,"AAAAAH3uzBE=")</f>
        <v>#REF!</v>
      </c>
      <c r="S81" t="e">
        <f>AND(Bills!#REF!,"AAAAAH3uzBI=")</f>
        <v>#REF!</v>
      </c>
      <c r="T81" t="e">
        <f>AND(Bills!D173,"AAAAAH3uzBM=")</f>
        <v>#VALUE!</v>
      </c>
      <c r="U81" t="e">
        <f>AND(Bills!#REF!,"AAAAAH3uzBQ=")</f>
        <v>#REF!</v>
      </c>
      <c r="V81" t="e">
        <f>AND(Bills!E173,"AAAAAH3uzBU=")</f>
        <v>#VALUE!</v>
      </c>
      <c r="W81" t="e">
        <f>AND(Bills!F173,"AAAAAH3uzBY=")</f>
        <v>#VALUE!</v>
      </c>
      <c r="X81" t="e">
        <f>AND(Bills!G173,"AAAAAH3uzBc=")</f>
        <v>#VALUE!</v>
      </c>
      <c r="Y81" t="e">
        <f>AND(Bills!H173,"AAAAAH3uzBg=")</f>
        <v>#VALUE!</v>
      </c>
      <c r="Z81" t="e">
        <f>AND(Bills!I173,"AAAAAH3uzBk=")</f>
        <v>#VALUE!</v>
      </c>
      <c r="AA81" t="e">
        <f>AND(Bills!J173,"AAAAAH3uzBo=")</f>
        <v>#VALUE!</v>
      </c>
      <c r="AB81" t="e">
        <f>AND(Bills!#REF!,"AAAAAH3uzBs=")</f>
        <v>#REF!</v>
      </c>
      <c r="AC81" t="e">
        <f>AND(Bills!K173,"AAAAAH3uzBw=")</f>
        <v>#VALUE!</v>
      </c>
      <c r="AD81" t="e">
        <f>AND(Bills!L173,"AAAAAH3uzB0=")</f>
        <v>#VALUE!</v>
      </c>
      <c r="AE81" t="e">
        <f>AND(Bills!M173,"AAAAAH3uzB4=")</f>
        <v>#VALUE!</v>
      </c>
      <c r="AF81" t="e">
        <f>AND(Bills!N173,"AAAAAH3uzB8=")</f>
        <v>#VALUE!</v>
      </c>
      <c r="AG81" t="e">
        <f>AND(Bills!O173,"AAAAAH3uzCA=")</f>
        <v>#VALUE!</v>
      </c>
      <c r="AH81" t="e">
        <f>AND(Bills!P173,"AAAAAH3uzCE=")</f>
        <v>#VALUE!</v>
      </c>
      <c r="AI81" t="e">
        <f>AND(Bills!Q173,"AAAAAH3uzCI=")</f>
        <v>#VALUE!</v>
      </c>
      <c r="AJ81" t="e">
        <f>AND(Bills!R173,"AAAAAH3uzCM=")</f>
        <v>#VALUE!</v>
      </c>
      <c r="AK81" t="e">
        <f>AND(Bills!#REF!,"AAAAAH3uzCQ=")</f>
        <v>#REF!</v>
      </c>
      <c r="AL81" t="e">
        <f>AND(Bills!S173,"AAAAAH3uzCU=")</f>
        <v>#VALUE!</v>
      </c>
      <c r="AM81" t="e">
        <f>AND(Bills!T173,"AAAAAH3uzCY=")</f>
        <v>#VALUE!</v>
      </c>
      <c r="AN81" t="e">
        <f>AND(Bills!U173,"AAAAAH3uzCc=")</f>
        <v>#VALUE!</v>
      </c>
      <c r="AO81" t="e">
        <f>AND(Bills!#REF!,"AAAAAH3uzCg=")</f>
        <v>#REF!</v>
      </c>
      <c r="AP81" t="e">
        <f>AND(Bills!#REF!,"AAAAAH3uzCk=")</f>
        <v>#REF!</v>
      </c>
      <c r="AQ81" t="e">
        <f>AND(Bills!W173,"AAAAAH3uzCo=")</f>
        <v>#VALUE!</v>
      </c>
      <c r="AR81" t="e">
        <f>AND(Bills!X173,"AAAAAH3uzCs=")</f>
        <v>#VALUE!</v>
      </c>
      <c r="AS81" t="e">
        <f>AND(Bills!#REF!,"AAAAAH3uzCw=")</f>
        <v>#REF!</v>
      </c>
      <c r="AT81" t="e">
        <f>AND(Bills!#REF!,"AAAAAH3uzC0=")</f>
        <v>#REF!</v>
      </c>
      <c r="AU81" t="e">
        <f>AND(Bills!#REF!,"AAAAAH3uzC4=")</f>
        <v>#REF!</v>
      </c>
      <c r="AV81" t="e">
        <f>AND(Bills!#REF!,"AAAAAH3uzC8=")</f>
        <v>#REF!</v>
      </c>
      <c r="AW81" t="e">
        <f>AND(Bills!#REF!,"AAAAAH3uzDA=")</f>
        <v>#REF!</v>
      </c>
      <c r="AX81" t="e">
        <f>AND(Bills!#REF!,"AAAAAH3uzDE=")</f>
        <v>#REF!</v>
      </c>
      <c r="AY81" t="e">
        <f>AND(Bills!#REF!,"AAAAAH3uzDI=")</f>
        <v>#REF!</v>
      </c>
      <c r="AZ81" t="e">
        <f>AND(Bills!#REF!,"AAAAAH3uzDM=")</f>
        <v>#REF!</v>
      </c>
      <c r="BA81" t="e">
        <f>AND(Bills!#REF!,"AAAAAH3uzDQ=")</f>
        <v>#REF!</v>
      </c>
      <c r="BB81" t="e">
        <f>AND(Bills!Y173,"AAAAAH3uzDU=")</f>
        <v>#VALUE!</v>
      </c>
      <c r="BC81" t="e">
        <f>AND(Bills!Z173,"AAAAAH3uzDY=")</f>
        <v>#VALUE!</v>
      </c>
      <c r="BD81" t="e">
        <f>AND(Bills!#REF!,"AAAAAH3uzDc=")</f>
        <v>#REF!</v>
      </c>
      <c r="BE81" t="e">
        <f>AND(Bills!#REF!,"AAAAAH3uzDg=")</f>
        <v>#REF!</v>
      </c>
      <c r="BF81" t="e">
        <f>AND(Bills!#REF!,"AAAAAH3uzDk=")</f>
        <v>#REF!</v>
      </c>
      <c r="BG81" t="e">
        <f>AND(Bills!AA173,"AAAAAH3uzDo=")</f>
        <v>#VALUE!</v>
      </c>
      <c r="BH81" t="e">
        <f>AND(Bills!AB173,"AAAAAH3uzDs=")</f>
        <v>#VALUE!</v>
      </c>
      <c r="BI81" t="e">
        <f>AND(Bills!#REF!,"AAAAAH3uzDw=")</f>
        <v>#REF!</v>
      </c>
      <c r="BJ81">
        <f>IF(Bills!174:174,"AAAAAH3uzD0=",0)</f>
        <v>0</v>
      </c>
      <c r="BK81" t="e">
        <f>AND(Bills!B174,"AAAAAH3uzD4=")</f>
        <v>#VALUE!</v>
      </c>
      <c r="BL81" t="e">
        <f>AND(Bills!#REF!,"AAAAAH3uzD8=")</f>
        <v>#REF!</v>
      </c>
      <c r="BM81" t="e">
        <f>AND(Bills!C174,"AAAAAH3uzEA=")</f>
        <v>#VALUE!</v>
      </c>
      <c r="BN81" t="e">
        <f>AND(Bills!#REF!,"AAAAAH3uzEE=")</f>
        <v>#REF!</v>
      </c>
      <c r="BO81" t="e">
        <f>AND(Bills!#REF!,"AAAAAH3uzEI=")</f>
        <v>#REF!</v>
      </c>
      <c r="BP81" t="e">
        <f>AND(Bills!#REF!,"AAAAAH3uzEM=")</f>
        <v>#REF!</v>
      </c>
      <c r="BQ81" t="e">
        <f>AND(Bills!#REF!,"AAAAAH3uzEQ=")</f>
        <v>#REF!</v>
      </c>
      <c r="BR81" t="e">
        <f>AND(Bills!#REF!,"AAAAAH3uzEU=")</f>
        <v>#REF!</v>
      </c>
      <c r="BS81" t="e">
        <f>AND(Bills!D174,"AAAAAH3uzEY=")</f>
        <v>#VALUE!</v>
      </c>
      <c r="BT81" t="e">
        <f>AND(Bills!#REF!,"AAAAAH3uzEc=")</f>
        <v>#REF!</v>
      </c>
      <c r="BU81" t="e">
        <f>AND(Bills!E174,"AAAAAH3uzEg=")</f>
        <v>#VALUE!</v>
      </c>
      <c r="BV81" t="e">
        <f>AND(Bills!F174,"AAAAAH3uzEk=")</f>
        <v>#VALUE!</v>
      </c>
      <c r="BW81" t="e">
        <f>AND(Bills!G174,"AAAAAH3uzEo=")</f>
        <v>#VALUE!</v>
      </c>
      <c r="BX81" t="e">
        <f>AND(Bills!H174,"AAAAAH3uzEs=")</f>
        <v>#VALUE!</v>
      </c>
      <c r="BY81" t="e">
        <f>AND(Bills!I174,"AAAAAH3uzEw=")</f>
        <v>#VALUE!</v>
      </c>
      <c r="BZ81" t="e">
        <f>AND(Bills!J174,"AAAAAH3uzE0=")</f>
        <v>#VALUE!</v>
      </c>
      <c r="CA81" t="e">
        <f>AND(Bills!#REF!,"AAAAAH3uzE4=")</f>
        <v>#REF!</v>
      </c>
      <c r="CB81" t="e">
        <f>AND(Bills!K174,"AAAAAH3uzE8=")</f>
        <v>#VALUE!</v>
      </c>
      <c r="CC81" t="e">
        <f>AND(Bills!L174,"AAAAAH3uzFA=")</f>
        <v>#VALUE!</v>
      </c>
      <c r="CD81" t="e">
        <f>AND(Bills!M174,"AAAAAH3uzFE=")</f>
        <v>#VALUE!</v>
      </c>
      <c r="CE81" t="e">
        <f>AND(Bills!N174,"AAAAAH3uzFI=")</f>
        <v>#VALUE!</v>
      </c>
      <c r="CF81" t="e">
        <f>AND(Bills!O174,"AAAAAH3uzFM=")</f>
        <v>#VALUE!</v>
      </c>
      <c r="CG81" t="e">
        <f>AND(Bills!P174,"AAAAAH3uzFQ=")</f>
        <v>#VALUE!</v>
      </c>
      <c r="CH81" t="e">
        <f>AND(Bills!Q174,"AAAAAH3uzFU=")</f>
        <v>#VALUE!</v>
      </c>
      <c r="CI81" t="e">
        <f>AND(Bills!R174,"AAAAAH3uzFY=")</f>
        <v>#VALUE!</v>
      </c>
      <c r="CJ81" t="e">
        <f>AND(Bills!#REF!,"AAAAAH3uzFc=")</f>
        <v>#REF!</v>
      </c>
      <c r="CK81" t="e">
        <f>AND(Bills!S174,"AAAAAH3uzFg=")</f>
        <v>#VALUE!</v>
      </c>
      <c r="CL81" t="e">
        <f>AND(Bills!T174,"AAAAAH3uzFk=")</f>
        <v>#VALUE!</v>
      </c>
      <c r="CM81" t="e">
        <f>AND(Bills!U174,"AAAAAH3uzFo=")</f>
        <v>#VALUE!</v>
      </c>
      <c r="CN81" t="e">
        <f>AND(Bills!#REF!,"AAAAAH3uzFs=")</f>
        <v>#REF!</v>
      </c>
      <c r="CO81" t="e">
        <f>AND(Bills!#REF!,"AAAAAH3uzFw=")</f>
        <v>#REF!</v>
      </c>
      <c r="CP81" t="e">
        <f>AND(Bills!W174,"AAAAAH3uzF0=")</f>
        <v>#VALUE!</v>
      </c>
      <c r="CQ81" t="e">
        <f>AND(Bills!X174,"AAAAAH3uzF4=")</f>
        <v>#VALUE!</v>
      </c>
      <c r="CR81" t="e">
        <f>AND(Bills!#REF!,"AAAAAH3uzF8=")</f>
        <v>#REF!</v>
      </c>
      <c r="CS81" t="e">
        <f>AND(Bills!#REF!,"AAAAAH3uzGA=")</f>
        <v>#REF!</v>
      </c>
      <c r="CT81" t="e">
        <f>AND(Bills!#REF!,"AAAAAH3uzGE=")</f>
        <v>#REF!</v>
      </c>
      <c r="CU81" t="e">
        <f>AND(Bills!#REF!,"AAAAAH3uzGI=")</f>
        <v>#REF!</v>
      </c>
      <c r="CV81" t="e">
        <f>AND(Bills!#REF!,"AAAAAH3uzGM=")</f>
        <v>#REF!</v>
      </c>
      <c r="CW81" t="e">
        <f>AND(Bills!#REF!,"AAAAAH3uzGQ=")</f>
        <v>#REF!</v>
      </c>
      <c r="CX81" t="e">
        <f>AND(Bills!#REF!,"AAAAAH3uzGU=")</f>
        <v>#REF!</v>
      </c>
      <c r="CY81" t="e">
        <f>AND(Bills!#REF!,"AAAAAH3uzGY=")</f>
        <v>#REF!</v>
      </c>
      <c r="CZ81" t="e">
        <f>AND(Bills!#REF!,"AAAAAH3uzGc=")</f>
        <v>#REF!</v>
      </c>
      <c r="DA81" t="e">
        <f>AND(Bills!Y174,"AAAAAH3uzGg=")</f>
        <v>#VALUE!</v>
      </c>
      <c r="DB81" t="e">
        <f>AND(Bills!Z174,"AAAAAH3uzGk=")</f>
        <v>#VALUE!</v>
      </c>
      <c r="DC81" t="e">
        <f>AND(Bills!#REF!,"AAAAAH3uzGo=")</f>
        <v>#REF!</v>
      </c>
      <c r="DD81" t="e">
        <f>AND(Bills!#REF!,"AAAAAH3uzGs=")</f>
        <v>#REF!</v>
      </c>
      <c r="DE81" t="e">
        <f>AND(Bills!#REF!,"AAAAAH3uzGw=")</f>
        <v>#REF!</v>
      </c>
      <c r="DF81" t="e">
        <f>AND(Bills!AA174,"AAAAAH3uzG0=")</f>
        <v>#VALUE!</v>
      </c>
      <c r="DG81" t="e">
        <f>AND(Bills!AB174,"AAAAAH3uzG4=")</f>
        <v>#VALUE!</v>
      </c>
      <c r="DH81" t="e">
        <f>AND(Bills!#REF!,"AAAAAH3uzG8=")</f>
        <v>#REF!</v>
      </c>
      <c r="DI81">
        <f>IF(Bills!175:175,"AAAAAH3uzHA=",0)</f>
        <v>0</v>
      </c>
      <c r="DJ81" t="e">
        <f>AND(Bills!B175,"AAAAAH3uzHE=")</f>
        <v>#VALUE!</v>
      </c>
      <c r="DK81" t="e">
        <f>AND(Bills!#REF!,"AAAAAH3uzHI=")</f>
        <v>#REF!</v>
      </c>
      <c r="DL81" t="e">
        <f>AND(Bills!C175,"AAAAAH3uzHM=")</f>
        <v>#VALUE!</v>
      </c>
      <c r="DM81" t="e">
        <f>AND(Bills!#REF!,"AAAAAH3uzHQ=")</f>
        <v>#REF!</v>
      </c>
      <c r="DN81" t="e">
        <f>AND(Bills!#REF!,"AAAAAH3uzHU=")</f>
        <v>#REF!</v>
      </c>
      <c r="DO81" t="e">
        <f>AND(Bills!#REF!,"AAAAAH3uzHY=")</f>
        <v>#REF!</v>
      </c>
      <c r="DP81" t="e">
        <f>AND(Bills!#REF!,"AAAAAH3uzHc=")</f>
        <v>#REF!</v>
      </c>
      <c r="DQ81" t="e">
        <f>AND(Bills!#REF!,"AAAAAH3uzHg=")</f>
        <v>#REF!</v>
      </c>
      <c r="DR81" t="e">
        <f>AND(Bills!D175,"AAAAAH3uzHk=")</f>
        <v>#VALUE!</v>
      </c>
      <c r="DS81" t="e">
        <f>AND(Bills!#REF!,"AAAAAH3uzHo=")</f>
        <v>#REF!</v>
      </c>
      <c r="DT81" t="e">
        <f>AND(Bills!E175,"AAAAAH3uzHs=")</f>
        <v>#VALUE!</v>
      </c>
      <c r="DU81" t="e">
        <f>AND(Bills!F175,"AAAAAH3uzHw=")</f>
        <v>#VALUE!</v>
      </c>
      <c r="DV81" t="e">
        <f>AND(Bills!G175,"AAAAAH3uzH0=")</f>
        <v>#VALUE!</v>
      </c>
      <c r="DW81" t="e">
        <f>AND(Bills!H175,"AAAAAH3uzH4=")</f>
        <v>#VALUE!</v>
      </c>
      <c r="DX81" t="e">
        <f>AND(Bills!I175,"AAAAAH3uzH8=")</f>
        <v>#VALUE!</v>
      </c>
      <c r="DY81" t="e">
        <f>AND(Bills!J175,"AAAAAH3uzIA=")</f>
        <v>#VALUE!</v>
      </c>
      <c r="DZ81" t="e">
        <f>AND(Bills!#REF!,"AAAAAH3uzIE=")</f>
        <v>#REF!</v>
      </c>
      <c r="EA81" t="e">
        <f>AND(Bills!K175,"AAAAAH3uzII=")</f>
        <v>#VALUE!</v>
      </c>
      <c r="EB81" t="e">
        <f>AND(Bills!L175,"AAAAAH3uzIM=")</f>
        <v>#VALUE!</v>
      </c>
      <c r="EC81" t="e">
        <f>AND(Bills!M175,"AAAAAH3uzIQ=")</f>
        <v>#VALUE!</v>
      </c>
      <c r="ED81" t="e">
        <f>AND(Bills!N175,"AAAAAH3uzIU=")</f>
        <v>#VALUE!</v>
      </c>
      <c r="EE81" t="e">
        <f>AND(Bills!O175,"AAAAAH3uzIY=")</f>
        <v>#VALUE!</v>
      </c>
      <c r="EF81" t="e">
        <f>AND(Bills!P175,"AAAAAH3uzIc=")</f>
        <v>#VALUE!</v>
      </c>
      <c r="EG81" t="e">
        <f>AND(Bills!Q175,"AAAAAH3uzIg=")</f>
        <v>#VALUE!</v>
      </c>
      <c r="EH81" t="e">
        <f>AND(Bills!R175,"AAAAAH3uzIk=")</f>
        <v>#VALUE!</v>
      </c>
      <c r="EI81" t="e">
        <f>AND(Bills!#REF!,"AAAAAH3uzIo=")</f>
        <v>#REF!</v>
      </c>
      <c r="EJ81" t="e">
        <f>AND(Bills!S175,"AAAAAH3uzIs=")</f>
        <v>#VALUE!</v>
      </c>
      <c r="EK81" t="e">
        <f>AND(Bills!T175,"AAAAAH3uzIw=")</f>
        <v>#VALUE!</v>
      </c>
      <c r="EL81" t="e">
        <f>AND(Bills!U175,"AAAAAH3uzI0=")</f>
        <v>#VALUE!</v>
      </c>
      <c r="EM81" t="e">
        <f>AND(Bills!#REF!,"AAAAAH3uzI4=")</f>
        <v>#REF!</v>
      </c>
      <c r="EN81" t="e">
        <f>AND(Bills!#REF!,"AAAAAH3uzI8=")</f>
        <v>#REF!</v>
      </c>
      <c r="EO81" t="e">
        <f>AND(Bills!W175,"AAAAAH3uzJA=")</f>
        <v>#VALUE!</v>
      </c>
      <c r="EP81" t="e">
        <f>AND(Bills!X175,"AAAAAH3uzJE=")</f>
        <v>#VALUE!</v>
      </c>
      <c r="EQ81" t="e">
        <f>AND(Bills!#REF!,"AAAAAH3uzJI=")</f>
        <v>#REF!</v>
      </c>
      <c r="ER81" t="e">
        <f>AND(Bills!#REF!,"AAAAAH3uzJM=")</f>
        <v>#REF!</v>
      </c>
      <c r="ES81" t="e">
        <f>AND(Bills!#REF!,"AAAAAH3uzJQ=")</f>
        <v>#REF!</v>
      </c>
      <c r="ET81" t="e">
        <f>AND(Bills!#REF!,"AAAAAH3uzJU=")</f>
        <v>#REF!</v>
      </c>
      <c r="EU81" t="e">
        <f>AND(Bills!#REF!,"AAAAAH3uzJY=")</f>
        <v>#REF!</v>
      </c>
      <c r="EV81" t="e">
        <f>AND(Bills!#REF!,"AAAAAH3uzJc=")</f>
        <v>#REF!</v>
      </c>
      <c r="EW81" t="e">
        <f>AND(Bills!#REF!,"AAAAAH3uzJg=")</f>
        <v>#REF!</v>
      </c>
      <c r="EX81" t="e">
        <f>AND(Bills!#REF!,"AAAAAH3uzJk=")</f>
        <v>#REF!</v>
      </c>
      <c r="EY81" t="e">
        <f>AND(Bills!#REF!,"AAAAAH3uzJo=")</f>
        <v>#REF!</v>
      </c>
      <c r="EZ81" t="e">
        <f>AND(Bills!Y175,"AAAAAH3uzJs=")</f>
        <v>#VALUE!</v>
      </c>
      <c r="FA81" t="e">
        <f>AND(Bills!Z175,"AAAAAH3uzJw=")</f>
        <v>#VALUE!</v>
      </c>
      <c r="FB81" t="e">
        <f>AND(Bills!#REF!,"AAAAAH3uzJ0=")</f>
        <v>#REF!</v>
      </c>
      <c r="FC81" t="e">
        <f>AND(Bills!#REF!,"AAAAAH3uzJ4=")</f>
        <v>#REF!</v>
      </c>
      <c r="FD81" t="e">
        <f>AND(Bills!#REF!,"AAAAAH3uzJ8=")</f>
        <v>#REF!</v>
      </c>
      <c r="FE81" t="e">
        <f>AND(Bills!AA175,"AAAAAH3uzKA=")</f>
        <v>#VALUE!</v>
      </c>
      <c r="FF81" t="e">
        <f>AND(Bills!AB175,"AAAAAH3uzKE=")</f>
        <v>#VALUE!</v>
      </c>
      <c r="FG81" t="e">
        <f>AND(Bills!#REF!,"AAAAAH3uzKI=")</f>
        <v>#REF!</v>
      </c>
      <c r="FH81">
        <f>IF(Bills!176:176,"AAAAAH3uzKM=",0)</f>
        <v>0</v>
      </c>
      <c r="FI81" t="e">
        <f>AND(Bills!B176,"AAAAAH3uzKQ=")</f>
        <v>#VALUE!</v>
      </c>
      <c r="FJ81" t="e">
        <f>AND(Bills!#REF!,"AAAAAH3uzKU=")</f>
        <v>#REF!</v>
      </c>
      <c r="FK81" t="e">
        <f>AND(Bills!C176,"AAAAAH3uzKY=")</f>
        <v>#VALUE!</v>
      </c>
      <c r="FL81" t="e">
        <f>AND(Bills!#REF!,"AAAAAH3uzKc=")</f>
        <v>#REF!</v>
      </c>
      <c r="FM81" t="e">
        <f>AND(Bills!#REF!,"AAAAAH3uzKg=")</f>
        <v>#REF!</v>
      </c>
      <c r="FN81" t="e">
        <f>AND(Bills!#REF!,"AAAAAH3uzKk=")</f>
        <v>#REF!</v>
      </c>
      <c r="FO81" t="e">
        <f>AND(Bills!#REF!,"AAAAAH3uzKo=")</f>
        <v>#REF!</v>
      </c>
      <c r="FP81" t="e">
        <f>AND(Bills!#REF!,"AAAAAH3uzKs=")</f>
        <v>#REF!</v>
      </c>
      <c r="FQ81" t="e">
        <f>AND(Bills!D176,"AAAAAH3uzKw=")</f>
        <v>#VALUE!</v>
      </c>
      <c r="FR81" t="e">
        <f>AND(Bills!#REF!,"AAAAAH3uzK0=")</f>
        <v>#REF!</v>
      </c>
      <c r="FS81" t="e">
        <f>AND(Bills!E176,"AAAAAH3uzK4=")</f>
        <v>#VALUE!</v>
      </c>
      <c r="FT81" t="e">
        <f>AND(Bills!F176,"AAAAAH3uzK8=")</f>
        <v>#VALUE!</v>
      </c>
      <c r="FU81" t="e">
        <f>AND(Bills!G176,"AAAAAH3uzLA=")</f>
        <v>#VALUE!</v>
      </c>
      <c r="FV81" t="e">
        <f>AND(Bills!H176,"AAAAAH3uzLE=")</f>
        <v>#VALUE!</v>
      </c>
      <c r="FW81" t="e">
        <f>AND(Bills!I176,"AAAAAH3uzLI=")</f>
        <v>#VALUE!</v>
      </c>
      <c r="FX81" t="e">
        <f>AND(Bills!J176,"AAAAAH3uzLM=")</f>
        <v>#VALUE!</v>
      </c>
      <c r="FY81" t="e">
        <f>AND(Bills!#REF!,"AAAAAH3uzLQ=")</f>
        <v>#REF!</v>
      </c>
      <c r="FZ81" t="e">
        <f>AND(Bills!K176,"AAAAAH3uzLU=")</f>
        <v>#VALUE!</v>
      </c>
      <c r="GA81" t="e">
        <f>AND(Bills!L176,"AAAAAH3uzLY=")</f>
        <v>#VALUE!</v>
      </c>
      <c r="GB81" t="e">
        <f>AND(Bills!M176,"AAAAAH3uzLc=")</f>
        <v>#VALUE!</v>
      </c>
      <c r="GC81" t="e">
        <f>AND(Bills!N176,"AAAAAH3uzLg=")</f>
        <v>#VALUE!</v>
      </c>
      <c r="GD81" t="e">
        <f>AND(Bills!O176,"AAAAAH3uzLk=")</f>
        <v>#VALUE!</v>
      </c>
      <c r="GE81" t="e">
        <f>AND(Bills!P176,"AAAAAH3uzLo=")</f>
        <v>#VALUE!</v>
      </c>
      <c r="GF81" t="e">
        <f>AND(Bills!Q176,"AAAAAH3uzLs=")</f>
        <v>#VALUE!</v>
      </c>
      <c r="GG81" t="e">
        <f>AND(Bills!R176,"AAAAAH3uzLw=")</f>
        <v>#VALUE!</v>
      </c>
      <c r="GH81" t="e">
        <f>AND(Bills!#REF!,"AAAAAH3uzL0=")</f>
        <v>#REF!</v>
      </c>
      <c r="GI81" t="e">
        <f>AND(Bills!S176,"AAAAAH3uzL4=")</f>
        <v>#VALUE!</v>
      </c>
      <c r="GJ81" t="e">
        <f>AND(Bills!T176,"AAAAAH3uzL8=")</f>
        <v>#VALUE!</v>
      </c>
      <c r="GK81" t="e">
        <f>AND(Bills!U176,"AAAAAH3uzMA=")</f>
        <v>#VALUE!</v>
      </c>
      <c r="GL81" t="e">
        <f>AND(Bills!#REF!,"AAAAAH3uzME=")</f>
        <v>#REF!</v>
      </c>
      <c r="GM81" t="e">
        <f>AND(Bills!#REF!,"AAAAAH3uzMI=")</f>
        <v>#REF!</v>
      </c>
      <c r="GN81" t="e">
        <f>AND(Bills!W176,"AAAAAH3uzMM=")</f>
        <v>#VALUE!</v>
      </c>
      <c r="GO81" t="e">
        <f>AND(Bills!X176,"AAAAAH3uzMQ=")</f>
        <v>#VALUE!</v>
      </c>
      <c r="GP81" t="e">
        <f>AND(Bills!#REF!,"AAAAAH3uzMU=")</f>
        <v>#REF!</v>
      </c>
      <c r="GQ81" t="e">
        <f>AND(Bills!#REF!,"AAAAAH3uzMY=")</f>
        <v>#REF!</v>
      </c>
      <c r="GR81" t="e">
        <f>AND(Bills!#REF!,"AAAAAH3uzMc=")</f>
        <v>#REF!</v>
      </c>
      <c r="GS81" t="e">
        <f>AND(Bills!#REF!,"AAAAAH3uzMg=")</f>
        <v>#REF!</v>
      </c>
      <c r="GT81" t="e">
        <f>AND(Bills!#REF!,"AAAAAH3uzMk=")</f>
        <v>#REF!</v>
      </c>
      <c r="GU81" t="e">
        <f>AND(Bills!#REF!,"AAAAAH3uzMo=")</f>
        <v>#REF!</v>
      </c>
      <c r="GV81" t="e">
        <f>AND(Bills!#REF!,"AAAAAH3uzMs=")</f>
        <v>#REF!</v>
      </c>
      <c r="GW81" t="e">
        <f>AND(Bills!#REF!,"AAAAAH3uzMw=")</f>
        <v>#REF!</v>
      </c>
      <c r="GX81" t="e">
        <f>AND(Bills!#REF!,"AAAAAH3uzM0=")</f>
        <v>#REF!</v>
      </c>
      <c r="GY81" t="e">
        <f>AND(Bills!Y176,"AAAAAH3uzM4=")</f>
        <v>#VALUE!</v>
      </c>
      <c r="GZ81" t="e">
        <f>AND(Bills!Z176,"AAAAAH3uzM8=")</f>
        <v>#VALUE!</v>
      </c>
      <c r="HA81" t="e">
        <f>AND(Bills!#REF!,"AAAAAH3uzNA=")</f>
        <v>#REF!</v>
      </c>
      <c r="HB81" t="e">
        <f>AND(Bills!#REF!,"AAAAAH3uzNE=")</f>
        <v>#REF!</v>
      </c>
      <c r="HC81" t="e">
        <f>AND(Bills!#REF!,"AAAAAH3uzNI=")</f>
        <v>#REF!</v>
      </c>
      <c r="HD81" t="e">
        <f>AND(Bills!AA176,"AAAAAH3uzNM=")</f>
        <v>#VALUE!</v>
      </c>
      <c r="HE81" t="e">
        <f>AND(Bills!AB176,"AAAAAH3uzNQ=")</f>
        <v>#VALUE!</v>
      </c>
      <c r="HF81" t="e">
        <f>AND(Bills!#REF!,"AAAAAH3uzNU=")</f>
        <v>#REF!</v>
      </c>
      <c r="HG81">
        <f>IF(Bills!177:177,"AAAAAH3uzNY=",0)</f>
        <v>0</v>
      </c>
      <c r="HH81" t="e">
        <f>AND(Bills!B177,"AAAAAH3uzNc=")</f>
        <v>#VALUE!</v>
      </c>
      <c r="HI81" t="e">
        <f>AND(Bills!#REF!,"AAAAAH3uzNg=")</f>
        <v>#REF!</v>
      </c>
      <c r="HJ81" t="e">
        <f>AND(Bills!C177,"AAAAAH3uzNk=")</f>
        <v>#VALUE!</v>
      </c>
      <c r="HK81" t="e">
        <f>AND(Bills!#REF!,"AAAAAH3uzNo=")</f>
        <v>#REF!</v>
      </c>
      <c r="HL81" t="e">
        <f>AND(Bills!#REF!,"AAAAAH3uzNs=")</f>
        <v>#REF!</v>
      </c>
      <c r="HM81" t="e">
        <f>AND(Bills!#REF!,"AAAAAH3uzNw=")</f>
        <v>#REF!</v>
      </c>
      <c r="HN81" t="e">
        <f>AND(Bills!#REF!,"AAAAAH3uzN0=")</f>
        <v>#REF!</v>
      </c>
      <c r="HO81" t="e">
        <f>AND(Bills!#REF!,"AAAAAH3uzN4=")</f>
        <v>#REF!</v>
      </c>
      <c r="HP81" t="e">
        <f>AND(Bills!D177,"AAAAAH3uzN8=")</f>
        <v>#VALUE!</v>
      </c>
      <c r="HQ81" t="e">
        <f>AND(Bills!#REF!,"AAAAAH3uzOA=")</f>
        <v>#REF!</v>
      </c>
      <c r="HR81" t="e">
        <f>AND(Bills!E177,"AAAAAH3uzOE=")</f>
        <v>#VALUE!</v>
      </c>
      <c r="HS81" t="e">
        <f>AND(Bills!F177,"AAAAAH3uzOI=")</f>
        <v>#VALUE!</v>
      </c>
      <c r="HT81" t="e">
        <f>AND(Bills!G177,"AAAAAH3uzOM=")</f>
        <v>#VALUE!</v>
      </c>
      <c r="HU81" t="e">
        <f>AND(Bills!H177,"AAAAAH3uzOQ=")</f>
        <v>#VALUE!</v>
      </c>
      <c r="HV81" t="e">
        <f>AND(Bills!I177,"AAAAAH3uzOU=")</f>
        <v>#VALUE!</v>
      </c>
      <c r="HW81" t="e">
        <f>AND(Bills!J177,"AAAAAH3uzOY=")</f>
        <v>#VALUE!</v>
      </c>
      <c r="HX81" t="e">
        <f>AND(Bills!#REF!,"AAAAAH3uzOc=")</f>
        <v>#REF!</v>
      </c>
      <c r="HY81" t="e">
        <f>AND(Bills!K177,"AAAAAH3uzOg=")</f>
        <v>#VALUE!</v>
      </c>
      <c r="HZ81" t="e">
        <f>AND(Bills!L177,"AAAAAH3uzOk=")</f>
        <v>#VALUE!</v>
      </c>
      <c r="IA81" t="e">
        <f>AND(Bills!M177,"AAAAAH3uzOo=")</f>
        <v>#VALUE!</v>
      </c>
      <c r="IB81" t="e">
        <f>AND(Bills!N177,"AAAAAH3uzOs=")</f>
        <v>#VALUE!</v>
      </c>
      <c r="IC81" t="e">
        <f>AND(Bills!O177,"AAAAAH3uzOw=")</f>
        <v>#VALUE!</v>
      </c>
      <c r="ID81" t="e">
        <f>AND(Bills!P177,"AAAAAH3uzO0=")</f>
        <v>#VALUE!</v>
      </c>
      <c r="IE81" t="e">
        <f>AND(Bills!Q177,"AAAAAH3uzO4=")</f>
        <v>#VALUE!</v>
      </c>
      <c r="IF81" t="e">
        <f>AND(Bills!R177,"AAAAAH3uzO8=")</f>
        <v>#VALUE!</v>
      </c>
      <c r="IG81" t="e">
        <f>AND(Bills!#REF!,"AAAAAH3uzPA=")</f>
        <v>#REF!</v>
      </c>
      <c r="IH81" t="e">
        <f>AND(Bills!S177,"AAAAAH3uzPE=")</f>
        <v>#VALUE!</v>
      </c>
      <c r="II81" t="e">
        <f>AND(Bills!T177,"AAAAAH3uzPI=")</f>
        <v>#VALUE!</v>
      </c>
      <c r="IJ81" t="e">
        <f>AND(Bills!U177,"AAAAAH3uzPM=")</f>
        <v>#VALUE!</v>
      </c>
      <c r="IK81" t="e">
        <f>AND(Bills!#REF!,"AAAAAH3uzPQ=")</f>
        <v>#REF!</v>
      </c>
      <c r="IL81" t="e">
        <f>AND(Bills!#REF!,"AAAAAH3uzPU=")</f>
        <v>#REF!</v>
      </c>
      <c r="IM81" t="e">
        <f>AND(Bills!W177,"AAAAAH3uzPY=")</f>
        <v>#VALUE!</v>
      </c>
      <c r="IN81" t="e">
        <f>AND(Bills!X177,"AAAAAH3uzPc=")</f>
        <v>#VALUE!</v>
      </c>
      <c r="IO81" t="e">
        <f>AND(Bills!#REF!,"AAAAAH3uzPg=")</f>
        <v>#REF!</v>
      </c>
      <c r="IP81" t="e">
        <f>AND(Bills!#REF!,"AAAAAH3uzPk=")</f>
        <v>#REF!</v>
      </c>
      <c r="IQ81" t="e">
        <f>AND(Bills!#REF!,"AAAAAH3uzPo=")</f>
        <v>#REF!</v>
      </c>
      <c r="IR81" t="e">
        <f>AND(Bills!#REF!,"AAAAAH3uzPs=")</f>
        <v>#REF!</v>
      </c>
      <c r="IS81" t="e">
        <f>AND(Bills!#REF!,"AAAAAH3uzPw=")</f>
        <v>#REF!</v>
      </c>
      <c r="IT81" t="e">
        <f>AND(Bills!#REF!,"AAAAAH3uzP0=")</f>
        <v>#REF!</v>
      </c>
      <c r="IU81" t="e">
        <f>AND(Bills!#REF!,"AAAAAH3uzP4=")</f>
        <v>#REF!</v>
      </c>
      <c r="IV81" t="e">
        <f>AND(Bills!#REF!,"AAAAAH3uzP8=")</f>
        <v>#REF!</v>
      </c>
    </row>
    <row r="82" spans="1:256">
      <c r="A82" t="e">
        <f>AND(Bills!#REF!,"AAAAADvPYwA=")</f>
        <v>#REF!</v>
      </c>
      <c r="B82" t="e">
        <f>AND(Bills!Y177,"AAAAADvPYwE=")</f>
        <v>#VALUE!</v>
      </c>
      <c r="C82" t="e">
        <f>AND(Bills!Z177,"AAAAADvPYwI=")</f>
        <v>#VALUE!</v>
      </c>
      <c r="D82" t="e">
        <f>AND(Bills!#REF!,"AAAAADvPYwM=")</f>
        <v>#REF!</v>
      </c>
      <c r="E82" t="e">
        <f>AND(Bills!#REF!,"AAAAADvPYwQ=")</f>
        <v>#REF!</v>
      </c>
      <c r="F82" t="e">
        <f>AND(Bills!#REF!,"AAAAADvPYwU=")</f>
        <v>#REF!</v>
      </c>
      <c r="G82" t="e">
        <f>AND(Bills!AA177,"AAAAADvPYwY=")</f>
        <v>#VALUE!</v>
      </c>
      <c r="H82" t="e">
        <f>AND(Bills!AB177,"AAAAADvPYwc=")</f>
        <v>#VALUE!</v>
      </c>
      <c r="I82" t="e">
        <f>AND(Bills!#REF!,"AAAAADvPYwg=")</f>
        <v>#REF!</v>
      </c>
      <c r="J82">
        <f>IF(Bills!178:178,"AAAAADvPYwk=",0)</f>
        <v>0</v>
      </c>
      <c r="K82" t="e">
        <f>AND(Bills!B178,"AAAAADvPYwo=")</f>
        <v>#VALUE!</v>
      </c>
      <c r="L82" t="e">
        <f>AND(Bills!#REF!,"AAAAADvPYws=")</f>
        <v>#REF!</v>
      </c>
      <c r="M82" t="e">
        <f>AND(Bills!C178,"AAAAADvPYww=")</f>
        <v>#VALUE!</v>
      </c>
      <c r="N82" t="e">
        <f>AND(Bills!#REF!,"AAAAADvPYw0=")</f>
        <v>#REF!</v>
      </c>
      <c r="O82" t="e">
        <f>AND(Bills!#REF!,"AAAAADvPYw4=")</f>
        <v>#REF!</v>
      </c>
      <c r="P82" t="e">
        <f>AND(Bills!#REF!,"AAAAADvPYw8=")</f>
        <v>#REF!</v>
      </c>
      <c r="Q82" t="e">
        <f>AND(Bills!#REF!,"AAAAADvPYxA=")</f>
        <v>#REF!</v>
      </c>
      <c r="R82" t="e">
        <f>AND(Bills!#REF!,"AAAAADvPYxE=")</f>
        <v>#REF!</v>
      </c>
      <c r="S82" t="e">
        <f>AND(Bills!D178,"AAAAADvPYxI=")</f>
        <v>#VALUE!</v>
      </c>
      <c r="T82" t="e">
        <f>AND(Bills!#REF!,"AAAAADvPYxM=")</f>
        <v>#REF!</v>
      </c>
      <c r="U82" t="e">
        <f>AND(Bills!E178,"AAAAADvPYxQ=")</f>
        <v>#VALUE!</v>
      </c>
      <c r="V82" t="e">
        <f>AND(Bills!F178,"AAAAADvPYxU=")</f>
        <v>#VALUE!</v>
      </c>
      <c r="W82" t="e">
        <f>AND(Bills!G178,"AAAAADvPYxY=")</f>
        <v>#VALUE!</v>
      </c>
      <c r="X82" t="e">
        <f>AND(Bills!H178,"AAAAADvPYxc=")</f>
        <v>#VALUE!</v>
      </c>
      <c r="Y82" t="e">
        <f>AND(Bills!I178,"AAAAADvPYxg=")</f>
        <v>#VALUE!</v>
      </c>
      <c r="Z82" t="e">
        <f>AND(Bills!J178,"AAAAADvPYxk=")</f>
        <v>#VALUE!</v>
      </c>
      <c r="AA82" t="e">
        <f>AND(Bills!#REF!,"AAAAADvPYxo=")</f>
        <v>#REF!</v>
      </c>
      <c r="AB82" t="e">
        <f>AND(Bills!K178,"AAAAADvPYxs=")</f>
        <v>#VALUE!</v>
      </c>
      <c r="AC82" t="e">
        <f>AND(Bills!L178,"AAAAADvPYxw=")</f>
        <v>#VALUE!</v>
      </c>
      <c r="AD82" t="e">
        <f>AND(Bills!M178,"AAAAADvPYx0=")</f>
        <v>#VALUE!</v>
      </c>
      <c r="AE82" t="e">
        <f>AND(Bills!N178,"AAAAADvPYx4=")</f>
        <v>#VALUE!</v>
      </c>
      <c r="AF82" t="e">
        <f>AND(Bills!O178,"AAAAADvPYx8=")</f>
        <v>#VALUE!</v>
      </c>
      <c r="AG82" t="e">
        <f>AND(Bills!P178,"AAAAADvPYyA=")</f>
        <v>#VALUE!</v>
      </c>
      <c r="AH82" t="e">
        <f>AND(Bills!Q178,"AAAAADvPYyE=")</f>
        <v>#VALUE!</v>
      </c>
      <c r="AI82" t="e">
        <f>AND(Bills!R178,"AAAAADvPYyI=")</f>
        <v>#VALUE!</v>
      </c>
      <c r="AJ82" t="e">
        <f>AND(Bills!#REF!,"AAAAADvPYyM=")</f>
        <v>#REF!</v>
      </c>
      <c r="AK82" t="e">
        <f>AND(Bills!S178,"AAAAADvPYyQ=")</f>
        <v>#VALUE!</v>
      </c>
      <c r="AL82" t="e">
        <f>AND(Bills!T178,"AAAAADvPYyU=")</f>
        <v>#VALUE!</v>
      </c>
      <c r="AM82" t="e">
        <f>AND(Bills!U178,"AAAAADvPYyY=")</f>
        <v>#VALUE!</v>
      </c>
      <c r="AN82" t="e">
        <f>AND(Bills!#REF!,"AAAAADvPYyc=")</f>
        <v>#REF!</v>
      </c>
      <c r="AO82" t="e">
        <f>AND(Bills!#REF!,"AAAAADvPYyg=")</f>
        <v>#REF!</v>
      </c>
      <c r="AP82" t="e">
        <f>AND(Bills!W178,"AAAAADvPYyk=")</f>
        <v>#VALUE!</v>
      </c>
      <c r="AQ82" t="e">
        <f>AND(Bills!X178,"AAAAADvPYyo=")</f>
        <v>#VALUE!</v>
      </c>
      <c r="AR82" t="e">
        <f>AND(Bills!#REF!,"AAAAADvPYys=")</f>
        <v>#REF!</v>
      </c>
      <c r="AS82" t="e">
        <f>AND(Bills!#REF!,"AAAAADvPYyw=")</f>
        <v>#REF!</v>
      </c>
      <c r="AT82" t="e">
        <f>AND(Bills!#REF!,"AAAAADvPYy0=")</f>
        <v>#REF!</v>
      </c>
      <c r="AU82" t="e">
        <f>AND(Bills!#REF!,"AAAAADvPYy4=")</f>
        <v>#REF!</v>
      </c>
      <c r="AV82" t="e">
        <f>AND(Bills!#REF!,"AAAAADvPYy8=")</f>
        <v>#REF!</v>
      </c>
      <c r="AW82" t="e">
        <f>AND(Bills!#REF!,"AAAAADvPYzA=")</f>
        <v>#REF!</v>
      </c>
      <c r="AX82" t="e">
        <f>AND(Bills!#REF!,"AAAAADvPYzE=")</f>
        <v>#REF!</v>
      </c>
      <c r="AY82" t="e">
        <f>AND(Bills!#REF!,"AAAAADvPYzI=")</f>
        <v>#REF!</v>
      </c>
      <c r="AZ82" t="e">
        <f>AND(Bills!#REF!,"AAAAADvPYzM=")</f>
        <v>#REF!</v>
      </c>
      <c r="BA82" t="e">
        <f>AND(Bills!Y178,"AAAAADvPYzQ=")</f>
        <v>#VALUE!</v>
      </c>
      <c r="BB82" t="e">
        <f>AND(Bills!Z178,"AAAAADvPYzU=")</f>
        <v>#VALUE!</v>
      </c>
      <c r="BC82" t="e">
        <f>AND(Bills!#REF!,"AAAAADvPYzY=")</f>
        <v>#REF!</v>
      </c>
      <c r="BD82" t="e">
        <f>AND(Bills!#REF!,"AAAAADvPYzc=")</f>
        <v>#REF!</v>
      </c>
      <c r="BE82" t="e">
        <f>AND(Bills!#REF!,"AAAAADvPYzg=")</f>
        <v>#REF!</v>
      </c>
      <c r="BF82" t="e">
        <f>AND(Bills!AA178,"AAAAADvPYzk=")</f>
        <v>#VALUE!</v>
      </c>
      <c r="BG82" t="e">
        <f>AND(Bills!AB178,"AAAAADvPYzo=")</f>
        <v>#VALUE!</v>
      </c>
      <c r="BH82" t="e">
        <f>AND(Bills!#REF!,"AAAAADvPYzs=")</f>
        <v>#REF!</v>
      </c>
      <c r="BI82">
        <f>IF(Bills!179:179,"AAAAADvPYzw=",0)</f>
        <v>0</v>
      </c>
      <c r="BJ82" t="e">
        <f>AND(Bills!B179,"AAAAADvPYz0=")</f>
        <v>#VALUE!</v>
      </c>
      <c r="BK82" t="e">
        <f>AND(Bills!#REF!,"AAAAADvPYz4=")</f>
        <v>#REF!</v>
      </c>
      <c r="BL82" t="e">
        <f>AND(Bills!C179,"AAAAADvPYz8=")</f>
        <v>#VALUE!</v>
      </c>
      <c r="BM82" t="e">
        <f>AND(Bills!#REF!,"AAAAADvPY0A=")</f>
        <v>#REF!</v>
      </c>
      <c r="BN82" t="e">
        <f>AND(Bills!#REF!,"AAAAADvPY0E=")</f>
        <v>#REF!</v>
      </c>
      <c r="BO82" t="e">
        <f>AND(Bills!#REF!,"AAAAADvPY0I=")</f>
        <v>#REF!</v>
      </c>
      <c r="BP82" t="e">
        <f>AND(Bills!#REF!,"AAAAADvPY0M=")</f>
        <v>#REF!</v>
      </c>
      <c r="BQ82" t="e">
        <f>AND(Bills!#REF!,"AAAAADvPY0Q=")</f>
        <v>#REF!</v>
      </c>
      <c r="BR82" t="e">
        <f>AND(Bills!D179,"AAAAADvPY0U=")</f>
        <v>#VALUE!</v>
      </c>
      <c r="BS82" t="e">
        <f>AND(Bills!#REF!,"AAAAADvPY0Y=")</f>
        <v>#REF!</v>
      </c>
      <c r="BT82" t="e">
        <f>AND(Bills!E179,"AAAAADvPY0c=")</f>
        <v>#VALUE!</v>
      </c>
      <c r="BU82" t="e">
        <f>AND(Bills!F179,"AAAAADvPY0g=")</f>
        <v>#VALUE!</v>
      </c>
      <c r="BV82" t="e">
        <f>AND(Bills!G179,"AAAAADvPY0k=")</f>
        <v>#VALUE!</v>
      </c>
      <c r="BW82" t="e">
        <f>AND(Bills!H179,"AAAAADvPY0o=")</f>
        <v>#VALUE!</v>
      </c>
      <c r="BX82" t="e">
        <f>AND(Bills!I179,"AAAAADvPY0s=")</f>
        <v>#VALUE!</v>
      </c>
      <c r="BY82" t="e">
        <f>AND(Bills!J179,"AAAAADvPY0w=")</f>
        <v>#VALUE!</v>
      </c>
      <c r="BZ82" t="e">
        <f>AND(Bills!#REF!,"AAAAADvPY00=")</f>
        <v>#REF!</v>
      </c>
      <c r="CA82" t="e">
        <f>AND(Bills!K179,"AAAAADvPY04=")</f>
        <v>#VALUE!</v>
      </c>
      <c r="CB82" t="e">
        <f>AND(Bills!L179,"AAAAADvPY08=")</f>
        <v>#VALUE!</v>
      </c>
      <c r="CC82" t="e">
        <f>AND(Bills!M179,"AAAAADvPY1A=")</f>
        <v>#VALUE!</v>
      </c>
      <c r="CD82" t="e">
        <f>AND(Bills!N179,"AAAAADvPY1E=")</f>
        <v>#VALUE!</v>
      </c>
      <c r="CE82" t="e">
        <f>AND(Bills!O179,"AAAAADvPY1I=")</f>
        <v>#VALUE!</v>
      </c>
      <c r="CF82" t="e">
        <f>AND(Bills!P179,"AAAAADvPY1M=")</f>
        <v>#VALUE!</v>
      </c>
      <c r="CG82" t="e">
        <f>AND(Bills!Q179,"AAAAADvPY1Q=")</f>
        <v>#VALUE!</v>
      </c>
      <c r="CH82" t="e">
        <f>AND(Bills!R179,"AAAAADvPY1U=")</f>
        <v>#VALUE!</v>
      </c>
      <c r="CI82" t="e">
        <f>AND(Bills!#REF!,"AAAAADvPY1Y=")</f>
        <v>#REF!</v>
      </c>
      <c r="CJ82" t="e">
        <f>AND(Bills!S179,"AAAAADvPY1c=")</f>
        <v>#VALUE!</v>
      </c>
      <c r="CK82" t="e">
        <f>AND(Bills!T179,"AAAAADvPY1g=")</f>
        <v>#VALUE!</v>
      </c>
      <c r="CL82" t="e">
        <f>AND(Bills!U179,"AAAAADvPY1k=")</f>
        <v>#VALUE!</v>
      </c>
      <c r="CM82" t="e">
        <f>AND(Bills!#REF!,"AAAAADvPY1o=")</f>
        <v>#REF!</v>
      </c>
      <c r="CN82" t="e">
        <f>AND(Bills!#REF!,"AAAAADvPY1s=")</f>
        <v>#REF!</v>
      </c>
      <c r="CO82" t="e">
        <f>AND(Bills!W179,"AAAAADvPY1w=")</f>
        <v>#VALUE!</v>
      </c>
      <c r="CP82" t="e">
        <f>AND(Bills!X179,"AAAAADvPY10=")</f>
        <v>#VALUE!</v>
      </c>
      <c r="CQ82" t="e">
        <f>AND(Bills!#REF!,"AAAAADvPY14=")</f>
        <v>#REF!</v>
      </c>
      <c r="CR82" t="e">
        <f>AND(Bills!#REF!,"AAAAADvPY18=")</f>
        <v>#REF!</v>
      </c>
      <c r="CS82" t="e">
        <f>AND(Bills!#REF!,"AAAAADvPY2A=")</f>
        <v>#REF!</v>
      </c>
      <c r="CT82" t="e">
        <f>AND(Bills!#REF!,"AAAAADvPY2E=")</f>
        <v>#REF!</v>
      </c>
      <c r="CU82" t="e">
        <f>AND(Bills!#REF!,"AAAAADvPY2I=")</f>
        <v>#REF!</v>
      </c>
      <c r="CV82" t="e">
        <f>AND(Bills!#REF!,"AAAAADvPY2M=")</f>
        <v>#REF!</v>
      </c>
      <c r="CW82" t="e">
        <f>AND(Bills!#REF!,"AAAAADvPY2Q=")</f>
        <v>#REF!</v>
      </c>
      <c r="CX82" t="e">
        <f>AND(Bills!#REF!,"AAAAADvPY2U=")</f>
        <v>#REF!</v>
      </c>
      <c r="CY82" t="e">
        <f>AND(Bills!#REF!,"AAAAADvPY2Y=")</f>
        <v>#REF!</v>
      </c>
      <c r="CZ82" t="e">
        <f>AND(Bills!Y179,"AAAAADvPY2c=")</f>
        <v>#VALUE!</v>
      </c>
      <c r="DA82" t="e">
        <f>AND(Bills!Z179,"AAAAADvPY2g=")</f>
        <v>#VALUE!</v>
      </c>
      <c r="DB82" t="e">
        <f>AND(Bills!#REF!,"AAAAADvPY2k=")</f>
        <v>#REF!</v>
      </c>
      <c r="DC82" t="e">
        <f>AND(Bills!#REF!,"AAAAADvPY2o=")</f>
        <v>#REF!</v>
      </c>
      <c r="DD82" t="e">
        <f>AND(Bills!#REF!,"AAAAADvPY2s=")</f>
        <v>#REF!</v>
      </c>
      <c r="DE82" t="e">
        <f>AND(Bills!AA179,"AAAAADvPY2w=")</f>
        <v>#VALUE!</v>
      </c>
      <c r="DF82" t="e">
        <f>AND(Bills!AB179,"AAAAADvPY20=")</f>
        <v>#VALUE!</v>
      </c>
      <c r="DG82" t="e">
        <f>AND(Bills!#REF!,"AAAAADvPY24=")</f>
        <v>#REF!</v>
      </c>
      <c r="DH82">
        <f>IF(Bills!180:180,"AAAAADvPY28=",0)</f>
        <v>0</v>
      </c>
      <c r="DI82" t="e">
        <f>AND(Bills!B180,"AAAAADvPY3A=")</f>
        <v>#VALUE!</v>
      </c>
      <c r="DJ82" t="e">
        <f>AND(Bills!#REF!,"AAAAADvPY3E=")</f>
        <v>#REF!</v>
      </c>
      <c r="DK82" t="e">
        <f>AND(Bills!C180,"AAAAADvPY3I=")</f>
        <v>#VALUE!</v>
      </c>
      <c r="DL82" t="e">
        <f>AND(Bills!#REF!,"AAAAADvPY3M=")</f>
        <v>#REF!</v>
      </c>
      <c r="DM82" t="e">
        <f>AND(Bills!#REF!,"AAAAADvPY3Q=")</f>
        <v>#REF!</v>
      </c>
      <c r="DN82" t="e">
        <f>AND(Bills!#REF!,"AAAAADvPY3U=")</f>
        <v>#REF!</v>
      </c>
      <c r="DO82" t="e">
        <f>AND(Bills!#REF!,"AAAAADvPY3Y=")</f>
        <v>#REF!</v>
      </c>
      <c r="DP82" t="e">
        <f>AND(Bills!#REF!,"AAAAADvPY3c=")</f>
        <v>#REF!</v>
      </c>
      <c r="DQ82" t="e">
        <f>AND(Bills!D180,"AAAAADvPY3g=")</f>
        <v>#VALUE!</v>
      </c>
      <c r="DR82" t="e">
        <f>AND(Bills!#REF!,"AAAAADvPY3k=")</f>
        <v>#REF!</v>
      </c>
      <c r="DS82" t="e">
        <f>AND(Bills!E180,"AAAAADvPY3o=")</f>
        <v>#VALUE!</v>
      </c>
      <c r="DT82" t="e">
        <f>AND(Bills!F180,"AAAAADvPY3s=")</f>
        <v>#VALUE!</v>
      </c>
      <c r="DU82" t="e">
        <f>AND(Bills!G180,"AAAAADvPY3w=")</f>
        <v>#VALUE!</v>
      </c>
      <c r="DV82" t="e">
        <f>AND(Bills!H180,"AAAAADvPY30=")</f>
        <v>#VALUE!</v>
      </c>
      <c r="DW82" t="e">
        <f>AND(Bills!I180,"AAAAADvPY34=")</f>
        <v>#VALUE!</v>
      </c>
      <c r="DX82" t="e">
        <f>AND(Bills!J180,"AAAAADvPY38=")</f>
        <v>#VALUE!</v>
      </c>
      <c r="DY82" t="e">
        <f>AND(Bills!#REF!,"AAAAADvPY4A=")</f>
        <v>#REF!</v>
      </c>
      <c r="DZ82" t="e">
        <f>AND(Bills!K180,"AAAAADvPY4E=")</f>
        <v>#VALUE!</v>
      </c>
      <c r="EA82" t="e">
        <f>AND(Bills!L180,"AAAAADvPY4I=")</f>
        <v>#VALUE!</v>
      </c>
      <c r="EB82" t="e">
        <f>AND(Bills!M180,"AAAAADvPY4M=")</f>
        <v>#VALUE!</v>
      </c>
      <c r="EC82" t="e">
        <f>AND(Bills!N180,"AAAAADvPY4Q=")</f>
        <v>#VALUE!</v>
      </c>
      <c r="ED82" t="e">
        <f>AND(Bills!O180,"AAAAADvPY4U=")</f>
        <v>#VALUE!</v>
      </c>
      <c r="EE82" t="e">
        <f>AND(Bills!P180,"AAAAADvPY4Y=")</f>
        <v>#VALUE!</v>
      </c>
      <c r="EF82" t="e">
        <f>AND(Bills!Q180,"AAAAADvPY4c=")</f>
        <v>#VALUE!</v>
      </c>
      <c r="EG82" t="e">
        <f>AND(Bills!R180,"AAAAADvPY4g=")</f>
        <v>#VALUE!</v>
      </c>
      <c r="EH82" t="e">
        <f>AND(Bills!#REF!,"AAAAADvPY4k=")</f>
        <v>#REF!</v>
      </c>
      <c r="EI82" t="e">
        <f>AND(Bills!S180,"AAAAADvPY4o=")</f>
        <v>#VALUE!</v>
      </c>
      <c r="EJ82" t="e">
        <f>AND(Bills!T180,"AAAAADvPY4s=")</f>
        <v>#VALUE!</v>
      </c>
      <c r="EK82" t="e">
        <f>AND(Bills!U180,"AAAAADvPY4w=")</f>
        <v>#VALUE!</v>
      </c>
      <c r="EL82" t="e">
        <f>AND(Bills!#REF!,"AAAAADvPY40=")</f>
        <v>#REF!</v>
      </c>
      <c r="EM82" t="e">
        <f>AND(Bills!#REF!,"AAAAADvPY44=")</f>
        <v>#REF!</v>
      </c>
      <c r="EN82" t="e">
        <f>AND(Bills!W180,"AAAAADvPY48=")</f>
        <v>#VALUE!</v>
      </c>
      <c r="EO82" t="e">
        <f>AND(Bills!X180,"AAAAADvPY5A=")</f>
        <v>#VALUE!</v>
      </c>
      <c r="EP82" t="e">
        <f>AND(Bills!#REF!,"AAAAADvPY5E=")</f>
        <v>#REF!</v>
      </c>
      <c r="EQ82" t="e">
        <f>AND(Bills!#REF!,"AAAAADvPY5I=")</f>
        <v>#REF!</v>
      </c>
      <c r="ER82" t="e">
        <f>AND(Bills!#REF!,"AAAAADvPY5M=")</f>
        <v>#REF!</v>
      </c>
      <c r="ES82" t="e">
        <f>AND(Bills!#REF!,"AAAAADvPY5Q=")</f>
        <v>#REF!</v>
      </c>
      <c r="ET82" t="e">
        <f>AND(Bills!#REF!,"AAAAADvPY5U=")</f>
        <v>#REF!</v>
      </c>
      <c r="EU82" t="e">
        <f>AND(Bills!#REF!,"AAAAADvPY5Y=")</f>
        <v>#REF!</v>
      </c>
      <c r="EV82" t="e">
        <f>AND(Bills!#REF!,"AAAAADvPY5c=")</f>
        <v>#REF!</v>
      </c>
      <c r="EW82" t="e">
        <f>AND(Bills!#REF!,"AAAAADvPY5g=")</f>
        <v>#REF!</v>
      </c>
      <c r="EX82" t="e">
        <f>AND(Bills!#REF!,"AAAAADvPY5k=")</f>
        <v>#REF!</v>
      </c>
      <c r="EY82" t="e">
        <f>AND(Bills!Y180,"AAAAADvPY5o=")</f>
        <v>#VALUE!</v>
      </c>
      <c r="EZ82" t="e">
        <f>AND(Bills!Z180,"AAAAADvPY5s=")</f>
        <v>#VALUE!</v>
      </c>
      <c r="FA82" t="e">
        <f>AND(Bills!#REF!,"AAAAADvPY5w=")</f>
        <v>#REF!</v>
      </c>
      <c r="FB82" t="e">
        <f>AND(Bills!#REF!,"AAAAADvPY50=")</f>
        <v>#REF!</v>
      </c>
      <c r="FC82" t="e">
        <f>AND(Bills!#REF!,"AAAAADvPY54=")</f>
        <v>#REF!</v>
      </c>
      <c r="FD82" t="e">
        <f>AND(Bills!AA180,"AAAAADvPY58=")</f>
        <v>#VALUE!</v>
      </c>
      <c r="FE82" t="e">
        <f>AND(Bills!AB180,"AAAAADvPY6A=")</f>
        <v>#VALUE!</v>
      </c>
      <c r="FF82" t="e">
        <f>AND(Bills!#REF!,"AAAAADvPY6E=")</f>
        <v>#REF!</v>
      </c>
      <c r="FG82">
        <f>IF(Bills!181:181,"AAAAADvPY6I=",0)</f>
        <v>0</v>
      </c>
      <c r="FH82" t="e">
        <f>AND(Bills!B181,"AAAAADvPY6M=")</f>
        <v>#VALUE!</v>
      </c>
      <c r="FI82" t="e">
        <f>AND(Bills!#REF!,"AAAAADvPY6Q=")</f>
        <v>#REF!</v>
      </c>
      <c r="FJ82" t="e">
        <f>AND(Bills!C181,"AAAAADvPY6U=")</f>
        <v>#VALUE!</v>
      </c>
      <c r="FK82" t="e">
        <f>AND(Bills!#REF!,"AAAAADvPY6Y=")</f>
        <v>#REF!</v>
      </c>
      <c r="FL82" t="e">
        <f>AND(Bills!#REF!,"AAAAADvPY6c=")</f>
        <v>#REF!</v>
      </c>
      <c r="FM82" t="e">
        <f>AND(Bills!#REF!,"AAAAADvPY6g=")</f>
        <v>#REF!</v>
      </c>
      <c r="FN82" t="e">
        <f>AND(Bills!#REF!,"AAAAADvPY6k=")</f>
        <v>#REF!</v>
      </c>
      <c r="FO82" t="e">
        <f>AND(Bills!#REF!,"AAAAADvPY6o=")</f>
        <v>#REF!</v>
      </c>
      <c r="FP82" t="e">
        <f>AND(Bills!D181,"AAAAADvPY6s=")</f>
        <v>#VALUE!</v>
      </c>
      <c r="FQ82" t="e">
        <f>AND(Bills!#REF!,"AAAAADvPY6w=")</f>
        <v>#REF!</v>
      </c>
      <c r="FR82" t="e">
        <f>AND(Bills!E181,"AAAAADvPY60=")</f>
        <v>#VALUE!</v>
      </c>
      <c r="FS82" t="e">
        <f>AND(Bills!F181,"AAAAADvPY64=")</f>
        <v>#VALUE!</v>
      </c>
      <c r="FT82" t="e">
        <f>AND(Bills!G181,"AAAAADvPY68=")</f>
        <v>#VALUE!</v>
      </c>
      <c r="FU82" t="e">
        <f>AND(Bills!H181,"AAAAADvPY7A=")</f>
        <v>#VALUE!</v>
      </c>
      <c r="FV82" t="e">
        <f>AND(Bills!I181,"AAAAADvPY7E=")</f>
        <v>#VALUE!</v>
      </c>
      <c r="FW82" t="e">
        <f>AND(Bills!J181,"AAAAADvPY7I=")</f>
        <v>#VALUE!</v>
      </c>
      <c r="FX82" t="e">
        <f>AND(Bills!#REF!,"AAAAADvPY7M=")</f>
        <v>#REF!</v>
      </c>
      <c r="FY82" t="e">
        <f>AND(Bills!K181,"AAAAADvPY7Q=")</f>
        <v>#VALUE!</v>
      </c>
      <c r="FZ82" t="e">
        <f>AND(Bills!L181,"AAAAADvPY7U=")</f>
        <v>#VALUE!</v>
      </c>
      <c r="GA82" t="e">
        <f>AND(Bills!M181,"AAAAADvPY7Y=")</f>
        <v>#VALUE!</v>
      </c>
      <c r="GB82" t="e">
        <f>AND(Bills!N181,"AAAAADvPY7c=")</f>
        <v>#VALUE!</v>
      </c>
      <c r="GC82" t="e">
        <f>AND(Bills!O181,"AAAAADvPY7g=")</f>
        <v>#VALUE!</v>
      </c>
      <c r="GD82" t="e">
        <f>AND(Bills!P181,"AAAAADvPY7k=")</f>
        <v>#VALUE!</v>
      </c>
      <c r="GE82" t="e">
        <f>AND(Bills!Q181,"AAAAADvPY7o=")</f>
        <v>#VALUE!</v>
      </c>
      <c r="GF82" t="e">
        <f>AND(Bills!R181,"AAAAADvPY7s=")</f>
        <v>#VALUE!</v>
      </c>
      <c r="GG82" t="e">
        <f>AND(Bills!#REF!,"AAAAADvPY7w=")</f>
        <v>#REF!</v>
      </c>
      <c r="GH82" t="e">
        <f>AND(Bills!S181,"AAAAADvPY70=")</f>
        <v>#VALUE!</v>
      </c>
      <c r="GI82" t="e">
        <f>AND(Bills!T181,"AAAAADvPY74=")</f>
        <v>#VALUE!</v>
      </c>
      <c r="GJ82" t="e">
        <f>AND(Bills!U181,"AAAAADvPY78=")</f>
        <v>#VALUE!</v>
      </c>
      <c r="GK82" t="e">
        <f>AND(Bills!#REF!,"AAAAADvPY8A=")</f>
        <v>#REF!</v>
      </c>
      <c r="GL82" t="e">
        <f>AND(Bills!#REF!,"AAAAADvPY8E=")</f>
        <v>#REF!</v>
      </c>
      <c r="GM82" t="e">
        <f>AND(Bills!W181,"AAAAADvPY8I=")</f>
        <v>#VALUE!</v>
      </c>
      <c r="GN82" t="e">
        <f>AND(Bills!X181,"AAAAADvPY8M=")</f>
        <v>#VALUE!</v>
      </c>
      <c r="GO82" t="e">
        <f>AND(Bills!#REF!,"AAAAADvPY8Q=")</f>
        <v>#REF!</v>
      </c>
      <c r="GP82" t="e">
        <f>AND(Bills!#REF!,"AAAAADvPY8U=")</f>
        <v>#REF!</v>
      </c>
      <c r="GQ82" t="e">
        <f>AND(Bills!#REF!,"AAAAADvPY8Y=")</f>
        <v>#REF!</v>
      </c>
      <c r="GR82" t="e">
        <f>AND(Bills!#REF!,"AAAAADvPY8c=")</f>
        <v>#REF!</v>
      </c>
      <c r="GS82" t="e">
        <f>AND(Bills!#REF!,"AAAAADvPY8g=")</f>
        <v>#REF!</v>
      </c>
      <c r="GT82" t="e">
        <f>AND(Bills!#REF!,"AAAAADvPY8k=")</f>
        <v>#REF!</v>
      </c>
      <c r="GU82" t="e">
        <f>AND(Bills!#REF!,"AAAAADvPY8o=")</f>
        <v>#REF!</v>
      </c>
      <c r="GV82" t="e">
        <f>AND(Bills!#REF!,"AAAAADvPY8s=")</f>
        <v>#REF!</v>
      </c>
      <c r="GW82" t="e">
        <f>AND(Bills!#REF!,"AAAAADvPY8w=")</f>
        <v>#REF!</v>
      </c>
      <c r="GX82" t="e">
        <f>AND(Bills!Y181,"AAAAADvPY80=")</f>
        <v>#VALUE!</v>
      </c>
      <c r="GY82" t="e">
        <f>AND(Bills!Z181,"AAAAADvPY84=")</f>
        <v>#VALUE!</v>
      </c>
      <c r="GZ82" t="e">
        <f>AND(Bills!#REF!,"AAAAADvPY88=")</f>
        <v>#REF!</v>
      </c>
      <c r="HA82" t="e">
        <f>AND(Bills!#REF!,"AAAAADvPY9A=")</f>
        <v>#REF!</v>
      </c>
      <c r="HB82" t="e">
        <f>AND(Bills!#REF!,"AAAAADvPY9E=")</f>
        <v>#REF!</v>
      </c>
      <c r="HC82" t="e">
        <f>AND(Bills!AA181,"AAAAADvPY9I=")</f>
        <v>#VALUE!</v>
      </c>
      <c r="HD82" t="e">
        <f>AND(Bills!AB181,"AAAAADvPY9M=")</f>
        <v>#VALUE!</v>
      </c>
      <c r="HE82" t="e">
        <f>AND(Bills!#REF!,"AAAAADvPY9Q=")</f>
        <v>#REF!</v>
      </c>
      <c r="HF82">
        <f>IF(Bills!182:182,"AAAAADvPY9U=",0)</f>
        <v>0</v>
      </c>
      <c r="HG82" t="e">
        <f>AND(Bills!B182,"AAAAADvPY9Y=")</f>
        <v>#VALUE!</v>
      </c>
      <c r="HH82" t="e">
        <f>AND(Bills!#REF!,"AAAAADvPY9c=")</f>
        <v>#REF!</v>
      </c>
      <c r="HI82" t="e">
        <f>AND(Bills!C182,"AAAAADvPY9g=")</f>
        <v>#VALUE!</v>
      </c>
      <c r="HJ82" t="e">
        <f>AND(Bills!#REF!,"AAAAADvPY9k=")</f>
        <v>#REF!</v>
      </c>
      <c r="HK82" t="e">
        <f>AND(Bills!#REF!,"AAAAADvPY9o=")</f>
        <v>#REF!</v>
      </c>
      <c r="HL82" t="e">
        <f>AND(Bills!#REF!,"AAAAADvPY9s=")</f>
        <v>#REF!</v>
      </c>
      <c r="HM82" t="e">
        <f>AND(Bills!#REF!,"AAAAADvPY9w=")</f>
        <v>#REF!</v>
      </c>
      <c r="HN82" t="e">
        <f>AND(Bills!#REF!,"AAAAADvPY90=")</f>
        <v>#REF!</v>
      </c>
      <c r="HO82" t="e">
        <f>AND(Bills!D182,"AAAAADvPY94=")</f>
        <v>#VALUE!</v>
      </c>
      <c r="HP82" t="e">
        <f>AND(Bills!#REF!,"AAAAADvPY98=")</f>
        <v>#REF!</v>
      </c>
      <c r="HQ82" t="e">
        <f>AND(Bills!E182,"AAAAADvPY+A=")</f>
        <v>#VALUE!</v>
      </c>
      <c r="HR82" t="e">
        <f>AND(Bills!F182,"AAAAADvPY+E=")</f>
        <v>#VALUE!</v>
      </c>
      <c r="HS82" t="e">
        <f>AND(Bills!G182,"AAAAADvPY+I=")</f>
        <v>#VALUE!</v>
      </c>
      <c r="HT82" t="e">
        <f>AND(Bills!H182,"AAAAADvPY+M=")</f>
        <v>#VALUE!</v>
      </c>
      <c r="HU82" t="e">
        <f>AND(Bills!I182,"AAAAADvPY+Q=")</f>
        <v>#VALUE!</v>
      </c>
      <c r="HV82" t="e">
        <f>AND(Bills!J182,"AAAAADvPY+U=")</f>
        <v>#VALUE!</v>
      </c>
      <c r="HW82" t="e">
        <f>AND(Bills!#REF!,"AAAAADvPY+Y=")</f>
        <v>#REF!</v>
      </c>
      <c r="HX82" t="e">
        <f>AND(Bills!K182,"AAAAADvPY+c=")</f>
        <v>#VALUE!</v>
      </c>
      <c r="HY82" t="e">
        <f>AND(Bills!L182,"AAAAADvPY+g=")</f>
        <v>#VALUE!</v>
      </c>
      <c r="HZ82" t="e">
        <f>AND(Bills!M182,"AAAAADvPY+k=")</f>
        <v>#VALUE!</v>
      </c>
      <c r="IA82" t="e">
        <f>AND(Bills!N182,"AAAAADvPY+o=")</f>
        <v>#VALUE!</v>
      </c>
      <c r="IB82" t="e">
        <f>AND(Bills!O182,"AAAAADvPY+s=")</f>
        <v>#VALUE!</v>
      </c>
      <c r="IC82" t="e">
        <f>AND(Bills!P182,"AAAAADvPY+w=")</f>
        <v>#VALUE!</v>
      </c>
      <c r="ID82" t="e">
        <f>AND(Bills!Q182,"AAAAADvPY+0=")</f>
        <v>#VALUE!</v>
      </c>
      <c r="IE82" t="e">
        <f>AND(Bills!R182,"AAAAADvPY+4=")</f>
        <v>#VALUE!</v>
      </c>
      <c r="IF82" t="e">
        <f>AND(Bills!#REF!,"AAAAADvPY+8=")</f>
        <v>#REF!</v>
      </c>
      <c r="IG82" t="e">
        <f>AND(Bills!S182,"AAAAADvPY/A=")</f>
        <v>#VALUE!</v>
      </c>
      <c r="IH82" t="e">
        <f>AND(Bills!T182,"AAAAADvPY/E=")</f>
        <v>#VALUE!</v>
      </c>
      <c r="II82" t="e">
        <f>AND(Bills!U182,"AAAAADvPY/I=")</f>
        <v>#VALUE!</v>
      </c>
      <c r="IJ82" t="e">
        <f>AND(Bills!#REF!,"AAAAADvPY/M=")</f>
        <v>#REF!</v>
      </c>
      <c r="IK82" t="e">
        <f>AND(Bills!#REF!,"AAAAADvPY/Q=")</f>
        <v>#REF!</v>
      </c>
      <c r="IL82" t="e">
        <f>AND(Bills!W182,"AAAAADvPY/U=")</f>
        <v>#VALUE!</v>
      </c>
      <c r="IM82" t="e">
        <f>AND(Bills!X182,"AAAAADvPY/Y=")</f>
        <v>#VALUE!</v>
      </c>
      <c r="IN82" t="e">
        <f>AND(Bills!#REF!,"AAAAADvPY/c=")</f>
        <v>#REF!</v>
      </c>
      <c r="IO82" t="e">
        <f>AND(Bills!#REF!,"AAAAADvPY/g=")</f>
        <v>#REF!</v>
      </c>
      <c r="IP82" t="e">
        <f>AND(Bills!#REF!,"AAAAADvPY/k=")</f>
        <v>#REF!</v>
      </c>
      <c r="IQ82" t="e">
        <f>AND(Bills!#REF!,"AAAAADvPY/o=")</f>
        <v>#REF!</v>
      </c>
      <c r="IR82" t="e">
        <f>AND(Bills!#REF!,"AAAAADvPY/s=")</f>
        <v>#REF!</v>
      </c>
      <c r="IS82" t="e">
        <f>AND(Bills!#REF!,"AAAAADvPY/w=")</f>
        <v>#REF!</v>
      </c>
      <c r="IT82" t="e">
        <f>AND(Bills!#REF!,"AAAAADvPY/0=")</f>
        <v>#REF!</v>
      </c>
      <c r="IU82" t="e">
        <f>AND(Bills!#REF!,"AAAAADvPY/4=")</f>
        <v>#REF!</v>
      </c>
      <c r="IV82" t="e">
        <f>AND(Bills!#REF!,"AAAAADvPY/8=")</f>
        <v>#REF!</v>
      </c>
    </row>
    <row r="83" spans="1:256">
      <c r="A83" t="e">
        <f>AND(Bills!Y182,"AAAAAD+8twA=")</f>
        <v>#VALUE!</v>
      </c>
      <c r="B83" t="e">
        <f>AND(Bills!Z182,"AAAAAD+8twE=")</f>
        <v>#VALUE!</v>
      </c>
      <c r="C83" t="e">
        <f>AND(Bills!#REF!,"AAAAAD+8twI=")</f>
        <v>#REF!</v>
      </c>
      <c r="D83" t="e">
        <f>AND(Bills!#REF!,"AAAAAD+8twM=")</f>
        <v>#REF!</v>
      </c>
      <c r="E83" t="e">
        <f>AND(Bills!#REF!,"AAAAAD+8twQ=")</f>
        <v>#REF!</v>
      </c>
      <c r="F83" t="e">
        <f>AND(Bills!AA182,"AAAAAD+8twU=")</f>
        <v>#VALUE!</v>
      </c>
      <c r="G83" t="e">
        <f>AND(Bills!AB182,"AAAAAD+8twY=")</f>
        <v>#VALUE!</v>
      </c>
      <c r="H83" t="e">
        <f>AND(Bills!#REF!,"AAAAAD+8twc=")</f>
        <v>#REF!</v>
      </c>
      <c r="I83">
        <f>IF(Bills!183:183,"AAAAAD+8twg=",0)</f>
        <v>0</v>
      </c>
      <c r="J83" t="e">
        <f>AND(Bills!B183,"AAAAAD+8twk=")</f>
        <v>#VALUE!</v>
      </c>
      <c r="K83" t="e">
        <f>AND(Bills!#REF!,"AAAAAD+8two=")</f>
        <v>#REF!</v>
      </c>
      <c r="L83" t="e">
        <f>AND(Bills!C183,"AAAAAD+8tws=")</f>
        <v>#VALUE!</v>
      </c>
      <c r="M83" t="e">
        <f>AND(Bills!#REF!,"AAAAAD+8tww=")</f>
        <v>#REF!</v>
      </c>
      <c r="N83" t="e">
        <f>AND(Bills!#REF!,"AAAAAD+8tw0=")</f>
        <v>#REF!</v>
      </c>
      <c r="O83" t="e">
        <f>AND(Bills!#REF!,"AAAAAD+8tw4=")</f>
        <v>#REF!</v>
      </c>
      <c r="P83" t="e">
        <f>AND(Bills!#REF!,"AAAAAD+8tw8=")</f>
        <v>#REF!</v>
      </c>
      <c r="Q83" t="e">
        <f>AND(Bills!#REF!,"AAAAAD+8txA=")</f>
        <v>#REF!</v>
      </c>
      <c r="R83" t="e">
        <f>AND(Bills!D183,"AAAAAD+8txE=")</f>
        <v>#VALUE!</v>
      </c>
      <c r="S83" t="e">
        <f>AND(Bills!#REF!,"AAAAAD+8txI=")</f>
        <v>#REF!</v>
      </c>
      <c r="T83" t="e">
        <f>AND(Bills!E183,"AAAAAD+8txM=")</f>
        <v>#VALUE!</v>
      </c>
      <c r="U83" t="e">
        <f>AND(Bills!F183,"AAAAAD+8txQ=")</f>
        <v>#VALUE!</v>
      </c>
      <c r="V83" t="e">
        <f>AND(Bills!G183,"AAAAAD+8txU=")</f>
        <v>#VALUE!</v>
      </c>
      <c r="W83" t="e">
        <f>AND(Bills!H183,"AAAAAD+8txY=")</f>
        <v>#VALUE!</v>
      </c>
      <c r="X83" t="e">
        <f>AND(Bills!I183,"AAAAAD+8txc=")</f>
        <v>#VALUE!</v>
      </c>
      <c r="Y83" t="e">
        <f>AND(Bills!J183,"AAAAAD+8txg=")</f>
        <v>#VALUE!</v>
      </c>
      <c r="Z83" t="e">
        <f>AND(Bills!#REF!,"AAAAAD+8txk=")</f>
        <v>#REF!</v>
      </c>
      <c r="AA83" t="e">
        <f>AND(Bills!K183,"AAAAAD+8txo=")</f>
        <v>#VALUE!</v>
      </c>
      <c r="AB83" t="e">
        <f>AND(Bills!L183,"AAAAAD+8txs=")</f>
        <v>#VALUE!</v>
      </c>
      <c r="AC83" t="e">
        <f>AND(Bills!M183,"AAAAAD+8txw=")</f>
        <v>#VALUE!</v>
      </c>
      <c r="AD83" t="e">
        <f>AND(Bills!N183,"AAAAAD+8tx0=")</f>
        <v>#VALUE!</v>
      </c>
      <c r="AE83" t="e">
        <f>AND(Bills!O183,"AAAAAD+8tx4=")</f>
        <v>#VALUE!</v>
      </c>
      <c r="AF83" t="e">
        <f>AND(Bills!P183,"AAAAAD+8tx8=")</f>
        <v>#VALUE!</v>
      </c>
      <c r="AG83" t="e">
        <f>AND(Bills!Q183,"AAAAAD+8tyA=")</f>
        <v>#VALUE!</v>
      </c>
      <c r="AH83" t="e">
        <f>AND(Bills!R183,"AAAAAD+8tyE=")</f>
        <v>#VALUE!</v>
      </c>
      <c r="AI83" t="e">
        <f>AND(Bills!#REF!,"AAAAAD+8tyI=")</f>
        <v>#REF!</v>
      </c>
      <c r="AJ83" t="e">
        <f>AND(Bills!S183,"AAAAAD+8tyM=")</f>
        <v>#VALUE!</v>
      </c>
      <c r="AK83" t="e">
        <f>AND(Bills!T183,"AAAAAD+8tyQ=")</f>
        <v>#VALUE!</v>
      </c>
      <c r="AL83" t="e">
        <f>AND(Bills!U183,"AAAAAD+8tyU=")</f>
        <v>#VALUE!</v>
      </c>
      <c r="AM83" t="e">
        <f>AND(Bills!#REF!,"AAAAAD+8tyY=")</f>
        <v>#REF!</v>
      </c>
      <c r="AN83" t="e">
        <f>AND(Bills!#REF!,"AAAAAD+8tyc=")</f>
        <v>#REF!</v>
      </c>
      <c r="AO83" t="e">
        <f>AND(Bills!W183,"AAAAAD+8tyg=")</f>
        <v>#VALUE!</v>
      </c>
      <c r="AP83" t="e">
        <f>AND(Bills!X183,"AAAAAD+8tyk=")</f>
        <v>#VALUE!</v>
      </c>
      <c r="AQ83" t="e">
        <f>AND(Bills!#REF!,"AAAAAD+8tyo=")</f>
        <v>#REF!</v>
      </c>
      <c r="AR83" t="e">
        <f>AND(Bills!#REF!,"AAAAAD+8tys=")</f>
        <v>#REF!</v>
      </c>
      <c r="AS83" t="e">
        <f>AND(Bills!#REF!,"AAAAAD+8tyw=")</f>
        <v>#REF!</v>
      </c>
      <c r="AT83" t="e">
        <f>AND(Bills!#REF!,"AAAAAD+8ty0=")</f>
        <v>#REF!</v>
      </c>
      <c r="AU83" t="e">
        <f>AND(Bills!#REF!,"AAAAAD+8ty4=")</f>
        <v>#REF!</v>
      </c>
      <c r="AV83" t="e">
        <f>AND(Bills!#REF!,"AAAAAD+8ty8=")</f>
        <v>#REF!</v>
      </c>
      <c r="AW83" t="e">
        <f>AND(Bills!#REF!,"AAAAAD+8tzA=")</f>
        <v>#REF!</v>
      </c>
      <c r="AX83" t="e">
        <f>AND(Bills!#REF!,"AAAAAD+8tzE=")</f>
        <v>#REF!</v>
      </c>
      <c r="AY83" t="e">
        <f>AND(Bills!#REF!,"AAAAAD+8tzI=")</f>
        <v>#REF!</v>
      </c>
      <c r="AZ83" t="e">
        <f>AND(Bills!Y183,"AAAAAD+8tzM=")</f>
        <v>#VALUE!</v>
      </c>
      <c r="BA83" t="e">
        <f>AND(Bills!Z183,"AAAAAD+8tzQ=")</f>
        <v>#VALUE!</v>
      </c>
      <c r="BB83" t="e">
        <f>AND(Bills!#REF!,"AAAAAD+8tzU=")</f>
        <v>#REF!</v>
      </c>
      <c r="BC83" t="e">
        <f>AND(Bills!#REF!,"AAAAAD+8tzY=")</f>
        <v>#REF!</v>
      </c>
      <c r="BD83" t="e">
        <f>AND(Bills!#REF!,"AAAAAD+8tzc=")</f>
        <v>#REF!</v>
      </c>
      <c r="BE83" t="e">
        <f>AND(Bills!AA183,"AAAAAD+8tzg=")</f>
        <v>#VALUE!</v>
      </c>
      <c r="BF83" t="e">
        <f>AND(Bills!AB183,"AAAAAD+8tzk=")</f>
        <v>#VALUE!</v>
      </c>
      <c r="BG83" t="e">
        <f>AND(Bills!#REF!,"AAAAAD+8tzo=")</f>
        <v>#REF!</v>
      </c>
      <c r="BH83">
        <f>IF(Bills!184:184,"AAAAAD+8tzs=",0)</f>
        <v>0</v>
      </c>
      <c r="BI83" t="e">
        <f>AND(Bills!B184,"AAAAAD+8tzw=")</f>
        <v>#VALUE!</v>
      </c>
      <c r="BJ83" t="e">
        <f>AND(Bills!#REF!,"AAAAAD+8tz0=")</f>
        <v>#REF!</v>
      </c>
      <c r="BK83" t="e">
        <f>AND(Bills!C184,"AAAAAD+8tz4=")</f>
        <v>#VALUE!</v>
      </c>
      <c r="BL83" t="e">
        <f>AND(Bills!#REF!,"AAAAAD+8tz8=")</f>
        <v>#REF!</v>
      </c>
      <c r="BM83" t="e">
        <f>AND(Bills!#REF!,"AAAAAD+8t0A=")</f>
        <v>#REF!</v>
      </c>
      <c r="BN83" t="e">
        <f>AND(Bills!#REF!,"AAAAAD+8t0E=")</f>
        <v>#REF!</v>
      </c>
      <c r="BO83" t="e">
        <f>AND(Bills!#REF!,"AAAAAD+8t0I=")</f>
        <v>#REF!</v>
      </c>
      <c r="BP83" t="e">
        <f>AND(Bills!#REF!,"AAAAAD+8t0M=")</f>
        <v>#REF!</v>
      </c>
      <c r="BQ83" t="e">
        <f>AND(Bills!D184,"AAAAAD+8t0Q=")</f>
        <v>#VALUE!</v>
      </c>
      <c r="BR83" t="e">
        <f>AND(Bills!#REF!,"AAAAAD+8t0U=")</f>
        <v>#REF!</v>
      </c>
      <c r="BS83" t="e">
        <f>AND(Bills!E184,"AAAAAD+8t0Y=")</f>
        <v>#VALUE!</v>
      </c>
      <c r="BT83" t="e">
        <f>AND(Bills!F184,"AAAAAD+8t0c=")</f>
        <v>#VALUE!</v>
      </c>
      <c r="BU83" t="e">
        <f>AND(Bills!G184,"AAAAAD+8t0g=")</f>
        <v>#VALUE!</v>
      </c>
      <c r="BV83" t="e">
        <f>AND(Bills!H184,"AAAAAD+8t0k=")</f>
        <v>#VALUE!</v>
      </c>
      <c r="BW83" t="e">
        <f>AND(Bills!I184,"AAAAAD+8t0o=")</f>
        <v>#VALUE!</v>
      </c>
      <c r="BX83" t="e">
        <f>AND(Bills!J184,"AAAAAD+8t0s=")</f>
        <v>#VALUE!</v>
      </c>
      <c r="BY83" t="e">
        <f>AND(Bills!#REF!,"AAAAAD+8t0w=")</f>
        <v>#REF!</v>
      </c>
      <c r="BZ83" t="e">
        <f>AND(Bills!K184,"AAAAAD+8t00=")</f>
        <v>#VALUE!</v>
      </c>
      <c r="CA83" t="e">
        <f>AND(Bills!L184,"AAAAAD+8t04=")</f>
        <v>#VALUE!</v>
      </c>
      <c r="CB83" t="e">
        <f>AND(Bills!M184,"AAAAAD+8t08=")</f>
        <v>#VALUE!</v>
      </c>
      <c r="CC83" t="e">
        <f>AND(Bills!N184,"AAAAAD+8t1A=")</f>
        <v>#VALUE!</v>
      </c>
      <c r="CD83" t="e">
        <f>AND(Bills!O184,"AAAAAD+8t1E=")</f>
        <v>#VALUE!</v>
      </c>
      <c r="CE83" t="e">
        <f>AND(Bills!P184,"AAAAAD+8t1I=")</f>
        <v>#VALUE!</v>
      </c>
      <c r="CF83" t="e">
        <f>AND(Bills!Q184,"AAAAAD+8t1M=")</f>
        <v>#VALUE!</v>
      </c>
      <c r="CG83" t="e">
        <f>AND(Bills!R184,"AAAAAD+8t1Q=")</f>
        <v>#VALUE!</v>
      </c>
      <c r="CH83" t="e">
        <f>AND(Bills!#REF!,"AAAAAD+8t1U=")</f>
        <v>#REF!</v>
      </c>
      <c r="CI83" t="e">
        <f>AND(Bills!S184,"AAAAAD+8t1Y=")</f>
        <v>#VALUE!</v>
      </c>
      <c r="CJ83" t="e">
        <f>AND(Bills!T184,"AAAAAD+8t1c=")</f>
        <v>#VALUE!</v>
      </c>
      <c r="CK83" t="e">
        <f>AND(Bills!U184,"AAAAAD+8t1g=")</f>
        <v>#VALUE!</v>
      </c>
      <c r="CL83" t="e">
        <f>AND(Bills!#REF!,"AAAAAD+8t1k=")</f>
        <v>#REF!</v>
      </c>
      <c r="CM83" t="e">
        <f>AND(Bills!#REF!,"AAAAAD+8t1o=")</f>
        <v>#REF!</v>
      </c>
      <c r="CN83" t="e">
        <f>AND(Bills!W184,"AAAAAD+8t1s=")</f>
        <v>#VALUE!</v>
      </c>
      <c r="CO83" t="e">
        <f>AND(Bills!X184,"AAAAAD+8t1w=")</f>
        <v>#VALUE!</v>
      </c>
      <c r="CP83" t="e">
        <f>AND(Bills!#REF!,"AAAAAD+8t10=")</f>
        <v>#REF!</v>
      </c>
      <c r="CQ83" t="e">
        <f>AND(Bills!#REF!,"AAAAAD+8t14=")</f>
        <v>#REF!</v>
      </c>
      <c r="CR83" t="e">
        <f>AND(Bills!#REF!,"AAAAAD+8t18=")</f>
        <v>#REF!</v>
      </c>
      <c r="CS83" t="e">
        <f>AND(Bills!#REF!,"AAAAAD+8t2A=")</f>
        <v>#REF!</v>
      </c>
      <c r="CT83" t="e">
        <f>AND(Bills!#REF!,"AAAAAD+8t2E=")</f>
        <v>#REF!</v>
      </c>
      <c r="CU83" t="e">
        <f>AND(Bills!#REF!,"AAAAAD+8t2I=")</f>
        <v>#REF!</v>
      </c>
      <c r="CV83" t="e">
        <f>AND(Bills!#REF!,"AAAAAD+8t2M=")</f>
        <v>#REF!</v>
      </c>
      <c r="CW83" t="e">
        <f>AND(Bills!#REF!,"AAAAAD+8t2Q=")</f>
        <v>#REF!</v>
      </c>
      <c r="CX83" t="e">
        <f>AND(Bills!#REF!,"AAAAAD+8t2U=")</f>
        <v>#REF!</v>
      </c>
      <c r="CY83" t="e">
        <f>AND(Bills!Y184,"AAAAAD+8t2Y=")</f>
        <v>#VALUE!</v>
      </c>
      <c r="CZ83" t="e">
        <f>AND(Bills!Z184,"AAAAAD+8t2c=")</f>
        <v>#VALUE!</v>
      </c>
      <c r="DA83" t="e">
        <f>AND(Bills!#REF!,"AAAAAD+8t2g=")</f>
        <v>#REF!</v>
      </c>
      <c r="DB83" t="e">
        <f>AND(Bills!#REF!,"AAAAAD+8t2k=")</f>
        <v>#REF!</v>
      </c>
      <c r="DC83" t="e">
        <f>AND(Bills!#REF!,"AAAAAD+8t2o=")</f>
        <v>#REF!</v>
      </c>
      <c r="DD83" t="e">
        <f>AND(Bills!AA184,"AAAAAD+8t2s=")</f>
        <v>#VALUE!</v>
      </c>
      <c r="DE83" t="e">
        <f>AND(Bills!AB184,"AAAAAD+8t2w=")</f>
        <v>#VALUE!</v>
      </c>
      <c r="DF83" t="e">
        <f>AND(Bills!#REF!,"AAAAAD+8t20=")</f>
        <v>#REF!</v>
      </c>
      <c r="DG83">
        <f>IF(Bills!185:185,"AAAAAD+8t24=",0)</f>
        <v>0</v>
      </c>
      <c r="DH83" t="e">
        <f>AND(Bills!B185,"AAAAAD+8t28=")</f>
        <v>#VALUE!</v>
      </c>
      <c r="DI83" t="e">
        <f>AND(Bills!#REF!,"AAAAAD+8t3A=")</f>
        <v>#REF!</v>
      </c>
      <c r="DJ83" t="e">
        <f>AND(Bills!C185,"AAAAAD+8t3E=")</f>
        <v>#VALUE!</v>
      </c>
      <c r="DK83" t="e">
        <f>AND(Bills!#REF!,"AAAAAD+8t3I=")</f>
        <v>#REF!</v>
      </c>
      <c r="DL83" t="e">
        <f>AND(Bills!#REF!,"AAAAAD+8t3M=")</f>
        <v>#REF!</v>
      </c>
      <c r="DM83" t="e">
        <f>AND(Bills!#REF!,"AAAAAD+8t3Q=")</f>
        <v>#REF!</v>
      </c>
      <c r="DN83" t="e">
        <f>AND(Bills!#REF!,"AAAAAD+8t3U=")</f>
        <v>#REF!</v>
      </c>
      <c r="DO83" t="e">
        <f>AND(Bills!#REF!,"AAAAAD+8t3Y=")</f>
        <v>#REF!</v>
      </c>
      <c r="DP83" t="e">
        <f>AND(Bills!D185,"AAAAAD+8t3c=")</f>
        <v>#VALUE!</v>
      </c>
      <c r="DQ83" t="e">
        <f>AND(Bills!#REF!,"AAAAAD+8t3g=")</f>
        <v>#REF!</v>
      </c>
      <c r="DR83" t="e">
        <f>AND(Bills!E185,"AAAAAD+8t3k=")</f>
        <v>#VALUE!</v>
      </c>
      <c r="DS83" t="e">
        <f>AND(Bills!F185,"AAAAAD+8t3o=")</f>
        <v>#VALUE!</v>
      </c>
      <c r="DT83" t="e">
        <f>AND(Bills!G185,"AAAAAD+8t3s=")</f>
        <v>#VALUE!</v>
      </c>
      <c r="DU83" t="e">
        <f>AND(Bills!H185,"AAAAAD+8t3w=")</f>
        <v>#VALUE!</v>
      </c>
      <c r="DV83" t="e">
        <f>AND(Bills!I185,"AAAAAD+8t30=")</f>
        <v>#VALUE!</v>
      </c>
      <c r="DW83" t="e">
        <f>AND(Bills!J185,"AAAAAD+8t34=")</f>
        <v>#VALUE!</v>
      </c>
      <c r="DX83" t="e">
        <f>AND(Bills!#REF!,"AAAAAD+8t38=")</f>
        <v>#REF!</v>
      </c>
      <c r="DY83" t="e">
        <f>AND(Bills!K185,"AAAAAD+8t4A=")</f>
        <v>#VALUE!</v>
      </c>
      <c r="DZ83" t="e">
        <f>AND(Bills!L185,"AAAAAD+8t4E=")</f>
        <v>#VALUE!</v>
      </c>
      <c r="EA83" t="e">
        <f>AND(Bills!M185,"AAAAAD+8t4I=")</f>
        <v>#VALUE!</v>
      </c>
      <c r="EB83" t="e">
        <f>AND(Bills!N185,"AAAAAD+8t4M=")</f>
        <v>#VALUE!</v>
      </c>
      <c r="EC83" t="e">
        <f>AND(Bills!O185,"AAAAAD+8t4Q=")</f>
        <v>#VALUE!</v>
      </c>
      <c r="ED83" t="e">
        <f>AND(Bills!P185,"AAAAAD+8t4U=")</f>
        <v>#VALUE!</v>
      </c>
      <c r="EE83" t="e">
        <f>AND(Bills!Q185,"AAAAAD+8t4Y=")</f>
        <v>#VALUE!</v>
      </c>
      <c r="EF83" t="e">
        <f>AND(Bills!R185,"AAAAAD+8t4c=")</f>
        <v>#VALUE!</v>
      </c>
      <c r="EG83" t="e">
        <f>AND(Bills!#REF!,"AAAAAD+8t4g=")</f>
        <v>#REF!</v>
      </c>
      <c r="EH83" t="e">
        <f>AND(Bills!S185,"AAAAAD+8t4k=")</f>
        <v>#VALUE!</v>
      </c>
      <c r="EI83" t="e">
        <f>AND(Bills!T185,"AAAAAD+8t4o=")</f>
        <v>#VALUE!</v>
      </c>
      <c r="EJ83" t="e">
        <f>AND(Bills!U185,"AAAAAD+8t4s=")</f>
        <v>#VALUE!</v>
      </c>
      <c r="EK83" t="e">
        <f>AND(Bills!#REF!,"AAAAAD+8t4w=")</f>
        <v>#REF!</v>
      </c>
      <c r="EL83" t="e">
        <f>AND(Bills!#REF!,"AAAAAD+8t40=")</f>
        <v>#REF!</v>
      </c>
      <c r="EM83" t="e">
        <f>AND(Bills!W185,"AAAAAD+8t44=")</f>
        <v>#VALUE!</v>
      </c>
      <c r="EN83" t="e">
        <f>AND(Bills!X185,"AAAAAD+8t48=")</f>
        <v>#VALUE!</v>
      </c>
      <c r="EO83" t="e">
        <f>AND(Bills!#REF!,"AAAAAD+8t5A=")</f>
        <v>#REF!</v>
      </c>
      <c r="EP83" t="e">
        <f>AND(Bills!#REF!,"AAAAAD+8t5E=")</f>
        <v>#REF!</v>
      </c>
      <c r="EQ83" t="e">
        <f>AND(Bills!#REF!,"AAAAAD+8t5I=")</f>
        <v>#REF!</v>
      </c>
      <c r="ER83" t="e">
        <f>AND(Bills!#REF!,"AAAAAD+8t5M=")</f>
        <v>#REF!</v>
      </c>
      <c r="ES83" t="e">
        <f>AND(Bills!#REF!,"AAAAAD+8t5Q=")</f>
        <v>#REF!</v>
      </c>
      <c r="ET83" t="e">
        <f>AND(Bills!#REF!,"AAAAAD+8t5U=")</f>
        <v>#REF!</v>
      </c>
      <c r="EU83" t="e">
        <f>AND(Bills!#REF!,"AAAAAD+8t5Y=")</f>
        <v>#REF!</v>
      </c>
      <c r="EV83" t="e">
        <f>AND(Bills!#REF!,"AAAAAD+8t5c=")</f>
        <v>#REF!</v>
      </c>
      <c r="EW83" t="e">
        <f>AND(Bills!#REF!,"AAAAAD+8t5g=")</f>
        <v>#REF!</v>
      </c>
      <c r="EX83" t="e">
        <f>AND(Bills!Y185,"AAAAAD+8t5k=")</f>
        <v>#VALUE!</v>
      </c>
      <c r="EY83" t="e">
        <f>AND(Bills!Z185,"AAAAAD+8t5o=")</f>
        <v>#VALUE!</v>
      </c>
      <c r="EZ83" t="e">
        <f>AND(Bills!#REF!,"AAAAAD+8t5s=")</f>
        <v>#REF!</v>
      </c>
      <c r="FA83" t="e">
        <f>AND(Bills!#REF!,"AAAAAD+8t5w=")</f>
        <v>#REF!</v>
      </c>
      <c r="FB83" t="e">
        <f>AND(Bills!#REF!,"AAAAAD+8t50=")</f>
        <v>#REF!</v>
      </c>
      <c r="FC83" t="e">
        <f>AND(Bills!AA185,"AAAAAD+8t54=")</f>
        <v>#VALUE!</v>
      </c>
      <c r="FD83" t="e">
        <f>AND(Bills!AB185,"AAAAAD+8t58=")</f>
        <v>#VALUE!</v>
      </c>
      <c r="FE83" t="e">
        <f>AND(Bills!#REF!,"AAAAAD+8t6A=")</f>
        <v>#REF!</v>
      </c>
      <c r="FF83">
        <f>IF(Bills!186:186,"AAAAAD+8t6E=",0)</f>
        <v>0</v>
      </c>
      <c r="FG83" t="e">
        <f>AND(Bills!B186,"AAAAAD+8t6I=")</f>
        <v>#VALUE!</v>
      </c>
      <c r="FH83" t="e">
        <f>AND(Bills!#REF!,"AAAAAD+8t6M=")</f>
        <v>#REF!</v>
      </c>
      <c r="FI83" t="e">
        <f>AND(Bills!C186,"AAAAAD+8t6Q=")</f>
        <v>#VALUE!</v>
      </c>
      <c r="FJ83" t="e">
        <f>AND(Bills!#REF!,"AAAAAD+8t6U=")</f>
        <v>#REF!</v>
      </c>
      <c r="FK83" t="e">
        <f>AND(Bills!#REF!,"AAAAAD+8t6Y=")</f>
        <v>#REF!</v>
      </c>
      <c r="FL83" t="e">
        <f>AND(Bills!#REF!,"AAAAAD+8t6c=")</f>
        <v>#REF!</v>
      </c>
      <c r="FM83" t="e">
        <f>AND(Bills!#REF!,"AAAAAD+8t6g=")</f>
        <v>#REF!</v>
      </c>
      <c r="FN83" t="e">
        <f>AND(Bills!#REF!,"AAAAAD+8t6k=")</f>
        <v>#REF!</v>
      </c>
      <c r="FO83" t="e">
        <f>AND(Bills!D186,"AAAAAD+8t6o=")</f>
        <v>#VALUE!</v>
      </c>
      <c r="FP83" t="e">
        <f>AND(Bills!#REF!,"AAAAAD+8t6s=")</f>
        <v>#REF!</v>
      </c>
      <c r="FQ83" t="e">
        <f>AND(Bills!E186,"AAAAAD+8t6w=")</f>
        <v>#VALUE!</v>
      </c>
      <c r="FR83" t="e">
        <f>AND(Bills!F186,"AAAAAD+8t60=")</f>
        <v>#VALUE!</v>
      </c>
      <c r="FS83" t="e">
        <f>AND(Bills!G186,"AAAAAD+8t64=")</f>
        <v>#VALUE!</v>
      </c>
      <c r="FT83" t="e">
        <f>AND(Bills!H186,"AAAAAD+8t68=")</f>
        <v>#VALUE!</v>
      </c>
      <c r="FU83" t="e">
        <f>AND(Bills!I186,"AAAAAD+8t7A=")</f>
        <v>#VALUE!</v>
      </c>
      <c r="FV83" t="e">
        <f>AND(Bills!J186,"AAAAAD+8t7E=")</f>
        <v>#VALUE!</v>
      </c>
      <c r="FW83" t="e">
        <f>AND(Bills!#REF!,"AAAAAD+8t7I=")</f>
        <v>#REF!</v>
      </c>
      <c r="FX83" t="e">
        <f>AND(Bills!K186,"AAAAAD+8t7M=")</f>
        <v>#VALUE!</v>
      </c>
      <c r="FY83" t="e">
        <f>AND(Bills!L186,"AAAAAD+8t7Q=")</f>
        <v>#VALUE!</v>
      </c>
      <c r="FZ83" t="e">
        <f>AND(Bills!M186,"AAAAAD+8t7U=")</f>
        <v>#VALUE!</v>
      </c>
      <c r="GA83" t="e">
        <f>AND(Bills!N186,"AAAAAD+8t7Y=")</f>
        <v>#VALUE!</v>
      </c>
      <c r="GB83" t="e">
        <f>AND(Bills!O186,"AAAAAD+8t7c=")</f>
        <v>#VALUE!</v>
      </c>
      <c r="GC83" t="e">
        <f>AND(Bills!P186,"AAAAAD+8t7g=")</f>
        <v>#VALUE!</v>
      </c>
      <c r="GD83" t="e">
        <f>AND(Bills!Q186,"AAAAAD+8t7k=")</f>
        <v>#VALUE!</v>
      </c>
      <c r="GE83" t="e">
        <f>AND(Bills!R186,"AAAAAD+8t7o=")</f>
        <v>#VALUE!</v>
      </c>
      <c r="GF83" t="e">
        <f>AND(Bills!#REF!,"AAAAAD+8t7s=")</f>
        <v>#REF!</v>
      </c>
      <c r="GG83" t="e">
        <f>AND(Bills!S186,"AAAAAD+8t7w=")</f>
        <v>#VALUE!</v>
      </c>
      <c r="GH83" t="e">
        <f>AND(Bills!T186,"AAAAAD+8t70=")</f>
        <v>#VALUE!</v>
      </c>
      <c r="GI83" t="e">
        <f>AND(Bills!U186,"AAAAAD+8t74=")</f>
        <v>#VALUE!</v>
      </c>
      <c r="GJ83" t="e">
        <f>AND(Bills!#REF!,"AAAAAD+8t78=")</f>
        <v>#REF!</v>
      </c>
      <c r="GK83" t="e">
        <f>AND(Bills!#REF!,"AAAAAD+8t8A=")</f>
        <v>#REF!</v>
      </c>
      <c r="GL83" t="e">
        <f>AND(Bills!W186,"AAAAAD+8t8E=")</f>
        <v>#VALUE!</v>
      </c>
      <c r="GM83" t="e">
        <f>AND(Bills!X186,"AAAAAD+8t8I=")</f>
        <v>#VALUE!</v>
      </c>
      <c r="GN83" t="e">
        <f>AND(Bills!#REF!,"AAAAAD+8t8M=")</f>
        <v>#REF!</v>
      </c>
      <c r="GO83" t="e">
        <f>AND(Bills!#REF!,"AAAAAD+8t8Q=")</f>
        <v>#REF!</v>
      </c>
      <c r="GP83" t="e">
        <f>AND(Bills!#REF!,"AAAAAD+8t8U=")</f>
        <v>#REF!</v>
      </c>
      <c r="GQ83" t="e">
        <f>AND(Bills!#REF!,"AAAAAD+8t8Y=")</f>
        <v>#REF!</v>
      </c>
      <c r="GR83" t="e">
        <f>AND(Bills!#REF!,"AAAAAD+8t8c=")</f>
        <v>#REF!</v>
      </c>
      <c r="GS83" t="e">
        <f>AND(Bills!#REF!,"AAAAAD+8t8g=")</f>
        <v>#REF!</v>
      </c>
      <c r="GT83" t="e">
        <f>AND(Bills!#REF!,"AAAAAD+8t8k=")</f>
        <v>#REF!</v>
      </c>
      <c r="GU83" t="e">
        <f>AND(Bills!#REF!,"AAAAAD+8t8o=")</f>
        <v>#REF!</v>
      </c>
      <c r="GV83" t="e">
        <f>AND(Bills!#REF!,"AAAAAD+8t8s=")</f>
        <v>#REF!</v>
      </c>
      <c r="GW83" t="e">
        <f>AND(Bills!Y186,"AAAAAD+8t8w=")</f>
        <v>#VALUE!</v>
      </c>
      <c r="GX83" t="e">
        <f>AND(Bills!Z186,"AAAAAD+8t80=")</f>
        <v>#VALUE!</v>
      </c>
      <c r="GY83" t="e">
        <f>AND(Bills!#REF!,"AAAAAD+8t84=")</f>
        <v>#REF!</v>
      </c>
      <c r="GZ83" t="e">
        <f>AND(Bills!#REF!,"AAAAAD+8t88=")</f>
        <v>#REF!</v>
      </c>
      <c r="HA83" t="e">
        <f>AND(Bills!#REF!,"AAAAAD+8t9A=")</f>
        <v>#REF!</v>
      </c>
      <c r="HB83" t="e">
        <f>AND(Bills!AA186,"AAAAAD+8t9E=")</f>
        <v>#VALUE!</v>
      </c>
      <c r="HC83" t="e">
        <f>AND(Bills!AB186,"AAAAAD+8t9I=")</f>
        <v>#VALUE!</v>
      </c>
      <c r="HD83" t="e">
        <f>AND(Bills!#REF!,"AAAAAD+8t9M=")</f>
        <v>#REF!</v>
      </c>
      <c r="HE83">
        <f>IF(Bills!187:187,"AAAAAD+8t9Q=",0)</f>
        <v>0</v>
      </c>
      <c r="HF83" t="e">
        <f>AND(Bills!B187,"AAAAAD+8t9U=")</f>
        <v>#VALUE!</v>
      </c>
      <c r="HG83" t="e">
        <f>AND(Bills!#REF!,"AAAAAD+8t9Y=")</f>
        <v>#REF!</v>
      </c>
      <c r="HH83" t="e">
        <f>AND(Bills!C187,"AAAAAD+8t9c=")</f>
        <v>#VALUE!</v>
      </c>
      <c r="HI83" t="e">
        <f>AND(Bills!#REF!,"AAAAAD+8t9g=")</f>
        <v>#REF!</v>
      </c>
      <c r="HJ83" t="e">
        <f>AND(Bills!#REF!,"AAAAAD+8t9k=")</f>
        <v>#REF!</v>
      </c>
      <c r="HK83" t="e">
        <f>AND(Bills!#REF!,"AAAAAD+8t9o=")</f>
        <v>#REF!</v>
      </c>
      <c r="HL83" t="e">
        <f>AND(Bills!#REF!,"AAAAAD+8t9s=")</f>
        <v>#REF!</v>
      </c>
      <c r="HM83" t="e">
        <f>AND(Bills!#REF!,"AAAAAD+8t9w=")</f>
        <v>#REF!</v>
      </c>
      <c r="HN83" t="e">
        <f>AND(Bills!D187,"AAAAAD+8t90=")</f>
        <v>#VALUE!</v>
      </c>
      <c r="HO83" t="e">
        <f>AND(Bills!#REF!,"AAAAAD+8t94=")</f>
        <v>#REF!</v>
      </c>
      <c r="HP83" t="e">
        <f>AND(Bills!E187,"AAAAAD+8t98=")</f>
        <v>#VALUE!</v>
      </c>
      <c r="HQ83" t="e">
        <f>AND(Bills!F187,"AAAAAD+8t+A=")</f>
        <v>#VALUE!</v>
      </c>
      <c r="HR83" t="e">
        <f>AND(Bills!G187,"AAAAAD+8t+E=")</f>
        <v>#VALUE!</v>
      </c>
      <c r="HS83" t="e">
        <f>AND(Bills!H187,"AAAAAD+8t+I=")</f>
        <v>#VALUE!</v>
      </c>
      <c r="HT83" t="e">
        <f>AND(Bills!I187,"AAAAAD+8t+M=")</f>
        <v>#VALUE!</v>
      </c>
      <c r="HU83" t="e">
        <f>AND(Bills!J187,"AAAAAD+8t+Q=")</f>
        <v>#VALUE!</v>
      </c>
      <c r="HV83" t="e">
        <f>AND(Bills!#REF!,"AAAAAD+8t+U=")</f>
        <v>#REF!</v>
      </c>
      <c r="HW83" t="e">
        <f>AND(Bills!K187,"AAAAAD+8t+Y=")</f>
        <v>#VALUE!</v>
      </c>
      <c r="HX83" t="e">
        <f>AND(Bills!L187,"AAAAAD+8t+c=")</f>
        <v>#VALUE!</v>
      </c>
      <c r="HY83" t="e">
        <f>AND(Bills!M187,"AAAAAD+8t+g=")</f>
        <v>#VALUE!</v>
      </c>
      <c r="HZ83" t="e">
        <f>AND(Bills!N187,"AAAAAD+8t+k=")</f>
        <v>#VALUE!</v>
      </c>
      <c r="IA83" t="e">
        <f>AND(Bills!O187,"AAAAAD+8t+o=")</f>
        <v>#VALUE!</v>
      </c>
      <c r="IB83" t="e">
        <f>AND(Bills!P187,"AAAAAD+8t+s=")</f>
        <v>#VALUE!</v>
      </c>
      <c r="IC83" t="e">
        <f>AND(Bills!Q187,"AAAAAD+8t+w=")</f>
        <v>#VALUE!</v>
      </c>
      <c r="ID83" t="e">
        <f>AND(Bills!R187,"AAAAAD+8t+0=")</f>
        <v>#VALUE!</v>
      </c>
      <c r="IE83" t="e">
        <f>AND(Bills!#REF!,"AAAAAD+8t+4=")</f>
        <v>#REF!</v>
      </c>
      <c r="IF83" t="e">
        <f>AND(Bills!S187,"AAAAAD+8t+8=")</f>
        <v>#VALUE!</v>
      </c>
      <c r="IG83" t="e">
        <f>AND(Bills!T187,"AAAAAD+8t/A=")</f>
        <v>#VALUE!</v>
      </c>
      <c r="IH83" t="e">
        <f>AND(Bills!U187,"AAAAAD+8t/E=")</f>
        <v>#VALUE!</v>
      </c>
      <c r="II83" t="e">
        <f>AND(Bills!#REF!,"AAAAAD+8t/I=")</f>
        <v>#REF!</v>
      </c>
      <c r="IJ83" t="e">
        <f>AND(Bills!#REF!,"AAAAAD+8t/M=")</f>
        <v>#REF!</v>
      </c>
      <c r="IK83" t="e">
        <f>AND(Bills!W187,"AAAAAD+8t/Q=")</f>
        <v>#VALUE!</v>
      </c>
      <c r="IL83" t="e">
        <f>AND(Bills!X187,"AAAAAD+8t/U=")</f>
        <v>#VALUE!</v>
      </c>
      <c r="IM83" t="e">
        <f>AND(Bills!#REF!,"AAAAAD+8t/Y=")</f>
        <v>#REF!</v>
      </c>
      <c r="IN83" t="e">
        <f>AND(Bills!#REF!,"AAAAAD+8t/c=")</f>
        <v>#REF!</v>
      </c>
      <c r="IO83" t="e">
        <f>AND(Bills!#REF!,"AAAAAD+8t/g=")</f>
        <v>#REF!</v>
      </c>
      <c r="IP83" t="e">
        <f>AND(Bills!#REF!,"AAAAAD+8t/k=")</f>
        <v>#REF!</v>
      </c>
      <c r="IQ83" t="e">
        <f>AND(Bills!#REF!,"AAAAAD+8t/o=")</f>
        <v>#REF!</v>
      </c>
      <c r="IR83" t="e">
        <f>AND(Bills!#REF!,"AAAAAD+8t/s=")</f>
        <v>#REF!</v>
      </c>
      <c r="IS83" t="e">
        <f>AND(Bills!#REF!,"AAAAAD+8t/w=")</f>
        <v>#REF!</v>
      </c>
      <c r="IT83" t="e">
        <f>AND(Bills!#REF!,"AAAAAD+8t/0=")</f>
        <v>#REF!</v>
      </c>
      <c r="IU83" t="e">
        <f>AND(Bills!#REF!,"AAAAAD+8t/4=")</f>
        <v>#REF!</v>
      </c>
      <c r="IV83" t="e">
        <f>AND(Bills!Y187,"AAAAAD+8t/8=")</f>
        <v>#VALUE!</v>
      </c>
    </row>
    <row r="84" spans="1:256">
      <c r="A84" t="e">
        <f>AND(Bills!Z187,"AAAAAHn5zQA=")</f>
        <v>#VALUE!</v>
      </c>
      <c r="B84" t="e">
        <f>AND(Bills!#REF!,"AAAAAHn5zQE=")</f>
        <v>#REF!</v>
      </c>
      <c r="C84" t="e">
        <f>AND(Bills!#REF!,"AAAAAHn5zQI=")</f>
        <v>#REF!</v>
      </c>
      <c r="D84" t="e">
        <f>AND(Bills!#REF!,"AAAAAHn5zQM=")</f>
        <v>#REF!</v>
      </c>
      <c r="E84" t="e">
        <f>AND(Bills!AA187,"AAAAAHn5zQQ=")</f>
        <v>#VALUE!</v>
      </c>
      <c r="F84" t="e">
        <f>AND(Bills!AB187,"AAAAAHn5zQU=")</f>
        <v>#VALUE!</v>
      </c>
      <c r="G84" t="e">
        <f>AND(Bills!#REF!,"AAAAAHn5zQY=")</f>
        <v>#REF!</v>
      </c>
      <c r="H84">
        <f>IF(Bills!188:188,"AAAAAHn5zQc=",0)</f>
        <v>0</v>
      </c>
      <c r="I84" t="e">
        <f>AND(Bills!B188,"AAAAAHn5zQg=")</f>
        <v>#VALUE!</v>
      </c>
      <c r="J84" t="e">
        <f>AND(Bills!#REF!,"AAAAAHn5zQk=")</f>
        <v>#REF!</v>
      </c>
      <c r="K84" t="e">
        <f>AND(Bills!C188,"AAAAAHn5zQo=")</f>
        <v>#VALUE!</v>
      </c>
      <c r="L84" t="e">
        <f>AND(Bills!#REF!,"AAAAAHn5zQs=")</f>
        <v>#REF!</v>
      </c>
      <c r="M84" t="e">
        <f>AND(Bills!#REF!,"AAAAAHn5zQw=")</f>
        <v>#REF!</v>
      </c>
      <c r="N84" t="e">
        <f>AND(Bills!#REF!,"AAAAAHn5zQ0=")</f>
        <v>#REF!</v>
      </c>
      <c r="O84" t="e">
        <f>AND(Bills!#REF!,"AAAAAHn5zQ4=")</f>
        <v>#REF!</v>
      </c>
      <c r="P84" t="e">
        <f>AND(Bills!#REF!,"AAAAAHn5zQ8=")</f>
        <v>#REF!</v>
      </c>
      <c r="Q84" t="e">
        <f>AND(Bills!D188,"AAAAAHn5zRA=")</f>
        <v>#VALUE!</v>
      </c>
      <c r="R84" t="e">
        <f>AND(Bills!#REF!,"AAAAAHn5zRE=")</f>
        <v>#REF!</v>
      </c>
      <c r="S84" t="e">
        <f>AND(Bills!E188,"AAAAAHn5zRI=")</f>
        <v>#VALUE!</v>
      </c>
      <c r="T84" t="e">
        <f>AND(Bills!F188,"AAAAAHn5zRM=")</f>
        <v>#VALUE!</v>
      </c>
      <c r="U84" t="e">
        <f>AND(Bills!G188,"AAAAAHn5zRQ=")</f>
        <v>#VALUE!</v>
      </c>
      <c r="V84" t="e">
        <f>AND(Bills!H188,"AAAAAHn5zRU=")</f>
        <v>#VALUE!</v>
      </c>
      <c r="W84" t="e">
        <f>AND(Bills!I188,"AAAAAHn5zRY=")</f>
        <v>#VALUE!</v>
      </c>
      <c r="X84" t="e">
        <f>AND(Bills!J188,"AAAAAHn5zRc=")</f>
        <v>#VALUE!</v>
      </c>
      <c r="Y84" t="e">
        <f>AND(Bills!#REF!,"AAAAAHn5zRg=")</f>
        <v>#REF!</v>
      </c>
      <c r="Z84" t="e">
        <f>AND(Bills!K188,"AAAAAHn5zRk=")</f>
        <v>#VALUE!</v>
      </c>
      <c r="AA84" t="e">
        <f>AND(Bills!L188,"AAAAAHn5zRo=")</f>
        <v>#VALUE!</v>
      </c>
      <c r="AB84" t="e">
        <f>AND(Bills!M188,"AAAAAHn5zRs=")</f>
        <v>#VALUE!</v>
      </c>
      <c r="AC84" t="e">
        <f>AND(Bills!N188,"AAAAAHn5zRw=")</f>
        <v>#VALUE!</v>
      </c>
      <c r="AD84" t="e">
        <f>AND(Bills!O188,"AAAAAHn5zR0=")</f>
        <v>#VALUE!</v>
      </c>
      <c r="AE84" t="e">
        <f>AND(Bills!P188,"AAAAAHn5zR4=")</f>
        <v>#VALUE!</v>
      </c>
      <c r="AF84" t="e">
        <f>AND(Bills!Q188,"AAAAAHn5zR8=")</f>
        <v>#VALUE!</v>
      </c>
      <c r="AG84" t="e">
        <f>AND(Bills!R188,"AAAAAHn5zSA=")</f>
        <v>#VALUE!</v>
      </c>
      <c r="AH84" t="e">
        <f>AND(Bills!#REF!,"AAAAAHn5zSE=")</f>
        <v>#REF!</v>
      </c>
      <c r="AI84" t="e">
        <f>AND(Bills!S188,"AAAAAHn5zSI=")</f>
        <v>#VALUE!</v>
      </c>
      <c r="AJ84" t="e">
        <f>AND(Bills!T188,"AAAAAHn5zSM=")</f>
        <v>#VALUE!</v>
      </c>
      <c r="AK84" t="e">
        <f>AND(Bills!U188,"AAAAAHn5zSQ=")</f>
        <v>#VALUE!</v>
      </c>
      <c r="AL84" t="e">
        <f>AND(Bills!#REF!,"AAAAAHn5zSU=")</f>
        <v>#REF!</v>
      </c>
      <c r="AM84" t="e">
        <f>AND(Bills!#REF!,"AAAAAHn5zSY=")</f>
        <v>#REF!</v>
      </c>
      <c r="AN84" t="e">
        <f>AND(Bills!W188,"AAAAAHn5zSc=")</f>
        <v>#VALUE!</v>
      </c>
      <c r="AO84" t="e">
        <f>AND(Bills!X188,"AAAAAHn5zSg=")</f>
        <v>#VALUE!</v>
      </c>
      <c r="AP84" t="e">
        <f>AND(Bills!#REF!,"AAAAAHn5zSk=")</f>
        <v>#REF!</v>
      </c>
      <c r="AQ84" t="e">
        <f>AND(Bills!#REF!,"AAAAAHn5zSo=")</f>
        <v>#REF!</v>
      </c>
      <c r="AR84" t="e">
        <f>AND(Bills!#REF!,"AAAAAHn5zSs=")</f>
        <v>#REF!</v>
      </c>
      <c r="AS84" t="e">
        <f>AND(Bills!#REF!,"AAAAAHn5zSw=")</f>
        <v>#REF!</v>
      </c>
      <c r="AT84" t="e">
        <f>AND(Bills!#REF!,"AAAAAHn5zS0=")</f>
        <v>#REF!</v>
      </c>
      <c r="AU84" t="e">
        <f>AND(Bills!#REF!,"AAAAAHn5zS4=")</f>
        <v>#REF!</v>
      </c>
      <c r="AV84" t="e">
        <f>AND(Bills!#REF!,"AAAAAHn5zS8=")</f>
        <v>#REF!</v>
      </c>
      <c r="AW84" t="e">
        <f>AND(Bills!#REF!,"AAAAAHn5zTA=")</f>
        <v>#REF!</v>
      </c>
      <c r="AX84" t="e">
        <f>AND(Bills!#REF!,"AAAAAHn5zTE=")</f>
        <v>#REF!</v>
      </c>
      <c r="AY84" t="e">
        <f>AND(Bills!Y188,"AAAAAHn5zTI=")</f>
        <v>#VALUE!</v>
      </c>
      <c r="AZ84" t="e">
        <f>AND(Bills!Z188,"AAAAAHn5zTM=")</f>
        <v>#VALUE!</v>
      </c>
      <c r="BA84" t="e">
        <f>AND(Bills!#REF!,"AAAAAHn5zTQ=")</f>
        <v>#REF!</v>
      </c>
      <c r="BB84" t="e">
        <f>AND(Bills!#REF!,"AAAAAHn5zTU=")</f>
        <v>#REF!</v>
      </c>
      <c r="BC84" t="e">
        <f>AND(Bills!#REF!,"AAAAAHn5zTY=")</f>
        <v>#REF!</v>
      </c>
      <c r="BD84" t="e">
        <f>AND(Bills!AA188,"AAAAAHn5zTc=")</f>
        <v>#VALUE!</v>
      </c>
      <c r="BE84" t="e">
        <f>AND(Bills!AB188,"AAAAAHn5zTg=")</f>
        <v>#VALUE!</v>
      </c>
      <c r="BF84" t="e">
        <f>AND(Bills!#REF!,"AAAAAHn5zTk=")</f>
        <v>#REF!</v>
      </c>
      <c r="BG84">
        <f>IF(Bills!189:189,"AAAAAHn5zTo=",0)</f>
        <v>0</v>
      </c>
      <c r="BH84" t="e">
        <f>AND(Bills!B189,"AAAAAHn5zTs=")</f>
        <v>#VALUE!</v>
      </c>
      <c r="BI84" t="e">
        <f>AND(Bills!#REF!,"AAAAAHn5zTw=")</f>
        <v>#REF!</v>
      </c>
      <c r="BJ84" t="e">
        <f>AND(Bills!C189,"AAAAAHn5zT0=")</f>
        <v>#VALUE!</v>
      </c>
      <c r="BK84" t="e">
        <f>AND(Bills!#REF!,"AAAAAHn5zT4=")</f>
        <v>#REF!</v>
      </c>
      <c r="BL84" t="e">
        <f>AND(Bills!#REF!,"AAAAAHn5zT8=")</f>
        <v>#REF!</v>
      </c>
      <c r="BM84" t="e">
        <f>AND(Bills!#REF!,"AAAAAHn5zUA=")</f>
        <v>#REF!</v>
      </c>
      <c r="BN84" t="e">
        <f>AND(Bills!#REF!,"AAAAAHn5zUE=")</f>
        <v>#REF!</v>
      </c>
      <c r="BO84" t="e">
        <f>AND(Bills!#REF!,"AAAAAHn5zUI=")</f>
        <v>#REF!</v>
      </c>
      <c r="BP84" t="e">
        <f>AND(Bills!D189,"AAAAAHn5zUM=")</f>
        <v>#VALUE!</v>
      </c>
      <c r="BQ84" t="e">
        <f>AND(Bills!#REF!,"AAAAAHn5zUQ=")</f>
        <v>#REF!</v>
      </c>
      <c r="BR84" t="e">
        <f>AND(Bills!E189,"AAAAAHn5zUU=")</f>
        <v>#VALUE!</v>
      </c>
      <c r="BS84" t="e">
        <f>AND(Bills!F189,"AAAAAHn5zUY=")</f>
        <v>#VALUE!</v>
      </c>
      <c r="BT84" t="e">
        <f>AND(Bills!G189,"AAAAAHn5zUc=")</f>
        <v>#VALUE!</v>
      </c>
      <c r="BU84" t="e">
        <f>AND(Bills!H189,"AAAAAHn5zUg=")</f>
        <v>#VALUE!</v>
      </c>
      <c r="BV84" t="e">
        <f>AND(Bills!I189,"AAAAAHn5zUk=")</f>
        <v>#VALUE!</v>
      </c>
      <c r="BW84" t="e">
        <f>AND(Bills!J189,"AAAAAHn5zUo=")</f>
        <v>#VALUE!</v>
      </c>
      <c r="BX84" t="e">
        <f>AND(Bills!#REF!,"AAAAAHn5zUs=")</f>
        <v>#REF!</v>
      </c>
      <c r="BY84" t="e">
        <f>AND(Bills!K189,"AAAAAHn5zUw=")</f>
        <v>#VALUE!</v>
      </c>
      <c r="BZ84" t="e">
        <f>AND(Bills!L189,"AAAAAHn5zU0=")</f>
        <v>#VALUE!</v>
      </c>
      <c r="CA84" t="e">
        <f>AND(Bills!M189,"AAAAAHn5zU4=")</f>
        <v>#VALUE!</v>
      </c>
      <c r="CB84" t="e">
        <f>AND(Bills!N189,"AAAAAHn5zU8=")</f>
        <v>#VALUE!</v>
      </c>
      <c r="CC84" t="e">
        <f>AND(Bills!O189,"AAAAAHn5zVA=")</f>
        <v>#VALUE!</v>
      </c>
      <c r="CD84" t="e">
        <f>AND(Bills!P189,"AAAAAHn5zVE=")</f>
        <v>#VALUE!</v>
      </c>
      <c r="CE84" t="e">
        <f>AND(Bills!Q189,"AAAAAHn5zVI=")</f>
        <v>#VALUE!</v>
      </c>
      <c r="CF84" t="e">
        <f>AND(Bills!R189,"AAAAAHn5zVM=")</f>
        <v>#VALUE!</v>
      </c>
      <c r="CG84" t="e">
        <f>AND(Bills!#REF!,"AAAAAHn5zVQ=")</f>
        <v>#REF!</v>
      </c>
      <c r="CH84" t="e">
        <f>AND(Bills!S189,"AAAAAHn5zVU=")</f>
        <v>#VALUE!</v>
      </c>
      <c r="CI84" t="e">
        <f>AND(Bills!T189,"AAAAAHn5zVY=")</f>
        <v>#VALUE!</v>
      </c>
      <c r="CJ84" t="e">
        <f>AND(Bills!U189,"AAAAAHn5zVc=")</f>
        <v>#VALUE!</v>
      </c>
      <c r="CK84" t="e">
        <f>AND(Bills!#REF!,"AAAAAHn5zVg=")</f>
        <v>#REF!</v>
      </c>
      <c r="CL84" t="e">
        <f>AND(Bills!#REF!,"AAAAAHn5zVk=")</f>
        <v>#REF!</v>
      </c>
      <c r="CM84" t="e">
        <f>AND(Bills!W189,"AAAAAHn5zVo=")</f>
        <v>#VALUE!</v>
      </c>
      <c r="CN84" t="e">
        <f>AND(Bills!X189,"AAAAAHn5zVs=")</f>
        <v>#VALUE!</v>
      </c>
      <c r="CO84" t="e">
        <f>AND(Bills!#REF!,"AAAAAHn5zVw=")</f>
        <v>#REF!</v>
      </c>
      <c r="CP84" t="e">
        <f>AND(Bills!#REF!,"AAAAAHn5zV0=")</f>
        <v>#REF!</v>
      </c>
      <c r="CQ84" t="e">
        <f>AND(Bills!#REF!,"AAAAAHn5zV4=")</f>
        <v>#REF!</v>
      </c>
      <c r="CR84" t="e">
        <f>AND(Bills!#REF!,"AAAAAHn5zV8=")</f>
        <v>#REF!</v>
      </c>
      <c r="CS84" t="e">
        <f>AND(Bills!#REF!,"AAAAAHn5zWA=")</f>
        <v>#REF!</v>
      </c>
      <c r="CT84" t="e">
        <f>AND(Bills!#REF!,"AAAAAHn5zWE=")</f>
        <v>#REF!</v>
      </c>
      <c r="CU84" t="e">
        <f>AND(Bills!#REF!,"AAAAAHn5zWI=")</f>
        <v>#REF!</v>
      </c>
      <c r="CV84" t="e">
        <f>AND(Bills!#REF!,"AAAAAHn5zWM=")</f>
        <v>#REF!</v>
      </c>
      <c r="CW84" t="e">
        <f>AND(Bills!#REF!,"AAAAAHn5zWQ=")</f>
        <v>#REF!</v>
      </c>
      <c r="CX84" t="e">
        <f>AND(Bills!Y189,"AAAAAHn5zWU=")</f>
        <v>#VALUE!</v>
      </c>
      <c r="CY84" t="e">
        <f>AND(Bills!Z189,"AAAAAHn5zWY=")</f>
        <v>#VALUE!</v>
      </c>
      <c r="CZ84" t="e">
        <f>AND(Bills!#REF!,"AAAAAHn5zWc=")</f>
        <v>#REF!</v>
      </c>
      <c r="DA84" t="e">
        <f>AND(Bills!#REF!,"AAAAAHn5zWg=")</f>
        <v>#REF!</v>
      </c>
      <c r="DB84" t="e">
        <f>AND(Bills!#REF!,"AAAAAHn5zWk=")</f>
        <v>#REF!</v>
      </c>
      <c r="DC84" t="e">
        <f>AND(Bills!AA189,"AAAAAHn5zWo=")</f>
        <v>#VALUE!</v>
      </c>
      <c r="DD84" t="e">
        <f>AND(Bills!AB189,"AAAAAHn5zWs=")</f>
        <v>#VALUE!</v>
      </c>
      <c r="DE84" t="e">
        <f>AND(Bills!#REF!,"AAAAAHn5zWw=")</f>
        <v>#REF!</v>
      </c>
      <c r="DF84">
        <f>IF(Bills!190:190,"AAAAAHn5zW0=",0)</f>
        <v>0</v>
      </c>
      <c r="DG84" t="e">
        <f>AND(Bills!B190,"AAAAAHn5zW4=")</f>
        <v>#VALUE!</v>
      </c>
      <c r="DH84" t="e">
        <f>AND(Bills!#REF!,"AAAAAHn5zW8=")</f>
        <v>#REF!</v>
      </c>
      <c r="DI84" t="e">
        <f>AND(Bills!C190,"AAAAAHn5zXA=")</f>
        <v>#VALUE!</v>
      </c>
      <c r="DJ84" t="e">
        <f>AND(Bills!#REF!,"AAAAAHn5zXE=")</f>
        <v>#REF!</v>
      </c>
      <c r="DK84" t="e">
        <f>AND(Bills!#REF!,"AAAAAHn5zXI=")</f>
        <v>#REF!</v>
      </c>
      <c r="DL84" t="e">
        <f>AND(Bills!#REF!,"AAAAAHn5zXM=")</f>
        <v>#REF!</v>
      </c>
      <c r="DM84" t="e">
        <f>AND(Bills!#REF!,"AAAAAHn5zXQ=")</f>
        <v>#REF!</v>
      </c>
      <c r="DN84" t="e">
        <f>AND(Bills!#REF!,"AAAAAHn5zXU=")</f>
        <v>#REF!</v>
      </c>
      <c r="DO84" t="e">
        <f>AND(Bills!D190,"AAAAAHn5zXY=")</f>
        <v>#VALUE!</v>
      </c>
      <c r="DP84" t="e">
        <f>AND(Bills!#REF!,"AAAAAHn5zXc=")</f>
        <v>#REF!</v>
      </c>
      <c r="DQ84" t="e">
        <f>AND(Bills!E190,"AAAAAHn5zXg=")</f>
        <v>#VALUE!</v>
      </c>
      <c r="DR84" t="e">
        <f>AND(Bills!F190,"AAAAAHn5zXk=")</f>
        <v>#VALUE!</v>
      </c>
      <c r="DS84" t="e">
        <f>AND(Bills!G190,"AAAAAHn5zXo=")</f>
        <v>#VALUE!</v>
      </c>
      <c r="DT84" t="e">
        <f>AND(Bills!H190,"AAAAAHn5zXs=")</f>
        <v>#VALUE!</v>
      </c>
      <c r="DU84" t="e">
        <f>AND(Bills!I190,"AAAAAHn5zXw=")</f>
        <v>#VALUE!</v>
      </c>
      <c r="DV84" t="e">
        <f>AND(Bills!J190,"AAAAAHn5zX0=")</f>
        <v>#VALUE!</v>
      </c>
      <c r="DW84" t="e">
        <f>AND(Bills!#REF!,"AAAAAHn5zX4=")</f>
        <v>#REF!</v>
      </c>
      <c r="DX84" t="e">
        <f>AND(Bills!K190,"AAAAAHn5zX8=")</f>
        <v>#VALUE!</v>
      </c>
      <c r="DY84" t="e">
        <f>AND(Bills!L190,"AAAAAHn5zYA=")</f>
        <v>#VALUE!</v>
      </c>
      <c r="DZ84" t="e">
        <f>AND(Bills!M190,"AAAAAHn5zYE=")</f>
        <v>#VALUE!</v>
      </c>
      <c r="EA84" t="e">
        <f>AND(Bills!N190,"AAAAAHn5zYI=")</f>
        <v>#VALUE!</v>
      </c>
      <c r="EB84" t="e">
        <f>AND(Bills!O190,"AAAAAHn5zYM=")</f>
        <v>#VALUE!</v>
      </c>
      <c r="EC84" t="e">
        <f>AND(Bills!P190,"AAAAAHn5zYQ=")</f>
        <v>#VALUE!</v>
      </c>
      <c r="ED84" t="e">
        <f>AND(Bills!Q190,"AAAAAHn5zYU=")</f>
        <v>#VALUE!</v>
      </c>
      <c r="EE84" t="e">
        <f>AND(Bills!R190,"AAAAAHn5zYY=")</f>
        <v>#VALUE!</v>
      </c>
      <c r="EF84" t="e">
        <f>AND(Bills!#REF!,"AAAAAHn5zYc=")</f>
        <v>#REF!</v>
      </c>
      <c r="EG84" t="e">
        <f>AND(Bills!S190,"AAAAAHn5zYg=")</f>
        <v>#VALUE!</v>
      </c>
      <c r="EH84" t="e">
        <f>AND(Bills!T190,"AAAAAHn5zYk=")</f>
        <v>#VALUE!</v>
      </c>
      <c r="EI84" t="e">
        <f>AND(Bills!U190,"AAAAAHn5zYo=")</f>
        <v>#VALUE!</v>
      </c>
      <c r="EJ84" t="e">
        <f>AND(Bills!#REF!,"AAAAAHn5zYs=")</f>
        <v>#REF!</v>
      </c>
      <c r="EK84" t="e">
        <f>AND(Bills!#REF!,"AAAAAHn5zYw=")</f>
        <v>#REF!</v>
      </c>
      <c r="EL84" t="e">
        <f>AND(Bills!W190,"AAAAAHn5zY0=")</f>
        <v>#VALUE!</v>
      </c>
      <c r="EM84" t="e">
        <f>AND(Bills!X190,"AAAAAHn5zY4=")</f>
        <v>#VALUE!</v>
      </c>
      <c r="EN84" t="e">
        <f>AND(Bills!#REF!,"AAAAAHn5zY8=")</f>
        <v>#REF!</v>
      </c>
      <c r="EO84" t="e">
        <f>AND(Bills!#REF!,"AAAAAHn5zZA=")</f>
        <v>#REF!</v>
      </c>
      <c r="EP84" t="e">
        <f>AND(Bills!#REF!,"AAAAAHn5zZE=")</f>
        <v>#REF!</v>
      </c>
      <c r="EQ84" t="e">
        <f>AND(Bills!#REF!,"AAAAAHn5zZI=")</f>
        <v>#REF!</v>
      </c>
      <c r="ER84" t="e">
        <f>AND(Bills!#REF!,"AAAAAHn5zZM=")</f>
        <v>#REF!</v>
      </c>
      <c r="ES84" t="e">
        <f>AND(Bills!#REF!,"AAAAAHn5zZQ=")</f>
        <v>#REF!</v>
      </c>
      <c r="ET84" t="e">
        <f>AND(Bills!#REF!,"AAAAAHn5zZU=")</f>
        <v>#REF!</v>
      </c>
      <c r="EU84" t="e">
        <f>AND(Bills!#REF!,"AAAAAHn5zZY=")</f>
        <v>#REF!</v>
      </c>
      <c r="EV84" t="e">
        <f>AND(Bills!#REF!,"AAAAAHn5zZc=")</f>
        <v>#REF!</v>
      </c>
      <c r="EW84" t="e">
        <f>AND(Bills!Y190,"AAAAAHn5zZg=")</f>
        <v>#VALUE!</v>
      </c>
      <c r="EX84" t="e">
        <f>AND(Bills!Z190,"AAAAAHn5zZk=")</f>
        <v>#VALUE!</v>
      </c>
      <c r="EY84" t="e">
        <f>AND(Bills!#REF!,"AAAAAHn5zZo=")</f>
        <v>#REF!</v>
      </c>
      <c r="EZ84" t="e">
        <f>AND(Bills!#REF!,"AAAAAHn5zZs=")</f>
        <v>#REF!</v>
      </c>
      <c r="FA84" t="e">
        <f>AND(Bills!#REF!,"AAAAAHn5zZw=")</f>
        <v>#REF!</v>
      </c>
      <c r="FB84" t="e">
        <f>AND(Bills!AA190,"AAAAAHn5zZ0=")</f>
        <v>#VALUE!</v>
      </c>
      <c r="FC84" t="e">
        <f>AND(Bills!AB190,"AAAAAHn5zZ4=")</f>
        <v>#VALUE!</v>
      </c>
      <c r="FD84" t="e">
        <f>AND(Bills!#REF!,"AAAAAHn5zZ8=")</f>
        <v>#REF!</v>
      </c>
      <c r="FE84">
        <f>IF(Bills!191:191,"AAAAAHn5zaA=",0)</f>
        <v>0</v>
      </c>
      <c r="FF84" t="e">
        <f>AND(Bills!B191,"AAAAAHn5zaE=")</f>
        <v>#VALUE!</v>
      </c>
      <c r="FG84" t="e">
        <f>AND(Bills!#REF!,"AAAAAHn5zaI=")</f>
        <v>#REF!</v>
      </c>
      <c r="FH84" t="e">
        <f>AND(Bills!C191,"AAAAAHn5zaM=")</f>
        <v>#VALUE!</v>
      </c>
      <c r="FI84" t="e">
        <f>AND(Bills!#REF!,"AAAAAHn5zaQ=")</f>
        <v>#REF!</v>
      </c>
      <c r="FJ84" t="e">
        <f>AND(Bills!#REF!,"AAAAAHn5zaU=")</f>
        <v>#REF!</v>
      </c>
      <c r="FK84" t="e">
        <f>AND(Bills!#REF!,"AAAAAHn5zaY=")</f>
        <v>#REF!</v>
      </c>
      <c r="FL84" t="e">
        <f>AND(Bills!#REF!,"AAAAAHn5zac=")</f>
        <v>#REF!</v>
      </c>
      <c r="FM84" t="e">
        <f>AND(Bills!#REF!,"AAAAAHn5zag=")</f>
        <v>#REF!</v>
      </c>
      <c r="FN84" t="e">
        <f>AND(Bills!D191,"AAAAAHn5zak=")</f>
        <v>#VALUE!</v>
      </c>
      <c r="FO84" t="e">
        <f>AND(Bills!#REF!,"AAAAAHn5zao=")</f>
        <v>#REF!</v>
      </c>
      <c r="FP84" t="e">
        <f>AND(Bills!E191,"AAAAAHn5zas=")</f>
        <v>#VALUE!</v>
      </c>
      <c r="FQ84" t="e">
        <f>AND(Bills!F191,"AAAAAHn5zaw=")</f>
        <v>#VALUE!</v>
      </c>
      <c r="FR84" t="e">
        <f>AND(Bills!G191,"AAAAAHn5za0=")</f>
        <v>#VALUE!</v>
      </c>
      <c r="FS84" t="e">
        <f>AND(Bills!H191,"AAAAAHn5za4=")</f>
        <v>#VALUE!</v>
      </c>
      <c r="FT84" t="e">
        <f>AND(Bills!I191,"AAAAAHn5za8=")</f>
        <v>#VALUE!</v>
      </c>
      <c r="FU84" t="e">
        <f>AND(Bills!J191,"AAAAAHn5zbA=")</f>
        <v>#VALUE!</v>
      </c>
      <c r="FV84" t="e">
        <f>AND(Bills!#REF!,"AAAAAHn5zbE=")</f>
        <v>#REF!</v>
      </c>
      <c r="FW84" t="e">
        <f>AND(Bills!K191,"AAAAAHn5zbI=")</f>
        <v>#VALUE!</v>
      </c>
      <c r="FX84" t="e">
        <f>AND(Bills!L191,"AAAAAHn5zbM=")</f>
        <v>#VALUE!</v>
      </c>
      <c r="FY84" t="e">
        <f>AND(Bills!M191,"AAAAAHn5zbQ=")</f>
        <v>#VALUE!</v>
      </c>
      <c r="FZ84" t="e">
        <f>AND(Bills!N191,"AAAAAHn5zbU=")</f>
        <v>#VALUE!</v>
      </c>
      <c r="GA84" t="e">
        <f>AND(Bills!O191,"AAAAAHn5zbY=")</f>
        <v>#VALUE!</v>
      </c>
      <c r="GB84" t="e">
        <f>AND(Bills!P191,"AAAAAHn5zbc=")</f>
        <v>#VALUE!</v>
      </c>
      <c r="GC84" t="e">
        <f>AND(Bills!Q191,"AAAAAHn5zbg=")</f>
        <v>#VALUE!</v>
      </c>
      <c r="GD84" t="e">
        <f>AND(Bills!R191,"AAAAAHn5zbk=")</f>
        <v>#VALUE!</v>
      </c>
      <c r="GE84" t="e">
        <f>AND(Bills!#REF!,"AAAAAHn5zbo=")</f>
        <v>#REF!</v>
      </c>
      <c r="GF84" t="e">
        <f>AND(Bills!S191,"AAAAAHn5zbs=")</f>
        <v>#VALUE!</v>
      </c>
      <c r="GG84" t="e">
        <f>AND(Bills!T191,"AAAAAHn5zbw=")</f>
        <v>#VALUE!</v>
      </c>
      <c r="GH84" t="e">
        <f>AND(Bills!U191,"AAAAAHn5zb0=")</f>
        <v>#VALUE!</v>
      </c>
      <c r="GI84" t="e">
        <f>AND(Bills!#REF!,"AAAAAHn5zb4=")</f>
        <v>#REF!</v>
      </c>
      <c r="GJ84" t="e">
        <f>AND(Bills!#REF!,"AAAAAHn5zb8=")</f>
        <v>#REF!</v>
      </c>
      <c r="GK84" t="e">
        <f>AND(Bills!W191,"AAAAAHn5zcA=")</f>
        <v>#VALUE!</v>
      </c>
      <c r="GL84" t="e">
        <f>AND(Bills!X191,"AAAAAHn5zcE=")</f>
        <v>#VALUE!</v>
      </c>
      <c r="GM84" t="e">
        <f>AND(Bills!#REF!,"AAAAAHn5zcI=")</f>
        <v>#REF!</v>
      </c>
      <c r="GN84" t="e">
        <f>AND(Bills!#REF!,"AAAAAHn5zcM=")</f>
        <v>#REF!</v>
      </c>
      <c r="GO84" t="e">
        <f>AND(Bills!#REF!,"AAAAAHn5zcQ=")</f>
        <v>#REF!</v>
      </c>
      <c r="GP84" t="e">
        <f>AND(Bills!#REF!,"AAAAAHn5zcU=")</f>
        <v>#REF!</v>
      </c>
      <c r="GQ84" t="e">
        <f>AND(Bills!#REF!,"AAAAAHn5zcY=")</f>
        <v>#REF!</v>
      </c>
      <c r="GR84" t="e">
        <f>AND(Bills!#REF!,"AAAAAHn5zcc=")</f>
        <v>#REF!</v>
      </c>
      <c r="GS84" t="e">
        <f>AND(Bills!#REF!,"AAAAAHn5zcg=")</f>
        <v>#REF!</v>
      </c>
      <c r="GT84" t="e">
        <f>AND(Bills!#REF!,"AAAAAHn5zck=")</f>
        <v>#REF!</v>
      </c>
      <c r="GU84" t="e">
        <f>AND(Bills!#REF!,"AAAAAHn5zco=")</f>
        <v>#REF!</v>
      </c>
      <c r="GV84" t="e">
        <f>AND(Bills!Y191,"AAAAAHn5zcs=")</f>
        <v>#VALUE!</v>
      </c>
      <c r="GW84" t="e">
        <f>AND(Bills!Z191,"AAAAAHn5zcw=")</f>
        <v>#VALUE!</v>
      </c>
      <c r="GX84" t="e">
        <f>AND(Bills!#REF!,"AAAAAHn5zc0=")</f>
        <v>#REF!</v>
      </c>
      <c r="GY84" t="e">
        <f>AND(Bills!#REF!,"AAAAAHn5zc4=")</f>
        <v>#REF!</v>
      </c>
      <c r="GZ84" t="e">
        <f>AND(Bills!#REF!,"AAAAAHn5zc8=")</f>
        <v>#REF!</v>
      </c>
      <c r="HA84" t="e">
        <f>AND(Bills!AA191,"AAAAAHn5zdA=")</f>
        <v>#VALUE!</v>
      </c>
      <c r="HB84" t="e">
        <f>AND(Bills!AB191,"AAAAAHn5zdE=")</f>
        <v>#VALUE!</v>
      </c>
      <c r="HC84" t="e">
        <f>AND(Bills!#REF!,"AAAAAHn5zdI=")</f>
        <v>#REF!</v>
      </c>
      <c r="HD84">
        <f>IF(Bills!192:192,"AAAAAHn5zdM=",0)</f>
        <v>0</v>
      </c>
      <c r="HE84" t="e">
        <f>AND(Bills!B192,"AAAAAHn5zdQ=")</f>
        <v>#VALUE!</v>
      </c>
      <c r="HF84" t="e">
        <f>AND(Bills!#REF!,"AAAAAHn5zdU=")</f>
        <v>#REF!</v>
      </c>
      <c r="HG84" t="e">
        <f>AND(Bills!C192,"AAAAAHn5zdY=")</f>
        <v>#VALUE!</v>
      </c>
      <c r="HH84" t="e">
        <f>AND(Bills!#REF!,"AAAAAHn5zdc=")</f>
        <v>#REF!</v>
      </c>
      <c r="HI84" t="e">
        <f>AND(Bills!#REF!,"AAAAAHn5zdg=")</f>
        <v>#REF!</v>
      </c>
      <c r="HJ84" t="e">
        <f>AND(Bills!#REF!,"AAAAAHn5zdk=")</f>
        <v>#REF!</v>
      </c>
      <c r="HK84" t="e">
        <f>AND(Bills!#REF!,"AAAAAHn5zdo=")</f>
        <v>#REF!</v>
      </c>
      <c r="HL84" t="e">
        <f>AND(Bills!#REF!,"AAAAAHn5zds=")</f>
        <v>#REF!</v>
      </c>
      <c r="HM84" t="e">
        <f>AND(Bills!D192,"AAAAAHn5zdw=")</f>
        <v>#VALUE!</v>
      </c>
      <c r="HN84" t="e">
        <f>AND(Bills!#REF!,"AAAAAHn5zd0=")</f>
        <v>#REF!</v>
      </c>
      <c r="HO84" t="e">
        <f>AND(Bills!E192,"AAAAAHn5zd4=")</f>
        <v>#VALUE!</v>
      </c>
      <c r="HP84" t="e">
        <f>AND(Bills!F192,"AAAAAHn5zd8=")</f>
        <v>#VALUE!</v>
      </c>
      <c r="HQ84" t="e">
        <f>AND(Bills!G192,"AAAAAHn5zeA=")</f>
        <v>#VALUE!</v>
      </c>
      <c r="HR84" t="e">
        <f>AND(Bills!H192,"AAAAAHn5zeE=")</f>
        <v>#VALUE!</v>
      </c>
      <c r="HS84" t="e">
        <f>AND(Bills!I192,"AAAAAHn5zeI=")</f>
        <v>#VALUE!</v>
      </c>
      <c r="HT84" t="e">
        <f>AND(Bills!J192,"AAAAAHn5zeM=")</f>
        <v>#VALUE!</v>
      </c>
      <c r="HU84" t="e">
        <f>AND(Bills!#REF!,"AAAAAHn5zeQ=")</f>
        <v>#REF!</v>
      </c>
      <c r="HV84" t="e">
        <f>AND(Bills!K192,"AAAAAHn5zeU=")</f>
        <v>#VALUE!</v>
      </c>
      <c r="HW84" t="e">
        <f>AND(Bills!L192,"AAAAAHn5zeY=")</f>
        <v>#VALUE!</v>
      </c>
      <c r="HX84" t="e">
        <f>AND(Bills!M192,"AAAAAHn5zec=")</f>
        <v>#VALUE!</v>
      </c>
      <c r="HY84" t="e">
        <f>AND(Bills!N192,"AAAAAHn5zeg=")</f>
        <v>#VALUE!</v>
      </c>
      <c r="HZ84" t="e">
        <f>AND(Bills!O192,"AAAAAHn5zek=")</f>
        <v>#VALUE!</v>
      </c>
      <c r="IA84" t="e">
        <f>AND(Bills!P192,"AAAAAHn5zeo=")</f>
        <v>#VALUE!</v>
      </c>
      <c r="IB84" t="e">
        <f>AND(Bills!Q192,"AAAAAHn5zes=")</f>
        <v>#VALUE!</v>
      </c>
      <c r="IC84" t="e">
        <f>AND(Bills!R192,"AAAAAHn5zew=")</f>
        <v>#VALUE!</v>
      </c>
      <c r="ID84" t="e">
        <f>AND(Bills!#REF!,"AAAAAHn5ze0=")</f>
        <v>#REF!</v>
      </c>
      <c r="IE84" t="e">
        <f>AND(Bills!S192,"AAAAAHn5ze4=")</f>
        <v>#VALUE!</v>
      </c>
      <c r="IF84" t="e">
        <f>AND(Bills!T192,"AAAAAHn5ze8=")</f>
        <v>#VALUE!</v>
      </c>
      <c r="IG84" t="e">
        <f>AND(Bills!U192,"AAAAAHn5zfA=")</f>
        <v>#VALUE!</v>
      </c>
      <c r="IH84" t="e">
        <f>AND(Bills!#REF!,"AAAAAHn5zfE=")</f>
        <v>#REF!</v>
      </c>
      <c r="II84" t="e">
        <f>AND(Bills!#REF!,"AAAAAHn5zfI=")</f>
        <v>#REF!</v>
      </c>
      <c r="IJ84" t="e">
        <f>AND(Bills!W192,"AAAAAHn5zfM=")</f>
        <v>#VALUE!</v>
      </c>
      <c r="IK84" t="e">
        <f>AND(Bills!X192,"AAAAAHn5zfQ=")</f>
        <v>#VALUE!</v>
      </c>
      <c r="IL84" t="e">
        <f>AND(Bills!#REF!,"AAAAAHn5zfU=")</f>
        <v>#REF!</v>
      </c>
      <c r="IM84" t="e">
        <f>AND(Bills!#REF!,"AAAAAHn5zfY=")</f>
        <v>#REF!</v>
      </c>
      <c r="IN84" t="e">
        <f>AND(Bills!#REF!,"AAAAAHn5zfc=")</f>
        <v>#REF!</v>
      </c>
      <c r="IO84" t="e">
        <f>AND(Bills!#REF!,"AAAAAHn5zfg=")</f>
        <v>#REF!</v>
      </c>
      <c r="IP84" t="e">
        <f>AND(Bills!#REF!,"AAAAAHn5zfk=")</f>
        <v>#REF!</v>
      </c>
      <c r="IQ84" t="e">
        <f>AND(Bills!#REF!,"AAAAAHn5zfo=")</f>
        <v>#REF!</v>
      </c>
      <c r="IR84" t="e">
        <f>AND(Bills!#REF!,"AAAAAHn5zfs=")</f>
        <v>#REF!</v>
      </c>
      <c r="IS84" t="e">
        <f>AND(Bills!#REF!,"AAAAAHn5zfw=")</f>
        <v>#REF!</v>
      </c>
      <c r="IT84" t="e">
        <f>AND(Bills!#REF!,"AAAAAHn5zf0=")</f>
        <v>#REF!</v>
      </c>
      <c r="IU84" t="e">
        <f>AND(Bills!Y192,"AAAAAHn5zf4=")</f>
        <v>#VALUE!</v>
      </c>
      <c r="IV84" t="e">
        <f>AND(Bills!Z192,"AAAAAHn5zf8=")</f>
        <v>#VALUE!</v>
      </c>
    </row>
    <row r="85" spans="1:256">
      <c r="A85" t="e">
        <f>AND(Bills!#REF!,"AAAAAHZvcwA=")</f>
        <v>#REF!</v>
      </c>
      <c r="B85" t="e">
        <f>AND(Bills!#REF!,"AAAAAHZvcwE=")</f>
        <v>#REF!</v>
      </c>
      <c r="C85" t="e">
        <f>AND(Bills!#REF!,"AAAAAHZvcwI=")</f>
        <v>#REF!</v>
      </c>
      <c r="D85" t="e">
        <f>AND(Bills!AA192,"AAAAAHZvcwM=")</f>
        <v>#VALUE!</v>
      </c>
      <c r="E85" t="e">
        <f>AND(Bills!AB192,"AAAAAHZvcwQ=")</f>
        <v>#VALUE!</v>
      </c>
      <c r="F85" t="e">
        <f>AND(Bills!#REF!,"AAAAAHZvcwU=")</f>
        <v>#REF!</v>
      </c>
      <c r="G85">
        <f>IF(Bills!193:193,"AAAAAHZvcwY=",0)</f>
        <v>0</v>
      </c>
      <c r="H85" t="e">
        <f>AND(Bills!B193,"AAAAAHZvcwc=")</f>
        <v>#VALUE!</v>
      </c>
      <c r="I85" t="e">
        <f>AND(Bills!#REF!,"AAAAAHZvcwg=")</f>
        <v>#REF!</v>
      </c>
      <c r="J85" t="e">
        <f>AND(Bills!C193,"AAAAAHZvcwk=")</f>
        <v>#VALUE!</v>
      </c>
      <c r="K85" t="e">
        <f>AND(Bills!#REF!,"AAAAAHZvcwo=")</f>
        <v>#REF!</v>
      </c>
      <c r="L85" t="e">
        <f>AND(Bills!#REF!,"AAAAAHZvcws=")</f>
        <v>#REF!</v>
      </c>
      <c r="M85" t="e">
        <f>AND(Bills!#REF!,"AAAAAHZvcww=")</f>
        <v>#REF!</v>
      </c>
      <c r="N85" t="e">
        <f>AND(Bills!#REF!,"AAAAAHZvcw0=")</f>
        <v>#REF!</v>
      </c>
      <c r="O85" t="e">
        <f>AND(Bills!#REF!,"AAAAAHZvcw4=")</f>
        <v>#REF!</v>
      </c>
      <c r="P85" t="e">
        <f>AND(Bills!D193,"AAAAAHZvcw8=")</f>
        <v>#VALUE!</v>
      </c>
      <c r="Q85" t="e">
        <f>AND(Bills!#REF!,"AAAAAHZvcxA=")</f>
        <v>#REF!</v>
      </c>
      <c r="R85" t="e">
        <f>AND(Bills!E193,"AAAAAHZvcxE=")</f>
        <v>#VALUE!</v>
      </c>
      <c r="S85" t="e">
        <f>AND(Bills!F193,"AAAAAHZvcxI=")</f>
        <v>#VALUE!</v>
      </c>
      <c r="T85" t="e">
        <f>AND(Bills!G193,"AAAAAHZvcxM=")</f>
        <v>#VALUE!</v>
      </c>
      <c r="U85" t="e">
        <f>AND(Bills!H193,"AAAAAHZvcxQ=")</f>
        <v>#VALUE!</v>
      </c>
      <c r="V85" t="e">
        <f>AND(Bills!I193,"AAAAAHZvcxU=")</f>
        <v>#VALUE!</v>
      </c>
      <c r="W85" t="e">
        <f>AND(Bills!J193,"AAAAAHZvcxY=")</f>
        <v>#VALUE!</v>
      </c>
      <c r="X85" t="e">
        <f>AND(Bills!#REF!,"AAAAAHZvcxc=")</f>
        <v>#REF!</v>
      </c>
      <c r="Y85" t="e">
        <f>AND(Bills!K193,"AAAAAHZvcxg=")</f>
        <v>#VALUE!</v>
      </c>
      <c r="Z85" t="e">
        <f>AND(Bills!L193,"AAAAAHZvcxk=")</f>
        <v>#VALUE!</v>
      </c>
      <c r="AA85" t="e">
        <f>AND(Bills!M193,"AAAAAHZvcxo=")</f>
        <v>#VALUE!</v>
      </c>
      <c r="AB85" t="e">
        <f>AND(Bills!N193,"AAAAAHZvcxs=")</f>
        <v>#VALUE!</v>
      </c>
      <c r="AC85" t="e">
        <f>AND(Bills!O193,"AAAAAHZvcxw=")</f>
        <v>#VALUE!</v>
      </c>
      <c r="AD85" t="e">
        <f>AND(Bills!P193,"AAAAAHZvcx0=")</f>
        <v>#VALUE!</v>
      </c>
      <c r="AE85" t="e">
        <f>AND(Bills!Q193,"AAAAAHZvcx4=")</f>
        <v>#VALUE!</v>
      </c>
      <c r="AF85" t="e">
        <f>AND(Bills!R193,"AAAAAHZvcx8=")</f>
        <v>#VALUE!</v>
      </c>
      <c r="AG85" t="e">
        <f>AND(Bills!#REF!,"AAAAAHZvcyA=")</f>
        <v>#REF!</v>
      </c>
      <c r="AH85" t="e">
        <f>AND(Bills!S193,"AAAAAHZvcyE=")</f>
        <v>#VALUE!</v>
      </c>
      <c r="AI85" t="e">
        <f>AND(Bills!T193,"AAAAAHZvcyI=")</f>
        <v>#VALUE!</v>
      </c>
      <c r="AJ85" t="e">
        <f>AND(Bills!U193,"AAAAAHZvcyM=")</f>
        <v>#VALUE!</v>
      </c>
      <c r="AK85" t="e">
        <f>AND(Bills!#REF!,"AAAAAHZvcyQ=")</f>
        <v>#REF!</v>
      </c>
      <c r="AL85" t="e">
        <f>AND(Bills!#REF!,"AAAAAHZvcyU=")</f>
        <v>#REF!</v>
      </c>
      <c r="AM85" t="e">
        <f>AND(Bills!W193,"AAAAAHZvcyY=")</f>
        <v>#VALUE!</v>
      </c>
      <c r="AN85" t="e">
        <f>AND(Bills!X193,"AAAAAHZvcyc=")</f>
        <v>#VALUE!</v>
      </c>
      <c r="AO85" t="e">
        <f>AND(Bills!#REF!,"AAAAAHZvcyg=")</f>
        <v>#REF!</v>
      </c>
      <c r="AP85" t="e">
        <f>AND(Bills!#REF!,"AAAAAHZvcyk=")</f>
        <v>#REF!</v>
      </c>
      <c r="AQ85" t="e">
        <f>AND(Bills!#REF!,"AAAAAHZvcyo=")</f>
        <v>#REF!</v>
      </c>
      <c r="AR85" t="e">
        <f>AND(Bills!#REF!,"AAAAAHZvcys=")</f>
        <v>#REF!</v>
      </c>
      <c r="AS85" t="e">
        <f>AND(Bills!#REF!,"AAAAAHZvcyw=")</f>
        <v>#REF!</v>
      </c>
      <c r="AT85" t="e">
        <f>AND(Bills!#REF!,"AAAAAHZvcy0=")</f>
        <v>#REF!</v>
      </c>
      <c r="AU85" t="e">
        <f>AND(Bills!#REF!,"AAAAAHZvcy4=")</f>
        <v>#REF!</v>
      </c>
      <c r="AV85" t="e">
        <f>AND(Bills!#REF!,"AAAAAHZvcy8=")</f>
        <v>#REF!</v>
      </c>
      <c r="AW85" t="e">
        <f>AND(Bills!#REF!,"AAAAAHZvczA=")</f>
        <v>#REF!</v>
      </c>
      <c r="AX85" t="e">
        <f>AND(Bills!Y193,"AAAAAHZvczE=")</f>
        <v>#VALUE!</v>
      </c>
      <c r="AY85" t="e">
        <f>AND(Bills!Z193,"AAAAAHZvczI=")</f>
        <v>#VALUE!</v>
      </c>
      <c r="AZ85" t="e">
        <f>AND(Bills!#REF!,"AAAAAHZvczM=")</f>
        <v>#REF!</v>
      </c>
      <c r="BA85" t="e">
        <f>AND(Bills!#REF!,"AAAAAHZvczQ=")</f>
        <v>#REF!</v>
      </c>
      <c r="BB85" t="e">
        <f>AND(Bills!#REF!,"AAAAAHZvczU=")</f>
        <v>#REF!</v>
      </c>
      <c r="BC85" t="e">
        <f>AND(Bills!AA193,"AAAAAHZvczY=")</f>
        <v>#VALUE!</v>
      </c>
      <c r="BD85" t="e">
        <f>AND(Bills!AB193,"AAAAAHZvczc=")</f>
        <v>#VALUE!</v>
      </c>
      <c r="BE85" t="e">
        <f>AND(Bills!#REF!,"AAAAAHZvczg=")</f>
        <v>#REF!</v>
      </c>
      <c r="BF85">
        <f>IF(Bills!194:194,"AAAAAHZvczk=",0)</f>
        <v>0</v>
      </c>
      <c r="BG85" t="e">
        <f>AND(Bills!B194,"AAAAAHZvczo=")</f>
        <v>#VALUE!</v>
      </c>
      <c r="BH85" t="e">
        <f>AND(Bills!#REF!,"AAAAAHZvczs=")</f>
        <v>#REF!</v>
      </c>
      <c r="BI85" t="e">
        <f>AND(Bills!C194,"AAAAAHZvczw=")</f>
        <v>#VALUE!</v>
      </c>
      <c r="BJ85" t="e">
        <f>AND(Bills!#REF!,"AAAAAHZvcz0=")</f>
        <v>#REF!</v>
      </c>
      <c r="BK85" t="e">
        <f>AND(Bills!#REF!,"AAAAAHZvcz4=")</f>
        <v>#REF!</v>
      </c>
      <c r="BL85" t="e">
        <f>AND(Bills!#REF!,"AAAAAHZvcz8=")</f>
        <v>#REF!</v>
      </c>
      <c r="BM85" t="e">
        <f>AND(Bills!#REF!,"AAAAAHZvc0A=")</f>
        <v>#REF!</v>
      </c>
      <c r="BN85" t="e">
        <f>AND(Bills!#REF!,"AAAAAHZvc0E=")</f>
        <v>#REF!</v>
      </c>
      <c r="BO85" t="e">
        <f>AND(Bills!D194,"AAAAAHZvc0I=")</f>
        <v>#VALUE!</v>
      </c>
      <c r="BP85" t="e">
        <f>AND(Bills!#REF!,"AAAAAHZvc0M=")</f>
        <v>#REF!</v>
      </c>
      <c r="BQ85" t="e">
        <f>AND(Bills!E194,"AAAAAHZvc0Q=")</f>
        <v>#VALUE!</v>
      </c>
      <c r="BR85" t="e">
        <f>AND(Bills!F194,"AAAAAHZvc0U=")</f>
        <v>#VALUE!</v>
      </c>
      <c r="BS85" t="e">
        <f>AND(Bills!G194,"AAAAAHZvc0Y=")</f>
        <v>#VALUE!</v>
      </c>
      <c r="BT85" t="e">
        <f>AND(Bills!H194,"AAAAAHZvc0c=")</f>
        <v>#VALUE!</v>
      </c>
      <c r="BU85" t="e">
        <f>AND(Bills!I194,"AAAAAHZvc0g=")</f>
        <v>#VALUE!</v>
      </c>
      <c r="BV85" t="e">
        <f>AND(Bills!J194,"AAAAAHZvc0k=")</f>
        <v>#VALUE!</v>
      </c>
      <c r="BW85" t="e">
        <f>AND(Bills!#REF!,"AAAAAHZvc0o=")</f>
        <v>#REF!</v>
      </c>
      <c r="BX85" t="e">
        <f>AND(Bills!K194,"AAAAAHZvc0s=")</f>
        <v>#VALUE!</v>
      </c>
      <c r="BY85" t="e">
        <f>AND(Bills!L194,"AAAAAHZvc0w=")</f>
        <v>#VALUE!</v>
      </c>
      <c r="BZ85" t="e">
        <f>AND(Bills!M194,"AAAAAHZvc00=")</f>
        <v>#VALUE!</v>
      </c>
      <c r="CA85" t="e">
        <f>AND(Bills!N194,"AAAAAHZvc04=")</f>
        <v>#VALUE!</v>
      </c>
      <c r="CB85" t="e">
        <f>AND(Bills!O194,"AAAAAHZvc08=")</f>
        <v>#VALUE!</v>
      </c>
      <c r="CC85" t="e">
        <f>AND(Bills!P194,"AAAAAHZvc1A=")</f>
        <v>#VALUE!</v>
      </c>
      <c r="CD85" t="e">
        <f>AND(Bills!Q194,"AAAAAHZvc1E=")</f>
        <v>#VALUE!</v>
      </c>
      <c r="CE85" t="e">
        <f>AND(Bills!R194,"AAAAAHZvc1I=")</f>
        <v>#VALUE!</v>
      </c>
      <c r="CF85" t="e">
        <f>AND(Bills!#REF!,"AAAAAHZvc1M=")</f>
        <v>#REF!</v>
      </c>
      <c r="CG85" t="e">
        <f>AND(Bills!S194,"AAAAAHZvc1Q=")</f>
        <v>#VALUE!</v>
      </c>
      <c r="CH85" t="e">
        <f>AND(Bills!T194,"AAAAAHZvc1U=")</f>
        <v>#VALUE!</v>
      </c>
      <c r="CI85" t="e">
        <f>AND(Bills!U194,"AAAAAHZvc1Y=")</f>
        <v>#VALUE!</v>
      </c>
      <c r="CJ85" t="e">
        <f>AND(Bills!#REF!,"AAAAAHZvc1c=")</f>
        <v>#REF!</v>
      </c>
      <c r="CK85" t="e">
        <f>AND(Bills!#REF!,"AAAAAHZvc1g=")</f>
        <v>#REF!</v>
      </c>
      <c r="CL85" t="e">
        <f>AND(Bills!W194,"AAAAAHZvc1k=")</f>
        <v>#VALUE!</v>
      </c>
      <c r="CM85" t="e">
        <f>AND(Bills!X194,"AAAAAHZvc1o=")</f>
        <v>#VALUE!</v>
      </c>
      <c r="CN85" t="e">
        <f>AND(Bills!#REF!,"AAAAAHZvc1s=")</f>
        <v>#REF!</v>
      </c>
      <c r="CO85" t="e">
        <f>AND(Bills!#REF!,"AAAAAHZvc1w=")</f>
        <v>#REF!</v>
      </c>
      <c r="CP85" t="e">
        <f>AND(Bills!#REF!,"AAAAAHZvc10=")</f>
        <v>#REF!</v>
      </c>
      <c r="CQ85" t="e">
        <f>AND(Bills!#REF!,"AAAAAHZvc14=")</f>
        <v>#REF!</v>
      </c>
      <c r="CR85" t="e">
        <f>AND(Bills!#REF!,"AAAAAHZvc18=")</f>
        <v>#REF!</v>
      </c>
      <c r="CS85" t="e">
        <f>AND(Bills!#REF!,"AAAAAHZvc2A=")</f>
        <v>#REF!</v>
      </c>
      <c r="CT85" t="e">
        <f>AND(Bills!#REF!,"AAAAAHZvc2E=")</f>
        <v>#REF!</v>
      </c>
      <c r="CU85" t="e">
        <f>AND(Bills!#REF!,"AAAAAHZvc2I=")</f>
        <v>#REF!</v>
      </c>
      <c r="CV85" t="e">
        <f>AND(Bills!#REF!,"AAAAAHZvc2M=")</f>
        <v>#REF!</v>
      </c>
      <c r="CW85" t="e">
        <f>AND(Bills!Y194,"AAAAAHZvc2Q=")</f>
        <v>#VALUE!</v>
      </c>
      <c r="CX85" t="e">
        <f>AND(Bills!Z194,"AAAAAHZvc2U=")</f>
        <v>#VALUE!</v>
      </c>
      <c r="CY85" t="e">
        <f>AND(Bills!#REF!,"AAAAAHZvc2Y=")</f>
        <v>#REF!</v>
      </c>
      <c r="CZ85" t="e">
        <f>AND(Bills!#REF!,"AAAAAHZvc2c=")</f>
        <v>#REF!</v>
      </c>
      <c r="DA85" t="e">
        <f>AND(Bills!#REF!,"AAAAAHZvc2g=")</f>
        <v>#REF!</v>
      </c>
      <c r="DB85" t="e">
        <f>AND(Bills!AA194,"AAAAAHZvc2k=")</f>
        <v>#VALUE!</v>
      </c>
      <c r="DC85" t="e">
        <f>AND(Bills!AB194,"AAAAAHZvc2o=")</f>
        <v>#VALUE!</v>
      </c>
      <c r="DD85" t="e">
        <f>AND(Bills!#REF!,"AAAAAHZvc2s=")</f>
        <v>#REF!</v>
      </c>
      <c r="DE85">
        <f>IF(Bills!195:195,"AAAAAHZvc2w=",0)</f>
        <v>0</v>
      </c>
      <c r="DF85" t="e">
        <f>AND(Bills!B195,"AAAAAHZvc20=")</f>
        <v>#VALUE!</v>
      </c>
      <c r="DG85" t="e">
        <f>AND(Bills!#REF!,"AAAAAHZvc24=")</f>
        <v>#REF!</v>
      </c>
      <c r="DH85" t="e">
        <f>AND(Bills!C195,"AAAAAHZvc28=")</f>
        <v>#VALUE!</v>
      </c>
      <c r="DI85" t="e">
        <f>AND(Bills!#REF!,"AAAAAHZvc3A=")</f>
        <v>#REF!</v>
      </c>
      <c r="DJ85" t="e">
        <f>AND(Bills!#REF!,"AAAAAHZvc3E=")</f>
        <v>#REF!</v>
      </c>
      <c r="DK85" t="e">
        <f>AND(Bills!#REF!,"AAAAAHZvc3I=")</f>
        <v>#REF!</v>
      </c>
      <c r="DL85" t="e">
        <f>AND(Bills!#REF!,"AAAAAHZvc3M=")</f>
        <v>#REF!</v>
      </c>
      <c r="DM85" t="e">
        <f>AND(Bills!#REF!,"AAAAAHZvc3Q=")</f>
        <v>#REF!</v>
      </c>
      <c r="DN85" t="e">
        <f>AND(Bills!D195,"AAAAAHZvc3U=")</f>
        <v>#VALUE!</v>
      </c>
      <c r="DO85" t="e">
        <f>AND(Bills!#REF!,"AAAAAHZvc3Y=")</f>
        <v>#REF!</v>
      </c>
      <c r="DP85" t="e">
        <f>AND(Bills!E195,"AAAAAHZvc3c=")</f>
        <v>#VALUE!</v>
      </c>
      <c r="DQ85" t="e">
        <f>AND(Bills!F195,"AAAAAHZvc3g=")</f>
        <v>#VALUE!</v>
      </c>
      <c r="DR85" t="e">
        <f>AND(Bills!G195,"AAAAAHZvc3k=")</f>
        <v>#VALUE!</v>
      </c>
      <c r="DS85" t="e">
        <f>AND(Bills!H195,"AAAAAHZvc3o=")</f>
        <v>#VALUE!</v>
      </c>
      <c r="DT85" t="e">
        <f>AND(Bills!I195,"AAAAAHZvc3s=")</f>
        <v>#VALUE!</v>
      </c>
      <c r="DU85" t="e">
        <f>AND(Bills!J195,"AAAAAHZvc3w=")</f>
        <v>#VALUE!</v>
      </c>
      <c r="DV85" t="e">
        <f>AND(Bills!#REF!,"AAAAAHZvc30=")</f>
        <v>#REF!</v>
      </c>
      <c r="DW85" t="e">
        <f>AND(Bills!K195,"AAAAAHZvc34=")</f>
        <v>#VALUE!</v>
      </c>
      <c r="DX85" t="e">
        <f>AND(Bills!L195,"AAAAAHZvc38=")</f>
        <v>#VALUE!</v>
      </c>
      <c r="DY85" t="e">
        <f>AND(Bills!M195,"AAAAAHZvc4A=")</f>
        <v>#VALUE!</v>
      </c>
      <c r="DZ85" t="e">
        <f>AND(Bills!N195,"AAAAAHZvc4E=")</f>
        <v>#VALUE!</v>
      </c>
      <c r="EA85" t="e">
        <f>AND(Bills!O195,"AAAAAHZvc4I=")</f>
        <v>#VALUE!</v>
      </c>
      <c r="EB85" t="e">
        <f>AND(Bills!P195,"AAAAAHZvc4M=")</f>
        <v>#VALUE!</v>
      </c>
      <c r="EC85" t="e">
        <f>AND(Bills!Q195,"AAAAAHZvc4Q=")</f>
        <v>#VALUE!</v>
      </c>
      <c r="ED85" t="e">
        <f>AND(Bills!R195,"AAAAAHZvc4U=")</f>
        <v>#VALUE!</v>
      </c>
      <c r="EE85" t="e">
        <f>AND(Bills!#REF!,"AAAAAHZvc4Y=")</f>
        <v>#REF!</v>
      </c>
      <c r="EF85" t="e">
        <f>AND(Bills!S195,"AAAAAHZvc4c=")</f>
        <v>#VALUE!</v>
      </c>
      <c r="EG85" t="e">
        <f>AND(Bills!T195,"AAAAAHZvc4g=")</f>
        <v>#VALUE!</v>
      </c>
      <c r="EH85" t="e">
        <f>AND(Bills!U195,"AAAAAHZvc4k=")</f>
        <v>#VALUE!</v>
      </c>
      <c r="EI85" t="e">
        <f>AND(Bills!#REF!,"AAAAAHZvc4o=")</f>
        <v>#REF!</v>
      </c>
      <c r="EJ85" t="e">
        <f>AND(Bills!#REF!,"AAAAAHZvc4s=")</f>
        <v>#REF!</v>
      </c>
      <c r="EK85" t="e">
        <f>AND(Bills!W195,"AAAAAHZvc4w=")</f>
        <v>#VALUE!</v>
      </c>
      <c r="EL85" t="e">
        <f>AND(Bills!X195,"AAAAAHZvc40=")</f>
        <v>#VALUE!</v>
      </c>
      <c r="EM85" t="e">
        <f>AND(Bills!#REF!,"AAAAAHZvc44=")</f>
        <v>#REF!</v>
      </c>
      <c r="EN85" t="e">
        <f>AND(Bills!#REF!,"AAAAAHZvc48=")</f>
        <v>#REF!</v>
      </c>
      <c r="EO85" t="e">
        <f>AND(Bills!#REF!,"AAAAAHZvc5A=")</f>
        <v>#REF!</v>
      </c>
      <c r="EP85" t="e">
        <f>AND(Bills!#REF!,"AAAAAHZvc5E=")</f>
        <v>#REF!</v>
      </c>
      <c r="EQ85" t="e">
        <f>AND(Bills!#REF!,"AAAAAHZvc5I=")</f>
        <v>#REF!</v>
      </c>
      <c r="ER85" t="e">
        <f>AND(Bills!#REF!,"AAAAAHZvc5M=")</f>
        <v>#REF!</v>
      </c>
      <c r="ES85" t="e">
        <f>AND(Bills!#REF!,"AAAAAHZvc5Q=")</f>
        <v>#REF!</v>
      </c>
      <c r="ET85" t="e">
        <f>AND(Bills!#REF!,"AAAAAHZvc5U=")</f>
        <v>#REF!</v>
      </c>
      <c r="EU85" t="e">
        <f>AND(Bills!#REF!,"AAAAAHZvc5Y=")</f>
        <v>#REF!</v>
      </c>
      <c r="EV85" t="e">
        <f>AND(Bills!Y195,"AAAAAHZvc5c=")</f>
        <v>#VALUE!</v>
      </c>
      <c r="EW85" t="e">
        <f>AND(Bills!Z195,"AAAAAHZvc5g=")</f>
        <v>#VALUE!</v>
      </c>
      <c r="EX85" t="e">
        <f>AND(Bills!#REF!,"AAAAAHZvc5k=")</f>
        <v>#REF!</v>
      </c>
      <c r="EY85" t="e">
        <f>AND(Bills!#REF!,"AAAAAHZvc5o=")</f>
        <v>#REF!</v>
      </c>
      <c r="EZ85" t="e">
        <f>AND(Bills!#REF!,"AAAAAHZvc5s=")</f>
        <v>#REF!</v>
      </c>
      <c r="FA85" t="e">
        <f>AND(Bills!AA195,"AAAAAHZvc5w=")</f>
        <v>#VALUE!</v>
      </c>
      <c r="FB85" t="e">
        <f>AND(Bills!AB195,"AAAAAHZvc50=")</f>
        <v>#VALUE!</v>
      </c>
      <c r="FC85" t="e">
        <f>AND(Bills!#REF!,"AAAAAHZvc54=")</f>
        <v>#REF!</v>
      </c>
      <c r="FD85">
        <f>IF(Bills!196:196,"AAAAAHZvc58=",0)</f>
        <v>0</v>
      </c>
      <c r="FE85" t="e">
        <f>AND(Bills!B196,"AAAAAHZvc6A=")</f>
        <v>#VALUE!</v>
      </c>
      <c r="FF85" t="e">
        <f>AND(Bills!#REF!,"AAAAAHZvc6E=")</f>
        <v>#REF!</v>
      </c>
      <c r="FG85" t="e">
        <f>AND(Bills!C196,"AAAAAHZvc6I=")</f>
        <v>#VALUE!</v>
      </c>
      <c r="FH85" t="e">
        <f>AND(Bills!#REF!,"AAAAAHZvc6M=")</f>
        <v>#REF!</v>
      </c>
      <c r="FI85" t="e">
        <f>AND(Bills!#REF!,"AAAAAHZvc6Q=")</f>
        <v>#REF!</v>
      </c>
      <c r="FJ85" t="e">
        <f>AND(Bills!#REF!,"AAAAAHZvc6U=")</f>
        <v>#REF!</v>
      </c>
      <c r="FK85" t="e">
        <f>AND(Bills!#REF!,"AAAAAHZvc6Y=")</f>
        <v>#REF!</v>
      </c>
      <c r="FL85" t="e">
        <f>AND(Bills!#REF!,"AAAAAHZvc6c=")</f>
        <v>#REF!</v>
      </c>
      <c r="FM85" t="e">
        <f>AND(Bills!D196,"AAAAAHZvc6g=")</f>
        <v>#VALUE!</v>
      </c>
      <c r="FN85" t="e">
        <f>AND(Bills!#REF!,"AAAAAHZvc6k=")</f>
        <v>#REF!</v>
      </c>
      <c r="FO85" t="e">
        <f>AND(Bills!E196,"AAAAAHZvc6o=")</f>
        <v>#VALUE!</v>
      </c>
      <c r="FP85" t="e">
        <f>AND(Bills!F196,"AAAAAHZvc6s=")</f>
        <v>#VALUE!</v>
      </c>
      <c r="FQ85" t="e">
        <f>AND(Bills!G196,"AAAAAHZvc6w=")</f>
        <v>#VALUE!</v>
      </c>
      <c r="FR85" t="e">
        <f>AND(Bills!H196,"AAAAAHZvc60=")</f>
        <v>#VALUE!</v>
      </c>
      <c r="FS85" t="e">
        <f>AND(Bills!I196,"AAAAAHZvc64=")</f>
        <v>#VALUE!</v>
      </c>
      <c r="FT85" t="e">
        <f>AND(Bills!J196,"AAAAAHZvc68=")</f>
        <v>#VALUE!</v>
      </c>
      <c r="FU85" t="e">
        <f>AND(Bills!#REF!,"AAAAAHZvc7A=")</f>
        <v>#REF!</v>
      </c>
      <c r="FV85" t="e">
        <f>AND(Bills!K196,"AAAAAHZvc7E=")</f>
        <v>#VALUE!</v>
      </c>
      <c r="FW85" t="e">
        <f>AND(Bills!L196,"AAAAAHZvc7I=")</f>
        <v>#VALUE!</v>
      </c>
      <c r="FX85" t="e">
        <f>AND(Bills!M196,"AAAAAHZvc7M=")</f>
        <v>#VALUE!</v>
      </c>
      <c r="FY85" t="e">
        <f>AND(Bills!N196,"AAAAAHZvc7Q=")</f>
        <v>#VALUE!</v>
      </c>
      <c r="FZ85" t="e">
        <f>AND(Bills!O196,"AAAAAHZvc7U=")</f>
        <v>#VALUE!</v>
      </c>
      <c r="GA85" t="e">
        <f>AND(Bills!P196,"AAAAAHZvc7Y=")</f>
        <v>#VALUE!</v>
      </c>
      <c r="GB85" t="e">
        <f>AND(Bills!Q196,"AAAAAHZvc7c=")</f>
        <v>#VALUE!</v>
      </c>
      <c r="GC85" t="e">
        <f>AND(Bills!R196,"AAAAAHZvc7g=")</f>
        <v>#VALUE!</v>
      </c>
      <c r="GD85" t="e">
        <f>AND(Bills!#REF!,"AAAAAHZvc7k=")</f>
        <v>#REF!</v>
      </c>
      <c r="GE85" t="e">
        <f>AND(Bills!S196,"AAAAAHZvc7o=")</f>
        <v>#VALUE!</v>
      </c>
      <c r="GF85" t="e">
        <f>AND(Bills!T196,"AAAAAHZvc7s=")</f>
        <v>#VALUE!</v>
      </c>
      <c r="GG85" t="e">
        <f>AND(Bills!U196,"AAAAAHZvc7w=")</f>
        <v>#VALUE!</v>
      </c>
      <c r="GH85" t="e">
        <f>AND(Bills!#REF!,"AAAAAHZvc70=")</f>
        <v>#REF!</v>
      </c>
      <c r="GI85" t="e">
        <f>AND(Bills!#REF!,"AAAAAHZvc74=")</f>
        <v>#REF!</v>
      </c>
      <c r="GJ85" t="e">
        <f>AND(Bills!W196,"AAAAAHZvc78=")</f>
        <v>#VALUE!</v>
      </c>
      <c r="GK85" t="e">
        <f>AND(Bills!X196,"AAAAAHZvc8A=")</f>
        <v>#VALUE!</v>
      </c>
      <c r="GL85" t="e">
        <f>AND(Bills!#REF!,"AAAAAHZvc8E=")</f>
        <v>#REF!</v>
      </c>
      <c r="GM85" t="e">
        <f>AND(Bills!#REF!,"AAAAAHZvc8I=")</f>
        <v>#REF!</v>
      </c>
      <c r="GN85" t="e">
        <f>AND(Bills!#REF!,"AAAAAHZvc8M=")</f>
        <v>#REF!</v>
      </c>
      <c r="GO85" t="e">
        <f>AND(Bills!#REF!,"AAAAAHZvc8Q=")</f>
        <v>#REF!</v>
      </c>
      <c r="GP85" t="e">
        <f>AND(Bills!#REF!,"AAAAAHZvc8U=")</f>
        <v>#REF!</v>
      </c>
      <c r="GQ85" t="e">
        <f>AND(Bills!#REF!,"AAAAAHZvc8Y=")</f>
        <v>#REF!</v>
      </c>
      <c r="GR85" t="e">
        <f>AND(Bills!#REF!,"AAAAAHZvc8c=")</f>
        <v>#REF!</v>
      </c>
      <c r="GS85" t="e">
        <f>AND(Bills!#REF!,"AAAAAHZvc8g=")</f>
        <v>#REF!</v>
      </c>
      <c r="GT85" t="e">
        <f>AND(Bills!#REF!,"AAAAAHZvc8k=")</f>
        <v>#REF!</v>
      </c>
      <c r="GU85" t="e">
        <f>AND(Bills!Y196,"AAAAAHZvc8o=")</f>
        <v>#VALUE!</v>
      </c>
      <c r="GV85" t="e">
        <f>AND(Bills!Z196,"AAAAAHZvc8s=")</f>
        <v>#VALUE!</v>
      </c>
      <c r="GW85" t="e">
        <f>AND(Bills!#REF!,"AAAAAHZvc8w=")</f>
        <v>#REF!</v>
      </c>
      <c r="GX85" t="e">
        <f>AND(Bills!#REF!,"AAAAAHZvc80=")</f>
        <v>#REF!</v>
      </c>
      <c r="GY85" t="e">
        <f>AND(Bills!#REF!,"AAAAAHZvc84=")</f>
        <v>#REF!</v>
      </c>
      <c r="GZ85" t="e">
        <f>AND(Bills!AA196,"AAAAAHZvc88=")</f>
        <v>#VALUE!</v>
      </c>
      <c r="HA85" t="e">
        <f>AND(Bills!AB196,"AAAAAHZvc9A=")</f>
        <v>#VALUE!</v>
      </c>
      <c r="HB85" t="e">
        <f>AND(Bills!#REF!,"AAAAAHZvc9E=")</f>
        <v>#REF!</v>
      </c>
      <c r="HC85">
        <f>IF(Bills!197:197,"AAAAAHZvc9I=",0)</f>
        <v>0</v>
      </c>
      <c r="HD85" t="e">
        <f>AND(Bills!B197,"AAAAAHZvc9M=")</f>
        <v>#VALUE!</v>
      </c>
      <c r="HE85" t="e">
        <f>AND(Bills!#REF!,"AAAAAHZvc9Q=")</f>
        <v>#REF!</v>
      </c>
      <c r="HF85" t="e">
        <f>AND(Bills!C197,"AAAAAHZvc9U=")</f>
        <v>#VALUE!</v>
      </c>
      <c r="HG85" t="e">
        <f>AND(Bills!#REF!,"AAAAAHZvc9Y=")</f>
        <v>#REF!</v>
      </c>
      <c r="HH85" t="e">
        <f>AND(Bills!#REF!,"AAAAAHZvc9c=")</f>
        <v>#REF!</v>
      </c>
      <c r="HI85" t="e">
        <f>AND(Bills!#REF!,"AAAAAHZvc9g=")</f>
        <v>#REF!</v>
      </c>
      <c r="HJ85" t="e">
        <f>AND(Bills!#REF!,"AAAAAHZvc9k=")</f>
        <v>#REF!</v>
      </c>
      <c r="HK85" t="e">
        <f>AND(Bills!#REF!,"AAAAAHZvc9o=")</f>
        <v>#REF!</v>
      </c>
      <c r="HL85" t="e">
        <f>AND(Bills!D197,"AAAAAHZvc9s=")</f>
        <v>#VALUE!</v>
      </c>
      <c r="HM85" t="e">
        <f>AND(Bills!#REF!,"AAAAAHZvc9w=")</f>
        <v>#REF!</v>
      </c>
      <c r="HN85" t="e">
        <f>AND(Bills!E197,"AAAAAHZvc90=")</f>
        <v>#VALUE!</v>
      </c>
      <c r="HO85" t="e">
        <f>AND(Bills!F197,"AAAAAHZvc94=")</f>
        <v>#VALUE!</v>
      </c>
      <c r="HP85" t="e">
        <f>AND(Bills!G197,"AAAAAHZvc98=")</f>
        <v>#VALUE!</v>
      </c>
      <c r="HQ85" t="e">
        <f>AND(Bills!H197,"AAAAAHZvc+A=")</f>
        <v>#VALUE!</v>
      </c>
      <c r="HR85" t="e">
        <f>AND(Bills!I197,"AAAAAHZvc+E=")</f>
        <v>#VALUE!</v>
      </c>
      <c r="HS85" t="e">
        <f>AND(Bills!J197,"AAAAAHZvc+I=")</f>
        <v>#VALUE!</v>
      </c>
      <c r="HT85" t="e">
        <f>AND(Bills!#REF!,"AAAAAHZvc+M=")</f>
        <v>#REF!</v>
      </c>
      <c r="HU85" t="e">
        <f>AND(Bills!K197,"AAAAAHZvc+Q=")</f>
        <v>#VALUE!</v>
      </c>
      <c r="HV85" t="e">
        <f>AND(Bills!L197,"AAAAAHZvc+U=")</f>
        <v>#VALUE!</v>
      </c>
      <c r="HW85" t="e">
        <f>AND(Bills!M197,"AAAAAHZvc+Y=")</f>
        <v>#VALUE!</v>
      </c>
      <c r="HX85" t="e">
        <f>AND(Bills!N197,"AAAAAHZvc+c=")</f>
        <v>#VALUE!</v>
      </c>
      <c r="HY85" t="e">
        <f>AND(Bills!O197,"AAAAAHZvc+g=")</f>
        <v>#VALUE!</v>
      </c>
      <c r="HZ85" t="e">
        <f>AND(Bills!P197,"AAAAAHZvc+k=")</f>
        <v>#VALUE!</v>
      </c>
      <c r="IA85" t="e">
        <f>AND(Bills!Q197,"AAAAAHZvc+o=")</f>
        <v>#VALUE!</v>
      </c>
      <c r="IB85" t="e">
        <f>AND(Bills!R197,"AAAAAHZvc+s=")</f>
        <v>#VALUE!</v>
      </c>
      <c r="IC85" t="e">
        <f>AND(Bills!#REF!,"AAAAAHZvc+w=")</f>
        <v>#REF!</v>
      </c>
      <c r="ID85" t="e">
        <f>AND(Bills!S197,"AAAAAHZvc+0=")</f>
        <v>#VALUE!</v>
      </c>
      <c r="IE85" t="e">
        <f>AND(Bills!T197,"AAAAAHZvc+4=")</f>
        <v>#VALUE!</v>
      </c>
      <c r="IF85" t="e">
        <f>AND(Bills!U197,"AAAAAHZvc+8=")</f>
        <v>#VALUE!</v>
      </c>
      <c r="IG85" t="e">
        <f>AND(Bills!#REF!,"AAAAAHZvc/A=")</f>
        <v>#REF!</v>
      </c>
      <c r="IH85" t="e">
        <f>AND(Bills!#REF!,"AAAAAHZvc/E=")</f>
        <v>#REF!</v>
      </c>
      <c r="II85" t="e">
        <f>AND(Bills!W197,"AAAAAHZvc/I=")</f>
        <v>#VALUE!</v>
      </c>
      <c r="IJ85" t="e">
        <f>AND(Bills!X197,"AAAAAHZvc/M=")</f>
        <v>#VALUE!</v>
      </c>
      <c r="IK85" t="e">
        <f>AND(Bills!#REF!,"AAAAAHZvc/Q=")</f>
        <v>#REF!</v>
      </c>
      <c r="IL85" t="e">
        <f>AND(Bills!#REF!,"AAAAAHZvc/U=")</f>
        <v>#REF!</v>
      </c>
      <c r="IM85" t="e">
        <f>AND(Bills!#REF!,"AAAAAHZvc/Y=")</f>
        <v>#REF!</v>
      </c>
      <c r="IN85" t="e">
        <f>AND(Bills!#REF!,"AAAAAHZvc/c=")</f>
        <v>#REF!</v>
      </c>
      <c r="IO85" t="e">
        <f>AND(Bills!#REF!,"AAAAAHZvc/g=")</f>
        <v>#REF!</v>
      </c>
      <c r="IP85" t="e">
        <f>AND(Bills!#REF!,"AAAAAHZvc/k=")</f>
        <v>#REF!</v>
      </c>
      <c r="IQ85" t="e">
        <f>AND(Bills!#REF!,"AAAAAHZvc/o=")</f>
        <v>#REF!</v>
      </c>
      <c r="IR85" t="e">
        <f>AND(Bills!#REF!,"AAAAAHZvc/s=")</f>
        <v>#REF!</v>
      </c>
      <c r="IS85" t="e">
        <f>AND(Bills!#REF!,"AAAAAHZvc/w=")</f>
        <v>#REF!</v>
      </c>
      <c r="IT85" t="e">
        <f>AND(Bills!Y197,"AAAAAHZvc/0=")</f>
        <v>#VALUE!</v>
      </c>
      <c r="IU85" t="e">
        <f>AND(Bills!Z197,"AAAAAHZvc/4=")</f>
        <v>#VALUE!</v>
      </c>
      <c r="IV85" t="e">
        <f>AND(Bills!#REF!,"AAAAAHZvc/8=")</f>
        <v>#REF!</v>
      </c>
    </row>
    <row r="86" spans="1:256">
      <c r="A86" t="e">
        <f>AND(Bills!#REF!,"AAAAAHba+wA=")</f>
        <v>#REF!</v>
      </c>
      <c r="B86" t="e">
        <f>AND(Bills!#REF!,"AAAAAHba+wE=")</f>
        <v>#REF!</v>
      </c>
      <c r="C86" t="e">
        <f>AND(Bills!AA197,"AAAAAHba+wI=")</f>
        <v>#VALUE!</v>
      </c>
      <c r="D86" t="e">
        <f>AND(Bills!AB197,"AAAAAHba+wM=")</f>
        <v>#VALUE!</v>
      </c>
      <c r="E86" t="e">
        <f>AND(Bills!#REF!,"AAAAAHba+wQ=")</f>
        <v>#REF!</v>
      </c>
      <c r="F86">
        <f>IF(Bills!198:198,"AAAAAHba+wU=",0)</f>
        <v>0</v>
      </c>
      <c r="G86" t="e">
        <f>AND(Bills!B198,"AAAAAHba+wY=")</f>
        <v>#VALUE!</v>
      </c>
      <c r="H86" t="e">
        <f>AND(Bills!#REF!,"AAAAAHba+wc=")</f>
        <v>#REF!</v>
      </c>
      <c r="I86" t="e">
        <f>AND(Bills!C198,"AAAAAHba+wg=")</f>
        <v>#VALUE!</v>
      </c>
      <c r="J86" t="e">
        <f>AND(Bills!#REF!,"AAAAAHba+wk=")</f>
        <v>#REF!</v>
      </c>
      <c r="K86" t="e">
        <f>AND(Bills!#REF!,"AAAAAHba+wo=")</f>
        <v>#REF!</v>
      </c>
      <c r="L86" t="e">
        <f>AND(Bills!#REF!,"AAAAAHba+ws=")</f>
        <v>#REF!</v>
      </c>
      <c r="M86" t="e">
        <f>AND(Bills!#REF!,"AAAAAHba+ww=")</f>
        <v>#REF!</v>
      </c>
      <c r="N86" t="e">
        <f>AND(Bills!#REF!,"AAAAAHba+w0=")</f>
        <v>#REF!</v>
      </c>
      <c r="O86" t="e">
        <f>AND(Bills!D198,"AAAAAHba+w4=")</f>
        <v>#VALUE!</v>
      </c>
      <c r="P86" t="e">
        <f>AND(Bills!#REF!,"AAAAAHba+w8=")</f>
        <v>#REF!</v>
      </c>
      <c r="Q86" t="e">
        <f>AND(Bills!E198,"AAAAAHba+xA=")</f>
        <v>#VALUE!</v>
      </c>
      <c r="R86" t="e">
        <f>AND(Bills!F198,"AAAAAHba+xE=")</f>
        <v>#VALUE!</v>
      </c>
      <c r="S86" t="e">
        <f>AND(Bills!G198,"AAAAAHba+xI=")</f>
        <v>#VALUE!</v>
      </c>
      <c r="T86" t="e">
        <f>AND(Bills!H198,"AAAAAHba+xM=")</f>
        <v>#VALUE!</v>
      </c>
      <c r="U86" t="e">
        <f>AND(Bills!I198,"AAAAAHba+xQ=")</f>
        <v>#VALUE!</v>
      </c>
      <c r="V86" t="e">
        <f>AND(Bills!J198,"AAAAAHba+xU=")</f>
        <v>#VALUE!</v>
      </c>
      <c r="W86" t="e">
        <f>AND(Bills!#REF!,"AAAAAHba+xY=")</f>
        <v>#REF!</v>
      </c>
      <c r="X86" t="e">
        <f>AND(Bills!K198,"AAAAAHba+xc=")</f>
        <v>#VALUE!</v>
      </c>
      <c r="Y86" t="e">
        <f>AND(Bills!L198,"AAAAAHba+xg=")</f>
        <v>#VALUE!</v>
      </c>
      <c r="Z86" t="e">
        <f>AND(Bills!M198,"AAAAAHba+xk=")</f>
        <v>#VALUE!</v>
      </c>
      <c r="AA86" t="e">
        <f>AND(Bills!N198,"AAAAAHba+xo=")</f>
        <v>#VALUE!</v>
      </c>
      <c r="AB86" t="e">
        <f>AND(Bills!O198,"AAAAAHba+xs=")</f>
        <v>#VALUE!</v>
      </c>
      <c r="AC86" t="e">
        <f>AND(Bills!P198,"AAAAAHba+xw=")</f>
        <v>#VALUE!</v>
      </c>
      <c r="AD86" t="e">
        <f>AND(Bills!Q198,"AAAAAHba+x0=")</f>
        <v>#VALUE!</v>
      </c>
      <c r="AE86" t="e">
        <f>AND(Bills!R198,"AAAAAHba+x4=")</f>
        <v>#VALUE!</v>
      </c>
      <c r="AF86" t="e">
        <f>AND(Bills!#REF!,"AAAAAHba+x8=")</f>
        <v>#REF!</v>
      </c>
      <c r="AG86" t="e">
        <f>AND(Bills!S198,"AAAAAHba+yA=")</f>
        <v>#VALUE!</v>
      </c>
      <c r="AH86" t="e">
        <f>AND(Bills!T198,"AAAAAHba+yE=")</f>
        <v>#VALUE!</v>
      </c>
      <c r="AI86" t="e">
        <f>AND(Bills!U198,"AAAAAHba+yI=")</f>
        <v>#VALUE!</v>
      </c>
      <c r="AJ86" t="e">
        <f>AND(Bills!#REF!,"AAAAAHba+yM=")</f>
        <v>#REF!</v>
      </c>
      <c r="AK86" t="e">
        <f>AND(Bills!#REF!,"AAAAAHba+yQ=")</f>
        <v>#REF!</v>
      </c>
      <c r="AL86" t="e">
        <f>AND(Bills!W198,"AAAAAHba+yU=")</f>
        <v>#VALUE!</v>
      </c>
      <c r="AM86" t="e">
        <f>AND(Bills!X198,"AAAAAHba+yY=")</f>
        <v>#VALUE!</v>
      </c>
      <c r="AN86" t="e">
        <f>AND(Bills!#REF!,"AAAAAHba+yc=")</f>
        <v>#REF!</v>
      </c>
      <c r="AO86" t="e">
        <f>AND(Bills!#REF!,"AAAAAHba+yg=")</f>
        <v>#REF!</v>
      </c>
      <c r="AP86" t="e">
        <f>AND(Bills!#REF!,"AAAAAHba+yk=")</f>
        <v>#REF!</v>
      </c>
      <c r="AQ86" t="e">
        <f>AND(Bills!#REF!,"AAAAAHba+yo=")</f>
        <v>#REF!</v>
      </c>
      <c r="AR86" t="e">
        <f>AND(Bills!#REF!,"AAAAAHba+ys=")</f>
        <v>#REF!</v>
      </c>
      <c r="AS86" t="e">
        <f>AND(Bills!#REF!,"AAAAAHba+yw=")</f>
        <v>#REF!</v>
      </c>
      <c r="AT86" t="e">
        <f>AND(Bills!#REF!,"AAAAAHba+y0=")</f>
        <v>#REF!</v>
      </c>
      <c r="AU86" t="e">
        <f>AND(Bills!#REF!,"AAAAAHba+y4=")</f>
        <v>#REF!</v>
      </c>
      <c r="AV86" t="e">
        <f>AND(Bills!#REF!,"AAAAAHba+y8=")</f>
        <v>#REF!</v>
      </c>
      <c r="AW86" t="e">
        <f>AND(Bills!Y198,"AAAAAHba+zA=")</f>
        <v>#VALUE!</v>
      </c>
      <c r="AX86" t="e">
        <f>AND(Bills!Z198,"AAAAAHba+zE=")</f>
        <v>#VALUE!</v>
      </c>
      <c r="AY86" t="e">
        <f>AND(Bills!#REF!,"AAAAAHba+zI=")</f>
        <v>#REF!</v>
      </c>
      <c r="AZ86" t="e">
        <f>AND(Bills!#REF!,"AAAAAHba+zM=")</f>
        <v>#REF!</v>
      </c>
      <c r="BA86" t="e">
        <f>AND(Bills!#REF!,"AAAAAHba+zQ=")</f>
        <v>#REF!</v>
      </c>
      <c r="BB86" t="e">
        <f>AND(Bills!AA198,"AAAAAHba+zU=")</f>
        <v>#VALUE!</v>
      </c>
      <c r="BC86" t="e">
        <f>AND(Bills!AB198,"AAAAAHba+zY=")</f>
        <v>#VALUE!</v>
      </c>
      <c r="BD86" t="e">
        <f>AND(Bills!#REF!,"AAAAAHba+zc=")</f>
        <v>#REF!</v>
      </c>
      <c r="BE86">
        <f>IF(Bills!199:199,"AAAAAHba+zg=",0)</f>
        <v>0</v>
      </c>
      <c r="BF86" t="e">
        <f>AND(Bills!B199,"AAAAAHba+zk=")</f>
        <v>#VALUE!</v>
      </c>
      <c r="BG86" t="e">
        <f>AND(Bills!#REF!,"AAAAAHba+zo=")</f>
        <v>#REF!</v>
      </c>
      <c r="BH86" t="e">
        <f>AND(Bills!C199,"AAAAAHba+zs=")</f>
        <v>#VALUE!</v>
      </c>
      <c r="BI86" t="e">
        <f>AND(Bills!#REF!,"AAAAAHba+zw=")</f>
        <v>#REF!</v>
      </c>
      <c r="BJ86" t="e">
        <f>AND(Bills!#REF!,"AAAAAHba+z0=")</f>
        <v>#REF!</v>
      </c>
      <c r="BK86" t="e">
        <f>AND(Bills!#REF!,"AAAAAHba+z4=")</f>
        <v>#REF!</v>
      </c>
      <c r="BL86" t="e">
        <f>AND(Bills!#REF!,"AAAAAHba+z8=")</f>
        <v>#REF!</v>
      </c>
      <c r="BM86" t="e">
        <f>AND(Bills!#REF!,"AAAAAHba+0A=")</f>
        <v>#REF!</v>
      </c>
      <c r="BN86" t="e">
        <f>AND(Bills!D199,"AAAAAHba+0E=")</f>
        <v>#VALUE!</v>
      </c>
      <c r="BO86" t="e">
        <f>AND(Bills!#REF!,"AAAAAHba+0I=")</f>
        <v>#REF!</v>
      </c>
      <c r="BP86" t="e">
        <f>AND(Bills!E199,"AAAAAHba+0M=")</f>
        <v>#VALUE!</v>
      </c>
      <c r="BQ86" t="e">
        <f>AND(Bills!F199,"AAAAAHba+0Q=")</f>
        <v>#VALUE!</v>
      </c>
      <c r="BR86" t="e">
        <f>AND(Bills!G199,"AAAAAHba+0U=")</f>
        <v>#VALUE!</v>
      </c>
      <c r="BS86" t="e">
        <f>AND(Bills!H199,"AAAAAHba+0Y=")</f>
        <v>#VALUE!</v>
      </c>
      <c r="BT86" t="e">
        <f>AND(Bills!I199,"AAAAAHba+0c=")</f>
        <v>#VALUE!</v>
      </c>
      <c r="BU86" t="e">
        <f>AND(Bills!J199,"AAAAAHba+0g=")</f>
        <v>#VALUE!</v>
      </c>
      <c r="BV86" t="e">
        <f>AND(Bills!#REF!,"AAAAAHba+0k=")</f>
        <v>#REF!</v>
      </c>
      <c r="BW86" t="e">
        <f>AND(Bills!K199,"AAAAAHba+0o=")</f>
        <v>#VALUE!</v>
      </c>
      <c r="BX86" t="e">
        <f>AND(Bills!L199,"AAAAAHba+0s=")</f>
        <v>#VALUE!</v>
      </c>
      <c r="BY86" t="e">
        <f>AND(Bills!M199,"AAAAAHba+0w=")</f>
        <v>#VALUE!</v>
      </c>
      <c r="BZ86" t="e">
        <f>AND(Bills!N199,"AAAAAHba+00=")</f>
        <v>#VALUE!</v>
      </c>
      <c r="CA86" t="e">
        <f>AND(Bills!O199,"AAAAAHba+04=")</f>
        <v>#VALUE!</v>
      </c>
      <c r="CB86" t="e">
        <f>AND(Bills!P199,"AAAAAHba+08=")</f>
        <v>#VALUE!</v>
      </c>
      <c r="CC86" t="e">
        <f>AND(Bills!Q199,"AAAAAHba+1A=")</f>
        <v>#VALUE!</v>
      </c>
      <c r="CD86" t="e">
        <f>AND(Bills!R199,"AAAAAHba+1E=")</f>
        <v>#VALUE!</v>
      </c>
      <c r="CE86" t="e">
        <f>AND(Bills!#REF!,"AAAAAHba+1I=")</f>
        <v>#REF!</v>
      </c>
      <c r="CF86" t="e">
        <f>AND(Bills!S199,"AAAAAHba+1M=")</f>
        <v>#VALUE!</v>
      </c>
      <c r="CG86" t="e">
        <f>AND(Bills!T199,"AAAAAHba+1Q=")</f>
        <v>#VALUE!</v>
      </c>
      <c r="CH86" t="e">
        <f>AND(Bills!U199,"AAAAAHba+1U=")</f>
        <v>#VALUE!</v>
      </c>
      <c r="CI86" t="e">
        <f>AND(Bills!#REF!,"AAAAAHba+1Y=")</f>
        <v>#REF!</v>
      </c>
      <c r="CJ86" t="e">
        <f>AND(Bills!#REF!,"AAAAAHba+1c=")</f>
        <v>#REF!</v>
      </c>
      <c r="CK86" t="e">
        <f>AND(Bills!W199,"AAAAAHba+1g=")</f>
        <v>#VALUE!</v>
      </c>
      <c r="CL86" t="e">
        <f>AND(Bills!X199,"AAAAAHba+1k=")</f>
        <v>#VALUE!</v>
      </c>
      <c r="CM86" t="e">
        <f>AND(Bills!#REF!,"AAAAAHba+1o=")</f>
        <v>#REF!</v>
      </c>
      <c r="CN86" t="e">
        <f>AND(Bills!#REF!,"AAAAAHba+1s=")</f>
        <v>#REF!</v>
      </c>
      <c r="CO86" t="e">
        <f>AND(Bills!#REF!,"AAAAAHba+1w=")</f>
        <v>#REF!</v>
      </c>
      <c r="CP86" t="e">
        <f>AND(Bills!#REF!,"AAAAAHba+10=")</f>
        <v>#REF!</v>
      </c>
      <c r="CQ86" t="e">
        <f>AND(Bills!#REF!,"AAAAAHba+14=")</f>
        <v>#REF!</v>
      </c>
      <c r="CR86" t="e">
        <f>AND(Bills!#REF!,"AAAAAHba+18=")</f>
        <v>#REF!</v>
      </c>
      <c r="CS86" t="e">
        <f>AND(Bills!#REF!,"AAAAAHba+2A=")</f>
        <v>#REF!</v>
      </c>
      <c r="CT86" t="e">
        <f>AND(Bills!#REF!,"AAAAAHba+2E=")</f>
        <v>#REF!</v>
      </c>
      <c r="CU86" t="e">
        <f>AND(Bills!#REF!,"AAAAAHba+2I=")</f>
        <v>#REF!</v>
      </c>
      <c r="CV86" t="e">
        <f>AND(Bills!Y199,"AAAAAHba+2M=")</f>
        <v>#VALUE!</v>
      </c>
      <c r="CW86" t="e">
        <f>AND(Bills!Z199,"AAAAAHba+2Q=")</f>
        <v>#VALUE!</v>
      </c>
      <c r="CX86" t="e">
        <f>AND(Bills!#REF!,"AAAAAHba+2U=")</f>
        <v>#REF!</v>
      </c>
      <c r="CY86" t="e">
        <f>AND(Bills!#REF!,"AAAAAHba+2Y=")</f>
        <v>#REF!</v>
      </c>
      <c r="CZ86" t="e">
        <f>AND(Bills!#REF!,"AAAAAHba+2c=")</f>
        <v>#REF!</v>
      </c>
      <c r="DA86" t="e">
        <f>AND(Bills!AA199,"AAAAAHba+2g=")</f>
        <v>#VALUE!</v>
      </c>
      <c r="DB86" t="e">
        <f>AND(Bills!AB199,"AAAAAHba+2k=")</f>
        <v>#VALUE!</v>
      </c>
      <c r="DC86" t="e">
        <f>AND(Bills!#REF!,"AAAAAHba+2o=")</f>
        <v>#REF!</v>
      </c>
      <c r="DD86">
        <f>IF(Bills!200:200,"AAAAAHba+2s=",0)</f>
        <v>0</v>
      </c>
      <c r="DE86" t="e">
        <f>AND(Bills!B200,"AAAAAHba+2w=")</f>
        <v>#VALUE!</v>
      </c>
      <c r="DF86" t="e">
        <f>AND(Bills!#REF!,"AAAAAHba+20=")</f>
        <v>#REF!</v>
      </c>
      <c r="DG86" t="e">
        <f>AND(Bills!C200,"AAAAAHba+24=")</f>
        <v>#VALUE!</v>
      </c>
      <c r="DH86" t="e">
        <f>AND(Bills!#REF!,"AAAAAHba+28=")</f>
        <v>#REF!</v>
      </c>
      <c r="DI86" t="e">
        <f>AND(Bills!#REF!,"AAAAAHba+3A=")</f>
        <v>#REF!</v>
      </c>
      <c r="DJ86" t="e">
        <f>AND(Bills!#REF!,"AAAAAHba+3E=")</f>
        <v>#REF!</v>
      </c>
      <c r="DK86" t="e">
        <f>AND(Bills!#REF!,"AAAAAHba+3I=")</f>
        <v>#REF!</v>
      </c>
      <c r="DL86" t="e">
        <f>AND(Bills!#REF!,"AAAAAHba+3M=")</f>
        <v>#REF!</v>
      </c>
      <c r="DM86" t="e">
        <f>AND(Bills!D200,"AAAAAHba+3Q=")</f>
        <v>#VALUE!</v>
      </c>
      <c r="DN86" t="e">
        <f>AND(Bills!#REF!,"AAAAAHba+3U=")</f>
        <v>#REF!</v>
      </c>
      <c r="DO86" t="e">
        <f>AND(Bills!E200,"AAAAAHba+3Y=")</f>
        <v>#VALUE!</v>
      </c>
      <c r="DP86" t="e">
        <f>AND(Bills!F200,"AAAAAHba+3c=")</f>
        <v>#VALUE!</v>
      </c>
      <c r="DQ86" t="e">
        <f>AND(Bills!G200,"AAAAAHba+3g=")</f>
        <v>#VALUE!</v>
      </c>
      <c r="DR86" t="e">
        <f>AND(Bills!H200,"AAAAAHba+3k=")</f>
        <v>#VALUE!</v>
      </c>
      <c r="DS86" t="e">
        <f>AND(Bills!I200,"AAAAAHba+3o=")</f>
        <v>#VALUE!</v>
      </c>
      <c r="DT86" t="e">
        <f>AND(Bills!J200,"AAAAAHba+3s=")</f>
        <v>#VALUE!</v>
      </c>
      <c r="DU86" t="e">
        <f>AND(Bills!#REF!,"AAAAAHba+3w=")</f>
        <v>#REF!</v>
      </c>
      <c r="DV86" t="e">
        <f>AND(Bills!K200,"AAAAAHba+30=")</f>
        <v>#VALUE!</v>
      </c>
      <c r="DW86" t="e">
        <f>AND(Bills!L200,"AAAAAHba+34=")</f>
        <v>#VALUE!</v>
      </c>
      <c r="DX86" t="e">
        <f>AND(Bills!M200,"AAAAAHba+38=")</f>
        <v>#VALUE!</v>
      </c>
      <c r="DY86" t="e">
        <f>AND(Bills!N200,"AAAAAHba+4A=")</f>
        <v>#VALUE!</v>
      </c>
      <c r="DZ86" t="e">
        <f>AND(Bills!O200,"AAAAAHba+4E=")</f>
        <v>#VALUE!</v>
      </c>
      <c r="EA86" t="e">
        <f>AND(Bills!P200,"AAAAAHba+4I=")</f>
        <v>#VALUE!</v>
      </c>
      <c r="EB86" t="e">
        <f>AND(Bills!Q200,"AAAAAHba+4M=")</f>
        <v>#VALUE!</v>
      </c>
      <c r="EC86" t="e">
        <f>AND(Bills!R200,"AAAAAHba+4Q=")</f>
        <v>#VALUE!</v>
      </c>
      <c r="ED86" t="e">
        <f>AND(Bills!#REF!,"AAAAAHba+4U=")</f>
        <v>#REF!</v>
      </c>
      <c r="EE86" t="e">
        <f>AND(Bills!S200,"AAAAAHba+4Y=")</f>
        <v>#VALUE!</v>
      </c>
      <c r="EF86" t="e">
        <f>AND(Bills!T200,"AAAAAHba+4c=")</f>
        <v>#VALUE!</v>
      </c>
      <c r="EG86" t="e">
        <f>AND(Bills!U200,"AAAAAHba+4g=")</f>
        <v>#VALUE!</v>
      </c>
      <c r="EH86" t="e">
        <f>AND(Bills!#REF!,"AAAAAHba+4k=")</f>
        <v>#REF!</v>
      </c>
      <c r="EI86" t="e">
        <f>AND(Bills!#REF!,"AAAAAHba+4o=")</f>
        <v>#REF!</v>
      </c>
      <c r="EJ86" t="e">
        <f>AND(Bills!W200,"AAAAAHba+4s=")</f>
        <v>#VALUE!</v>
      </c>
      <c r="EK86" t="e">
        <f>AND(Bills!X200,"AAAAAHba+4w=")</f>
        <v>#VALUE!</v>
      </c>
      <c r="EL86" t="e">
        <f>AND(Bills!#REF!,"AAAAAHba+40=")</f>
        <v>#REF!</v>
      </c>
      <c r="EM86" t="e">
        <f>AND(Bills!#REF!,"AAAAAHba+44=")</f>
        <v>#REF!</v>
      </c>
      <c r="EN86" t="e">
        <f>AND(Bills!#REF!,"AAAAAHba+48=")</f>
        <v>#REF!</v>
      </c>
      <c r="EO86" t="e">
        <f>AND(Bills!#REF!,"AAAAAHba+5A=")</f>
        <v>#REF!</v>
      </c>
      <c r="EP86" t="e">
        <f>AND(Bills!#REF!,"AAAAAHba+5E=")</f>
        <v>#REF!</v>
      </c>
      <c r="EQ86" t="e">
        <f>AND(Bills!#REF!,"AAAAAHba+5I=")</f>
        <v>#REF!</v>
      </c>
      <c r="ER86" t="e">
        <f>AND(Bills!#REF!,"AAAAAHba+5M=")</f>
        <v>#REF!</v>
      </c>
      <c r="ES86" t="e">
        <f>AND(Bills!#REF!,"AAAAAHba+5Q=")</f>
        <v>#REF!</v>
      </c>
      <c r="ET86" t="e">
        <f>AND(Bills!#REF!,"AAAAAHba+5U=")</f>
        <v>#REF!</v>
      </c>
      <c r="EU86" t="e">
        <f>AND(Bills!Y200,"AAAAAHba+5Y=")</f>
        <v>#VALUE!</v>
      </c>
      <c r="EV86" t="e">
        <f>AND(Bills!Z200,"AAAAAHba+5c=")</f>
        <v>#VALUE!</v>
      </c>
      <c r="EW86" t="e">
        <f>AND(Bills!#REF!,"AAAAAHba+5g=")</f>
        <v>#REF!</v>
      </c>
      <c r="EX86" t="e">
        <f>AND(Bills!#REF!,"AAAAAHba+5k=")</f>
        <v>#REF!</v>
      </c>
      <c r="EY86" t="e">
        <f>AND(Bills!#REF!,"AAAAAHba+5o=")</f>
        <v>#REF!</v>
      </c>
      <c r="EZ86" t="e">
        <f>AND(Bills!AA200,"AAAAAHba+5s=")</f>
        <v>#VALUE!</v>
      </c>
      <c r="FA86" t="e">
        <f>AND(Bills!AB200,"AAAAAHba+5w=")</f>
        <v>#VALUE!</v>
      </c>
      <c r="FB86" t="e">
        <f>AND(Bills!#REF!,"AAAAAHba+50=")</f>
        <v>#REF!</v>
      </c>
      <c r="FC86">
        <f>IF(Bills!201:201,"AAAAAHba+54=",0)</f>
        <v>0</v>
      </c>
      <c r="FD86" t="e">
        <f>AND(Bills!B201,"AAAAAHba+58=")</f>
        <v>#VALUE!</v>
      </c>
      <c r="FE86" t="e">
        <f>AND(Bills!#REF!,"AAAAAHba+6A=")</f>
        <v>#REF!</v>
      </c>
      <c r="FF86" t="e">
        <f>AND(Bills!C201,"AAAAAHba+6E=")</f>
        <v>#VALUE!</v>
      </c>
      <c r="FG86" t="e">
        <f>AND(Bills!#REF!,"AAAAAHba+6I=")</f>
        <v>#REF!</v>
      </c>
      <c r="FH86" t="e">
        <f>AND(Bills!#REF!,"AAAAAHba+6M=")</f>
        <v>#REF!</v>
      </c>
      <c r="FI86" t="e">
        <f>AND(Bills!#REF!,"AAAAAHba+6Q=")</f>
        <v>#REF!</v>
      </c>
      <c r="FJ86" t="e">
        <f>AND(Bills!#REF!,"AAAAAHba+6U=")</f>
        <v>#REF!</v>
      </c>
      <c r="FK86" t="e">
        <f>AND(Bills!#REF!,"AAAAAHba+6Y=")</f>
        <v>#REF!</v>
      </c>
      <c r="FL86" t="e">
        <f>AND(Bills!D201,"AAAAAHba+6c=")</f>
        <v>#VALUE!</v>
      </c>
      <c r="FM86" t="e">
        <f>AND(Bills!#REF!,"AAAAAHba+6g=")</f>
        <v>#REF!</v>
      </c>
      <c r="FN86" t="e">
        <f>AND(Bills!E201,"AAAAAHba+6k=")</f>
        <v>#VALUE!</v>
      </c>
      <c r="FO86" t="e">
        <f>AND(Bills!F201,"AAAAAHba+6o=")</f>
        <v>#VALUE!</v>
      </c>
      <c r="FP86" t="e">
        <f>AND(Bills!G201,"AAAAAHba+6s=")</f>
        <v>#VALUE!</v>
      </c>
      <c r="FQ86" t="e">
        <f>AND(Bills!H201,"AAAAAHba+6w=")</f>
        <v>#VALUE!</v>
      </c>
      <c r="FR86" t="e">
        <f>AND(Bills!I201,"AAAAAHba+60=")</f>
        <v>#VALUE!</v>
      </c>
      <c r="FS86" t="e">
        <f>AND(Bills!J201,"AAAAAHba+64=")</f>
        <v>#VALUE!</v>
      </c>
      <c r="FT86" t="e">
        <f>AND(Bills!#REF!,"AAAAAHba+68=")</f>
        <v>#REF!</v>
      </c>
      <c r="FU86" t="e">
        <f>AND(Bills!K201,"AAAAAHba+7A=")</f>
        <v>#VALUE!</v>
      </c>
      <c r="FV86" t="e">
        <f>AND(Bills!L201,"AAAAAHba+7E=")</f>
        <v>#VALUE!</v>
      </c>
      <c r="FW86" t="e">
        <f>AND(Bills!M201,"AAAAAHba+7I=")</f>
        <v>#VALUE!</v>
      </c>
      <c r="FX86" t="e">
        <f>AND(Bills!N201,"AAAAAHba+7M=")</f>
        <v>#VALUE!</v>
      </c>
      <c r="FY86" t="e">
        <f>AND(Bills!O201,"AAAAAHba+7Q=")</f>
        <v>#VALUE!</v>
      </c>
      <c r="FZ86" t="e">
        <f>AND(Bills!P201,"AAAAAHba+7U=")</f>
        <v>#VALUE!</v>
      </c>
      <c r="GA86" t="e">
        <f>AND(Bills!Q201,"AAAAAHba+7Y=")</f>
        <v>#VALUE!</v>
      </c>
      <c r="GB86" t="e">
        <f>AND(Bills!R201,"AAAAAHba+7c=")</f>
        <v>#VALUE!</v>
      </c>
      <c r="GC86" t="e">
        <f>AND(Bills!#REF!,"AAAAAHba+7g=")</f>
        <v>#REF!</v>
      </c>
      <c r="GD86" t="e">
        <f>AND(Bills!S201,"AAAAAHba+7k=")</f>
        <v>#VALUE!</v>
      </c>
      <c r="GE86" t="e">
        <f>AND(Bills!T201,"AAAAAHba+7o=")</f>
        <v>#VALUE!</v>
      </c>
      <c r="GF86" t="e">
        <f>AND(Bills!U201,"AAAAAHba+7s=")</f>
        <v>#VALUE!</v>
      </c>
      <c r="GG86" t="e">
        <f>AND(Bills!#REF!,"AAAAAHba+7w=")</f>
        <v>#REF!</v>
      </c>
      <c r="GH86" t="e">
        <f>AND(Bills!#REF!,"AAAAAHba+70=")</f>
        <v>#REF!</v>
      </c>
      <c r="GI86" t="e">
        <f>AND(Bills!W201,"AAAAAHba+74=")</f>
        <v>#VALUE!</v>
      </c>
      <c r="GJ86" t="e">
        <f>AND(Bills!X201,"AAAAAHba+78=")</f>
        <v>#VALUE!</v>
      </c>
      <c r="GK86" t="e">
        <f>AND(Bills!#REF!,"AAAAAHba+8A=")</f>
        <v>#REF!</v>
      </c>
      <c r="GL86" t="e">
        <f>AND(Bills!#REF!,"AAAAAHba+8E=")</f>
        <v>#REF!</v>
      </c>
      <c r="GM86" t="e">
        <f>AND(Bills!#REF!,"AAAAAHba+8I=")</f>
        <v>#REF!</v>
      </c>
      <c r="GN86" t="e">
        <f>AND(Bills!#REF!,"AAAAAHba+8M=")</f>
        <v>#REF!</v>
      </c>
      <c r="GO86" t="e">
        <f>AND(Bills!#REF!,"AAAAAHba+8Q=")</f>
        <v>#REF!</v>
      </c>
      <c r="GP86" t="e">
        <f>AND(Bills!#REF!,"AAAAAHba+8U=")</f>
        <v>#REF!</v>
      </c>
      <c r="GQ86" t="e">
        <f>AND(Bills!#REF!,"AAAAAHba+8Y=")</f>
        <v>#REF!</v>
      </c>
      <c r="GR86" t="e">
        <f>AND(Bills!#REF!,"AAAAAHba+8c=")</f>
        <v>#REF!</v>
      </c>
      <c r="GS86" t="e">
        <f>AND(Bills!#REF!,"AAAAAHba+8g=")</f>
        <v>#REF!</v>
      </c>
      <c r="GT86" t="e">
        <f>AND(Bills!Y201,"AAAAAHba+8k=")</f>
        <v>#VALUE!</v>
      </c>
      <c r="GU86" t="e">
        <f>AND(Bills!Z201,"AAAAAHba+8o=")</f>
        <v>#VALUE!</v>
      </c>
      <c r="GV86" t="e">
        <f>AND(Bills!#REF!,"AAAAAHba+8s=")</f>
        <v>#REF!</v>
      </c>
      <c r="GW86" t="e">
        <f>AND(Bills!#REF!,"AAAAAHba+8w=")</f>
        <v>#REF!</v>
      </c>
      <c r="GX86" t="e">
        <f>AND(Bills!#REF!,"AAAAAHba+80=")</f>
        <v>#REF!</v>
      </c>
      <c r="GY86" t="e">
        <f>AND(Bills!AA201,"AAAAAHba+84=")</f>
        <v>#VALUE!</v>
      </c>
      <c r="GZ86" t="e">
        <f>AND(Bills!AB201,"AAAAAHba+88=")</f>
        <v>#VALUE!</v>
      </c>
      <c r="HA86" t="e">
        <f>AND(Bills!#REF!,"AAAAAHba+9A=")</f>
        <v>#REF!</v>
      </c>
      <c r="HB86">
        <f>IF(Bills!202:202,"AAAAAHba+9E=",0)</f>
        <v>0</v>
      </c>
      <c r="HC86" t="e">
        <f>AND(Bills!B202,"AAAAAHba+9I=")</f>
        <v>#VALUE!</v>
      </c>
      <c r="HD86" t="e">
        <f>AND(Bills!#REF!,"AAAAAHba+9M=")</f>
        <v>#REF!</v>
      </c>
      <c r="HE86" t="e">
        <f>AND(Bills!C202,"AAAAAHba+9Q=")</f>
        <v>#VALUE!</v>
      </c>
      <c r="HF86" t="e">
        <f>AND(Bills!#REF!,"AAAAAHba+9U=")</f>
        <v>#REF!</v>
      </c>
      <c r="HG86" t="e">
        <f>AND(Bills!#REF!,"AAAAAHba+9Y=")</f>
        <v>#REF!</v>
      </c>
      <c r="HH86" t="e">
        <f>AND(Bills!#REF!,"AAAAAHba+9c=")</f>
        <v>#REF!</v>
      </c>
      <c r="HI86" t="e">
        <f>AND(Bills!#REF!,"AAAAAHba+9g=")</f>
        <v>#REF!</v>
      </c>
      <c r="HJ86" t="e">
        <f>AND(Bills!#REF!,"AAAAAHba+9k=")</f>
        <v>#REF!</v>
      </c>
      <c r="HK86" t="e">
        <f>AND(Bills!D202,"AAAAAHba+9o=")</f>
        <v>#VALUE!</v>
      </c>
      <c r="HL86" t="e">
        <f>AND(Bills!#REF!,"AAAAAHba+9s=")</f>
        <v>#REF!</v>
      </c>
      <c r="HM86" t="e">
        <f>AND(Bills!E202,"AAAAAHba+9w=")</f>
        <v>#VALUE!</v>
      </c>
      <c r="HN86" t="e">
        <f>AND(Bills!F202,"AAAAAHba+90=")</f>
        <v>#VALUE!</v>
      </c>
      <c r="HO86" t="e">
        <f>AND(Bills!G202,"AAAAAHba+94=")</f>
        <v>#VALUE!</v>
      </c>
      <c r="HP86" t="e">
        <f>AND(Bills!H202,"AAAAAHba+98=")</f>
        <v>#VALUE!</v>
      </c>
      <c r="HQ86" t="e">
        <f>AND(Bills!I202,"AAAAAHba++A=")</f>
        <v>#VALUE!</v>
      </c>
      <c r="HR86" t="e">
        <f>AND(Bills!J202,"AAAAAHba++E=")</f>
        <v>#VALUE!</v>
      </c>
      <c r="HS86" t="e">
        <f>AND(Bills!#REF!,"AAAAAHba++I=")</f>
        <v>#REF!</v>
      </c>
      <c r="HT86" t="e">
        <f>AND(Bills!K202,"AAAAAHba++M=")</f>
        <v>#VALUE!</v>
      </c>
      <c r="HU86" t="e">
        <f>AND(Bills!L202,"AAAAAHba++Q=")</f>
        <v>#VALUE!</v>
      </c>
      <c r="HV86" t="e">
        <f>AND(Bills!M202,"AAAAAHba++U=")</f>
        <v>#VALUE!</v>
      </c>
      <c r="HW86" t="e">
        <f>AND(Bills!N202,"AAAAAHba++Y=")</f>
        <v>#VALUE!</v>
      </c>
      <c r="HX86" t="e">
        <f>AND(Bills!O202,"AAAAAHba++c=")</f>
        <v>#VALUE!</v>
      </c>
      <c r="HY86" t="e">
        <f>AND(Bills!P202,"AAAAAHba++g=")</f>
        <v>#VALUE!</v>
      </c>
      <c r="HZ86" t="e">
        <f>AND(Bills!Q202,"AAAAAHba++k=")</f>
        <v>#VALUE!</v>
      </c>
      <c r="IA86" t="e">
        <f>AND(Bills!R202,"AAAAAHba++o=")</f>
        <v>#VALUE!</v>
      </c>
      <c r="IB86" t="e">
        <f>AND(Bills!#REF!,"AAAAAHba++s=")</f>
        <v>#REF!</v>
      </c>
      <c r="IC86" t="e">
        <f>AND(Bills!S202,"AAAAAHba++w=")</f>
        <v>#VALUE!</v>
      </c>
      <c r="ID86" t="e">
        <f>AND(Bills!T202,"AAAAAHba++0=")</f>
        <v>#VALUE!</v>
      </c>
      <c r="IE86" t="e">
        <f>AND(Bills!U202,"AAAAAHba++4=")</f>
        <v>#VALUE!</v>
      </c>
      <c r="IF86" t="e">
        <f>AND(Bills!#REF!,"AAAAAHba++8=")</f>
        <v>#REF!</v>
      </c>
      <c r="IG86" t="e">
        <f>AND(Bills!#REF!,"AAAAAHba+/A=")</f>
        <v>#REF!</v>
      </c>
      <c r="IH86" t="e">
        <f>AND(Bills!W202,"AAAAAHba+/E=")</f>
        <v>#VALUE!</v>
      </c>
      <c r="II86" t="e">
        <f>AND(Bills!X202,"AAAAAHba+/I=")</f>
        <v>#VALUE!</v>
      </c>
      <c r="IJ86" t="e">
        <f>AND(Bills!#REF!,"AAAAAHba+/M=")</f>
        <v>#REF!</v>
      </c>
      <c r="IK86" t="e">
        <f>AND(Bills!#REF!,"AAAAAHba+/Q=")</f>
        <v>#REF!</v>
      </c>
      <c r="IL86" t="e">
        <f>AND(Bills!#REF!,"AAAAAHba+/U=")</f>
        <v>#REF!</v>
      </c>
      <c r="IM86" t="e">
        <f>AND(Bills!#REF!,"AAAAAHba+/Y=")</f>
        <v>#REF!</v>
      </c>
      <c r="IN86" t="e">
        <f>AND(Bills!#REF!,"AAAAAHba+/c=")</f>
        <v>#REF!</v>
      </c>
      <c r="IO86" t="e">
        <f>AND(Bills!#REF!,"AAAAAHba+/g=")</f>
        <v>#REF!</v>
      </c>
      <c r="IP86" t="e">
        <f>AND(Bills!#REF!,"AAAAAHba+/k=")</f>
        <v>#REF!</v>
      </c>
      <c r="IQ86" t="e">
        <f>AND(Bills!#REF!,"AAAAAHba+/o=")</f>
        <v>#REF!</v>
      </c>
      <c r="IR86" t="e">
        <f>AND(Bills!#REF!,"AAAAAHba+/s=")</f>
        <v>#REF!</v>
      </c>
      <c r="IS86" t="e">
        <f>AND(Bills!Y202,"AAAAAHba+/w=")</f>
        <v>#VALUE!</v>
      </c>
      <c r="IT86" t="e">
        <f>AND(Bills!Z202,"AAAAAHba+/0=")</f>
        <v>#VALUE!</v>
      </c>
      <c r="IU86" t="e">
        <f>AND(Bills!#REF!,"AAAAAHba+/4=")</f>
        <v>#REF!</v>
      </c>
      <c r="IV86" t="e">
        <f>AND(Bills!#REF!,"AAAAAHba+/8=")</f>
        <v>#REF!</v>
      </c>
    </row>
    <row r="87" spans="1:256">
      <c r="A87" t="e">
        <f>AND(Bills!#REF!,"AAAAAH/9/gA=")</f>
        <v>#REF!</v>
      </c>
      <c r="B87" t="e">
        <f>AND(Bills!AA202,"AAAAAH/9/gE=")</f>
        <v>#VALUE!</v>
      </c>
      <c r="C87" t="e">
        <f>AND(Bills!AB202,"AAAAAH/9/gI=")</f>
        <v>#VALUE!</v>
      </c>
      <c r="D87" t="e">
        <f>AND(Bills!#REF!,"AAAAAH/9/gM=")</f>
        <v>#REF!</v>
      </c>
      <c r="E87">
        <f>IF(Bills!203:203,"AAAAAH/9/gQ=",0)</f>
        <v>0</v>
      </c>
      <c r="F87" t="e">
        <f>AND(Bills!B203,"AAAAAH/9/gU=")</f>
        <v>#VALUE!</v>
      </c>
      <c r="G87" t="e">
        <f>AND(Bills!#REF!,"AAAAAH/9/gY=")</f>
        <v>#REF!</v>
      </c>
      <c r="H87" t="e">
        <f>AND(Bills!C203,"AAAAAH/9/gc=")</f>
        <v>#VALUE!</v>
      </c>
      <c r="I87" t="e">
        <f>AND(Bills!#REF!,"AAAAAH/9/gg=")</f>
        <v>#REF!</v>
      </c>
      <c r="J87" t="e">
        <f>AND(Bills!#REF!,"AAAAAH/9/gk=")</f>
        <v>#REF!</v>
      </c>
      <c r="K87" t="e">
        <f>AND(Bills!#REF!,"AAAAAH/9/go=")</f>
        <v>#REF!</v>
      </c>
      <c r="L87" t="e">
        <f>AND(Bills!#REF!,"AAAAAH/9/gs=")</f>
        <v>#REF!</v>
      </c>
      <c r="M87" t="e">
        <f>AND(Bills!#REF!,"AAAAAH/9/gw=")</f>
        <v>#REF!</v>
      </c>
      <c r="N87" t="e">
        <f>AND(Bills!D203,"AAAAAH/9/g0=")</f>
        <v>#VALUE!</v>
      </c>
      <c r="O87" t="e">
        <f>AND(Bills!#REF!,"AAAAAH/9/g4=")</f>
        <v>#REF!</v>
      </c>
      <c r="P87" t="e">
        <f>AND(Bills!E203,"AAAAAH/9/g8=")</f>
        <v>#VALUE!</v>
      </c>
      <c r="Q87" t="e">
        <f>AND(Bills!F203,"AAAAAH/9/hA=")</f>
        <v>#VALUE!</v>
      </c>
      <c r="R87" t="e">
        <f>AND(Bills!G203,"AAAAAH/9/hE=")</f>
        <v>#VALUE!</v>
      </c>
      <c r="S87" t="e">
        <f>AND(Bills!H203,"AAAAAH/9/hI=")</f>
        <v>#VALUE!</v>
      </c>
      <c r="T87" t="e">
        <f>AND(Bills!I203,"AAAAAH/9/hM=")</f>
        <v>#VALUE!</v>
      </c>
      <c r="U87" t="e">
        <f>AND(Bills!J203,"AAAAAH/9/hQ=")</f>
        <v>#VALUE!</v>
      </c>
      <c r="V87" t="e">
        <f>AND(Bills!#REF!,"AAAAAH/9/hU=")</f>
        <v>#REF!</v>
      </c>
      <c r="W87" t="e">
        <f>AND(Bills!K203,"AAAAAH/9/hY=")</f>
        <v>#VALUE!</v>
      </c>
      <c r="X87" t="e">
        <f>AND(Bills!L203,"AAAAAH/9/hc=")</f>
        <v>#VALUE!</v>
      </c>
      <c r="Y87" t="e">
        <f>AND(Bills!M203,"AAAAAH/9/hg=")</f>
        <v>#VALUE!</v>
      </c>
      <c r="Z87" t="e">
        <f>AND(Bills!N203,"AAAAAH/9/hk=")</f>
        <v>#VALUE!</v>
      </c>
      <c r="AA87" t="e">
        <f>AND(Bills!O203,"AAAAAH/9/ho=")</f>
        <v>#VALUE!</v>
      </c>
      <c r="AB87" t="e">
        <f>AND(Bills!P203,"AAAAAH/9/hs=")</f>
        <v>#VALUE!</v>
      </c>
      <c r="AC87" t="e">
        <f>AND(Bills!Q203,"AAAAAH/9/hw=")</f>
        <v>#VALUE!</v>
      </c>
      <c r="AD87" t="e">
        <f>AND(Bills!R203,"AAAAAH/9/h0=")</f>
        <v>#VALUE!</v>
      </c>
      <c r="AE87" t="e">
        <f>AND(Bills!#REF!,"AAAAAH/9/h4=")</f>
        <v>#REF!</v>
      </c>
      <c r="AF87" t="e">
        <f>AND(Bills!S203,"AAAAAH/9/h8=")</f>
        <v>#VALUE!</v>
      </c>
      <c r="AG87" t="e">
        <f>AND(Bills!T203,"AAAAAH/9/iA=")</f>
        <v>#VALUE!</v>
      </c>
      <c r="AH87" t="e">
        <f>AND(Bills!U203,"AAAAAH/9/iE=")</f>
        <v>#VALUE!</v>
      </c>
      <c r="AI87" t="e">
        <f>AND(Bills!#REF!,"AAAAAH/9/iI=")</f>
        <v>#REF!</v>
      </c>
      <c r="AJ87" t="e">
        <f>AND(Bills!#REF!,"AAAAAH/9/iM=")</f>
        <v>#REF!</v>
      </c>
      <c r="AK87" t="e">
        <f>AND(Bills!W203,"AAAAAH/9/iQ=")</f>
        <v>#VALUE!</v>
      </c>
      <c r="AL87" t="e">
        <f>AND(Bills!X203,"AAAAAH/9/iU=")</f>
        <v>#VALUE!</v>
      </c>
      <c r="AM87" t="e">
        <f>AND(Bills!#REF!,"AAAAAH/9/iY=")</f>
        <v>#REF!</v>
      </c>
      <c r="AN87" t="e">
        <f>AND(Bills!#REF!,"AAAAAH/9/ic=")</f>
        <v>#REF!</v>
      </c>
      <c r="AO87" t="e">
        <f>AND(Bills!#REF!,"AAAAAH/9/ig=")</f>
        <v>#REF!</v>
      </c>
      <c r="AP87" t="e">
        <f>AND(Bills!#REF!,"AAAAAH/9/ik=")</f>
        <v>#REF!</v>
      </c>
      <c r="AQ87" t="e">
        <f>AND(Bills!#REF!,"AAAAAH/9/io=")</f>
        <v>#REF!</v>
      </c>
      <c r="AR87" t="e">
        <f>AND(Bills!#REF!,"AAAAAH/9/is=")</f>
        <v>#REF!</v>
      </c>
      <c r="AS87" t="e">
        <f>AND(Bills!#REF!,"AAAAAH/9/iw=")</f>
        <v>#REF!</v>
      </c>
      <c r="AT87" t="e">
        <f>AND(Bills!#REF!,"AAAAAH/9/i0=")</f>
        <v>#REF!</v>
      </c>
      <c r="AU87" t="e">
        <f>AND(Bills!#REF!,"AAAAAH/9/i4=")</f>
        <v>#REF!</v>
      </c>
      <c r="AV87" t="e">
        <f>AND(Bills!Y203,"AAAAAH/9/i8=")</f>
        <v>#VALUE!</v>
      </c>
      <c r="AW87" t="e">
        <f>AND(Bills!Z203,"AAAAAH/9/jA=")</f>
        <v>#VALUE!</v>
      </c>
      <c r="AX87" t="e">
        <f>AND(Bills!#REF!,"AAAAAH/9/jE=")</f>
        <v>#REF!</v>
      </c>
      <c r="AY87" t="e">
        <f>AND(Bills!#REF!,"AAAAAH/9/jI=")</f>
        <v>#REF!</v>
      </c>
      <c r="AZ87" t="e">
        <f>AND(Bills!#REF!,"AAAAAH/9/jM=")</f>
        <v>#REF!</v>
      </c>
      <c r="BA87" t="e">
        <f>AND(Bills!AA203,"AAAAAH/9/jQ=")</f>
        <v>#VALUE!</v>
      </c>
      <c r="BB87" t="e">
        <f>AND(Bills!AB203,"AAAAAH/9/jU=")</f>
        <v>#VALUE!</v>
      </c>
      <c r="BC87" t="e">
        <f>AND(Bills!#REF!,"AAAAAH/9/jY=")</f>
        <v>#REF!</v>
      </c>
      <c r="BD87">
        <f>IF(Bills!204:204,"AAAAAH/9/jc=",0)</f>
        <v>0</v>
      </c>
      <c r="BE87" t="e">
        <f>AND(Bills!B204,"AAAAAH/9/jg=")</f>
        <v>#VALUE!</v>
      </c>
      <c r="BF87" t="e">
        <f>AND(Bills!#REF!,"AAAAAH/9/jk=")</f>
        <v>#REF!</v>
      </c>
      <c r="BG87" t="e">
        <f>AND(Bills!C204,"AAAAAH/9/jo=")</f>
        <v>#VALUE!</v>
      </c>
      <c r="BH87" t="e">
        <f>AND(Bills!#REF!,"AAAAAH/9/js=")</f>
        <v>#REF!</v>
      </c>
      <c r="BI87" t="e">
        <f>AND(Bills!#REF!,"AAAAAH/9/jw=")</f>
        <v>#REF!</v>
      </c>
      <c r="BJ87" t="e">
        <f>AND(Bills!#REF!,"AAAAAH/9/j0=")</f>
        <v>#REF!</v>
      </c>
      <c r="BK87" t="e">
        <f>AND(Bills!#REF!,"AAAAAH/9/j4=")</f>
        <v>#REF!</v>
      </c>
      <c r="BL87" t="e">
        <f>AND(Bills!#REF!,"AAAAAH/9/j8=")</f>
        <v>#REF!</v>
      </c>
      <c r="BM87" t="e">
        <f>AND(Bills!D204,"AAAAAH/9/kA=")</f>
        <v>#VALUE!</v>
      </c>
      <c r="BN87" t="e">
        <f>AND(Bills!#REF!,"AAAAAH/9/kE=")</f>
        <v>#REF!</v>
      </c>
      <c r="BO87" t="e">
        <f>AND(Bills!E204,"AAAAAH/9/kI=")</f>
        <v>#VALUE!</v>
      </c>
      <c r="BP87" t="e">
        <f>AND(Bills!F204,"AAAAAH/9/kM=")</f>
        <v>#VALUE!</v>
      </c>
      <c r="BQ87" t="e">
        <f>AND(Bills!G204,"AAAAAH/9/kQ=")</f>
        <v>#VALUE!</v>
      </c>
      <c r="BR87" t="e">
        <f>AND(Bills!H204,"AAAAAH/9/kU=")</f>
        <v>#VALUE!</v>
      </c>
      <c r="BS87" t="e">
        <f>AND(Bills!I204,"AAAAAH/9/kY=")</f>
        <v>#VALUE!</v>
      </c>
      <c r="BT87" t="e">
        <f>AND(Bills!J204,"AAAAAH/9/kc=")</f>
        <v>#VALUE!</v>
      </c>
      <c r="BU87" t="e">
        <f>AND(Bills!#REF!,"AAAAAH/9/kg=")</f>
        <v>#REF!</v>
      </c>
      <c r="BV87" t="e">
        <f>AND(Bills!K204,"AAAAAH/9/kk=")</f>
        <v>#VALUE!</v>
      </c>
      <c r="BW87" t="e">
        <f>AND(Bills!L204,"AAAAAH/9/ko=")</f>
        <v>#VALUE!</v>
      </c>
      <c r="BX87" t="e">
        <f>AND(Bills!M204,"AAAAAH/9/ks=")</f>
        <v>#VALUE!</v>
      </c>
      <c r="BY87" t="e">
        <f>AND(Bills!N204,"AAAAAH/9/kw=")</f>
        <v>#VALUE!</v>
      </c>
      <c r="BZ87" t="e">
        <f>AND(Bills!O204,"AAAAAH/9/k0=")</f>
        <v>#VALUE!</v>
      </c>
      <c r="CA87" t="e">
        <f>AND(Bills!P204,"AAAAAH/9/k4=")</f>
        <v>#VALUE!</v>
      </c>
      <c r="CB87" t="e">
        <f>AND(Bills!Q204,"AAAAAH/9/k8=")</f>
        <v>#VALUE!</v>
      </c>
      <c r="CC87" t="e">
        <f>AND(Bills!R204,"AAAAAH/9/lA=")</f>
        <v>#VALUE!</v>
      </c>
      <c r="CD87" t="e">
        <f>AND(Bills!#REF!,"AAAAAH/9/lE=")</f>
        <v>#REF!</v>
      </c>
      <c r="CE87" t="e">
        <f>AND(Bills!S204,"AAAAAH/9/lI=")</f>
        <v>#VALUE!</v>
      </c>
      <c r="CF87" t="e">
        <f>AND(Bills!T204,"AAAAAH/9/lM=")</f>
        <v>#VALUE!</v>
      </c>
      <c r="CG87" t="e">
        <f>AND(Bills!U204,"AAAAAH/9/lQ=")</f>
        <v>#VALUE!</v>
      </c>
      <c r="CH87" t="e">
        <f>AND(Bills!#REF!,"AAAAAH/9/lU=")</f>
        <v>#REF!</v>
      </c>
      <c r="CI87" t="e">
        <f>AND(Bills!#REF!,"AAAAAH/9/lY=")</f>
        <v>#REF!</v>
      </c>
      <c r="CJ87" t="e">
        <f>AND(Bills!W204,"AAAAAH/9/lc=")</f>
        <v>#VALUE!</v>
      </c>
      <c r="CK87" t="e">
        <f>AND(Bills!X204,"AAAAAH/9/lg=")</f>
        <v>#VALUE!</v>
      </c>
      <c r="CL87" t="e">
        <f>AND(Bills!#REF!,"AAAAAH/9/lk=")</f>
        <v>#REF!</v>
      </c>
      <c r="CM87" t="e">
        <f>AND(Bills!#REF!,"AAAAAH/9/lo=")</f>
        <v>#REF!</v>
      </c>
      <c r="CN87" t="e">
        <f>AND(Bills!#REF!,"AAAAAH/9/ls=")</f>
        <v>#REF!</v>
      </c>
      <c r="CO87" t="e">
        <f>AND(Bills!#REF!,"AAAAAH/9/lw=")</f>
        <v>#REF!</v>
      </c>
      <c r="CP87" t="e">
        <f>AND(Bills!#REF!,"AAAAAH/9/l0=")</f>
        <v>#REF!</v>
      </c>
      <c r="CQ87" t="e">
        <f>AND(Bills!#REF!,"AAAAAH/9/l4=")</f>
        <v>#REF!</v>
      </c>
      <c r="CR87" t="e">
        <f>AND(Bills!#REF!,"AAAAAH/9/l8=")</f>
        <v>#REF!</v>
      </c>
      <c r="CS87" t="e">
        <f>AND(Bills!#REF!,"AAAAAH/9/mA=")</f>
        <v>#REF!</v>
      </c>
      <c r="CT87" t="e">
        <f>AND(Bills!#REF!,"AAAAAH/9/mE=")</f>
        <v>#REF!</v>
      </c>
      <c r="CU87" t="e">
        <f>AND(Bills!Y204,"AAAAAH/9/mI=")</f>
        <v>#VALUE!</v>
      </c>
      <c r="CV87" t="e">
        <f>AND(Bills!Z204,"AAAAAH/9/mM=")</f>
        <v>#VALUE!</v>
      </c>
      <c r="CW87" t="e">
        <f>AND(Bills!#REF!,"AAAAAH/9/mQ=")</f>
        <v>#REF!</v>
      </c>
      <c r="CX87" t="e">
        <f>AND(Bills!#REF!,"AAAAAH/9/mU=")</f>
        <v>#REF!</v>
      </c>
      <c r="CY87" t="e">
        <f>AND(Bills!#REF!,"AAAAAH/9/mY=")</f>
        <v>#REF!</v>
      </c>
      <c r="CZ87" t="e">
        <f>AND(Bills!AA204,"AAAAAH/9/mc=")</f>
        <v>#VALUE!</v>
      </c>
      <c r="DA87" t="e">
        <f>AND(Bills!AB204,"AAAAAH/9/mg=")</f>
        <v>#VALUE!</v>
      </c>
      <c r="DB87" t="e">
        <f>AND(Bills!#REF!,"AAAAAH/9/mk=")</f>
        <v>#REF!</v>
      </c>
      <c r="DC87">
        <f>IF(Bills!205:205,"AAAAAH/9/mo=",0)</f>
        <v>0</v>
      </c>
      <c r="DD87" t="e">
        <f>AND(Bills!B205,"AAAAAH/9/ms=")</f>
        <v>#VALUE!</v>
      </c>
      <c r="DE87" t="e">
        <f>AND(Bills!#REF!,"AAAAAH/9/mw=")</f>
        <v>#REF!</v>
      </c>
      <c r="DF87" t="e">
        <f>AND(Bills!C205,"AAAAAH/9/m0=")</f>
        <v>#VALUE!</v>
      </c>
      <c r="DG87" t="e">
        <f>AND(Bills!#REF!,"AAAAAH/9/m4=")</f>
        <v>#REF!</v>
      </c>
      <c r="DH87" t="e">
        <f>AND(Bills!#REF!,"AAAAAH/9/m8=")</f>
        <v>#REF!</v>
      </c>
      <c r="DI87" t="e">
        <f>AND(Bills!#REF!,"AAAAAH/9/nA=")</f>
        <v>#REF!</v>
      </c>
      <c r="DJ87" t="e">
        <f>AND(Bills!#REF!,"AAAAAH/9/nE=")</f>
        <v>#REF!</v>
      </c>
      <c r="DK87" t="e">
        <f>AND(Bills!#REF!,"AAAAAH/9/nI=")</f>
        <v>#REF!</v>
      </c>
      <c r="DL87" t="e">
        <f>AND(Bills!D205,"AAAAAH/9/nM=")</f>
        <v>#VALUE!</v>
      </c>
      <c r="DM87" t="e">
        <f>AND(Bills!#REF!,"AAAAAH/9/nQ=")</f>
        <v>#REF!</v>
      </c>
      <c r="DN87" t="e">
        <f>AND(Bills!E205,"AAAAAH/9/nU=")</f>
        <v>#VALUE!</v>
      </c>
      <c r="DO87" t="e">
        <f>AND(Bills!F205,"AAAAAH/9/nY=")</f>
        <v>#VALUE!</v>
      </c>
      <c r="DP87" t="e">
        <f>AND(Bills!G205,"AAAAAH/9/nc=")</f>
        <v>#VALUE!</v>
      </c>
      <c r="DQ87" t="e">
        <f>AND(Bills!H205,"AAAAAH/9/ng=")</f>
        <v>#VALUE!</v>
      </c>
      <c r="DR87" t="e">
        <f>AND(Bills!I205,"AAAAAH/9/nk=")</f>
        <v>#VALUE!</v>
      </c>
      <c r="DS87" t="e">
        <f>AND(Bills!J205,"AAAAAH/9/no=")</f>
        <v>#VALUE!</v>
      </c>
      <c r="DT87" t="e">
        <f>AND(Bills!#REF!,"AAAAAH/9/ns=")</f>
        <v>#REF!</v>
      </c>
      <c r="DU87" t="e">
        <f>AND(Bills!K205,"AAAAAH/9/nw=")</f>
        <v>#VALUE!</v>
      </c>
      <c r="DV87" t="e">
        <f>AND(Bills!L205,"AAAAAH/9/n0=")</f>
        <v>#VALUE!</v>
      </c>
      <c r="DW87" t="e">
        <f>AND(Bills!M205,"AAAAAH/9/n4=")</f>
        <v>#VALUE!</v>
      </c>
      <c r="DX87" t="e">
        <f>AND(Bills!N205,"AAAAAH/9/n8=")</f>
        <v>#VALUE!</v>
      </c>
      <c r="DY87" t="e">
        <f>AND(Bills!O205,"AAAAAH/9/oA=")</f>
        <v>#VALUE!</v>
      </c>
      <c r="DZ87" t="e">
        <f>AND(Bills!P205,"AAAAAH/9/oE=")</f>
        <v>#VALUE!</v>
      </c>
      <c r="EA87" t="e">
        <f>AND(Bills!Q205,"AAAAAH/9/oI=")</f>
        <v>#VALUE!</v>
      </c>
      <c r="EB87" t="e">
        <f>AND(Bills!R205,"AAAAAH/9/oM=")</f>
        <v>#VALUE!</v>
      </c>
      <c r="EC87" t="e">
        <f>AND(Bills!#REF!,"AAAAAH/9/oQ=")</f>
        <v>#REF!</v>
      </c>
      <c r="ED87" t="e">
        <f>AND(Bills!S205,"AAAAAH/9/oU=")</f>
        <v>#VALUE!</v>
      </c>
      <c r="EE87" t="e">
        <f>AND(Bills!T205,"AAAAAH/9/oY=")</f>
        <v>#VALUE!</v>
      </c>
      <c r="EF87" t="e">
        <f>AND(Bills!U205,"AAAAAH/9/oc=")</f>
        <v>#VALUE!</v>
      </c>
      <c r="EG87" t="e">
        <f>AND(Bills!#REF!,"AAAAAH/9/og=")</f>
        <v>#REF!</v>
      </c>
      <c r="EH87" t="e">
        <f>AND(Bills!#REF!,"AAAAAH/9/ok=")</f>
        <v>#REF!</v>
      </c>
      <c r="EI87" t="e">
        <f>AND(Bills!W205,"AAAAAH/9/oo=")</f>
        <v>#VALUE!</v>
      </c>
      <c r="EJ87" t="e">
        <f>AND(Bills!X205,"AAAAAH/9/os=")</f>
        <v>#VALUE!</v>
      </c>
      <c r="EK87" t="e">
        <f>AND(Bills!#REF!,"AAAAAH/9/ow=")</f>
        <v>#REF!</v>
      </c>
      <c r="EL87" t="e">
        <f>AND(Bills!#REF!,"AAAAAH/9/o0=")</f>
        <v>#REF!</v>
      </c>
      <c r="EM87" t="e">
        <f>AND(Bills!#REF!,"AAAAAH/9/o4=")</f>
        <v>#REF!</v>
      </c>
      <c r="EN87" t="e">
        <f>AND(Bills!#REF!,"AAAAAH/9/o8=")</f>
        <v>#REF!</v>
      </c>
      <c r="EO87" t="e">
        <f>AND(Bills!#REF!,"AAAAAH/9/pA=")</f>
        <v>#REF!</v>
      </c>
      <c r="EP87" t="e">
        <f>AND(Bills!#REF!,"AAAAAH/9/pE=")</f>
        <v>#REF!</v>
      </c>
      <c r="EQ87" t="e">
        <f>AND(Bills!#REF!,"AAAAAH/9/pI=")</f>
        <v>#REF!</v>
      </c>
      <c r="ER87" t="e">
        <f>AND(Bills!#REF!,"AAAAAH/9/pM=")</f>
        <v>#REF!</v>
      </c>
      <c r="ES87" t="e">
        <f>AND(Bills!#REF!,"AAAAAH/9/pQ=")</f>
        <v>#REF!</v>
      </c>
      <c r="ET87" t="e">
        <f>AND(Bills!Y205,"AAAAAH/9/pU=")</f>
        <v>#VALUE!</v>
      </c>
      <c r="EU87" t="e">
        <f>AND(Bills!Z205,"AAAAAH/9/pY=")</f>
        <v>#VALUE!</v>
      </c>
      <c r="EV87" t="e">
        <f>AND(Bills!#REF!,"AAAAAH/9/pc=")</f>
        <v>#REF!</v>
      </c>
      <c r="EW87" t="e">
        <f>AND(Bills!#REF!,"AAAAAH/9/pg=")</f>
        <v>#REF!</v>
      </c>
      <c r="EX87" t="e">
        <f>AND(Bills!#REF!,"AAAAAH/9/pk=")</f>
        <v>#REF!</v>
      </c>
      <c r="EY87" t="e">
        <f>AND(Bills!AA205,"AAAAAH/9/po=")</f>
        <v>#VALUE!</v>
      </c>
      <c r="EZ87" t="e">
        <f>AND(Bills!AB205,"AAAAAH/9/ps=")</f>
        <v>#VALUE!</v>
      </c>
      <c r="FA87" t="e">
        <f>AND(Bills!#REF!,"AAAAAH/9/pw=")</f>
        <v>#REF!</v>
      </c>
      <c r="FB87">
        <f>IF(Bills!206:206,"AAAAAH/9/p0=",0)</f>
        <v>0</v>
      </c>
      <c r="FC87" t="e">
        <f>AND(Bills!B206,"AAAAAH/9/p4=")</f>
        <v>#VALUE!</v>
      </c>
      <c r="FD87" t="e">
        <f>AND(Bills!#REF!,"AAAAAH/9/p8=")</f>
        <v>#REF!</v>
      </c>
      <c r="FE87" t="e">
        <f>AND(Bills!C206,"AAAAAH/9/qA=")</f>
        <v>#VALUE!</v>
      </c>
      <c r="FF87" t="e">
        <f>AND(Bills!#REF!,"AAAAAH/9/qE=")</f>
        <v>#REF!</v>
      </c>
      <c r="FG87" t="e">
        <f>AND(Bills!#REF!,"AAAAAH/9/qI=")</f>
        <v>#REF!</v>
      </c>
      <c r="FH87" t="e">
        <f>AND(Bills!#REF!,"AAAAAH/9/qM=")</f>
        <v>#REF!</v>
      </c>
      <c r="FI87" t="e">
        <f>AND(Bills!#REF!,"AAAAAH/9/qQ=")</f>
        <v>#REF!</v>
      </c>
      <c r="FJ87" t="e">
        <f>AND(Bills!#REF!,"AAAAAH/9/qU=")</f>
        <v>#REF!</v>
      </c>
      <c r="FK87" t="e">
        <f>AND(Bills!D206,"AAAAAH/9/qY=")</f>
        <v>#VALUE!</v>
      </c>
      <c r="FL87" t="e">
        <f>AND(Bills!#REF!,"AAAAAH/9/qc=")</f>
        <v>#REF!</v>
      </c>
      <c r="FM87" t="e">
        <f>AND(Bills!E206,"AAAAAH/9/qg=")</f>
        <v>#VALUE!</v>
      </c>
      <c r="FN87" t="e">
        <f>AND(Bills!F206,"AAAAAH/9/qk=")</f>
        <v>#VALUE!</v>
      </c>
      <c r="FO87" t="e">
        <f>AND(Bills!G206,"AAAAAH/9/qo=")</f>
        <v>#VALUE!</v>
      </c>
      <c r="FP87" t="e">
        <f>AND(Bills!H206,"AAAAAH/9/qs=")</f>
        <v>#VALUE!</v>
      </c>
      <c r="FQ87" t="e">
        <f>AND(Bills!I206,"AAAAAH/9/qw=")</f>
        <v>#VALUE!</v>
      </c>
      <c r="FR87" t="e">
        <f>AND(Bills!J206,"AAAAAH/9/q0=")</f>
        <v>#VALUE!</v>
      </c>
      <c r="FS87" t="e">
        <f>AND(Bills!#REF!,"AAAAAH/9/q4=")</f>
        <v>#REF!</v>
      </c>
      <c r="FT87" t="e">
        <f>AND(Bills!K206,"AAAAAH/9/q8=")</f>
        <v>#VALUE!</v>
      </c>
      <c r="FU87" t="e">
        <f>AND(Bills!L206,"AAAAAH/9/rA=")</f>
        <v>#VALUE!</v>
      </c>
      <c r="FV87" t="e">
        <f>AND(Bills!M206,"AAAAAH/9/rE=")</f>
        <v>#VALUE!</v>
      </c>
      <c r="FW87" t="e">
        <f>AND(Bills!N206,"AAAAAH/9/rI=")</f>
        <v>#VALUE!</v>
      </c>
      <c r="FX87" t="e">
        <f>AND(Bills!O206,"AAAAAH/9/rM=")</f>
        <v>#VALUE!</v>
      </c>
      <c r="FY87" t="e">
        <f>AND(Bills!P206,"AAAAAH/9/rQ=")</f>
        <v>#VALUE!</v>
      </c>
      <c r="FZ87" t="e">
        <f>AND(Bills!Q206,"AAAAAH/9/rU=")</f>
        <v>#VALUE!</v>
      </c>
      <c r="GA87" t="e">
        <f>AND(Bills!R206,"AAAAAH/9/rY=")</f>
        <v>#VALUE!</v>
      </c>
      <c r="GB87" t="e">
        <f>AND(Bills!#REF!,"AAAAAH/9/rc=")</f>
        <v>#REF!</v>
      </c>
      <c r="GC87" t="e">
        <f>AND(Bills!S206,"AAAAAH/9/rg=")</f>
        <v>#VALUE!</v>
      </c>
      <c r="GD87" t="e">
        <f>AND(Bills!T206,"AAAAAH/9/rk=")</f>
        <v>#VALUE!</v>
      </c>
      <c r="GE87" t="e">
        <f>AND(Bills!U206,"AAAAAH/9/ro=")</f>
        <v>#VALUE!</v>
      </c>
      <c r="GF87" t="e">
        <f>AND(Bills!#REF!,"AAAAAH/9/rs=")</f>
        <v>#REF!</v>
      </c>
      <c r="GG87" t="e">
        <f>AND(Bills!#REF!,"AAAAAH/9/rw=")</f>
        <v>#REF!</v>
      </c>
      <c r="GH87" t="e">
        <f>AND(Bills!W206,"AAAAAH/9/r0=")</f>
        <v>#VALUE!</v>
      </c>
      <c r="GI87" t="e">
        <f>AND(Bills!X206,"AAAAAH/9/r4=")</f>
        <v>#VALUE!</v>
      </c>
      <c r="GJ87" t="e">
        <f>AND(Bills!#REF!,"AAAAAH/9/r8=")</f>
        <v>#REF!</v>
      </c>
      <c r="GK87" t="e">
        <f>AND(Bills!#REF!,"AAAAAH/9/sA=")</f>
        <v>#REF!</v>
      </c>
      <c r="GL87" t="e">
        <f>AND(Bills!#REF!,"AAAAAH/9/sE=")</f>
        <v>#REF!</v>
      </c>
      <c r="GM87" t="e">
        <f>AND(Bills!#REF!,"AAAAAH/9/sI=")</f>
        <v>#REF!</v>
      </c>
      <c r="GN87" t="e">
        <f>AND(Bills!#REF!,"AAAAAH/9/sM=")</f>
        <v>#REF!</v>
      </c>
      <c r="GO87" t="e">
        <f>AND(Bills!#REF!,"AAAAAH/9/sQ=")</f>
        <v>#REF!</v>
      </c>
      <c r="GP87" t="e">
        <f>AND(Bills!#REF!,"AAAAAH/9/sU=")</f>
        <v>#REF!</v>
      </c>
      <c r="GQ87" t="e">
        <f>AND(Bills!#REF!,"AAAAAH/9/sY=")</f>
        <v>#REF!</v>
      </c>
      <c r="GR87" t="e">
        <f>AND(Bills!#REF!,"AAAAAH/9/sc=")</f>
        <v>#REF!</v>
      </c>
      <c r="GS87" t="e">
        <f>AND(Bills!Y206,"AAAAAH/9/sg=")</f>
        <v>#VALUE!</v>
      </c>
      <c r="GT87" t="e">
        <f>AND(Bills!Z206,"AAAAAH/9/sk=")</f>
        <v>#VALUE!</v>
      </c>
      <c r="GU87" t="e">
        <f>AND(Bills!#REF!,"AAAAAH/9/so=")</f>
        <v>#REF!</v>
      </c>
      <c r="GV87" t="e">
        <f>AND(Bills!#REF!,"AAAAAH/9/ss=")</f>
        <v>#REF!</v>
      </c>
      <c r="GW87" t="e">
        <f>AND(Bills!#REF!,"AAAAAH/9/sw=")</f>
        <v>#REF!</v>
      </c>
      <c r="GX87" t="e">
        <f>AND(Bills!AA206,"AAAAAH/9/s0=")</f>
        <v>#VALUE!</v>
      </c>
      <c r="GY87" t="e">
        <f>AND(Bills!AB206,"AAAAAH/9/s4=")</f>
        <v>#VALUE!</v>
      </c>
      <c r="GZ87" t="e">
        <f>AND(Bills!#REF!,"AAAAAH/9/s8=")</f>
        <v>#REF!</v>
      </c>
      <c r="HA87">
        <f>IF(Bills!207:207,"AAAAAH/9/tA=",0)</f>
        <v>0</v>
      </c>
      <c r="HB87" t="e">
        <f>AND(Bills!B207,"AAAAAH/9/tE=")</f>
        <v>#VALUE!</v>
      </c>
      <c r="HC87" t="e">
        <f>AND(Bills!#REF!,"AAAAAH/9/tI=")</f>
        <v>#REF!</v>
      </c>
      <c r="HD87" t="e">
        <f>AND(Bills!C207,"AAAAAH/9/tM=")</f>
        <v>#VALUE!</v>
      </c>
      <c r="HE87" t="e">
        <f>AND(Bills!#REF!,"AAAAAH/9/tQ=")</f>
        <v>#REF!</v>
      </c>
      <c r="HF87" t="e">
        <f>AND(Bills!#REF!,"AAAAAH/9/tU=")</f>
        <v>#REF!</v>
      </c>
      <c r="HG87" t="e">
        <f>AND(Bills!#REF!,"AAAAAH/9/tY=")</f>
        <v>#REF!</v>
      </c>
      <c r="HH87" t="e">
        <f>AND(Bills!#REF!,"AAAAAH/9/tc=")</f>
        <v>#REF!</v>
      </c>
      <c r="HI87" t="e">
        <f>AND(Bills!#REF!,"AAAAAH/9/tg=")</f>
        <v>#REF!</v>
      </c>
      <c r="HJ87" t="e">
        <f>AND(Bills!D207,"AAAAAH/9/tk=")</f>
        <v>#VALUE!</v>
      </c>
      <c r="HK87" t="e">
        <f>AND(Bills!#REF!,"AAAAAH/9/to=")</f>
        <v>#REF!</v>
      </c>
      <c r="HL87" t="e">
        <f>AND(Bills!E207,"AAAAAH/9/ts=")</f>
        <v>#VALUE!</v>
      </c>
      <c r="HM87" t="e">
        <f>AND(Bills!F207,"AAAAAH/9/tw=")</f>
        <v>#VALUE!</v>
      </c>
      <c r="HN87" t="e">
        <f>AND(Bills!G207,"AAAAAH/9/t0=")</f>
        <v>#VALUE!</v>
      </c>
      <c r="HO87" t="e">
        <f>AND(Bills!H207,"AAAAAH/9/t4=")</f>
        <v>#VALUE!</v>
      </c>
      <c r="HP87" t="e">
        <f>AND(Bills!I207,"AAAAAH/9/t8=")</f>
        <v>#VALUE!</v>
      </c>
      <c r="HQ87" t="e">
        <f>AND(Bills!J207,"AAAAAH/9/uA=")</f>
        <v>#VALUE!</v>
      </c>
      <c r="HR87" t="e">
        <f>AND(Bills!#REF!,"AAAAAH/9/uE=")</f>
        <v>#REF!</v>
      </c>
      <c r="HS87" t="e">
        <f>AND(Bills!K207,"AAAAAH/9/uI=")</f>
        <v>#VALUE!</v>
      </c>
      <c r="HT87" t="e">
        <f>AND(Bills!L207,"AAAAAH/9/uM=")</f>
        <v>#VALUE!</v>
      </c>
      <c r="HU87" t="e">
        <f>AND(Bills!M207,"AAAAAH/9/uQ=")</f>
        <v>#VALUE!</v>
      </c>
      <c r="HV87" t="e">
        <f>AND(Bills!N207,"AAAAAH/9/uU=")</f>
        <v>#VALUE!</v>
      </c>
      <c r="HW87" t="e">
        <f>AND(Bills!O207,"AAAAAH/9/uY=")</f>
        <v>#VALUE!</v>
      </c>
      <c r="HX87" t="e">
        <f>AND(Bills!P207,"AAAAAH/9/uc=")</f>
        <v>#VALUE!</v>
      </c>
      <c r="HY87" t="e">
        <f>AND(Bills!Q207,"AAAAAH/9/ug=")</f>
        <v>#VALUE!</v>
      </c>
      <c r="HZ87" t="e">
        <f>AND(Bills!R207,"AAAAAH/9/uk=")</f>
        <v>#VALUE!</v>
      </c>
      <c r="IA87" t="e">
        <f>AND(Bills!#REF!,"AAAAAH/9/uo=")</f>
        <v>#REF!</v>
      </c>
      <c r="IB87" t="e">
        <f>AND(Bills!S207,"AAAAAH/9/us=")</f>
        <v>#VALUE!</v>
      </c>
      <c r="IC87" t="e">
        <f>AND(Bills!T207,"AAAAAH/9/uw=")</f>
        <v>#VALUE!</v>
      </c>
      <c r="ID87" t="e">
        <f>AND(Bills!U207,"AAAAAH/9/u0=")</f>
        <v>#VALUE!</v>
      </c>
      <c r="IE87" t="e">
        <f>AND(Bills!#REF!,"AAAAAH/9/u4=")</f>
        <v>#REF!</v>
      </c>
      <c r="IF87" t="e">
        <f>AND(Bills!#REF!,"AAAAAH/9/u8=")</f>
        <v>#REF!</v>
      </c>
      <c r="IG87" t="e">
        <f>AND(Bills!W207,"AAAAAH/9/vA=")</f>
        <v>#VALUE!</v>
      </c>
      <c r="IH87" t="e">
        <f>AND(Bills!X207,"AAAAAH/9/vE=")</f>
        <v>#VALUE!</v>
      </c>
      <c r="II87" t="e">
        <f>AND(Bills!#REF!,"AAAAAH/9/vI=")</f>
        <v>#REF!</v>
      </c>
      <c r="IJ87" t="e">
        <f>AND(Bills!#REF!,"AAAAAH/9/vM=")</f>
        <v>#REF!</v>
      </c>
      <c r="IK87" t="e">
        <f>AND(Bills!#REF!,"AAAAAH/9/vQ=")</f>
        <v>#REF!</v>
      </c>
      <c r="IL87" t="e">
        <f>AND(Bills!#REF!,"AAAAAH/9/vU=")</f>
        <v>#REF!</v>
      </c>
      <c r="IM87" t="e">
        <f>AND(Bills!#REF!,"AAAAAH/9/vY=")</f>
        <v>#REF!</v>
      </c>
      <c r="IN87" t="e">
        <f>AND(Bills!#REF!,"AAAAAH/9/vc=")</f>
        <v>#REF!</v>
      </c>
      <c r="IO87" t="e">
        <f>AND(Bills!#REF!,"AAAAAH/9/vg=")</f>
        <v>#REF!</v>
      </c>
      <c r="IP87" t="e">
        <f>AND(Bills!#REF!,"AAAAAH/9/vk=")</f>
        <v>#REF!</v>
      </c>
      <c r="IQ87" t="e">
        <f>AND(Bills!#REF!,"AAAAAH/9/vo=")</f>
        <v>#REF!</v>
      </c>
      <c r="IR87" t="e">
        <f>AND(Bills!Y207,"AAAAAH/9/vs=")</f>
        <v>#VALUE!</v>
      </c>
      <c r="IS87" t="e">
        <f>AND(Bills!Z207,"AAAAAH/9/vw=")</f>
        <v>#VALUE!</v>
      </c>
      <c r="IT87" t="e">
        <f>AND(Bills!#REF!,"AAAAAH/9/v0=")</f>
        <v>#REF!</v>
      </c>
      <c r="IU87" t="e">
        <f>AND(Bills!#REF!,"AAAAAH/9/v4=")</f>
        <v>#REF!</v>
      </c>
      <c r="IV87" t="e">
        <f>AND(Bills!#REF!,"AAAAAH/9/v8=")</f>
        <v>#REF!</v>
      </c>
    </row>
    <row r="88" spans="1:256">
      <c r="A88" t="e">
        <f>AND(Bills!AA207,"AAAAADtWuwA=")</f>
        <v>#VALUE!</v>
      </c>
      <c r="B88" t="e">
        <f>AND(Bills!AB207,"AAAAADtWuwE=")</f>
        <v>#VALUE!</v>
      </c>
      <c r="C88" t="e">
        <f>AND(Bills!#REF!,"AAAAADtWuwI=")</f>
        <v>#REF!</v>
      </c>
      <c r="D88">
        <f>IF(Bills!208:208,"AAAAADtWuwM=",0)</f>
        <v>0</v>
      </c>
      <c r="E88" t="e">
        <f>AND(Bills!B208,"AAAAADtWuwQ=")</f>
        <v>#VALUE!</v>
      </c>
      <c r="F88" t="e">
        <f>AND(Bills!#REF!,"AAAAADtWuwU=")</f>
        <v>#REF!</v>
      </c>
      <c r="G88" t="e">
        <f>AND(Bills!C208,"AAAAADtWuwY=")</f>
        <v>#VALUE!</v>
      </c>
      <c r="H88" t="e">
        <f>AND(Bills!#REF!,"AAAAADtWuwc=")</f>
        <v>#REF!</v>
      </c>
      <c r="I88" t="e">
        <f>AND(Bills!#REF!,"AAAAADtWuwg=")</f>
        <v>#REF!</v>
      </c>
      <c r="J88" t="e">
        <f>AND(Bills!#REF!,"AAAAADtWuwk=")</f>
        <v>#REF!</v>
      </c>
      <c r="K88" t="e">
        <f>AND(Bills!#REF!,"AAAAADtWuwo=")</f>
        <v>#REF!</v>
      </c>
      <c r="L88" t="e">
        <f>AND(Bills!#REF!,"AAAAADtWuws=")</f>
        <v>#REF!</v>
      </c>
      <c r="M88" t="e">
        <f>AND(Bills!D208,"AAAAADtWuww=")</f>
        <v>#VALUE!</v>
      </c>
      <c r="N88" t="e">
        <f>AND(Bills!#REF!,"AAAAADtWuw0=")</f>
        <v>#REF!</v>
      </c>
      <c r="O88" t="e">
        <f>AND(Bills!E208,"AAAAADtWuw4=")</f>
        <v>#VALUE!</v>
      </c>
      <c r="P88" t="e">
        <f>AND(Bills!F208,"AAAAADtWuw8=")</f>
        <v>#VALUE!</v>
      </c>
      <c r="Q88" t="e">
        <f>AND(Bills!G208,"AAAAADtWuxA=")</f>
        <v>#VALUE!</v>
      </c>
      <c r="R88" t="e">
        <f>AND(Bills!H208,"AAAAADtWuxE=")</f>
        <v>#VALUE!</v>
      </c>
      <c r="S88" t="e">
        <f>AND(Bills!I208,"AAAAADtWuxI=")</f>
        <v>#VALUE!</v>
      </c>
      <c r="T88" t="e">
        <f>AND(Bills!J208,"AAAAADtWuxM=")</f>
        <v>#VALUE!</v>
      </c>
      <c r="U88" t="e">
        <f>AND(Bills!#REF!,"AAAAADtWuxQ=")</f>
        <v>#REF!</v>
      </c>
      <c r="V88" t="e">
        <f>AND(Bills!K208,"AAAAADtWuxU=")</f>
        <v>#VALUE!</v>
      </c>
      <c r="W88" t="e">
        <f>AND(Bills!L208,"AAAAADtWuxY=")</f>
        <v>#VALUE!</v>
      </c>
      <c r="X88" t="e">
        <f>AND(Bills!M208,"AAAAADtWuxc=")</f>
        <v>#VALUE!</v>
      </c>
      <c r="Y88" t="e">
        <f>AND(Bills!N208,"AAAAADtWuxg=")</f>
        <v>#VALUE!</v>
      </c>
      <c r="Z88" t="e">
        <f>AND(Bills!O208,"AAAAADtWuxk=")</f>
        <v>#VALUE!</v>
      </c>
      <c r="AA88" t="e">
        <f>AND(Bills!P208,"AAAAADtWuxo=")</f>
        <v>#VALUE!</v>
      </c>
      <c r="AB88" t="e">
        <f>AND(Bills!Q208,"AAAAADtWuxs=")</f>
        <v>#VALUE!</v>
      </c>
      <c r="AC88" t="e">
        <f>AND(Bills!R208,"AAAAADtWuxw=")</f>
        <v>#VALUE!</v>
      </c>
      <c r="AD88" t="e">
        <f>AND(Bills!#REF!,"AAAAADtWux0=")</f>
        <v>#REF!</v>
      </c>
      <c r="AE88" t="e">
        <f>AND(Bills!S208,"AAAAADtWux4=")</f>
        <v>#VALUE!</v>
      </c>
      <c r="AF88" t="e">
        <f>AND(Bills!T208,"AAAAADtWux8=")</f>
        <v>#VALUE!</v>
      </c>
      <c r="AG88" t="e">
        <f>AND(Bills!U208,"AAAAADtWuyA=")</f>
        <v>#VALUE!</v>
      </c>
      <c r="AH88" t="e">
        <f>AND(Bills!#REF!,"AAAAADtWuyE=")</f>
        <v>#REF!</v>
      </c>
      <c r="AI88" t="e">
        <f>AND(Bills!#REF!,"AAAAADtWuyI=")</f>
        <v>#REF!</v>
      </c>
      <c r="AJ88" t="e">
        <f>AND(Bills!W208,"AAAAADtWuyM=")</f>
        <v>#VALUE!</v>
      </c>
      <c r="AK88" t="e">
        <f>AND(Bills!X208,"AAAAADtWuyQ=")</f>
        <v>#VALUE!</v>
      </c>
      <c r="AL88" t="e">
        <f>AND(Bills!#REF!,"AAAAADtWuyU=")</f>
        <v>#REF!</v>
      </c>
      <c r="AM88" t="e">
        <f>AND(Bills!#REF!,"AAAAADtWuyY=")</f>
        <v>#REF!</v>
      </c>
      <c r="AN88" t="e">
        <f>AND(Bills!#REF!,"AAAAADtWuyc=")</f>
        <v>#REF!</v>
      </c>
      <c r="AO88" t="e">
        <f>AND(Bills!#REF!,"AAAAADtWuyg=")</f>
        <v>#REF!</v>
      </c>
      <c r="AP88" t="e">
        <f>AND(Bills!#REF!,"AAAAADtWuyk=")</f>
        <v>#REF!</v>
      </c>
      <c r="AQ88" t="e">
        <f>AND(Bills!#REF!,"AAAAADtWuyo=")</f>
        <v>#REF!</v>
      </c>
      <c r="AR88" t="e">
        <f>AND(Bills!#REF!,"AAAAADtWuys=")</f>
        <v>#REF!</v>
      </c>
      <c r="AS88" t="e">
        <f>AND(Bills!#REF!,"AAAAADtWuyw=")</f>
        <v>#REF!</v>
      </c>
      <c r="AT88" t="e">
        <f>AND(Bills!#REF!,"AAAAADtWuy0=")</f>
        <v>#REF!</v>
      </c>
      <c r="AU88" t="e">
        <f>AND(Bills!Y208,"AAAAADtWuy4=")</f>
        <v>#VALUE!</v>
      </c>
      <c r="AV88" t="e">
        <f>AND(Bills!Z208,"AAAAADtWuy8=")</f>
        <v>#VALUE!</v>
      </c>
      <c r="AW88" t="e">
        <f>AND(Bills!#REF!,"AAAAADtWuzA=")</f>
        <v>#REF!</v>
      </c>
      <c r="AX88" t="e">
        <f>AND(Bills!#REF!,"AAAAADtWuzE=")</f>
        <v>#REF!</v>
      </c>
      <c r="AY88" t="e">
        <f>AND(Bills!#REF!,"AAAAADtWuzI=")</f>
        <v>#REF!</v>
      </c>
      <c r="AZ88" t="e">
        <f>AND(Bills!AA208,"AAAAADtWuzM=")</f>
        <v>#VALUE!</v>
      </c>
      <c r="BA88" t="e">
        <f>AND(Bills!AB208,"AAAAADtWuzQ=")</f>
        <v>#VALUE!</v>
      </c>
      <c r="BB88" t="e">
        <f>AND(Bills!#REF!,"AAAAADtWuzU=")</f>
        <v>#REF!</v>
      </c>
      <c r="BC88">
        <f>IF(Bills!209:209,"AAAAADtWuzY=",0)</f>
        <v>0</v>
      </c>
      <c r="BD88" t="e">
        <f>AND(Bills!B209,"AAAAADtWuzc=")</f>
        <v>#VALUE!</v>
      </c>
      <c r="BE88" t="e">
        <f>AND(Bills!#REF!,"AAAAADtWuzg=")</f>
        <v>#REF!</v>
      </c>
      <c r="BF88" t="e">
        <f>AND(Bills!C209,"AAAAADtWuzk=")</f>
        <v>#VALUE!</v>
      </c>
      <c r="BG88" t="e">
        <f>AND(Bills!#REF!,"AAAAADtWuzo=")</f>
        <v>#REF!</v>
      </c>
      <c r="BH88" t="e">
        <f>AND(Bills!#REF!,"AAAAADtWuzs=")</f>
        <v>#REF!</v>
      </c>
      <c r="BI88" t="e">
        <f>AND(Bills!#REF!,"AAAAADtWuzw=")</f>
        <v>#REF!</v>
      </c>
      <c r="BJ88" t="e">
        <f>AND(Bills!#REF!,"AAAAADtWuz0=")</f>
        <v>#REF!</v>
      </c>
      <c r="BK88" t="e">
        <f>AND(Bills!#REF!,"AAAAADtWuz4=")</f>
        <v>#REF!</v>
      </c>
      <c r="BL88" t="e">
        <f>AND(Bills!D209,"AAAAADtWuz8=")</f>
        <v>#VALUE!</v>
      </c>
      <c r="BM88" t="e">
        <f>AND(Bills!#REF!,"AAAAADtWu0A=")</f>
        <v>#REF!</v>
      </c>
      <c r="BN88" t="e">
        <f>AND(Bills!E209,"AAAAADtWu0E=")</f>
        <v>#VALUE!</v>
      </c>
      <c r="BO88" t="e">
        <f>AND(Bills!F209,"AAAAADtWu0I=")</f>
        <v>#VALUE!</v>
      </c>
      <c r="BP88" t="e">
        <f>AND(Bills!G209,"AAAAADtWu0M=")</f>
        <v>#VALUE!</v>
      </c>
      <c r="BQ88" t="e">
        <f>AND(Bills!H209,"AAAAADtWu0Q=")</f>
        <v>#VALUE!</v>
      </c>
      <c r="BR88" t="e">
        <f>AND(Bills!I209,"AAAAADtWu0U=")</f>
        <v>#VALUE!</v>
      </c>
      <c r="BS88" t="e">
        <f>AND(Bills!J209,"AAAAADtWu0Y=")</f>
        <v>#VALUE!</v>
      </c>
      <c r="BT88" t="e">
        <f>AND(Bills!#REF!,"AAAAADtWu0c=")</f>
        <v>#REF!</v>
      </c>
      <c r="BU88" t="e">
        <f>AND(Bills!K209,"AAAAADtWu0g=")</f>
        <v>#VALUE!</v>
      </c>
      <c r="BV88" t="e">
        <f>AND(Bills!L209,"AAAAADtWu0k=")</f>
        <v>#VALUE!</v>
      </c>
      <c r="BW88" t="e">
        <f>AND(Bills!M209,"AAAAADtWu0o=")</f>
        <v>#VALUE!</v>
      </c>
      <c r="BX88" t="e">
        <f>AND(Bills!N209,"AAAAADtWu0s=")</f>
        <v>#VALUE!</v>
      </c>
      <c r="BY88" t="e">
        <f>AND(Bills!O209,"AAAAADtWu0w=")</f>
        <v>#VALUE!</v>
      </c>
      <c r="BZ88" t="e">
        <f>AND(Bills!P209,"AAAAADtWu00=")</f>
        <v>#VALUE!</v>
      </c>
      <c r="CA88" t="e">
        <f>AND(Bills!Q209,"AAAAADtWu04=")</f>
        <v>#VALUE!</v>
      </c>
      <c r="CB88" t="e">
        <f>AND(Bills!R209,"AAAAADtWu08=")</f>
        <v>#VALUE!</v>
      </c>
      <c r="CC88" t="e">
        <f>AND(Bills!#REF!,"AAAAADtWu1A=")</f>
        <v>#REF!</v>
      </c>
      <c r="CD88" t="e">
        <f>AND(Bills!S209,"AAAAADtWu1E=")</f>
        <v>#VALUE!</v>
      </c>
      <c r="CE88" t="e">
        <f>AND(Bills!T209,"AAAAADtWu1I=")</f>
        <v>#VALUE!</v>
      </c>
      <c r="CF88" t="e">
        <f>AND(Bills!U209,"AAAAADtWu1M=")</f>
        <v>#VALUE!</v>
      </c>
      <c r="CG88" t="e">
        <f>AND(Bills!#REF!,"AAAAADtWu1Q=")</f>
        <v>#REF!</v>
      </c>
      <c r="CH88" t="e">
        <f>AND(Bills!#REF!,"AAAAADtWu1U=")</f>
        <v>#REF!</v>
      </c>
      <c r="CI88" t="e">
        <f>AND(Bills!W209,"AAAAADtWu1Y=")</f>
        <v>#VALUE!</v>
      </c>
      <c r="CJ88" t="e">
        <f>AND(Bills!X209,"AAAAADtWu1c=")</f>
        <v>#VALUE!</v>
      </c>
      <c r="CK88" t="e">
        <f>AND(Bills!#REF!,"AAAAADtWu1g=")</f>
        <v>#REF!</v>
      </c>
      <c r="CL88" t="e">
        <f>AND(Bills!#REF!,"AAAAADtWu1k=")</f>
        <v>#REF!</v>
      </c>
      <c r="CM88" t="e">
        <f>AND(Bills!#REF!,"AAAAADtWu1o=")</f>
        <v>#REF!</v>
      </c>
      <c r="CN88" t="e">
        <f>AND(Bills!#REF!,"AAAAADtWu1s=")</f>
        <v>#REF!</v>
      </c>
      <c r="CO88" t="e">
        <f>AND(Bills!#REF!,"AAAAADtWu1w=")</f>
        <v>#REF!</v>
      </c>
      <c r="CP88" t="e">
        <f>AND(Bills!#REF!,"AAAAADtWu10=")</f>
        <v>#REF!</v>
      </c>
      <c r="CQ88" t="e">
        <f>AND(Bills!#REF!,"AAAAADtWu14=")</f>
        <v>#REF!</v>
      </c>
      <c r="CR88" t="e">
        <f>AND(Bills!#REF!,"AAAAADtWu18=")</f>
        <v>#REF!</v>
      </c>
      <c r="CS88" t="e">
        <f>AND(Bills!#REF!,"AAAAADtWu2A=")</f>
        <v>#REF!</v>
      </c>
      <c r="CT88" t="e">
        <f>AND(Bills!Y209,"AAAAADtWu2E=")</f>
        <v>#VALUE!</v>
      </c>
      <c r="CU88" t="e">
        <f>AND(Bills!Z209,"AAAAADtWu2I=")</f>
        <v>#VALUE!</v>
      </c>
      <c r="CV88" t="e">
        <f>AND(Bills!#REF!,"AAAAADtWu2M=")</f>
        <v>#REF!</v>
      </c>
      <c r="CW88" t="e">
        <f>AND(Bills!#REF!,"AAAAADtWu2Q=")</f>
        <v>#REF!</v>
      </c>
      <c r="CX88" t="e">
        <f>AND(Bills!#REF!,"AAAAADtWu2U=")</f>
        <v>#REF!</v>
      </c>
      <c r="CY88" t="e">
        <f>AND(Bills!AA209,"AAAAADtWu2Y=")</f>
        <v>#VALUE!</v>
      </c>
      <c r="CZ88" t="e">
        <f>AND(Bills!AB209,"AAAAADtWu2c=")</f>
        <v>#VALUE!</v>
      </c>
      <c r="DA88" t="e">
        <f>AND(Bills!#REF!,"AAAAADtWu2g=")</f>
        <v>#REF!</v>
      </c>
      <c r="DB88">
        <f>IF(Bills!210:210,"AAAAADtWu2k=",0)</f>
        <v>0</v>
      </c>
      <c r="DC88" t="e">
        <f>AND(Bills!B210,"AAAAADtWu2o=")</f>
        <v>#VALUE!</v>
      </c>
      <c r="DD88" t="e">
        <f>AND(Bills!#REF!,"AAAAADtWu2s=")</f>
        <v>#REF!</v>
      </c>
      <c r="DE88" t="e">
        <f>AND(Bills!C210,"AAAAADtWu2w=")</f>
        <v>#VALUE!</v>
      </c>
      <c r="DF88" t="e">
        <f>AND(Bills!#REF!,"AAAAADtWu20=")</f>
        <v>#REF!</v>
      </c>
      <c r="DG88" t="e">
        <f>AND(Bills!#REF!,"AAAAADtWu24=")</f>
        <v>#REF!</v>
      </c>
      <c r="DH88" t="e">
        <f>AND(Bills!#REF!,"AAAAADtWu28=")</f>
        <v>#REF!</v>
      </c>
      <c r="DI88" t="e">
        <f>AND(Bills!#REF!,"AAAAADtWu3A=")</f>
        <v>#REF!</v>
      </c>
      <c r="DJ88" t="e">
        <f>AND(Bills!#REF!,"AAAAADtWu3E=")</f>
        <v>#REF!</v>
      </c>
      <c r="DK88" t="e">
        <f>AND(Bills!D210,"AAAAADtWu3I=")</f>
        <v>#VALUE!</v>
      </c>
      <c r="DL88" t="e">
        <f>AND(Bills!#REF!,"AAAAADtWu3M=")</f>
        <v>#REF!</v>
      </c>
      <c r="DM88" t="e">
        <f>AND(Bills!E210,"AAAAADtWu3Q=")</f>
        <v>#VALUE!</v>
      </c>
      <c r="DN88" t="e">
        <f>AND(Bills!F210,"AAAAADtWu3U=")</f>
        <v>#VALUE!</v>
      </c>
      <c r="DO88" t="e">
        <f>AND(Bills!G210,"AAAAADtWu3Y=")</f>
        <v>#VALUE!</v>
      </c>
      <c r="DP88" t="e">
        <f>AND(Bills!H210,"AAAAADtWu3c=")</f>
        <v>#VALUE!</v>
      </c>
      <c r="DQ88" t="e">
        <f>AND(Bills!I210,"AAAAADtWu3g=")</f>
        <v>#VALUE!</v>
      </c>
      <c r="DR88" t="e">
        <f>AND(Bills!J210,"AAAAADtWu3k=")</f>
        <v>#VALUE!</v>
      </c>
      <c r="DS88" t="e">
        <f>AND(Bills!#REF!,"AAAAADtWu3o=")</f>
        <v>#REF!</v>
      </c>
      <c r="DT88" t="e">
        <f>AND(Bills!K210,"AAAAADtWu3s=")</f>
        <v>#VALUE!</v>
      </c>
      <c r="DU88" t="e">
        <f>AND(Bills!L210,"AAAAADtWu3w=")</f>
        <v>#VALUE!</v>
      </c>
      <c r="DV88" t="e">
        <f>AND(Bills!M210,"AAAAADtWu30=")</f>
        <v>#VALUE!</v>
      </c>
      <c r="DW88" t="e">
        <f>AND(Bills!N210,"AAAAADtWu34=")</f>
        <v>#VALUE!</v>
      </c>
      <c r="DX88" t="e">
        <f>AND(Bills!O210,"AAAAADtWu38=")</f>
        <v>#VALUE!</v>
      </c>
      <c r="DY88" t="e">
        <f>AND(Bills!P210,"AAAAADtWu4A=")</f>
        <v>#VALUE!</v>
      </c>
      <c r="DZ88" t="e">
        <f>AND(Bills!Q210,"AAAAADtWu4E=")</f>
        <v>#VALUE!</v>
      </c>
      <c r="EA88" t="e">
        <f>AND(Bills!R210,"AAAAADtWu4I=")</f>
        <v>#VALUE!</v>
      </c>
      <c r="EB88" t="e">
        <f>AND(Bills!#REF!,"AAAAADtWu4M=")</f>
        <v>#REF!</v>
      </c>
      <c r="EC88" t="e">
        <f>AND(Bills!S210,"AAAAADtWu4Q=")</f>
        <v>#VALUE!</v>
      </c>
      <c r="ED88" t="e">
        <f>AND(Bills!T210,"AAAAADtWu4U=")</f>
        <v>#VALUE!</v>
      </c>
      <c r="EE88" t="e">
        <f>AND(Bills!U210,"AAAAADtWu4Y=")</f>
        <v>#VALUE!</v>
      </c>
      <c r="EF88" t="e">
        <f>AND(Bills!#REF!,"AAAAADtWu4c=")</f>
        <v>#REF!</v>
      </c>
      <c r="EG88" t="e">
        <f>AND(Bills!#REF!,"AAAAADtWu4g=")</f>
        <v>#REF!</v>
      </c>
      <c r="EH88" t="e">
        <f>AND(Bills!W210,"AAAAADtWu4k=")</f>
        <v>#VALUE!</v>
      </c>
      <c r="EI88" t="e">
        <f>AND(Bills!X210,"AAAAADtWu4o=")</f>
        <v>#VALUE!</v>
      </c>
      <c r="EJ88" t="e">
        <f>AND(Bills!#REF!,"AAAAADtWu4s=")</f>
        <v>#REF!</v>
      </c>
      <c r="EK88" t="e">
        <f>AND(Bills!#REF!,"AAAAADtWu4w=")</f>
        <v>#REF!</v>
      </c>
      <c r="EL88" t="e">
        <f>AND(Bills!#REF!,"AAAAADtWu40=")</f>
        <v>#REF!</v>
      </c>
      <c r="EM88" t="e">
        <f>AND(Bills!#REF!,"AAAAADtWu44=")</f>
        <v>#REF!</v>
      </c>
      <c r="EN88" t="e">
        <f>AND(Bills!#REF!,"AAAAADtWu48=")</f>
        <v>#REF!</v>
      </c>
      <c r="EO88" t="e">
        <f>AND(Bills!#REF!,"AAAAADtWu5A=")</f>
        <v>#REF!</v>
      </c>
      <c r="EP88" t="e">
        <f>AND(Bills!#REF!,"AAAAADtWu5E=")</f>
        <v>#REF!</v>
      </c>
      <c r="EQ88" t="e">
        <f>AND(Bills!#REF!,"AAAAADtWu5I=")</f>
        <v>#REF!</v>
      </c>
      <c r="ER88" t="e">
        <f>AND(Bills!#REF!,"AAAAADtWu5M=")</f>
        <v>#REF!</v>
      </c>
      <c r="ES88" t="e">
        <f>AND(Bills!Y210,"AAAAADtWu5Q=")</f>
        <v>#VALUE!</v>
      </c>
      <c r="ET88" t="e">
        <f>AND(Bills!Z210,"AAAAADtWu5U=")</f>
        <v>#VALUE!</v>
      </c>
      <c r="EU88" t="e">
        <f>AND(Bills!#REF!,"AAAAADtWu5Y=")</f>
        <v>#REF!</v>
      </c>
      <c r="EV88" t="e">
        <f>AND(Bills!#REF!,"AAAAADtWu5c=")</f>
        <v>#REF!</v>
      </c>
      <c r="EW88" t="e">
        <f>AND(Bills!#REF!,"AAAAADtWu5g=")</f>
        <v>#REF!</v>
      </c>
      <c r="EX88" t="e">
        <f>AND(Bills!AA210,"AAAAADtWu5k=")</f>
        <v>#VALUE!</v>
      </c>
      <c r="EY88" t="e">
        <f>AND(Bills!AB210,"AAAAADtWu5o=")</f>
        <v>#VALUE!</v>
      </c>
      <c r="EZ88" t="e">
        <f>AND(Bills!#REF!,"AAAAADtWu5s=")</f>
        <v>#REF!</v>
      </c>
      <c r="FA88">
        <f>IF(Bills!211:211,"AAAAADtWu5w=",0)</f>
        <v>0</v>
      </c>
      <c r="FB88" t="e">
        <f>AND(Bills!B211,"AAAAADtWu50=")</f>
        <v>#VALUE!</v>
      </c>
      <c r="FC88" t="e">
        <f>AND(Bills!#REF!,"AAAAADtWu54=")</f>
        <v>#REF!</v>
      </c>
      <c r="FD88" t="e">
        <f>AND(Bills!C211,"AAAAADtWu58=")</f>
        <v>#VALUE!</v>
      </c>
      <c r="FE88" t="e">
        <f>AND(Bills!#REF!,"AAAAADtWu6A=")</f>
        <v>#REF!</v>
      </c>
      <c r="FF88" t="e">
        <f>AND(Bills!#REF!,"AAAAADtWu6E=")</f>
        <v>#REF!</v>
      </c>
      <c r="FG88" t="e">
        <f>AND(Bills!#REF!,"AAAAADtWu6I=")</f>
        <v>#REF!</v>
      </c>
      <c r="FH88" t="e">
        <f>AND(Bills!#REF!,"AAAAADtWu6M=")</f>
        <v>#REF!</v>
      </c>
      <c r="FI88" t="e">
        <f>AND(Bills!#REF!,"AAAAADtWu6Q=")</f>
        <v>#REF!</v>
      </c>
      <c r="FJ88" t="e">
        <f>AND(Bills!D211,"AAAAADtWu6U=")</f>
        <v>#VALUE!</v>
      </c>
      <c r="FK88" t="e">
        <f>AND(Bills!#REF!,"AAAAADtWu6Y=")</f>
        <v>#REF!</v>
      </c>
      <c r="FL88" t="e">
        <f>AND(Bills!E211,"AAAAADtWu6c=")</f>
        <v>#VALUE!</v>
      </c>
      <c r="FM88" t="e">
        <f>AND(Bills!F211,"AAAAADtWu6g=")</f>
        <v>#VALUE!</v>
      </c>
      <c r="FN88" t="e">
        <f>AND(Bills!G211,"AAAAADtWu6k=")</f>
        <v>#VALUE!</v>
      </c>
      <c r="FO88" t="e">
        <f>AND(Bills!H211,"AAAAADtWu6o=")</f>
        <v>#VALUE!</v>
      </c>
      <c r="FP88" t="e">
        <f>AND(Bills!I211,"AAAAADtWu6s=")</f>
        <v>#VALUE!</v>
      </c>
      <c r="FQ88" t="e">
        <f>AND(Bills!J211,"AAAAADtWu6w=")</f>
        <v>#VALUE!</v>
      </c>
      <c r="FR88" t="e">
        <f>AND(Bills!#REF!,"AAAAADtWu60=")</f>
        <v>#REF!</v>
      </c>
      <c r="FS88" t="e">
        <f>AND(Bills!K211,"AAAAADtWu64=")</f>
        <v>#VALUE!</v>
      </c>
      <c r="FT88" t="e">
        <f>AND(Bills!L211,"AAAAADtWu68=")</f>
        <v>#VALUE!</v>
      </c>
      <c r="FU88" t="e">
        <f>AND(Bills!M211,"AAAAADtWu7A=")</f>
        <v>#VALUE!</v>
      </c>
      <c r="FV88" t="e">
        <f>AND(Bills!N211,"AAAAADtWu7E=")</f>
        <v>#VALUE!</v>
      </c>
      <c r="FW88" t="e">
        <f>AND(Bills!O211,"AAAAADtWu7I=")</f>
        <v>#VALUE!</v>
      </c>
      <c r="FX88" t="e">
        <f>AND(Bills!P211,"AAAAADtWu7M=")</f>
        <v>#VALUE!</v>
      </c>
      <c r="FY88" t="e">
        <f>AND(Bills!Q211,"AAAAADtWu7Q=")</f>
        <v>#VALUE!</v>
      </c>
      <c r="FZ88" t="e">
        <f>AND(Bills!R211,"AAAAADtWu7U=")</f>
        <v>#VALUE!</v>
      </c>
      <c r="GA88" t="e">
        <f>AND(Bills!#REF!,"AAAAADtWu7Y=")</f>
        <v>#REF!</v>
      </c>
      <c r="GB88" t="e">
        <f>AND(Bills!S211,"AAAAADtWu7c=")</f>
        <v>#VALUE!</v>
      </c>
      <c r="GC88" t="e">
        <f>AND(Bills!T211,"AAAAADtWu7g=")</f>
        <v>#VALUE!</v>
      </c>
      <c r="GD88" t="e">
        <f>AND(Bills!U211,"AAAAADtWu7k=")</f>
        <v>#VALUE!</v>
      </c>
      <c r="GE88" t="e">
        <f>AND(Bills!#REF!,"AAAAADtWu7o=")</f>
        <v>#REF!</v>
      </c>
      <c r="GF88" t="e">
        <f>AND(Bills!#REF!,"AAAAADtWu7s=")</f>
        <v>#REF!</v>
      </c>
      <c r="GG88" t="e">
        <f>AND(Bills!W211,"AAAAADtWu7w=")</f>
        <v>#VALUE!</v>
      </c>
      <c r="GH88" t="e">
        <f>AND(Bills!X211,"AAAAADtWu70=")</f>
        <v>#VALUE!</v>
      </c>
      <c r="GI88" t="e">
        <f>AND(Bills!#REF!,"AAAAADtWu74=")</f>
        <v>#REF!</v>
      </c>
      <c r="GJ88" t="e">
        <f>AND(Bills!#REF!,"AAAAADtWu78=")</f>
        <v>#REF!</v>
      </c>
      <c r="GK88" t="e">
        <f>AND(Bills!#REF!,"AAAAADtWu8A=")</f>
        <v>#REF!</v>
      </c>
      <c r="GL88" t="e">
        <f>AND(Bills!#REF!,"AAAAADtWu8E=")</f>
        <v>#REF!</v>
      </c>
      <c r="GM88" t="e">
        <f>AND(Bills!#REF!,"AAAAADtWu8I=")</f>
        <v>#REF!</v>
      </c>
      <c r="GN88" t="e">
        <f>AND(Bills!#REF!,"AAAAADtWu8M=")</f>
        <v>#REF!</v>
      </c>
      <c r="GO88" t="e">
        <f>AND(Bills!#REF!,"AAAAADtWu8Q=")</f>
        <v>#REF!</v>
      </c>
      <c r="GP88" t="e">
        <f>AND(Bills!#REF!,"AAAAADtWu8U=")</f>
        <v>#REF!</v>
      </c>
      <c r="GQ88" t="e">
        <f>AND(Bills!#REF!,"AAAAADtWu8Y=")</f>
        <v>#REF!</v>
      </c>
      <c r="GR88" t="e">
        <f>AND(Bills!Y211,"AAAAADtWu8c=")</f>
        <v>#VALUE!</v>
      </c>
      <c r="GS88" t="e">
        <f>AND(Bills!Z211,"AAAAADtWu8g=")</f>
        <v>#VALUE!</v>
      </c>
      <c r="GT88" t="e">
        <f>AND(Bills!#REF!,"AAAAADtWu8k=")</f>
        <v>#REF!</v>
      </c>
      <c r="GU88" t="e">
        <f>AND(Bills!#REF!,"AAAAADtWu8o=")</f>
        <v>#REF!</v>
      </c>
      <c r="GV88" t="e">
        <f>AND(Bills!#REF!,"AAAAADtWu8s=")</f>
        <v>#REF!</v>
      </c>
      <c r="GW88" t="e">
        <f>AND(Bills!AA211,"AAAAADtWu8w=")</f>
        <v>#VALUE!</v>
      </c>
      <c r="GX88" t="e">
        <f>AND(Bills!AB211,"AAAAADtWu80=")</f>
        <v>#VALUE!</v>
      </c>
      <c r="GY88" t="e">
        <f>AND(Bills!#REF!,"AAAAADtWu84=")</f>
        <v>#REF!</v>
      </c>
      <c r="GZ88">
        <f>IF(Bills!212:212,"AAAAADtWu88=",0)</f>
        <v>0</v>
      </c>
      <c r="HA88" t="e">
        <f>AND(Bills!B212,"AAAAADtWu9A=")</f>
        <v>#VALUE!</v>
      </c>
      <c r="HB88" t="e">
        <f>AND(Bills!#REF!,"AAAAADtWu9E=")</f>
        <v>#REF!</v>
      </c>
      <c r="HC88" t="e">
        <f>AND(Bills!C212,"AAAAADtWu9I=")</f>
        <v>#VALUE!</v>
      </c>
      <c r="HD88" t="e">
        <f>AND(Bills!#REF!,"AAAAADtWu9M=")</f>
        <v>#REF!</v>
      </c>
      <c r="HE88" t="e">
        <f>AND(Bills!#REF!,"AAAAADtWu9Q=")</f>
        <v>#REF!</v>
      </c>
      <c r="HF88" t="e">
        <f>AND(Bills!#REF!,"AAAAADtWu9U=")</f>
        <v>#REF!</v>
      </c>
      <c r="HG88" t="e">
        <f>AND(Bills!#REF!,"AAAAADtWu9Y=")</f>
        <v>#REF!</v>
      </c>
      <c r="HH88" t="e">
        <f>AND(Bills!#REF!,"AAAAADtWu9c=")</f>
        <v>#REF!</v>
      </c>
      <c r="HI88" t="e">
        <f>AND(Bills!D212,"AAAAADtWu9g=")</f>
        <v>#VALUE!</v>
      </c>
      <c r="HJ88" t="e">
        <f>AND(Bills!#REF!,"AAAAADtWu9k=")</f>
        <v>#REF!</v>
      </c>
      <c r="HK88" t="e">
        <f>AND(Bills!E212,"AAAAADtWu9o=")</f>
        <v>#VALUE!</v>
      </c>
      <c r="HL88" t="e">
        <f>AND(Bills!F212,"AAAAADtWu9s=")</f>
        <v>#VALUE!</v>
      </c>
      <c r="HM88" t="e">
        <f>AND(Bills!G212,"AAAAADtWu9w=")</f>
        <v>#VALUE!</v>
      </c>
      <c r="HN88" t="e">
        <f>AND(Bills!H212,"AAAAADtWu90=")</f>
        <v>#VALUE!</v>
      </c>
      <c r="HO88" t="e">
        <f>AND(Bills!I212,"AAAAADtWu94=")</f>
        <v>#VALUE!</v>
      </c>
      <c r="HP88" t="e">
        <f>AND(Bills!J212,"AAAAADtWu98=")</f>
        <v>#VALUE!</v>
      </c>
      <c r="HQ88" t="e">
        <f>AND(Bills!#REF!,"AAAAADtWu+A=")</f>
        <v>#REF!</v>
      </c>
      <c r="HR88" t="e">
        <f>AND(Bills!K212,"AAAAADtWu+E=")</f>
        <v>#VALUE!</v>
      </c>
      <c r="HS88" t="e">
        <f>AND(Bills!L212,"AAAAADtWu+I=")</f>
        <v>#VALUE!</v>
      </c>
      <c r="HT88" t="e">
        <f>AND(Bills!M212,"AAAAADtWu+M=")</f>
        <v>#VALUE!</v>
      </c>
      <c r="HU88" t="e">
        <f>AND(Bills!N212,"AAAAADtWu+Q=")</f>
        <v>#VALUE!</v>
      </c>
      <c r="HV88" t="e">
        <f>AND(Bills!O212,"AAAAADtWu+U=")</f>
        <v>#VALUE!</v>
      </c>
      <c r="HW88" t="e">
        <f>AND(Bills!P212,"AAAAADtWu+Y=")</f>
        <v>#VALUE!</v>
      </c>
      <c r="HX88" t="e">
        <f>AND(Bills!Q212,"AAAAADtWu+c=")</f>
        <v>#VALUE!</v>
      </c>
      <c r="HY88" t="e">
        <f>AND(Bills!R212,"AAAAADtWu+g=")</f>
        <v>#VALUE!</v>
      </c>
      <c r="HZ88" t="e">
        <f>AND(Bills!#REF!,"AAAAADtWu+k=")</f>
        <v>#REF!</v>
      </c>
      <c r="IA88" t="e">
        <f>AND(Bills!S212,"AAAAADtWu+o=")</f>
        <v>#VALUE!</v>
      </c>
      <c r="IB88" t="e">
        <f>AND(Bills!T212,"AAAAADtWu+s=")</f>
        <v>#VALUE!</v>
      </c>
      <c r="IC88" t="e">
        <f>AND(Bills!U212,"AAAAADtWu+w=")</f>
        <v>#VALUE!</v>
      </c>
      <c r="ID88" t="e">
        <f>AND(Bills!#REF!,"AAAAADtWu+0=")</f>
        <v>#REF!</v>
      </c>
      <c r="IE88" t="e">
        <f>AND(Bills!#REF!,"AAAAADtWu+4=")</f>
        <v>#REF!</v>
      </c>
      <c r="IF88" t="e">
        <f>AND(Bills!W212,"AAAAADtWu+8=")</f>
        <v>#VALUE!</v>
      </c>
      <c r="IG88" t="e">
        <f>AND(Bills!X212,"AAAAADtWu/A=")</f>
        <v>#VALUE!</v>
      </c>
      <c r="IH88" t="e">
        <f>AND(Bills!#REF!,"AAAAADtWu/E=")</f>
        <v>#REF!</v>
      </c>
      <c r="II88" t="e">
        <f>AND(Bills!#REF!,"AAAAADtWu/I=")</f>
        <v>#REF!</v>
      </c>
      <c r="IJ88" t="e">
        <f>AND(Bills!#REF!,"AAAAADtWu/M=")</f>
        <v>#REF!</v>
      </c>
      <c r="IK88" t="e">
        <f>AND(Bills!#REF!,"AAAAADtWu/Q=")</f>
        <v>#REF!</v>
      </c>
      <c r="IL88" t="e">
        <f>AND(Bills!#REF!,"AAAAADtWu/U=")</f>
        <v>#REF!</v>
      </c>
      <c r="IM88" t="e">
        <f>AND(Bills!#REF!,"AAAAADtWu/Y=")</f>
        <v>#REF!</v>
      </c>
      <c r="IN88" t="e">
        <f>AND(Bills!#REF!,"AAAAADtWu/c=")</f>
        <v>#REF!</v>
      </c>
      <c r="IO88" t="e">
        <f>AND(Bills!#REF!,"AAAAADtWu/g=")</f>
        <v>#REF!</v>
      </c>
      <c r="IP88" t="e">
        <f>AND(Bills!#REF!,"AAAAADtWu/k=")</f>
        <v>#REF!</v>
      </c>
      <c r="IQ88" t="e">
        <f>AND(Bills!Y212,"AAAAADtWu/o=")</f>
        <v>#VALUE!</v>
      </c>
      <c r="IR88" t="e">
        <f>AND(Bills!Z212,"AAAAADtWu/s=")</f>
        <v>#VALUE!</v>
      </c>
      <c r="IS88" t="e">
        <f>AND(Bills!#REF!,"AAAAADtWu/w=")</f>
        <v>#REF!</v>
      </c>
      <c r="IT88" t="e">
        <f>AND(Bills!#REF!,"AAAAADtWu/0=")</f>
        <v>#REF!</v>
      </c>
      <c r="IU88" t="e">
        <f>AND(Bills!#REF!,"AAAAADtWu/4=")</f>
        <v>#REF!</v>
      </c>
      <c r="IV88" t="e">
        <f>AND(Bills!AA212,"AAAAADtWu/8=")</f>
        <v>#VALUE!</v>
      </c>
    </row>
    <row r="89" spans="1:256">
      <c r="A89" t="e">
        <f>AND(Bills!AB212,"AAAAABdX3wA=")</f>
        <v>#VALUE!</v>
      </c>
      <c r="B89" t="e">
        <f>AND(Bills!#REF!,"AAAAABdX3wE=")</f>
        <v>#REF!</v>
      </c>
      <c r="C89">
        <f>IF(Bills!213:213,"AAAAABdX3wI=",0)</f>
        <v>0</v>
      </c>
      <c r="D89" t="e">
        <f>AND(Bills!B213,"AAAAABdX3wM=")</f>
        <v>#VALUE!</v>
      </c>
      <c r="E89" t="e">
        <f>AND(Bills!#REF!,"AAAAABdX3wQ=")</f>
        <v>#REF!</v>
      </c>
      <c r="F89" t="e">
        <f>AND(Bills!C213,"AAAAABdX3wU=")</f>
        <v>#VALUE!</v>
      </c>
      <c r="G89" t="e">
        <f>AND(Bills!#REF!,"AAAAABdX3wY=")</f>
        <v>#REF!</v>
      </c>
      <c r="H89" t="e">
        <f>AND(Bills!#REF!,"AAAAABdX3wc=")</f>
        <v>#REF!</v>
      </c>
      <c r="I89" t="e">
        <f>AND(Bills!#REF!,"AAAAABdX3wg=")</f>
        <v>#REF!</v>
      </c>
      <c r="J89" t="e">
        <f>AND(Bills!#REF!,"AAAAABdX3wk=")</f>
        <v>#REF!</v>
      </c>
      <c r="K89" t="e">
        <f>AND(Bills!#REF!,"AAAAABdX3wo=")</f>
        <v>#REF!</v>
      </c>
      <c r="L89" t="e">
        <f>AND(Bills!D213,"AAAAABdX3ws=")</f>
        <v>#VALUE!</v>
      </c>
      <c r="M89" t="e">
        <f>AND(Bills!#REF!,"AAAAABdX3ww=")</f>
        <v>#REF!</v>
      </c>
      <c r="N89" t="e">
        <f>AND(Bills!E213,"AAAAABdX3w0=")</f>
        <v>#VALUE!</v>
      </c>
      <c r="O89" t="e">
        <f>AND(Bills!F213,"AAAAABdX3w4=")</f>
        <v>#VALUE!</v>
      </c>
      <c r="P89" t="e">
        <f>AND(Bills!G213,"AAAAABdX3w8=")</f>
        <v>#VALUE!</v>
      </c>
      <c r="Q89" t="e">
        <f>AND(Bills!H213,"AAAAABdX3xA=")</f>
        <v>#VALUE!</v>
      </c>
      <c r="R89" t="e">
        <f>AND(Bills!I213,"AAAAABdX3xE=")</f>
        <v>#VALUE!</v>
      </c>
      <c r="S89" t="e">
        <f>AND(Bills!J213,"AAAAABdX3xI=")</f>
        <v>#VALUE!</v>
      </c>
      <c r="T89" t="e">
        <f>AND(Bills!#REF!,"AAAAABdX3xM=")</f>
        <v>#REF!</v>
      </c>
      <c r="U89" t="e">
        <f>AND(Bills!K213,"AAAAABdX3xQ=")</f>
        <v>#VALUE!</v>
      </c>
      <c r="V89" t="e">
        <f>AND(Bills!L213,"AAAAABdX3xU=")</f>
        <v>#VALUE!</v>
      </c>
      <c r="W89" t="e">
        <f>AND(Bills!M213,"AAAAABdX3xY=")</f>
        <v>#VALUE!</v>
      </c>
      <c r="X89" t="e">
        <f>AND(Bills!N213,"AAAAABdX3xc=")</f>
        <v>#VALUE!</v>
      </c>
      <c r="Y89" t="e">
        <f>AND(Bills!O213,"AAAAABdX3xg=")</f>
        <v>#VALUE!</v>
      </c>
      <c r="Z89" t="e">
        <f>AND(Bills!P213,"AAAAABdX3xk=")</f>
        <v>#VALUE!</v>
      </c>
      <c r="AA89" t="e">
        <f>AND(Bills!Q213,"AAAAABdX3xo=")</f>
        <v>#VALUE!</v>
      </c>
      <c r="AB89" t="e">
        <f>AND(Bills!R213,"AAAAABdX3xs=")</f>
        <v>#VALUE!</v>
      </c>
      <c r="AC89" t="e">
        <f>AND(Bills!#REF!,"AAAAABdX3xw=")</f>
        <v>#REF!</v>
      </c>
      <c r="AD89" t="e">
        <f>AND(Bills!S213,"AAAAABdX3x0=")</f>
        <v>#VALUE!</v>
      </c>
      <c r="AE89" t="e">
        <f>AND(Bills!T213,"AAAAABdX3x4=")</f>
        <v>#VALUE!</v>
      </c>
      <c r="AF89" t="e">
        <f>AND(Bills!U213,"AAAAABdX3x8=")</f>
        <v>#VALUE!</v>
      </c>
      <c r="AG89" t="e">
        <f>AND(Bills!#REF!,"AAAAABdX3yA=")</f>
        <v>#REF!</v>
      </c>
      <c r="AH89" t="e">
        <f>AND(Bills!#REF!,"AAAAABdX3yE=")</f>
        <v>#REF!</v>
      </c>
      <c r="AI89" t="e">
        <f>AND(Bills!W213,"AAAAABdX3yI=")</f>
        <v>#VALUE!</v>
      </c>
      <c r="AJ89" t="e">
        <f>AND(Bills!X213,"AAAAABdX3yM=")</f>
        <v>#VALUE!</v>
      </c>
      <c r="AK89" t="e">
        <f>AND(Bills!#REF!,"AAAAABdX3yQ=")</f>
        <v>#REF!</v>
      </c>
      <c r="AL89" t="e">
        <f>AND(Bills!#REF!,"AAAAABdX3yU=")</f>
        <v>#REF!</v>
      </c>
      <c r="AM89" t="e">
        <f>AND(Bills!#REF!,"AAAAABdX3yY=")</f>
        <v>#REF!</v>
      </c>
      <c r="AN89" t="e">
        <f>AND(Bills!#REF!,"AAAAABdX3yc=")</f>
        <v>#REF!</v>
      </c>
      <c r="AO89" t="e">
        <f>AND(Bills!#REF!,"AAAAABdX3yg=")</f>
        <v>#REF!</v>
      </c>
      <c r="AP89" t="e">
        <f>AND(Bills!#REF!,"AAAAABdX3yk=")</f>
        <v>#REF!</v>
      </c>
      <c r="AQ89" t="e">
        <f>AND(Bills!#REF!,"AAAAABdX3yo=")</f>
        <v>#REF!</v>
      </c>
      <c r="AR89" t="e">
        <f>AND(Bills!#REF!,"AAAAABdX3ys=")</f>
        <v>#REF!</v>
      </c>
      <c r="AS89" t="e">
        <f>AND(Bills!#REF!,"AAAAABdX3yw=")</f>
        <v>#REF!</v>
      </c>
      <c r="AT89" t="e">
        <f>AND(Bills!Y213,"AAAAABdX3y0=")</f>
        <v>#VALUE!</v>
      </c>
      <c r="AU89" t="e">
        <f>AND(Bills!Z213,"AAAAABdX3y4=")</f>
        <v>#VALUE!</v>
      </c>
      <c r="AV89" t="e">
        <f>AND(Bills!#REF!,"AAAAABdX3y8=")</f>
        <v>#REF!</v>
      </c>
      <c r="AW89" t="e">
        <f>AND(Bills!#REF!,"AAAAABdX3zA=")</f>
        <v>#REF!</v>
      </c>
      <c r="AX89" t="e">
        <f>AND(Bills!#REF!,"AAAAABdX3zE=")</f>
        <v>#REF!</v>
      </c>
      <c r="AY89" t="e">
        <f>AND(Bills!AA213,"AAAAABdX3zI=")</f>
        <v>#VALUE!</v>
      </c>
      <c r="AZ89" t="e">
        <f>AND(Bills!AB213,"AAAAABdX3zM=")</f>
        <v>#VALUE!</v>
      </c>
      <c r="BA89" t="e">
        <f>AND(Bills!#REF!,"AAAAABdX3zQ=")</f>
        <v>#REF!</v>
      </c>
      <c r="BB89">
        <f>IF(Bills!214:214,"AAAAABdX3zU=",0)</f>
        <v>0</v>
      </c>
      <c r="BC89" t="e">
        <f>AND(Bills!B214,"AAAAABdX3zY=")</f>
        <v>#VALUE!</v>
      </c>
      <c r="BD89" t="e">
        <f>AND(Bills!#REF!,"AAAAABdX3zc=")</f>
        <v>#REF!</v>
      </c>
      <c r="BE89" t="e">
        <f>AND(Bills!C214,"AAAAABdX3zg=")</f>
        <v>#VALUE!</v>
      </c>
      <c r="BF89" t="e">
        <f>AND(Bills!#REF!,"AAAAABdX3zk=")</f>
        <v>#REF!</v>
      </c>
      <c r="BG89" t="e">
        <f>AND(Bills!#REF!,"AAAAABdX3zo=")</f>
        <v>#REF!</v>
      </c>
      <c r="BH89" t="e">
        <f>AND(Bills!#REF!,"AAAAABdX3zs=")</f>
        <v>#REF!</v>
      </c>
      <c r="BI89" t="e">
        <f>AND(Bills!#REF!,"AAAAABdX3zw=")</f>
        <v>#REF!</v>
      </c>
      <c r="BJ89" t="e">
        <f>AND(Bills!#REF!,"AAAAABdX3z0=")</f>
        <v>#REF!</v>
      </c>
      <c r="BK89" t="e">
        <f>AND(Bills!D214,"AAAAABdX3z4=")</f>
        <v>#VALUE!</v>
      </c>
      <c r="BL89" t="e">
        <f>AND(Bills!#REF!,"AAAAABdX3z8=")</f>
        <v>#REF!</v>
      </c>
      <c r="BM89" t="e">
        <f>AND(Bills!E214,"AAAAABdX30A=")</f>
        <v>#VALUE!</v>
      </c>
      <c r="BN89" t="e">
        <f>AND(Bills!F214,"AAAAABdX30E=")</f>
        <v>#VALUE!</v>
      </c>
      <c r="BO89" t="e">
        <f>AND(Bills!G214,"AAAAABdX30I=")</f>
        <v>#VALUE!</v>
      </c>
      <c r="BP89" t="e">
        <f>AND(Bills!H214,"AAAAABdX30M=")</f>
        <v>#VALUE!</v>
      </c>
      <c r="BQ89" t="e">
        <f>AND(Bills!I214,"AAAAABdX30Q=")</f>
        <v>#VALUE!</v>
      </c>
      <c r="BR89" t="e">
        <f>AND(Bills!J214,"AAAAABdX30U=")</f>
        <v>#VALUE!</v>
      </c>
      <c r="BS89" t="e">
        <f>AND(Bills!#REF!,"AAAAABdX30Y=")</f>
        <v>#REF!</v>
      </c>
      <c r="BT89" t="e">
        <f>AND(Bills!K214,"AAAAABdX30c=")</f>
        <v>#VALUE!</v>
      </c>
      <c r="BU89" t="e">
        <f>AND(Bills!L214,"AAAAABdX30g=")</f>
        <v>#VALUE!</v>
      </c>
      <c r="BV89" t="e">
        <f>AND(Bills!M214,"AAAAABdX30k=")</f>
        <v>#VALUE!</v>
      </c>
      <c r="BW89" t="e">
        <f>AND(Bills!N214,"AAAAABdX30o=")</f>
        <v>#VALUE!</v>
      </c>
      <c r="BX89" t="e">
        <f>AND(Bills!O214,"AAAAABdX30s=")</f>
        <v>#VALUE!</v>
      </c>
      <c r="BY89" t="e">
        <f>AND(Bills!P214,"AAAAABdX30w=")</f>
        <v>#VALUE!</v>
      </c>
      <c r="BZ89" t="e">
        <f>AND(Bills!Q214,"AAAAABdX300=")</f>
        <v>#VALUE!</v>
      </c>
      <c r="CA89" t="e">
        <f>AND(Bills!R214,"AAAAABdX304=")</f>
        <v>#VALUE!</v>
      </c>
      <c r="CB89" t="e">
        <f>AND(Bills!#REF!,"AAAAABdX308=")</f>
        <v>#REF!</v>
      </c>
      <c r="CC89" t="e">
        <f>AND(Bills!S214,"AAAAABdX31A=")</f>
        <v>#VALUE!</v>
      </c>
      <c r="CD89" t="e">
        <f>AND(Bills!T214,"AAAAABdX31E=")</f>
        <v>#VALUE!</v>
      </c>
      <c r="CE89" t="e">
        <f>AND(Bills!U214,"AAAAABdX31I=")</f>
        <v>#VALUE!</v>
      </c>
      <c r="CF89" t="e">
        <f>AND(Bills!#REF!,"AAAAABdX31M=")</f>
        <v>#REF!</v>
      </c>
      <c r="CG89" t="e">
        <f>AND(Bills!#REF!,"AAAAABdX31Q=")</f>
        <v>#REF!</v>
      </c>
      <c r="CH89" t="e">
        <f>AND(Bills!W214,"AAAAABdX31U=")</f>
        <v>#VALUE!</v>
      </c>
      <c r="CI89" t="e">
        <f>AND(Bills!X214,"AAAAABdX31Y=")</f>
        <v>#VALUE!</v>
      </c>
      <c r="CJ89" t="e">
        <f>AND(Bills!#REF!,"AAAAABdX31c=")</f>
        <v>#REF!</v>
      </c>
      <c r="CK89" t="e">
        <f>AND(Bills!#REF!,"AAAAABdX31g=")</f>
        <v>#REF!</v>
      </c>
      <c r="CL89" t="e">
        <f>AND(Bills!#REF!,"AAAAABdX31k=")</f>
        <v>#REF!</v>
      </c>
      <c r="CM89" t="e">
        <f>AND(Bills!#REF!,"AAAAABdX31o=")</f>
        <v>#REF!</v>
      </c>
      <c r="CN89" t="e">
        <f>AND(Bills!#REF!,"AAAAABdX31s=")</f>
        <v>#REF!</v>
      </c>
      <c r="CO89" t="e">
        <f>AND(Bills!#REF!,"AAAAABdX31w=")</f>
        <v>#REF!</v>
      </c>
      <c r="CP89" t="e">
        <f>AND(Bills!#REF!,"AAAAABdX310=")</f>
        <v>#REF!</v>
      </c>
      <c r="CQ89" t="e">
        <f>AND(Bills!#REF!,"AAAAABdX314=")</f>
        <v>#REF!</v>
      </c>
      <c r="CR89" t="e">
        <f>AND(Bills!#REF!,"AAAAABdX318=")</f>
        <v>#REF!</v>
      </c>
      <c r="CS89" t="e">
        <f>AND(Bills!Y214,"AAAAABdX32A=")</f>
        <v>#VALUE!</v>
      </c>
      <c r="CT89" t="e">
        <f>AND(Bills!Z214,"AAAAABdX32E=")</f>
        <v>#VALUE!</v>
      </c>
      <c r="CU89" t="e">
        <f>AND(Bills!#REF!,"AAAAABdX32I=")</f>
        <v>#REF!</v>
      </c>
      <c r="CV89" t="e">
        <f>AND(Bills!#REF!,"AAAAABdX32M=")</f>
        <v>#REF!</v>
      </c>
      <c r="CW89" t="e">
        <f>AND(Bills!#REF!,"AAAAABdX32Q=")</f>
        <v>#REF!</v>
      </c>
      <c r="CX89" t="e">
        <f>AND(Bills!AA214,"AAAAABdX32U=")</f>
        <v>#VALUE!</v>
      </c>
      <c r="CY89" t="e">
        <f>AND(Bills!AB214,"AAAAABdX32Y=")</f>
        <v>#VALUE!</v>
      </c>
      <c r="CZ89" t="e">
        <f>AND(Bills!#REF!,"AAAAABdX32c=")</f>
        <v>#REF!</v>
      </c>
      <c r="DA89">
        <f>IF(Bills!215:215,"AAAAABdX32g=",0)</f>
        <v>0</v>
      </c>
      <c r="DB89" t="e">
        <f>AND(Bills!B215,"AAAAABdX32k=")</f>
        <v>#VALUE!</v>
      </c>
      <c r="DC89" t="e">
        <f>AND(Bills!#REF!,"AAAAABdX32o=")</f>
        <v>#REF!</v>
      </c>
      <c r="DD89" t="e">
        <f>AND(Bills!C215,"AAAAABdX32s=")</f>
        <v>#VALUE!</v>
      </c>
      <c r="DE89" t="e">
        <f>AND(Bills!#REF!,"AAAAABdX32w=")</f>
        <v>#REF!</v>
      </c>
      <c r="DF89" t="e">
        <f>AND(Bills!#REF!,"AAAAABdX320=")</f>
        <v>#REF!</v>
      </c>
      <c r="DG89" t="e">
        <f>AND(Bills!#REF!,"AAAAABdX324=")</f>
        <v>#REF!</v>
      </c>
      <c r="DH89" t="e">
        <f>AND(Bills!#REF!,"AAAAABdX328=")</f>
        <v>#REF!</v>
      </c>
      <c r="DI89" t="e">
        <f>AND(Bills!#REF!,"AAAAABdX33A=")</f>
        <v>#REF!</v>
      </c>
      <c r="DJ89" t="e">
        <f>AND(Bills!D215,"AAAAABdX33E=")</f>
        <v>#VALUE!</v>
      </c>
      <c r="DK89" t="e">
        <f>AND(Bills!#REF!,"AAAAABdX33I=")</f>
        <v>#REF!</v>
      </c>
      <c r="DL89" t="e">
        <f>AND(Bills!E215,"AAAAABdX33M=")</f>
        <v>#VALUE!</v>
      </c>
      <c r="DM89" t="e">
        <f>AND(Bills!F215,"AAAAABdX33Q=")</f>
        <v>#VALUE!</v>
      </c>
      <c r="DN89" t="e">
        <f>AND(Bills!G215,"AAAAABdX33U=")</f>
        <v>#VALUE!</v>
      </c>
      <c r="DO89" t="e">
        <f>AND(Bills!H215,"AAAAABdX33Y=")</f>
        <v>#VALUE!</v>
      </c>
      <c r="DP89" t="e">
        <f>AND(Bills!I215,"AAAAABdX33c=")</f>
        <v>#VALUE!</v>
      </c>
      <c r="DQ89" t="e">
        <f>AND(Bills!J215,"AAAAABdX33g=")</f>
        <v>#VALUE!</v>
      </c>
      <c r="DR89" t="e">
        <f>AND(Bills!#REF!,"AAAAABdX33k=")</f>
        <v>#REF!</v>
      </c>
      <c r="DS89" t="e">
        <f>AND(Bills!K215,"AAAAABdX33o=")</f>
        <v>#VALUE!</v>
      </c>
      <c r="DT89" t="e">
        <f>AND(Bills!L215,"AAAAABdX33s=")</f>
        <v>#VALUE!</v>
      </c>
      <c r="DU89" t="e">
        <f>AND(Bills!M215,"AAAAABdX33w=")</f>
        <v>#VALUE!</v>
      </c>
      <c r="DV89" t="e">
        <f>AND(Bills!N215,"AAAAABdX330=")</f>
        <v>#VALUE!</v>
      </c>
      <c r="DW89" t="e">
        <f>AND(Bills!O215,"AAAAABdX334=")</f>
        <v>#VALUE!</v>
      </c>
      <c r="DX89" t="e">
        <f>AND(Bills!P215,"AAAAABdX338=")</f>
        <v>#VALUE!</v>
      </c>
      <c r="DY89" t="e">
        <f>AND(Bills!Q215,"AAAAABdX34A=")</f>
        <v>#VALUE!</v>
      </c>
      <c r="DZ89" t="e">
        <f>AND(Bills!R215,"AAAAABdX34E=")</f>
        <v>#VALUE!</v>
      </c>
      <c r="EA89" t="e">
        <f>AND(Bills!#REF!,"AAAAABdX34I=")</f>
        <v>#REF!</v>
      </c>
      <c r="EB89" t="e">
        <f>AND(Bills!S215,"AAAAABdX34M=")</f>
        <v>#VALUE!</v>
      </c>
      <c r="EC89" t="e">
        <f>AND(Bills!T215,"AAAAABdX34Q=")</f>
        <v>#VALUE!</v>
      </c>
      <c r="ED89" t="e">
        <f>AND(Bills!U215,"AAAAABdX34U=")</f>
        <v>#VALUE!</v>
      </c>
      <c r="EE89" t="e">
        <f>AND(Bills!#REF!,"AAAAABdX34Y=")</f>
        <v>#REF!</v>
      </c>
      <c r="EF89" t="e">
        <f>AND(Bills!#REF!,"AAAAABdX34c=")</f>
        <v>#REF!</v>
      </c>
      <c r="EG89" t="e">
        <f>AND(Bills!W215,"AAAAABdX34g=")</f>
        <v>#VALUE!</v>
      </c>
      <c r="EH89" t="e">
        <f>AND(Bills!X215,"AAAAABdX34k=")</f>
        <v>#VALUE!</v>
      </c>
      <c r="EI89" t="e">
        <f>AND(Bills!#REF!,"AAAAABdX34o=")</f>
        <v>#REF!</v>
      </c>
      <c r="EJ89" t="e">
        <f>AND(Bills!#REF!,"AAAAABdX34s=")</f>
        <v>#REF!</v>
      </c>
      <c r="EK89" t="e">
        <f>AND(Bills!#REF!,"AAAAABdX34w=")</f>
        <v>#REF!</v>
      </c>
      <c r="EL89" t="e">
        <f>AND(Bills!#REF!,"AAAAABdX340=")</f>
        <v>#REF!</v>
      </c>
      <c r="EM89" t="e">
        <f>AND(Bills!#REF!,"AAAAABdX344=")</f>
        <v>#REF!</v>
      </c>
      <c r="EN89" t="e">
        <f>AND(Bills!#REF!,"AAAAABdX348=")</f>
        <v>#REF!</v>
      </c>
      <c r="EO89" t="e">
        <f>AND(Bills!#REF!,"AAAAABdX35A=")</f>
        <v>#REF!</v>
      </c>
      <c r="EP89" t="e">
        <f>AND(Bills!#REF!,"AAAAABdX35E=")</f>
        <v>#REF!</v>
      </c>
      <c r="EQ89" t="e">
        <f>AND(Bills!#REF!,"AAAAABdX35I=")</f>
        <v>#REF!</v>
      </c>
      <c r="ER89" t="e">
        <f>AND(Bills!Y215,"AAAAABdX35M=")</f>
        <v>#VALUE!</v>
      </c>
      <c r="ES89" t="e">
        <f>AND(Bills!Z215,"AAAAABdX35Q=")</f>
        <v>#VALUE!</v>
      </c>
      <c r="ET89" t="e">
        <f>AND(Bills!#REF!,"AAAAABdX35U=")</f>
        <v>#REF!</v>
      </c>
      <c r="EU89" t="e">
        <f>AND(Bills!#REF!,"AAAAABdX35Y=")</f>
        <v>#REF!</v>
      </c>
      <c r="EV89" t="e">
        <f>AND(Bills!#REF!,"AAAAABdX35c=")</f>
        <v>#REF!</v>
      </c>
      <c r="EW89" t="e">
        <f>AND(Bills!AA215,"AAAAABdX35g=")</f>
        <v>#VALUE!</v>
      </c>
      <c r="EX89" t="e">
        <f>AND(Bills!AB215,"AAAAABdX35k=")</f>
        <v>#VALUE!</v>
      </c>
      <c r="EY89" t="e">
        <f>AND(Bills!#REF!,"AAAAABdX35o=")</f>
        <v>#REF!</v>
      </c>
      <c r="EZ89">
        <f>IF(Bills!216:216,"AAAAABdX35s=",0)</f>
        <v>0</v>
      </c>
      <c r="FA89" t="e">
        <f>AND(Bills!B216,"AAAAABdX35w=")</f>
        <v>#VALUE!</v>
      </c>
      <c r="FB89" t="e">
        <f>AND(Bills!#REF!,"AAAAABdX350=")</f>
        <v>#REF!</v>
      </c>
      <c r="FC89" t="e">
        <f>AND(Bills!C216,"AAAAABdX354=")</f>
        <v>#VALUE!</v>
      </c>
      <c r="FD89" t="e">
        <f>AND(Bills!#REF!,"AAAAABdX358=")</f>
        <v>#REF!</v>
      </c>
      <c r="FE89" t="e">
        <f>AND(Bills!#REF!,"AAAAABdX36A=")</f>
        <v>#REF!</v>
      </c>
      <c r="FF89" t="e">
        <f>AND(Bills!#REF!,"AAAAABdX36E=")</f>
        <v>#REF!</v>
      </c>
      <c r="FG89" t="e">
        <f>AND(Bills!#REF!,"AAAAABdX36I=")</f>
        <v>#REF!</v>
      </c>
      <c r="FH89" t="e">
        <f>AND(Bills!#REF!,"AAAAABdX36M=")</f>
        <v>#REF!</v>
      </c>
      <c r="FI89" t="e">
        <f>AND(Bills!D216,"AAAAABdX36Q=")</f>
        <v>#VALUE!</v>
      </c>
      <c r="FJ89" t="e">
        <f>AND(Bills!#REF!,"AAAAABdX36U=")</f>
        <v>#REF!</v>
      </c>
      <c r="FK89" t="e">
        <f>AND(Bills!E216,"AAAAABdX36Y=")</f>
        <v>#VALUE!</v>
      </c>
      <c r="FL89" t="e">
        <f>AND(Bills!F216,"AAAAABdX36c=")</f>
        <v>#VALUE!</v>
      </c>
      <c r="FM89" t="e">
        <f>AND(Bills!G216,"AAAAABdX36g=")</f>
        <v>#VALUE!</v>
      </c>
      <c r="FN89" t="e">
        <f>AND(Bills!H216,"AAAAABdX36k=")</f>
        <v>#VALUE!</v>
      </c>
      <c r="FO89" t="e">
        <f>AND(Bills!I216,"AAAAABdX36o=")</f>
        <v>#VALUE!</v>
      </c>
      <c r="FP89" t="e">
        <f>AND(Bills!J216,"AAAAABdX36s=")</f>
        <v>#VALUE!</v>
      </c>
      <c r="FQ89" t="e">
        <f>AND(Bills!#REF!,"AAAAABdX36w=")</f>
        <v>#REF!</v>
      </c>
      <c r="FR89" t="e">
        <f>AND(Bills!K216,"AAAAABdX360=")</f>
        <v>#VALUE!</v>
      </c>
      <c r="FS89" t="e">
        <f>AND(Bills!L216,"AAAAABdX364=")</f>
        <v>#VALUE!</v>
      </c>
      <c r="FT89" t="e">
        <f>AND(Bills!M216,"AAAAABdX368=")</f>
        <v>#VALUE!</v>
      </c>
      <c r="FU89" t="e">
        <f>AND(Bills!N216,"AAAAABdX37A=")</f>
        <v>#VALUE!</v>
      </c>
      <c r="FV89" t="e">
        <f>AND(Bills!O216,"AAAAABdX37E=")</f>
        <v>#VALUE!</v>
      </c>
      <c r="FW89" t="e">
        <f>AND(Bills!P216,"AAAAABdX37I=")</f>
        <v>#VALUE!</v>
      </c>
      <c r="FX89" t="e">
        <f>AND(Bills!Q216,"AAAAABdX37M=")</f>
        <v>#VALUE!</v>
      </c>
      <c r="FY89" t="e">
        <f>AND(Bills!R216,"AAAAABdX37Q=")</f>
        <v>#VALUE!</v>
      </c>
      <c r="FZ89" t="e">
        <f>AND(Bills!#REF!,"AAAAABdX37U=")</f>
        <v>#REF!</v>
      </c>
      <c r="GA89" t="e">
        <f>AND(Bills!S216,"AAAAABdX37Y=")</f>
        <v>#VALUE!</v>
      </c>
      <c r="GB89" t="e">
        <f>AND(Bills!T216,"AAAAABdX37c=")</f>
        <v>#VALUE!</v>
      </c>
      <c r="GC89" t="e">
        <f>AND(Bills!U216,"AAAAABdX37g=")</f>
        <v>#VALUE!</v>
      </c>
      <c r="GD89" t="e">
        <f>AND(Bills!#REF!,"AAAAABdX37k=")</f>
        <v>#REF!</v>
      </c>
      <c r="GE89" t="e">
        <f>AND(Bills!#REF!,"AAAAABdX37o=")</f>
        <v>#REF!</v>
      </c>
      <c r="GF89" t="e">
        <f>AND(Bills!W216,"AAAAABdX37s=")</f>
        <v>#VALUE!</v>
      </c>
      <c r="GG89" t="e">
        <f>AND(Bills!X216,"AAAAABdX37w=")</f>
        <v>#VALUE!</v>
      </c>
      <c r="GH89" t="e">
        <f>AND(Bills!#REF!,"AAAAABdX370=")</f>
        <v>#REF!</v>
      </c>
      <c r="GI89" t="e">
        <f>AND(Bills!#REF!,"AAAAABdX374=")</f>
        <v>#REF!</v>
      </c>
      <c r="GJ89" t="e">
        <f>AND(Bills!#REF!,"AAAAABdX378=")</f>
        <v>#REF!</v>
      </c>
      <c r="GK89" t="e">
        <f>AND(Bills!#REF!,"AAAAABdX38A=")</f>
        <v>#REF!</v>
      </c>
      <c r="GL89" t="e">
        <f>AND(Bills!#REF!,"AAAAABdX38E=")</f>
        <v>#REF!</v>
      </c>
      <c r="GM89" t="e">
        <f>AND(Bills!#REF!,"AAAAABdX38I=")</f>
        <v>#REF!</v>
      </c>
      <c r="GN89" t="e">
        <f>AND(Bills!#REF!,"AAAAABdX38M=")</f>
        <v>#REF!</v>
      </c>
      <c r="GO89" t="e">
        <f>AND(Bills!#REF!,"AAAAABdX38Q=")</f>
        <v>#REF!</v>
      </c>
      <c r="GP89" t="e">
        <f>AND(Bills!#REF!,"AAAAABdX38U=")</f>
        <v>#REF!</v>
      </c>
      <c r="GQ89" t="e">
        <f>AND(Bills!Y216,"AAAAABdX38Y=")</f>
        <v>#VALUE!</v>
      </c>
      <c r="GR89" t="e">
        <f>AND(Bills!Z216,"AAAAABdX38c=")</f>
        <v>#VALUE!</v>
      </c>
      <c r="GS89" t="e">
        <f>AND(Bills!#REF!,"AAAAABdX38g=")</f>
        <v>#REF!</v>
      </c>
      <c r="GT89" t="e">
        <f>AND(Bills!#REF!,"AAAAABdX38k=")</f>
        <v>#REF!</v>
      </c>
      <c r="GU89" t="e">
        <f>AND(Bills!#REF!,"AAAAABdX38o=")</f>
        <v>#REF!</v>
      </c>
      <c r="GV89" t="e">
        <f>AND(Bills!AA216,"AAAAABdX38s=")</f>
        <v>#VALUE!</v>
      </c>
      <c r="GW89" t="e">
        <f>AND(Bills!AB216,"AAAAABdX38w=")</f>
        <v>#VALUE!</v>
      </c>
      <c r="GX89" t="e">
        <f>AND(Bills!#REF!,"AAAAABdX380=")</f>
        <v>#REF!</v>
      </c>
      <c r="GY89">
        <f>IF(Bills!217:217,"AAAAABdX384=",0)</f>
        <v>0</v>
      </c>
      <c r="GZ89" t="e">
        <f>AND(Bills!B217,"AAAAABdX388=")</f>
        <v>#VALUE!</v>
      </c>
      <c r="HA89" t="e">
        <f>AND(Bills!#REF!,"AAAAABdX39A=")</f>
        <v>#REF!</v>
      </c>
      <c r="HB89" t="e">
        <f>AND(Bills!C217,"AAAAABdX39E=")</f>
        <v>#VALUE!</v>
      </c>
      <c r="HC89" t="e">
        <f>AND(Bills!#REF!,"AAAAABdX39I=")</f>
        <v>#REF!</v>
      </c>
      <c r="HD89" t="e">
        <f>AND(Bills!#REF!,"AAAAABdX39M=")</f>
        <v>#REF!</v>
      </c>
      <c r="HE89" t="e">
        <f>AND(Bills!#REF!,"AAAAABdX39Q=")</f>
        <v>#REF!</v>
      </c>
      <c r="HF89" t="e">
        <f>AND(Bills!#REF!,"AAAAABdX39U=")</f>
        <v>#REF!</v>
      </c>
      <c r="HG89" t="e">
        <f>AND(Bills!#REF!,"AAAAABdX39Y=")</f>
        <v>#REF!</v>
      </c>
      <c r="HH89" t="e">
        <f>AND(Bills!D217,"AAAAABdX39c=")</f>
        <v>#VALUE!</v>
      </c>
      <c r="HI89" t="e">
        <f>AND(Bills!#REF!,"AAAAABdX39g=")</f>
        <v>#REF!</v>
      </c>
      <c r="HJ89" t="e">
        <f>AND(Bills!E217,"AAAAABdX39k=")</f>
        <v>#VALUE!</v>
      </c>
      <c r="HK89" t="e">
        <f>AND(Bills!F217,"AAAAABdX39o=")</f>
        <v>#VALUE!</v>
      </c>
      <c r="HL89" t="e">
        <f>AND(Bills!G217,"AAAAABdX39s=")</f>
        <v>#VALUE!</v>
      </c>
      <c r="HM89" t="e">
        <f>AND(Bills!H217,"AAAAABdX39w=")</f>
        <v>#VALUE!</v>
      </c>
      <c r="HN89" t="e">
        <f>AND(Bills!I217,"AAAAABdX390=")</f>
        <v>#VALUE!</v>
      </c>
      <c r="HO89" t="e">
        <f>AND(Bills!J217,"AAAAABdX394=")</f>
        <v>#VALUE!</v>
      </c>
      <c r="HP89" t="e">
        <f>AND(Bills!#REF!,"AAAAABdX398=")</f>
        <v>#REF!</v>
      </c>
      <c r="HQ89" t="e">
        <f>AND(Bills!K217,"AAAAABdX3+A=")</f>
        <v>#VALUE!</v>
      </c>
      <c r="HR89" t="e">
        <f>AND(Bills!L217,"AAAAABdX3+E=")</f>
        <v>#VALUE!</v>
      </c>
      <c r="HS89" t="e">
        <f>AND(Bills!M217,"AAAAABdX3+I=")</f>
        <v>#VALUE!</v>
      </c>
      <c r="HT89" t="e">
        <f>AND(Bills!N217,"AAAAABdX3+M=")</f>
        <v>#VALUE!</v>
      </c>
      <c r="HU89" t="e">
        <f>AND(Bills!O217,"AAAAABdX3+Q=")</f>
        <v>#VALUE!</v>
      </c>
      <c r="HV89" t="e">
        <f>AND(Bills!P217,"AAAAABdX3+U=")</f>
        <v>#VALUE!</v>
      </c>
      <c r="HW89" t="e">
        <f>AND(Bills!Q217,"AAAAABdX3+Y=")</f>
        <v>#VALUE!</v>
      </c>
      <c r="HX89" t="e">
        <f>AND(Bills!R217,"AAAAABdX3+c=")</f>
        <v>#VALUE!</v>
      </c>
      <c r="HY89" t="e">
        <f>AND(Bills!#REF!,"AAAAABdX3+g=")</f>
        <v>#REF!</v>
      </c>
      <c r="HZ89" t="e">
        <f>AND(Bills!S217,"AAAAABdX3+k=")</f>
        <v>#VALUE!</v>
      </c>
      <c r="IA89" t="e">
        <f>AND(Bills!T217,"AAAAABdX3+o=")</f>
        <v>#VALUE!</v>
      </c>
      <c r="IB89" t="e">
        <f>AND(Bills!U217,"AAAAABdX3+s=")</f>
        <v>#VALUE!</v>
      </c>
      <c r="IC89" t="e">
        <f>AND(Bills!#REF!,"AAAAABdX3+w=")</f>
        <v>#REF!</v>
      </c>
      <c r="ID89" t="e">
        <f>AND(Bills!#REF!,"AAAAABdX3+0=")</f>
        <v>#REF!</v>
      </c>
      <c r="IE89" t="e">
        <f>AND(Bills!W217,"AAAAABdX3+4=")</f>
        <v>#VALUE!</v>
      </c>
      <c r="IF89" t="e">
        <f>AND(Bills!X217,"AAAAABdX3+8=")</f>
        <v>#VALUE!</v>
      </c>
      <c r="IG89" t="e">
        <f>AND(Bills!#REF!,"AAAAABdX3/A=")</f>
        <v>#REF!</v>
      </c>
      <c r="IH89" t="e">
        <f>AND(Bills!#REF!,"AAAAABdX3/E=")</f>
        <v>#REF!</v>
      </c>
      <c r="II89" t="e">
        <f>AND(Bills!#REF!,"AAAAABdX3/I=")</f>
        <v>#REF!</v>
      </c>
      <c r="IJ89" t="e">
        <f>AND(Bills!#REF!,"AAAAABdX3/M=")</f>
        <v>#REF!</v>
      </c>
      <c r="IK89" t="e">
        <f>AND(Bills!#REF!,"AAAAABdX3/Q=")</f>
        <v>#REF!</v>
      </c>
      <c r="IL89" t="e">
        <f>AND(Bills!#REF!,"AAAAABdX3/U=")</f>
        <v>#REF!</v>
      </c>
      <c r="IM89" t="e">
        <f>AND(Bills!#REF!,"AAAAABdX3/Y=")</f>
        <v>#REF!</v>
      </c>
      <c r="IN89" t="e">
        <f>AND(Bills!#REF!,"AAAAABdX3/c=")</f>
        <v>#REF!</v>
      </c>
      <c r="IO89" t="e">
        <f>AND(Bills!#REF!,"AAAAABdX3/g=")</f>
        <v>#REF!</v>
      </c>
      <c r="IP89" t="e">
        <f>AND(Bills!Y217,"AAAAABdX3/k=")</f>
        <v>#VALUE!</v>
      </c>
      <c r="IQ89" t="e">
        <f>AND(Bills!Z217,"AAAAABdX3/o=")</f>
        <v>#VALUE!</v>
      </c>
      <c r="IR89" t="e">
        <f>AND(Bills!#REF!,"AAAAABdX3/s=")</f>
        <v>#REF!</v>
      </c>
      <c r="IS89" t="e">
        <f>AND(Bills!#REF!,"AAAAABdX3/w=")</f>
        <v>#REF!</v>
      </c>
      <c r="IT89" t="e">
        <f>AND(Bills!#REF!,"AAAAABdX3/0=")</f>
        <v>#REF!</v>
      </c>
      <c r="IU89" t="e">
        <f>AND(Bills!AA217,"AAAAABdX3/4=")</f>
        <v>#VALUE!</v>
      </c>
      <c r="IV89" t="e">
        <f>AND(Bills!AB217,"AAAAABdX3/8=")</f>
        <v>#VALUE!</v>
      </c>
    </row>
    <row r="90" spans="1:256">
      <c r="A90" t="e">
        <f>AND(Bills!#REF!,"AAAAAHfbXwA=")</f>
        <v>#REF!</v>
      </c>
      <c r="B90">
        <f>IF(Bills!218:218,"AAAAAHfbXwE=",0)</f>
        <v>0</v>
      </c>
      <c r="C90" t="e">
        <f>AND(Bills!B218,"AAAAAHfbXwI=")</f>
        <v>#VALUE!</v>
      </c>
      <c r="D90" t="e">
        <f>AND(Bills!#REF!,"AAAAAHfbXwM=")</f>
        <v>#REF!</v>
      </c>
      <c r="E90" t="e">
        <f>AND(Bills!C218,"AAAAAHfbXwQ=")</f>
        <v>#VALUE!</v>
      </c>
      <c r="F90" t="e">
        <f>AND(Bills!#REF!,"AAAAAHfbXwU=")</f>
        <v>#REF!</v>
      </c>
      <c r="G90" t="e">
        <f>AND(Bills!#REF!,"AAAAAHfbXwY=")</f>
        <v>#REF!</v>
      </c>
      <c r="H90" t="e">
        <f>AND(Bills!#REF!,"AAAAAHfbXwc=")</f>
        <v>#REF!</v>
      </c>
      <c r="I90" t="e">
        <f>AND(Bills!#REF!,"AAAAAHfbXwg=")</f>
        <v>#REF!</v>
      </c>
      <c r="J90" t="e">
        <f>AND(Bills!#REF!,"AAAAAHfbXwk=")</f>
        <v>#REF!</v>
      </c>
      <c r="K90" t="e">
        <f>AND(Bills!D218,"AAAAAHfbXwo=")</f>
        <v>#VALUE!</v>
      </c>
      <c r="L90" t="e">
        <f>AND(Bills!#REF!,"AAAAAHfbXws=")</f>
        <v>#REF!</v>
      </c>
      <c r="M90" t="e">
        <f>AND(Bills!E218,"AAAAAHfbXww=")</f>
        <v>#VALUE!</v>
      </c>
      <c r="N90" t="e">
        <f>AND(Bills!F218,"AAAAAHfbXw0=")</f>
        <v>#VALUE!</v>
      </c>
      <c r="O90" t="e">
        <f>AND(Bills!G218,"AAAAAHfbXw4=")</f>
        <v>#VALUE!</v>
      </c>
      <c r="P90" t="e">
        <f>AND(Bills!H218,"AAAAAHfbXw8=")</f>
        <v>#VALUE!</v>
      </c>
      <c r="Q90" t="e">
        <f>AND(Bills!I218,"AAAAAHfbXxA=")</f>
        <v>#VALUE!</v>
      </c>
      <c r="R90" t="e">
        <f>AND(Bills!J218,"AAAAAHfbXxE=")</f>
        <v>#VALUE!</v>
      </c>
      <c r="S90" t="e">
        <f>AND(Bills!#REF!,"AAAAAHfbXxI=")</f>
        <v>#REF!</v>
      </c>
      <c r="T90" t="e">
        <f>AND(Bills!K218,"AAAAAHfbXxM=")</f>
        <v>#VALUE!</v>
      </c>
      <c r="U90" t="e">
        <f>AND(Bills!L218,"AAAAAHfbXxQ=")</f>
        <v>#VALUE!</v>
      </c>
      <c r="V90" t="e">
        <f>AND(Bills!M218,"AAAAAHfbXxU=")</f>
        <v>#VALUE!</v>
      </c>
      <c r="W90" t="e">
        <f>AND(Bills!N218,"AAAAAHfbXxY=")</f>
        <v>#VALUE!</v>
      </c>
      <c r="X90" t="e">
        <f>AND(Bills!O218,"AAAAAHfbXxc=")</f>
        <v>#VALUE!</v>
      </c>
      <c r="Y90" t="e">
        <f>AND(Bills!P218,"AAAAAHfbXxg=")</f>
        <v>#VALUE!</v>
      </c>
      <c r="Z90" t="e">
        <f>AND(Bills!Q218,"AAAAAHfbXxk=")</f>
        <v>#VALUE!</v>
      </c>
      <c r="AA90" t="e">
        <f>AND(Bills!R218,"AAAAAHfbXxo=")</f>
        <v>#VALUE!</v>
      </c>
      <c r="AB90" t="e">
        <f>AND(Bills!#REF!,"AAAAAHfbXxs=")</f>
        <v>#REF!</v>
      </c>
      <c r="AC90" t="e">
        <f>AND(Bills!S218,"AAAAAHfbXxw=")</f>
        <v>#VALUE!</v>
      </c>
      <c r="AD90" t="e">
        <f>AND(Bills!T218,"AAAAAHfbXx0=")</f>
        <v>#VALUE!</v>
      </c>
      <c r="AE90" t="e">
        <f>AND(Bills!U218,"AAAAAHfbXx4=")</f>
        <v>#VALUE!</v>
      </c>
      <c r="AF90" t="e">
        <f>AND(Bills!#REF!,"AAAAAHfbXx8=")</f>
        <v>#REF!</v>
      </c>
      <c r="AG90" t="e">
        <f>AND(Bills!#REF!,"AAAAAHfbXyA=")</f>
        <v>#REF!</v>
      </c>
      <c r="AH90" t="e">
        <f>AND(Bills!W218,"AAAAAHfbXyE=")</f>
        <v>#VALUE!</v>
      </c>
      <c r="AI90" t="e">
        <f>AND(Bills!X218,"AAAAAHfbXyI=")</f>
        <v>#VALUE!</v>
      </c>
      <c r="AJ90" t="e">
        <f>AND(Bills!#REF!,"AAAAAHfbXyM=")</f>
        <v>#REF!</v>
      </c>
      <c r="AK90" t="e">
        <f>AND(Bills!#REF!,"AAAAAHfbXyQ=")</f>
        <v>#REF!</v>
      </c>
      <c r="AL90" t="e">
        <f>AND(Bills!#REF!,"AAAAAHfbXyU=")</f>
        <v>#REF!</v>
      </c>
      <c r="AM90" t="e">
        <f>AND(Bills!#REF!,"AAAAAHfbXyY=")</f>
        <v>#REF!</v>
      </c>
      <c r="AN90" t="e">
        <f>AND(Bills!#REF!,"AAAAAHfbXyc=")</f>
        <v>#REF!</v>
      </c>
      <c r="AO90" t="e">
        <f>AND(Bills!#REF!,"AAAAAHfbXyg=")</f>
        <v>#REF!</v>
      </c>
      <c r="AP90" t="e">
        <f>AND(Bills!#REF!,"AAAAAHfbXyk=")</f>
        <v>#REF!</v>
      </c>
      <c r="AQ90" t="e">
        <f>AND(Bills!#REF!,"AAAAAHfbXyo=")</f>
        <v>#REF!</v>
      </c>
      <c r="AR90" t="e">
        <f>AND(Bills!#REF!,"AAAAAHfbXys=")</f>
        <v>#REF!</v>
      </c>
      <c r="AS90" t="e">
        <f>AND(Bills!Y218,"AAAAAHfbXyw=")</f>
        <v>#VALUE!</v>
      </c>
      <c r="AT90" t="e">
        <f>AND(Bills!Z218,"AAAAAHfbXy0=")</f>
        <v>#VALUE!</v>
      </c>
      <c r="AU90" t="e">
        <f>AND(Bills!#REF!,"AAAAAHfbXy4=")</f>
        <v>#REF!</v>
      </c>
      <c r="AV90" t="e">
        <f>AND(Bills!#REF!,"AAAAAHfbXy8=")</f>
        <v>#REF!</v>
      </c>
      <c r="AW90" t="e">
        <f>AND(Bills!#REF!,"AAAAAHfbXzA=")</f>
        <v>#REF!</v>
      </c>
      <c r="AX90" t="e">
        <f>AND(Bills!AA218,"AAAAAHfbXzE=")</f>
        <v>#VALUE!</v>
      </c>
      <c r="AY90" t="e">
        <f>AND(Bills!AB218,"AAAAAHfbXzI=")</f>
        <v>#VALUE!</v>
      </c>
      <c r="AZ90" t="e">
        <f>AND(Bills!#REF!,"AAAAAHfbXzM=")</f>
        <v>#REF!</v>
      </c>
      <c r="BA90">
        <f>IF(Bills!219:219,"AAAAAHfbXzQ=",0)</f>
        <v>0</v>
      </c>
      <c r="BB90" t="e">
        <f>AND(Bills!B219,"AAAAAHfbXzU=")</f>
        <v>#VALUE!</v>
      </c>
      <c r="BC90" t="e">
        <f>AND(Bills!#REF!,"AAAAAHfbXzY=")</f>
        <v>#REF!</v>
      </c>
      <c r="BD90" t="e">
        <f>AND(Bills!C219,"AAAAAHfbXzc=")</f>
        <v>#VALUE!</v>
      </c>
      <c r="BE90" t="e">
        <f>AND(Bills!#REF!,"AAAAAHfbXzg=")</f>
        <v>#REF!</v>
      </c>
      <c r="BF90" t="e">
        <f>AND(Bills!#REF!,"AAAAAHfbXzk=")</f>
        <v>#REF!</v>
      </c>
      <c r="BG90" t="e">
        <f>AND(Bills!#REF!,"AAAAAHfbXzo=")</f>
        <v>#REF!</v>
      </c>
      <c r="BH90" t="e">
        <f>AND(Bills!#REF!,"AAAAAHfbXzs=")</f>
        <v>#REF!</v>
      </c>
      <c r="BI90" t="e">
        <f>AND(Bills!#REF!,"AAAAAHfbXzw=")</f>
        <v>#REF!</v>
      </c>
      <c r="BJ90" t="e">
        <f>AND(Bills!D219,"AAAAAHfbXz0=")</f>
        <v>#VALUE!</v>
      </c>
      <c r="BK90" t="e">
        <f>AND(Bills!#REF!,"AAAAAHfbXz4=")</f>
        <v>#REF!</v>
      </c>
      <c r="BL90" t="e">
        <f>AND(Bills!E219,"AAAAAHfbXz8=")</f>
        <v>#VALUE!</v>
      </c>
      <c r="BM90" t="e">
        <f>AND(Bills!F219,"AAAAAHfbX0A=")</f>
        <v>#VALUE!</v>
      </c>
      <c r="BN90" t="e">
        <f>AND(Bills!G219,"AAAAAHfbX0E=")</f>
        <v>#VALUE!</v>
      </c>
      <c r="BO90" t="e">
        <f>AND(Bills!H219,"AAAAAHfbX0I=")</f>
        <v>#VALUE!</v>
      </c>
      <c r="BP90" t="e">
        <f>AND(Bills!I219,"AAAAAHfbX0M=")</f>
        <v>#VALUE!</v>
      </c>
      <c r="BQ90" t="e">
        <f>AND(Bills!J219,"AAAAAHfbX0Q=")</f>
        <v>#VALUE!</v>
      </c>
      <c r="BR90" t="e">
        <f>AND(Bills!#REF!,"AAAAAHfbX0U=")</f>
        <v>#REF!</v>
      </c>
      <c r="BS90" t="e">
        <f>AND(Bills!K219,"AAAAAHfbX0Y=")</f>
        <v>#VALUE!</v>
      </c>
      <c r="BT90" t="e">
        <f>AND(Bills!L219,"AAAAAHfbX0c=")</f>
        <v>#VALUE!</v>
      </c>
      <c r="BU90" t="e">
        <f>AND(Bills!M219,"AAAAAHfbX0g=")</f>
        <v>#VALUE!</v>
      </c>
      <c r="BV90" t="e">
        <f>AND(Bills!N219,"AAAAAHfbX0k=")</f>
        <v>#VALUE!</v>
      </c>
      <c r="BW90" t="e">
        <f>AND(Bills!O219,"AAAAAHfbX0o=")</f>
        <v>#VALUE!</v>
      </c>
      <c r="BX90" t="e">
        <f>AND(Bills!P219,"AAAAAHfbX0s=")</f>
        <v>#VALUE!</v>
      </c>
      <c r="BY90" t="e">
        <f>AND(Bills!Q219,"AAAAAHfbX0w=")</f>
        <v>#VALUE!</v>
      </c>
      <c r="BZ90" t="e">
        <f>AND(Bills!R219,"AAAAAHfbX00=")</f>
        <v>#VALUE!</v>
      </c>
      <c r="CA90" t="e">
        <f>AND(Bills!#REF!,"AAAAAHfbX04=")</f>
        <v>#REF!</v>
      </c>
      <c r="CB90" t="e">
        <f>AND(Bills!S219,"AAAAAHfbX08=")</f>
        <v>#VALUE!</v>
      </c>
      <c r="CC90" t="e">
        <f>AND(Bills!T219,"AAAAAHfbX1A=")</f>
        <v>#VALUE!</v>
      </c>
      <c r="CD90" t="e">
        <f>AND(Bills!U219,"AAAAAHfbX1E=")</f>
        <v>#VALUE!</v>
      </c>
      <c r="CE90" t="e">
        <f>AND(Bills!#REF!,"AAAAAHfbX1I=")</f>
        <v>#REF!</v>
      </c>
      <c r="CF90" t="e">
        <f>AND(Bills!#REF!,"AAAAAHfbX1M=")</f>
        <v>#REF!</v>
      </c>
      <c r="CG90" t="e">
        <f>AND(Bills!W219,"AAAAAHfbX1Q=")</f>
        <v>#VALUE!</v>
      </c>
      <c r="CH90" t="e">
        <f>AND(Bills!X219,"AAAAAHfbX1U=")</f>
        <v>#VALUE!</v>
      </c>
      <c r="CI90" t="e">
        <f>AND(Bills!#REF!,"AAAAAHfbX1Y=")</f>
        <v>#REF!</v>
      </c>
      <c r="CJ90" t="e">
        <f>AND(Bills!#REF!,"AAAAAHfbX1c=")</f>
        <v>#REF!</v>
      </c>
      <c r="CK90" t="e">
        <f>AND(Bills!#REF!,"AAAAAHfbX1g=")</f>
        <v>#REF!</v>
      </c>
      <c r="CL90" t="e">
        <f>AND(Bills!#REF!,"AAAAAHfbX1k=")</f>
        <v>#REF!</v>
      </c>
      <c r="CM90" t="e">
        <f>AND(Bills!#REF!,"AAAAAHfbX1o=")</f>
        <v>#REF!</v>
      </c>
      <c r="CN90" t="e">
        <f>AND(Bills!#REF!,"AAAAAHfbX1s=")</f>
        <v>#REF!</v>
      </c>
      <c r="CO90" t="e">
        <f>AND(Bills!#REF!,"AAAAAHfbX1w=")</f>
        <v>#REF!</v>
      </c>
      <c r="CP90" t="e">
        <f>AND(Bills!#REF!,"AAAAAHfbX10=")</f>
        <v>#REF!</v>
      </c>
      <c r="CQ90" t="e">
        <f>AND(Bills!#REF!,"AAAAAHfbX14=")</f>
        <v>#REF!</v>
      </c>
      <c r="CR90" t="e">
        <f>AND(Bills!Y219,"AAAAAHfbX18=")</f>
        <v>#VALUE!</v>
      </c>
      <c r="CS90" t="e">
        <f>AND(Bills!Z219,"AAAAAHfbX2A=")</f>
        <v>#VALUE!</v>
      </c>
      <c r="CT90" t="e">
        <f>AND(Bills!#REF!,"AAAAAHfbX2E=")</f>
        <v>#REF!</v>
      </c>
      <c r="CU90" t="e">
        <f>AND(Bills!#REF!,"AAAAAHfbX2I=")</f>
        <v>#REF!</v>
      </c>
      <c r="CV90" t="e">
        <f>AND(Bills!#REF!,"AAAAAHfbX2M=")</f>
        <v>#REF!</v>
      </c>
      <c r="CW90" t="e">
        <f>AND(Bills!AA219,"AAAAAHfbX2Q=")</f>
        <v>#VALUE!</v>
      </c>
      <c r="CX90" t="e">
        <f>AND(Bills!AB219,"AAAAAHfbX2U=")</f>
        <v>#VALUE!</v>
      </c>
      <c r="CY90" t="e">
        <f>AND(Bills!#REF!,"AAAAAHfbX2Y=")</f>
        <v>#REF!</v>
      </c>
      <c r="CZ90">
        <f>IF(Bills!220:220,"AAAAAHfbX2c=",0)</f>
        <v>0</v>
      </c>
      <c r="DA90" t="e">
        <f>AND(Bills!B220,"AAAAAHfbX2g=")</f>
        <v>#VALUE!</v>
      </c>
      <c r="DB90" t="e">
        <f>AND(Bills!#REF!,"AAAAAHfbX2k=")</f>
        <v>#REF!</v>
      </c>
      <c r="DC90" t="e">
        <f>AND(Bills!C220,"AAAAAHfbX2o=")</f>
        <v>#VALUE!</v>
      </c>
      <c r="DD90" t="e">
        <f>AND(Bills!#REF!,"AAAAAHfbX2s=")</f>
        <v>#REF!</v>
      </c>
      <c r="DE90" t="e">
        <f>AND(Bills!#REF!,"AAAAAHfbX2w=")</f>
        <v>#REF!</v>
      </c>
      <c r="DF90" t="e">
        <f>AND(Bills!#REF!,"AAAAAHfbX20=")</f>
        <v>#REF!</v>
      </c>
      <c r="DG90" t="e">
        <f>AND(Bills!#REF!,"AAAAAHfbX24=")</f>
        <v>#REF!</v>
      </c>
      <c r="DH90" t="e">
        <f>AND(Bills!#REF!,"AAAAAHfbX28=")</f>
        <v>#REF!</v>
      </c>
      <c r="DI90" t="e">
        <f>AND(Bills!D220,"AAAAAHfbX3A=")</f>
        <v>#VALUE!</v>
      </c>
      <c r="DJ90" t="e">
        <f>AND(Bills!#REF!,"AAAAAHfbX3E=")</f>
        <v>#REF!</v>
      </c>
      <c r="DK90" t="e">
        <f>AND(Bills!E220,"AAAAAHfbX3I=")</f>
        <v>#VALUE!</v>
      </c>
      <c r="DL90" t="e">
        <f>AND(Bills!F220,"AAAAAHfbX3M=")</f>
        <v>#VALUE!</v>
      </c>
      <c r="DM90" t="e">
        <f>AND(Bills!G220,"AAAAAHfbX3Q=")</f>
        <v>#VALUE!</v>
      </c>
      <c r="DN90" t="e">
        <f>AND(Bills!H220,"AAAAAHfbX3U=")</f>
        <v>#VALUE!</v>
      </c>
      <c r="DO90" t="e">
        <f>AND(Bills!I220,"AAAAAHfbX3Y=")</f>
        <v>#VALUE!</v>
      </c>
      <c r="DP90" t="e">
        <f>AND(Bills!J220,"AAAAAHfbX3c=")</f>
        <v>#VALUE!</v>
      </c>
      <c r="DQ90" t="e">
        <f>AND(Bills!#REF!,"AAAAAHfbX3g=")</f>
        <v>#REF!</v>
      </c>
      <c r="DR90" t="e">
        <f>AND(Bills!K220,"AAAAAHfbX3k=")</f>
        <v>#VALUE!</v>
      </c>
      <c r="DS90" t="e">
        <f>AND(Bills!L220,"AAAAAHfbX3o=")</f>
        <v>#VALUE!</v>
      </c>
      <c r="DT90" t="e">
        <f>AND(Bills!M220,"AAAAAHfbX3s=")</f>
        <v>#VALUE!</v>
      </c>
      <c r="DU90" t="e">
        <f>AND(Bills!N220,"AAAAAHfbX3w=")</f>
        <v>#VALUE!</v>
      </c>
      <c r="DV90" t="e">
        <f>AND(Bills!O220,"AAAAAHfbX30=")</f>
        <v>#VALUE!</v>
      </c>
      <c r="DW90" t="e">
        <f>AND(Bills!P220,"AAAAAHfbX34=")</f>
        <v>#VALUE!</v>
      </c>
      <c r="DX90" t="e">
        <f>AND(Bills!Q220,"AAAAAHfbX38=")</f>
        <v>#VALUE!</v>
      </c>
      <c r="DY90" t="e">
        <f>AND(Bills!R220,"AAAAAHfbX4A=")</f>
        <v>#VALUE!</v>
      </c>
      <c r="DZ90" t="e">
        <f>AND(Bills!#REF!,"AAAAAHfbX4E=")</f>
        <v>#REF!</v>
      </c>
      <c r="EA90" t="e">
        <f>AND(Bills!S220,"AAAAAHfbX4I=")</f>
        <v>#VALUE!</v>
      </c>
      <c r="EB90" t="e">
        <f>AND(Bills!T220,"AAAAAHfbX4M=")</f>
        <v>#VALUE!</v>
      </c>
      <c r="EC90" t="e">
        <f>AND(Bills!U220,"AAAAAHfbX4Q=")</f>
        <v>#VALUE!</v>
      </c>
      <c r="ED90" t="e">
        <f>AND(Bills!#REF!,"AAAAAHfbX4U=")</f>
        <v>#REF!</v>
      </c>
      <c r="EE90" t="e">
        <f>AND(Bills!#REF!,"AAAAAHfbX4Y=")</f>
        <v>#REF!</v>
      </c>
      <c r="EF90" t="e">
        <f>AND(Bills!W220,"AAAAAHfbX4c=")</f>
        <v>#VALUE!</v>
      </c>
      <c r="EG90" t="e">
        <f>AND(Bills!X220,"AAAAAHfbX4g=")</f>
        <v>#VALUE!</v>
      </c>
      <c r="EH90" t="e">
        <f>AND(Bills!#REF!,"AAAAAHfbX4k=")</f>
        <v>#REF!</v>
      </c>
      <c r="EI90" t="e">
        <f>AND(Bills!#REF!,"AAAAAHfbX4o=")</f>
        <v>#REF!</v>
      </c>
      <c r="EJ90" t="e">
        <f>AND(Bills!#REF!,"AAAAAHfbX4s=")</f>
        <v>#REF!</v>
      </c>
      <c r="EK90" t="e">
        <f>AND(Bills!#REF!,"AAAAAHfbX4w=")</f>
        <v>#REF!</v>
      </c>
      <c r="EL90" t="e">
        <f>AND(Bills!#REF!,"AAAAAHfbX40=")</f>
        <v>#REF!</v>
      </c>
      <c r="EM90" t="e">
        <f>AND(Bills!#REF!,"AAAAAHfbX44=")</f>
        <v>#REF!</v>
      </c>
      <c r="EN90" t="e">
        <f>AND(Bills!#REF!,"AAAAAHfbX48=")</f>
        <v>#REF!</v>
      </c>
      <c r="EO90" t="e">
        <f>AND(Bills!#REF!,"AAAAAHfbX5A=")</f>
        <v>#REF!</v>
      </c>
      <c r="EP90" t="e">
        <f>AND(Bills!#REF!,"AAAAAHfbX5E=")</f>
        <v>#REF!</v>
      </c>
      <c r="EQ90" t="e">
        <f>AND(Bills!Y220,"AAAAAHfbX5I=")</f>
        <v>#VALUE!</v>
      </c>
      <c r="ER90" t="e">
        <f>AND(Bills!Z220,"AAAAAHfbX5M=")</f>
        <v>#VALUE!</v>
      </c>
      <c r="ES90" t="e">
        <f>AND(Bills!#REF!,"AAAAAHfbX5Q=")</f>
        <v>#REF!</v>
      </c>
      <c r="ET90" t="e">
        <f>AND(Bills!#REF!,"AAAAAHfbX5U=")</f>
        <v>#REF!</v>
      </c>
      <c r="EU90" t="e">
        <f>AND(Bills!#REF!,"AAAAAHfbX5Y=")</f>
        <v>#REF!</v>
      </c>
      <c r="EV90" t="e">
        <f>AND(Bills!AA220,"AAAAAHfbX5c=")</f>
        <v>#VALUE!</v>
      </c>
      <c r="EW90" t="e">
        <f>AND(Bills!AB220,"AAAAAHfbX5g=")</f>
        <v>#VALUE!</v>
      </c>
      <c r="EX90" t="e">
        <f>AND(Bills!#REF!,"AAAAAHfbX5k=")</f>
        <v>#REF!</v>
      </c>
      <c r="EY90">
        <f>IF(Bills!221:221,"AAAAAHfbX5o=",0)</f>
        <v>0</v>
      </c>
      <c r="EZ90" t="e">
        <f>AND(Bills!B221,"AAAAAHfbX5s=")</f>
        <v>#VALUE!</v>
      </c>
      <c r="FA90" t="e">
        <f>AND(Bills!#REF!,"AAAAAHfbX5w=")</f>
        <v>#REF!</v>
      </c>
      <c r="FB90" t="e">
        <f>AND(Bills!C221,"AAAAAHfbX50=")</f>
        <v>#VALUE!</v>
      </c>
      <c r="FC90" t="e">
        <f>AND(Bills!#REF!,"AAAAAHfbX54=")</f>
        <v>#REF!</v>
      </c>
      <c r="FD90" t="e">
        <f>AND(Bills!#REF!,"AAAAAHfbX58=")</f>
        <v>#REF!</v>
      </c>
      <c r="FE90" t="e">
        <f>AND(Bills!#REF!,"AAAAAHfbX6A=")</f>
        <v>#REF!</v>
      </c>
      <c r="FF90" t="e">
        <f>AND(Bills!#REF!,"AAAAAHfbX6E=")</f>
        <v>#REF!</v>
      </c>
      <c r="FG90" t="e">
        <f>AND(Bills!#REF!,"AAAAAHfbX6I=")</f>
        <v>#REF!</v>
      </c>
      <c r="FH90" t="e">
        <f>AND(Bills!D221,"AAAAAHfbX6M=")</f>
        <v>#VALUE!</v>
      </c>
      <c r="FI90" t="e">
        <f>AND(Bills!#REF!,"AAAAAHfbX6Q=")</f>
        <v>#REF!</v>
      </c>
      <c r="FJ90" t="e">
        <f>AND(Bills!E221,"AAAAAHfbX6U=")</f>
        <v>#VALUE!</v>
      </c>
      <c r="FK90" t="e">
        <f>AND(Bills!F221,"AAAAAHfbX6Y=")</f>
        <v>#VALUE!</v>
      </c>
      <c r="FL90" t="e">
        <f>AND(Bills!G221,"AAAAAHfbX6c=")</f>
        <v>#VALUE!</v>
      </c>
      <c r="FM90" t="e">
        <f>AND(Bills!H221,"AAAAAHfbX6g=")</f>
        <v>#VALUE!</v>
      </c>
      <c r="FN90" t="e">
        <f>AND(Bills!I221,"AAAAAHfbX6k=")</f>
        <v>#VALUE!</v>
      </c>
      <c r="FO90" t="e">
        <f>AND(Bills!J221,"AAAAAHfbX6o=")</f>
        <v>#VALUE!</v>
      </c>
      <c r="FP90" t="e">
        <f>AND(Bills!#REF!,"AAAAAHfbX6s=")</f>
        <v>#REF!</v>
      </c>
      <c r="FQ90" t="e">
        <f>AND(Bills!K221,"AAAAAHfbX6w=")</f>
        <v>#VALUE!</v>
      </c>
      <c r="FR90" t="e">
        <f>AND(Bills!L221,"AAAAAHfbX60=")</f>
        <v>#VALUE!</v>
      </c>
      <c r="FS90" t="e">
        <f>AND(Bills!M221,"AAAAAHfbX64=")</f>
        <v>#VALUE!</v>
      </c>
      <c r="FT90" t="e">
        <f>AND(Bills!N221,"AAAAAHfbX68=")</f>
        <v>#VALUE!</v>
      </c>
      <c r="FU90" t="e">
        <f>AND(Bills!O221,"AAAAAHfbX7A=")</f>
        <v>#VALUE!</v>
      </c>
      <c r="FV90" t="e">
        <f>AND(Bills!P221,"AAAAAHfbX7E=")</f>
        <v>#VALUE!</v>
      </c>
      <c r="FW90" t="e">
        <f>AND(Bills!Q221,"AAAAAHfbX7I=")</f>
        <v>#VALUE!</v>
      </c>
      <c r="FX90" t="e">
        <f>AND(Bills!R221,"AAAAAHfbX7M=")</f>
        <v>#VALUE!</v>
      </c>
      <c r="FY90" t="e">
        <f>AND(Bills!#REF!,"AAAAAHfbX7Q=")</f>
        <v>#REF!</v>
      </c>
      <c r="FZ90" t="e">
        <f>AND(Bills!S221,"AAAAAHfbX7U=")</f>
        <v>#VALUE!</v>
      </c>
      <c r="GA90" t="e">
        <f>AND(Bills!T221,"AAAAAHfbX7Y=")</f>
        <v>#VALUE!</v>
      </c>
      <c r="GB90" t="e">
        <f>AND(Bills!U221,"AAAAAHfbX7c=")</f>
        <v>#VALUE!</v>
      </c>
      <c r="GC90" t="e">
        <f>AND(Bills!#REF!,"AAAAAHfbX7g=")</f>
        <v>#REF!</v>
      </c>
      <c r="GD90" t="e">
        <f>AND(Bills!#REF!,"AAAAAHfbX7k=")</f>
        <v>#REF!</v>
      </c>
      <c r="GE90" t="e">
        <f>AND(Bills!W221,"AAAAAHfbX7o=")</f>
        <v>#VALUE!</v>
      </c>
      <c r="GF90" t="e">
        <f>AND(Bills!X221,"AAAAAHfbX7s=")</f>
        <v>#VALUE!</v>
      </c>
      <c r="GG90" t="e">
        <f>AND(Bills!#REF!,"AAAAAHfbX7w=")</f>
        <v>#REF!</v>
      </c>
      <c r="GH90" t="e">
        <f>AND(Bills!#REF!,"AAAAAHfbX70=")</f>
        <v>#REF!</v>
      </c>
      <c r="GI90" t="e">
        <f>AND(Bills!#REF!,"AAAAAHfbX74=")</f>
        <v>#REF!</v>
      </c>
      <c r="GJ90" t="e">
        <f>AND(Bills!#REF!,"AAAAAHfbX78=")</f>
        <v>#REF!</v>
      </c>
      <c r="GK90" t="e">
        <f>AND(Bills!#REF!,"AAAAAHfbX8A=")</f>
        <v>#REF!</v>
      </c>
      <c r="GL90" t="e">
        <f>AND(Bills!#REF!,"AAAAAHfbX8E=")</f>
        <v>#REF!</v>
      </c>
      <c r="GM90" t="e">
        <f>AND(Bills!#REF!,"AAAAAHfbX8I=")</f>
        <v>#REF!</v>
      </c>
      <c r="GN90" t="e">
        <f>AND(Bills!#REF!,"AAAAAHfbX8M=")</f>
        <v>#REF!</v>
      </c>
      <c r="GO90" t="e">
        <f>AND(Bills!#REF!,"AAAAAHfbX8Q=")</f>
        <v>#REF!</v>
      </c>
      <c r="GP90" t="e">
        <f>AND(Bills!Y221,"AAAAAHfbX8U=")</f>
        <v>#VALUE!</v>
      </c>
      <c r="GQ90" t="e">
        <f>AND(Bills!Z221,"AAAAAHfbX8Y=")</f>
        <v>#VALUE!</v>
      </c>
      <c r="GR90" t="e">
        <f>AND(Bills!#REF!,"AAAAAHfbX8c=")</f>
        <v>#REF!</v>
      </c>
      <c r="GS90" t="e">
        <f>AND(Bills!#REF!,"AAAAAHfbX8g=")</f>
        <v>#REF!</v>
      </c>
      <c r="GT90" t="e">
        <f>AND(Bills!#REF!,"AAAAAHfbX8k=")</f>
        <v>#REF!</v>
      </c>
      <c r="GU90" t="e">
        <f>AND(Bills!AA221,"AAAAAHfbX8o=")</f>
        <v>#VALUE!</v>
      </c>
      <c r="GV90" t="e">
        <f>AND(Bills!AB221,"AAAAAHfbX8s=")</f>
        <v>#VALUE!</v>
      </c>
      <c r="GW90" t="e">
        <f>AND(Bills!#REF!,"AAAAAHfbX8w=")</f>
        <v>#REF!</v>
      </c>
      <c r="GX90">
        <f>IF(Bills!222:222,"AAAAAHfbX80=",0)</f>
        <v>0</v>
      </c>
      <c r="GY90" t="e">
        <f>AND(Bills!B222,"AAAAAHfbX84=")</f>
        <v>#VALUE!</v>
      </c>
      <c r="GZ90" t="e">
        <f>AND(Bills!#REF!,"AAAAAHfbX88=")</f>
        <v>#REF!</v>
      </c>
      <c r="HA90" t="e">
        <f>AND(Bills!C222,"AAAAAHfbX9A=")</f>
        <v>#VALUE!</v>
      </c>
      <c r="HB90" t="e">
        <f>AND(Bills!#REF!,"AAAAAHfbX9E=")</f>
        <v>#REF!</v>
      </c>
      <c r="HC90" t="e">
        <f>AND(Bills!#REF!,"AAAAAHfbX9I=")</f>
        <v>#REF!</v>
      </c>
      <c r="HD90" t="e">
        <f>AND(Bills!#REF!,"AAAAAHfbX9M=")</f>
        <v>#REF!</v>
      </c>
      <c r="HE90" t="e">
        <f>AND(Bills!#REF!,"AAAAAHfbX9Q=")</f>
        <v>#REF!</v>
      </c>
      <c r="HF90" t="e">
        <f>AND(Bills!#REF!,"AAAAAHfbX9U=")</f>
        <v>#REF!</v>
      </c>
      <c r="HG90" t="e">
        <f>AND(Bills!D222,"AAAAAHfbX9Y=")</f>
        <v>#VALUE!</v>
      </c>
      <c r="HH90" t="e">
        <f>AND(Bills!#REF!,"AAAAAHfbX9c=")</f>
        <v>#REF!</v>
      </c>
      <c r="HI90" t="e">
        <f>AND(Bills!E222,"AAAAAHfbX9g=")</f>
        <v>#VALUE!</v>
      </c>
      <c r="HJ90" t="e">
        <f>AND(Bills!F222,"AAAAAHfbX9k=")</f>
        <v>#VALUE!</v>
      </c>
      <c r="HK90" t="e">
        <f>AND(Bills!G222,"AAAAAHfbX9o=")</f>
        <v>#VALUE!</v>
      </c>
      <c r="HL90" t="e">
        <f>AND(Bills!H222,"AAAAAHfbX9s=")</f>
        <v>#VALUE!</v>
      </c>
      <c r="HM90" t="e">
        <f>AND(Bills!I222,"AAAAAHfbX9w=")</f>
        <v>#VALUE!</v>
      </c>
      <c r="HN90" t="e">
        <f>AND(Bills!J222,"AAAAAHfbX90=")</f>
        <v>#VALUE!</v>
      </c>
      <c r="HO90" t="e">
        <f>AND(Bills!#REF!,"AAAAAHfbX94=")</f>
        <v>#REF!</v>
      </c>
      <c r="HP90" t="e">
        <f>AND(Bills!K222,"AAAAAHfbX98=")</f>
        <v>#VALUE!</v>
      </c>
      <c r="HQ90" t="e">
        <f>AND(Bills!L222,"AAAAAHfbX+A=")</f>
        <v>#VALUE!</v>
      </c>
      <c r="HR90" t="e">
        <f>AND(Bills!M222,"AAAAAHfbX+E=")</f>
        <v>#VALUE!</v>
      </c>
      <c r="HS90" t="e">
        <f>AND(Bills!N222,"AAAAAHfbX+I=")</f>
        <v>#VALUE!</v>
      </c>
      <c r="HT90" t="e">
        <f>AND(Bills!O222,"AAAAAHfbX+M=")</f>
        <v>#VALUE!</v>
      </c>
      <c r="HU90" t="e">
        <f>AND(Bills!P222,"AAAAAHfbX+Q=")</f>
        <v>#VALUE!</v>
      </c>
      <c r="HV90" t="e">
        <f>AND(Bills!Q222,"AAAAAHfbX+U=")</f>
        <v>#VALUE!</v>
      </c>
      <c r="HW90" t="e">
        <f>AND(Bills!R222,"AAAAAHfbX+Y=")</f>
        <v>#VALUE!</v>
      </c>
      <c r="HX90" t="e">
        <f>AND(Bills!#REF!,"AAAAAHfbX+c=")</f>
        <v>#REF!</v>
      </c>
      <c r="HY90" t="e">
        <f>AND(Bills!S222,"AAAAAHfbX+g=")</f>
        <v>#VALUE!</v>
      </c>
      <c r="HZ90" t="e">
        <f>AND(Bills!T222,"AAAAAHfbX+k=")</f>
        <v>#VALUE!</v>
      </c>
      <c r="IA90" t="e">
        <f>AND(Bills!U222,"AAAAAHfbX+o=")</f>
        <v>#VALUE!</v>
      </c>
      <c r="IB90" t="e">
        <f>AND(Bills!#REF!,"AAAAAHfbX+s=")</f>
        <v>#REF!</v>
      </c>
      <c r="IC90" t="e">
        <f>AND(Bills!#REF!,"AAAAAHfbX+w=")</f>
        <v>#REF!</v>
      </c>
      <c r="ID90" t="e">
        <f>AND(Bills!W222,"AAAAAHfbX+0=")</f>
        <v>#VALUE!</v>
      </c>
      <c r="IE90" t="e">
        <f>AND(Bills!X222,"AAAAAHfbX+4=")</f>
        <v>#VALUE!</v>
      </c>
      <c r="IF90" t="e">
        <f>AND(Bills!#REF!,"AAAAAHfbX+8=")</f>
        <v>#REF!</v>
      </c>
      <c r="IG90" t="e">
        <f>AND(Bills!#REF!,"AAAAAHfbX/A=")</f>
        <v>#REF!</v>
      </c>
      <c r="IH90" t="e">
        <f>AND(Bills!#REF!,"AAAAAHfbX/E=")</f>
        <v>#REF!</v>
      </c>
      <c r="II90" t="e">
        <f>AND(Bills!#REF!,"AAAAAHfbX/I=")</f>
        <v>#REF!</v>
      </c>
      <c r="IJ90" t="e">
        <f>AND(Bills!#REF!,"AAAAAHfbX/M=")</f>
        <v>#REF!</v>
      </c>
      <c r="IK90" t="e">
        <f>AND(Bills!#REF!,"AAAAAHfbX/Q=")</f>
        <v>#REF!</v>
      </c>
      <c r="IL90" t="e">
        <f>AND(Bills!#REF!,"AAAAAHfbX/U=")</f>
        <v>#REF!</v>
      </c>
      <c r="IM90" t="e">
        <f>AND(Bills!#REF!,"AAAAAHfbX/Y=")</f>
        <v>#REF!</v>
      </c>
      <c r="IN90" t="e">
        <f>AND(Bills!#REF!,"AAAAAHfbX/c=")</f>
        <v>#REF!</v>
      </c>
      <c r="IO90" t="e">
        <f>AND(Bills!Y222,"AAAAAHfbX/g=")</f>
        <v>#VALUE!</v>
      </c>
      <c r="IP90" t="e">
        <f>AND(Bills!Z222,"AAAAAHfbX/k=")</f>
        <v>#VALUE!</v>
      </c>
      <c r="IQ90" t="e">
        <f>AND(Bills!#REF!,"AAAAAHfbX/o=")</f>
        <v>#REF!</v>
      </c>
      <c r="IR90" t="e">
        <f>AND(Bills!#REF!,"AAAAAHfbX/s=")</f>
        <v>#REF!</v>
      </c>
      <c r="IS90" t="e">
        <f>AND(Bills!#REF!,"AAAAAHfbX/w=")</f>
        <v>#REF!</v>
      </c>
      <c r="IT90" t="e">
        <f>AND(Bills!AA222,"AAAAAHfbX/0=")</f>
        <v>#VALUE!</v>
      </c>
      <c r="IU90" t="e">
        <f>AND(Bills!AB222,"AAAAAHfbX/4=")</f>
        <v>#VALUE!</v>
      </c>
      <c r="IV90" t="e">
        <f>AND(Bills!#REF!,"AAAAAHfbX/8=")</f>
        <v>#REF!</v>
      </c>
    </row>
    <row r="91" spans="1:256">
      <c r="A91">
        <f>IF(Bills!223:223,"AAAAAH6rfwA=",0)</f>
        <v>0</v>
      </c>
      <c r="B91" t="e">
        <f>AND(Bills!B223,"AAAAAH6rfwE=")</f>
        <v>#VALUE!</v>
      </c>
      <c r="C91" t="e">
        <f>AND(Bills!#REF!,"AAAAAH6rfwI=")</f>
        <v>#REF!</v>
      </c>
      <c r="D91" t="e">
        <f>AND(Bills!C223,"AAAAAH6rfwM=")</f>
        <v>#VALUE!</v>
      </c>
      <c r="E91" t="e">
        <f>AND(Bills!#REF!,"AAAAAH6rfwQ=")</f>
        <v>#REF!</v>
      </c>
      <c r="F91" t="e">
        <f>AND(Bills!#REF!,"AAAAAH6rfwU=")</f>
        <v>#REF!</v>
      </c>
      <c r="G91" t="e">
        <f>AND(Bills!#REF!,"AAAAAH6rfwY=")</f>
        <v>#REF!</v>
      </c>
      <c r="H91" t="e">
        <f>AND(Bills!#REF!,"AAAAAH6rfwc=")</f>
        <v>#REF!</v>
      </c>
      <c r="I91" t="e">
        <f>AND(Bills!#REF!,"AAAAAH6rfwg=")</f>
        <v>#REF!</v>
      </c>
      <c r="J91" t="e">
        <f>AND(Bills!D223,"AAAAAH6rfwk=")</f>
        <v>#VALUE!</v>
      </c>
      <c r="K91" t="e">
        <f>AND(Bills!#REF!,"AAAAAH6rfwo=")</f>
        <v>#REF!</v>
      </c>
      <c r="L91" t="e">
        <f>AND(Bills!E223,"AAAAAH6rfws=")</f>
        <v>#VALUE!</v>
      </c>
      <c r="M91" t="e">
        <f>AND(Bills!F223,"AAAAAH6rfww=")</f>
        <v>#VALUE!</v>
      </c>
      <c r="N91" t="e">
        <f>AND(Bills!G223,"AAAAAH6rfw0=")</f>
        <v>#VALUE!</v>
      </c>
      <c r="O91" t="e">
        <f>AND(Bills!H223,"AAAAAH6rfw4=")</f>
        <v>#VALUE!</v>
      </c>
      <c r="P91" t="e">
        <f>AND(Bills!I223,"AAAAAH6rfw8=")</f>
        <v>#VALUE!</v>
      </c>
      <c r="Q91" t="e">
        <f>AND(Bills!J223,"AAAAAH6rfxA=")</f>
        <v>#VALUE!</v>
      </c>
      <c r="R91" t="e">
        <f>AND(Bills!#REF!,"AAAAAH6rfxE=")</f>
        <v>#REF!</v>
      </c>
      <c r="S91" t="e">
        <f>AND(Bills!K223,"AAAAAH6rfxI=")</f>
        <v>#VALUE!</v>
      </c>
      <c r="T91" t="e">
        <f>AND(Bills!L223,"AAAAAH6rfxM=")</f>
        <v>#VALUE!</v>
      </c>
      <c r="U91" t="e">
        <f>AND(Bills!M223,"AAAAAH6rfxQ=")</f>
        <v>#VALUE!</v>
      </c>
      <c r="V91" t="e">
        <f>AND(Bills!N223,"AAAAAH6rfxU=")</f>
        <v>#VALUE!</v>
      </c>
      <c r="W91" t="e">
        <f>AND(Bills!O223,"AAAAAH6rfxY=")</f>
        <v>#VALUE!</v>
      </c>
      <c r="X91" t="e">
        <f>AND(Bills!P223,"AAAAAH6rfxc=")</f>
        <v>#VALUE!</v>
      </c>
      <c r="Y91" t="e">
        <f>AND(Bills!Q223,"AAAAAH6rfxg=")</f>
        <v>#VALUE!</v>
      </c>
      <c r="Z91" t="e">
        <f>AND(Bills!R223,"AAAAAH6rfxk=")</f>
        <v>#VALUE!</v>
      </c>
      <c r="AA91" t="e">
        <f>AND(Bills!#REF!,"AAAAAH6rfxo=")</f>
        <v>#REF!</v>
      </c>
      <c r="AB91" t="e">
        <f>AND(Bills!S223,"AAAAAH6rfxs=")</f>
        <v>#VALUE!</v>
      </c>
      <c r="AC91" t="e">
        <f>AND(Bills!T223,"AAAAAH6rfxw=")</f>
        <v>#VALUE!</v>
      </c>
      <c r="AD91" t="e">
        <f>AND(Bills!U223,"AAAAAH6rfx0=")</f>
        <v>#VALUE!</v>
      </c>
      <c r="AE91" t="e">
        <f>AND(Bills!#REF!,"AAAAAH6rfx4=")</f>
        <v>#REF!</v>
      </c>
      <c r="AF91" t="e">
        <f>AND(Bills!#REF!,"AAAAAH6rfx8=")</f>
        <v>#REF!</v>
      </c>
      <c r="AG91" t="e">
        <f>AND(Bills!W223,"AAAAAH6rfyA=")</f>
        <v>#VALUE!</v>
      </c>
      <c r="AH91" t="e">
        <f>AND(Bills!X223,"AAAAAH6rfyE=")</f>
        <v>#VALUE!</v>
      </c>
      <c r="AI91" t="e">
        <f>AND(Bills!#REF!,"AAAAAH6rfyI=")</f>
        <v>#REF!</v>
      </c>
      <c r="AJ91" t="e">
        <f>AND(Bills!#REF!,"AAAAAH6rfyM=")</f>
        <v>#REF!</v>
      </c>
      <c r="AK91" t="e">
        <f>AND(Bills!#REF!,"AAAAAH6rfyQ=")</f>
        <v>#REF!</v>
      </c>
      <c r="AL91" t="e">
        <f>AND(Bills!#REF!,"AAAAAH6rfyU=")</f>
        <v>#REF!</v>
      </c>
      <c r="AM91" t="e">
        <f>AND(Bills!#REF!,"AAAAAH6rfyY=")</f>
        <v>#REF!</v>
      </c>
      <c r="AN91" t="e">
        <f>AND(Bills!#REF!,"AAAAAH6rfyc=")</f>
        <v>#REF!</v>
      </c>
      <c r="AO91" t="e">
        <f>AND(Bills!#REF!,"AAAAAH6rfyg=")</f>
        <v>#REF!</v>
      </c>
      <c r="AP91" t="e">
        <f>AND(Bills!#REF!,"AAAAAH6rfyk=")</f>
        <v>#REF!</v>
      </c>
      <c r="AQ91" t="e">
        <f>AND(Bills!#REF!,"AAAAAH6rfyo=")</f>
        <v>#REF!</v>
      </c>
      <c r="AR91" t="e">
        <f>AND(Bills!Y223,"AAAAAH6rfys=")</f>
        <v>#VALUE!</v>
      </c>
      <c r="AS91" t="e">
        <f>AND(Bills!Z223,"AAAAAH6rfyw=")</f>
        <v>#VALUE!</v>
      </c>
      <c r="AT91" t="e">
        <f>AND(Bills!#REF!,"AAAAAH6rfy0=")</f>
        <v>#REF!</v>
      </c>
      <c r="AU91" t="e">
        <f>AND(Bills!#REF!,"AAAAAH6rfy4=")</f>
        <v>#REF!</v>
      </c>
      <c r="AV91" t="e">
        <f>AND(Bills!#REF!,"AAAAAH6rfy8=")</f>
        <v>#REF!</v>
      </c>
      <c r="AW91" t="e">
        <f>AND(Bills!AA223,"AAAAAH6rfzA=")</f>
        <v>#VALUE!</v>
      </c>
      <c r="AX91" t="e">
        <f>AND(Bills!AB223,"AAAAAH6rfzE=")</f>
        <v>#VALUE!</v>
      </c>
      <c r="AY91" t="e">
        <f>AND(Bills!#REF!,"AAAAAH6rfzI=")</f>
        <v>#REF!</v>
      </c>
      <c r="AZ91">
        <f>IF(Bills!224:224,"AAAAAH6rfzM=",0)</f>
        <v>0</v>
      </c>
      <c r="BA91" t="e">
        <f>AND(Bills!B224,"AAAAAH6rfzQ=")</f>
        <v>#VALUE!</v>
      </c>
      <c r="BB91" t="e">
        <f>AND(Bills!#REF!,"AAAAAH6rfzU=")</f>
        <v>#REF!</v>
      </c>
      <c r="BC91" t="e">
        <f>AND(Bills!C224,"AAAAAH6rfzY=")</f>
        <v>#VALUE!</v>
      </c>
      <c r="BD91" t="e">
        <f>AND(Bills!#REF!,"AAAAAH6rfzc=")</f>
        <v>#REF!</v>
      </c>
      <c r="BE91" t="e">
        <f>AND(Bills!#REF!,"AAAAAH6rfzg=")</f>
        <v>#REF!</v>
      </c>
      <c r="BF91" t="e">
        <f>AND(Bills!#REF!,"AAAAAH6rfzk=")</f>
        <v>#REF!</v>
      </c>
      <c r="BG91" t="e">
        <f>AND(Bills!#REF!,"AAAAAH6rfzo=")</f>
        <v>#REF!</v>
      </c>
      <c r="BH91" t="e">
        <f>AND(Bills!#REF!,"AAAAAH6rfzs=")</f>
        <v>#REF!</v>
      </c>
      <c r="BI91" t="e">
        <f>AND(Bills!D224,"AAAAAH6rfzw=")</f>
        <v>#VALUE!</v>
      </c>
      <c r="BJ91" t="e">
        <f>AND(Bills!#REF!,"AAAAAH6rfz0=")</f>
        <v>#REF!</v>
      </c>
      <c r="BK91" t="e">
        <f>AND(Bills!E224,"AAAAAH6rfz4=")</f>
        <v>#VALUE!</v>
      </c>
      <c r="BL91" t="e">
        <f>AND(Bills!F224,"AAAAAH6rfz8=")</f>
        <v>#VALUE!</v>
      </c>
      <c r="BM91" t="e">
        <f>AND(Bills!G224,"AAAAAH6rf0A=")</f>
        <v>#VALUE!</v>
      </c>
      <c r="BN91" t="e">
        <f>AND(Bills!H224,"AAAAAH6rf0E=")</f>
        <v>#VALUE!</v>
      </c>
      <c r="BO91" t="e">
        <f>AND(Bills!I224,"AAAAAH6rf0I=")</f>
        <v>#VALUE!</v>
      </c>
      <c r="BP91" t="e">
        <f>AND(Bills!J224,"AAAAAH6rf0M=")</f>
        <v>#VALUE!</v>
      </c>
      <c r="BQ91" t="e">
        <f>AND(Bills!#REF!,"AAAAAH6rf0Q=")</f>
        <v>#REF!</v>
      </c>
      <c r="BR91" t="e">
        <f>AND(Bills!K224,"AAAAAH6rf0U=")</f>
        <v>#VALUE!</v>
      </c>
      <c r="BS91" t="e">
        <f>AND(Bills!L224,"AAAAAH6rf0Y=")</f>
        <v>#VALUE!</v>
      </c>
      <c r="BT91" t="e">
        <f>AND(Bills!M224,"AAAAAH6rf0c=")</f>
        <v>#VALUE!</v>
      </c>
      <c r="BU91" t="e">
        <f>AND(Bills!N224,"AAAAAH6rf0g=")</f>
        <v>#VALUE!</v>
      </c>
      <c r="BV91" t="e">
        <f>AND(Bills!O224,"AAAAAH6rf0k=")</f>
        <v>#VALUE!</v>
      </c>
      <c r="BW91" t="e">
        <f>AND(Bills!P224,"AAAAAH6rf0o=")</f>
        <v>#VALUE!</v>
      </c>
      <c r="BX91" t="e">
        <f>AND(Bills!Q224,"AAAAAH6rf0s=")</f>
        <v>#VALUE!</v>
      </c>
      <c r="BY91" t="e">
        <f>AND(Bills!R224,"AAAAAH6rf0w=")</f>
        <v>#VALUE!</v>
      </c>
      <c r="BZ91" t="e">
        <f>AND(Bills!#REF!,"AAAAAH6rf00=")</f>
        <v>#REF!</v>
      </c>
      <c r="CA91" t="e">
        <f>AND(Bills!S224,"AAAAAH6rf04=")</f>
        <v>#VALUE!</v>
      </c>
      <c r="CB91" t="e">
        <f>AND(Bills!T224,"AAAAAH6rf08=")</f>
        <v>#VALUE!</v>
      </c>
      <c r="CC91" t="e">
        <f>AND(Bills!U224,"AAAAAH6rf1A=")</f>
        <v>#VALUE!</v>
      </c>
      <c r="CD91" t="e">
        <f>AND(Bills!#REF!,"AAAAAH6rf1E=")</f>
        <v>#REF!</v>
      </c>
      <c r="CE91" t="e">
        <f>AND(Bills!#REF!,"AAAAAH6rf1I=")</f>
        <v>#REF!</v>
      </c>
      <c r="CF91" t="e">
        <f>AND(Bills!W224,"AAAAAH6rf1M=")</f>
        <v>#VALUE!</v>
      </c>
      <c r="CG91" t="e">
        <f>AND(Bills!X224,"AAAAAH6rf1Q=")</f>
        <v>#VALUE!</v>
      </c>
      <c r="CH91" t="e">
        <f>AND(Bills!#REF!,"AAAAAH6rf1U=")</f>
        <v>#REF!</v>
      </c>
      <c r="CI91" t="e">
        <f>AND(Bills!#REF!,"AAAAAH6rf1Y=")</f>
        <v>#REF!</v>
      </c>
      <c r="CJ91" t="e">
        <f>AND(Bills!#REF!,"AAAAAH6rf1c=")</f>
        <v>#REF!</v>
      </c>
      <c r="CK91" t="e">
        <f>AND(Bills!#REF!,"AAAAAH6rf1g=")</f>
        <v>#REF!</v>
      </c>
      <c r="CL91" t="e">
        <f>AND(Bills!#REF!,"AAAAAH6rf1k=")</f>
        <v>#REF!</v>
      </c>
      <c r="CM91" t="e">
        <f>AND(Bills!#REF!,"AAAAAH6rf1o=")</f>
        <v>#REF!</v>
      </c>
      <c r="CN91" t="e">
        <f>AND(Bills!#REF!,"AAAAAH6rf1s=")</f>
        <v>#REF!</v>
      </c>
      <c r="CO91" t="e">
        <f>AND(Bills!#REF!,"AAAAAH6rf1w=")</f>
        <v>#REF!</v>
      </c>
      <c r="CP91" t="e">
        <f>AND(Bills!#REF!,"AAAAAH6rf10=")</f>
        <v>#REF!</v>
      </c>
      <c r="CQ91" t="e">
        <f>AND(Bills!Y224,"AAAAAH6rf14=")</f>
        <v>#VALUE!</v>
      </c>
      <c r="CR91" t="e">
        <f>AND(Bills!Z224,"AAAAAH6rf18=")</f>
        <v>#VALUE!</v>
      </c>
      <c r="CS91" t="e">
        <f>AND(Bills!#REF!,"AAAAAH6rf2A=")</f>
        <v>#REF!</v>
      </c>
      <c r="CT91" t="e">
        <f>AND(Bills!#REF!,"AAAAAH6rf2E=")</f>
        <v>#REF!</v>
      </c>
      <c r="CU91" t="e">
        <f>AND(Bills!#REF!,"AAAAAH6rf2I=")</f>
        <v>#REF!</v>
      </c>
      <c r="CV91" t="e">
        <f>AND(Bills!AA224,"AAAAAH6rf2M=")</f>
        <v>#VALUE!</v>
      </c>
      <c r="CW91" t="e">
        <f>AND(Bills!AB224,"AAAAAH6rf2Q=")</f>
        <v>#VALUE!</v>
      </c>
      <c r="CX91" t="e">
        <f>AND(Bills!#REF!,"AAAAAH6rf2U=")</f>
        <v>#REF!</v>
      </c>
      <c r="CY91">
        <f>IF(Bills!225:225,"AAAAAH6rf2Y=",0)</f>
        <v>0</v>
      </c>
      <c r="CZ91" t="e">
        <f>AND(Bills!B225,"AAAAAH6rf2c=")</f>
        <v>#VALUE!</v>
      </c>
      <c r="DA91" t="e">
        <f>AND(Bills!#REF!,"AAAAAH6rf2g=")</f>
        <v>#REF!</v>
      </c>
      <c r="DB91" t="e">
        <f>AND(Bills!C225,"AAAAAH6rf2k=")</f>
        <v>#VALUE!</v>
      </c>
      <c r="DC91" t="e">
        <f>AND(Bills!#REF!,"AAAAAH6rf2o=")</f>
        <v>#REF!</v>
      </c>
      <c r="DD91" t="e">
        <f>AND(Bills!#REF!,"AAAAAH6rf2s=")</f>
        <v>#REF!</v>
      </c>
      <c r="DE91" t="e">
        <f>AND(Bills!#REF!,"AAAAAH6rf2w=")</f>
        <v>#REF!</v>
      </c>
      <c r="DF91" t="e">
        <f>AND(Bills!#REF!,"AAAAAH6rf20=")</f>
        <v>#REF!</v>
      </c>
      <c r="DG91" t="e">
        <f>AND(Bills!#REF!,"AAAAAH6rf24=")</f>
        <v>#REF!</v>
      </c>
      <c r="DH91" t="e">
        <f>AND(Bills!D225,"AAAAAH6rf28=")</f>
        <v>#VALUE!</v>
      </c>
      <c r="DI91" t="e">
        <f>AND(Bills!#REF!,"AAAAAH6rf3A=")</f>
        <v>#REF!</v>
      </c>
      <c r="DJ91" t="e">
        <f>AND(Bills!E225,"AAAAAH6rf3E=")</f>
        <v>#VALUE!</v>
      </c>
      <c r="DK91" t="e">
        <f>AND(Bills!F225,"AAAAAH6rf3I=")</f>
        <v>#VALUE!</v>
      </c>
      <c r="DL91" t="e">
        <f>AND(Bills!G225,"AAAAAH6rf3M=")</f>
        <v>#VALUE!</v>
      </c>
      <c r="DM91" t="e">
        <f>AND(Bills!H225,"AAAAAH6rf3Q=")</f>
        <v>#VALUE!</v>
      </c>
      <c r="DN91" t="e">
        <f>AND(Bills!I225,"AAAAAH6rf3U=")</f>
        <v>#VALUE!</v>
      </c>
      <c r="DO91" t="e">
        <f>AND(Bills!J225,"AAAAAH6rf3Y=")</f>
        <v>#VALUE!</v>
      </c>
      <c r="DP91" t="e">
        <f>AND(Bills!#REF!,"AAAAAH6rf3c=")</f>
        <v>#REF!</v>
      </c>
      <c r="DQ91" t="e">
        <f>AND(Bills!K225,"AAAAAH6rf3g=")</f>
        <v>#VALUE!</v>
      </c>
      <c r="DR91" t="e">
        <f>AND(Bills!L225,"AAAAAH6rf3k=")</f>
        <v>#VALUE!</v>
      </c>
      <c r="DS91" t="e">
        <f>AND(Bills!M225,"AAAAAH6rf3o=")</f>
        <v>#VALUE!</v>
      </c>
      <c r="DT91" t="e">
        <f>AND(Bills!N225,"AAAAAH6rf3s=")</f>
        <v>#VALUE!</v>
      </c>
      <c r="DU91" t="e">
        <f>AND(Bills!O225,"AAAAAH6rf3w=")</f>
        <v>#VALUE!</v>
      </c>
      <c r="DV91" t="e">
        <f>AND(Bills!P225,"AAAAAH6rf30=")</f>
        <v>#VALUE!</v>
      </c>
      <c r="DW91" t="e">
        <f>AND(Bills!Q225,"AAAAAH6rf34=")</f>
        <v>#VALUE!</v>
      </c>
      <c r="DX91" t="e">
        <f>AND(Bills!R225,"AAAAAH6rf38=")</f>
        <v>#VALUE!</v>
      </c>
      <c r="DY91" t="e">
        <f>AND(Bills!#REF!,"AAAAAH6rf4A=")</f>
        <v>#REF!</v>
      </c>
      <c r="DZ91" t="e">
        <f>AND(Bills!S225,"AAAAAH6rf4E=")</f>
        <v>#VALUE!</v>
      </c>
      <c r="EA91" t="e">
        <f>AND(Bills!T225,"AAAAAH6rf4I=")</f>
        <v>#VALUE!</v>
      </c>
      <c r="EB91" t="e">
        <f>AND(Bills!U225,"AAAAAH6rf4M=")</f>
        <v>#VALUE!</v>
      </c>
      <c r="EC91" t="e">
        <f>AND(Bills!#REF!,"AAAAAH6rf4Q=")</f>
        <v>#REF!</v>
      </c>
      <c r="ED91" t="e">
        <f>AND(Bills!#REF!,"AAAAAH6rf4U=")</f>
        <v>#REF!</v>
      </c>
      <c r="EE91" t="e">
        <f>AND(Bills!W225,"AAAAAH6rf4Y=")</f>
        <v>#VALUE!</v>
      </c>
      <c r="EF91" t="e">
        <f>AND(Bills!X225,"AAAAAH6rf4c=")</f>
        <v>#VALUE!</v>
      </c>
      <c r="EG91" t="e">
        <f>AND(Bills!#REF!,"AAAAAH6rf4g=")</f>
        <v>#REF!</v>
      </c>
      <c r="EH91" t="e">
        <f>AND(Bills!#REF!,"AAAAAH6rf4k=")</f>
        <v>#REF!</v>
      </c>
      <c r="EI91" t="e">
        <f>AND(Bills!#REF!,"AAAAAH6rf4o=")</f>
        <v>#REF!</v>
      </c>
      <c r="EJ91" t="e">
        <f>AND(Bills!#REF!,"AAAAAH6rf4s=")</f>
        <v>#REF!</v>
      </c>
      <c r="EK91" t="e">
        <f>AND(Bills!#REF!,"AAAAAH6rf4w=")</f>
        <v>#REF!</v>
      </c>
      <c r="EL91" t="e">
        <f>AND(Bills!#REF!,"AAAAAH6rf40=")</f>
        <v>#REF!</v>
      </c>
      <c r="EM91" t="e">
        <f>AND(Bills!#REF!,"AAAAAH6rf44=")</f>
        <v>#REF!</v>
      </c>
      <c r="EN91" t="e">
        <f>AND(Bills!#REF!,"AAAAAH6rf48=")</f>
        <v>#REF!</v>
      </c>
      <c r="EO91" t="e">
        <f>AND(Bills!#REF!,"AAAAAH6rf5A=")</f>
        <v>#REF!</v>
      </c>
      <c r="EP91" t="e">
        <f>AND(Bills!Y225,"AAAAAH6rf5E=")</f>
        <v>#VALUE!</v>
      </c>
      <c r="EQ91" t="e">
        <f>AND(Bills!Z225,"AAAAAH6rf5I=")</f>
        <v>#VALUE!</v>
      </c>
      <c r="ER91" t="e">
        <f>AND(Bills!#REF!,"AAAAAH6rf5M=")</f>
        <v>#REF!</v>
      </c>
      <c r="ES91" t="e">
        <f>AND(Bills!#REF!,"AAAAAH6rf5Q=")</f>
        <v>#REF!</v>
      </c>
      <c r="ET91" t="e">
        <f>AND(Bills!#REF!,"AAAAAH6rf5U=")</f>
        <v>#REF!</v>
      </c>
      <c r="EU91" t="e">
        <f>AND(Bills!AA225,"AAAAAH6rf5Y=")</f>
        <v>#VALUE!</v>
      </c>
      <c r="EV91" t="e">
        <f>AND(Bills!AB225,"AAAAAH6rf5c=")</f>
        <v>#VALUE!</v>
      </c>
      <c r="EW91" t="e">
        <f>AND(Bills!#REF!,"AAAAAH6rf5g=")</f>
        <v>#REF!</v>
      </c>
      <c r="EX91">
        <f>IF(Bills!226:226,"AAAAAH6rf5k=",0)</f>
        <v>0</v>
      </c>
      <c r="EY91" t="e">
        <f>AND(Bills!B226,"AAAAAH6rf5o=")</f>
        <v>#VALUE!</v>
      </c>
      <c r="EZ91" t="e">
        <f>AND(Bills!#REF!,"AAAAAH6rf5s=")</f>
        <v>#REF!</v>
      </c>
      <c r="FA91" t="e">
        <f>AND(Bills!C226,"AAAAAH6rf5w=")</f>
        <v>#VALUE!</v>
      </c>
      <c r="FB91" t="e">
        <f>AND(Bills!#REF!,"AAAAAH6rf50=")</f>
        <v>#REF!</v>
      </c>
      <c r="FC91" t="e">
        <f>AND(Bills!#REF!,"AAAAAH6rf54=")</f>
        <v>#REF!</v>
      </c>
      <c r="FD91" t="e">
        <f>AND(Bills!#REF!,"AAAAAH6rf58=")</f>
        <v>#REF!</v>
      </c>
      <c r="FE91" t="e">
        <f>AND(Bills!#REF!,"AAAAAH6rf6A=")</f>
        <v>#REF!</v>
      </c>
      <c r="FF91" t="e">
        <f>AND(Bills!#REF!,"AAAAAH6rf6E=")</f>
        <v>#REF!</v>
      </c>
      <c r="FG91" t="e">
        <f>AND(Bills!D226,"AAAAAH6rf6I=")</f>
        <v>#VALUE!</v>
      </c>
      <c r="FH91" t="e">
        <f>AND(Bills!#REF!,"AAAAAH6rf6M=")</f>
        <v>#REF!</v>
      </c>
      <c r="FI91" t="e">
        <f>AND(Bills!E226,"AAAAAH6rf6Q=")</f>
        <v>#VALUE!</v>
      </c>
      <c r="FJ91" t="e">
        <f>AND(Bills!F226,"AAAAAH6rf6U=")</f>
        <v>#VALUE!</v>
      </c>
      <c r="FK91" t="e">
        <f>AND(Bills!G226,"AAAAAH6rf6Y=")</f>
        <v>#VALUE!</v>
      </c>
      <c r="FL91" t="e">
        <f>AND(Bills!H226,"AAAAAH6rf6c=")</f>
        <v>#VALUE!</v>
      </c>
      <c r="FM91" t="e">
        <f>AND(Bills!I226,"AAAAAH6rf6g=")</f>
        <v>#VALUE!</v>
      </c>
      <c r="FN91" t="e">
        <f>AND(Bills!J226,"AAAAAH6rf6k=")</f>
        <v>#VALUE!</v>
      </c>
      <c r="FO91" t="e">
        <f>AND(Bills!#REF!,"AAAAAH6rf6o=")</f>
        <v>#REF!</v>
      </c>
      <c r="FP91" t="e">
        <f>AND(Bills!K226,"AAAAAH6rf6s=")</f>
        <v>#VALUE!</v>
      </c>
      <c r="FQ91" t="e">
        <f>AND(Bills!L226,"AAAAAH6rf6w=")</f>
        <v>#VALUE!</v>
      </c>
      <c r="FR91" t="e">
        <f>AND(Bills!M226,"AAAAAH6rf60=")</f>
        <v>#VALUE!</v>
      </c>
      <c r="FS91" t="e">
        <f>AND(Bills!N226,"AAAAAH6rf64=")</f>
        <v>#VALUE!</v>
      </c>
      <c r="FT91" t="e">
        <f>AND(Bills!O226,"AAAAAH6rf68=")</f>
        <v>#VALUE!</v>
      </c>
      <c r="FU91" t="e">
        <f>AND(Bills!P226,"AAAAAH6rf7A=")</f>
        <v>#VALUE!</v>
      </c>
      <c r="FV91" t="e">
        <f>AND(Bills!Q226,"AAAAAH6rf7E=")</f>
        <v>#VALUE!</v>
      </c>
      <c r="FW91" t="e">
        <f>AND(Bills!R226,"AAAAAH6rf7I=")</f>
        <v>#VALUE!</v>
      </c>
      <c r="FX91" t="e">
        <f>AND(Bills!#REF!,"AAAAAH6rf7M=")</f>
        <v>#REF!</v>
      </c>
      <c r="FY91" t="e">
        <f>AND(Bills!S226,"AAAAAH6rf7Q=")</f>
        <v>#VALUE!</v>
      </c>
      <c r="FZ91" t="e">
        <f>AND(Bills!T226,"AAAAAH6rf7U=")</f>
        <v>#VALUE!</v>
      </c>
      <c r="GA91" t="e">
        <f>AND(Bills!U226,"AAAAAH6rf7Y=")</f>
        <v>#VALUE!</v>
      </c>
      <c r="GB91" t="e">
        <f>AND(Bills!#REF!,"AAAAAH6rf7c=")</f>
        <v>#REF!</v>
      </c>
      <c r="GC91" t="e">
        <f>AND(Bills!#REF!,"AAAAAH6rf7g=")</f>
        <v>#REF!</v>
      </c>
      <c r="GD91" t="e">
        <f>AND(Bills!W226,"AAAAAH6rf7k=")</f>
        <v>#VALUE!</v>
      </c>
      <c r="GE91" t="e">
        <f>AND(Bills!X226,"AAAAAH6rf7o=")</f>
        <v>#VALUE!</v>
      </c>
      <c r="GF91" t="e">
        <f>AND(Bills!#REF!,"AAAAAH6rf7s=")</f>
        <v>#REF!</v>
      </c>
      <c r="GG91" t="e">
        <f>AND(Bills!#REF!,"AAAAAH6rf7w=")</f>
        <v>#REF!</v>
      </c>
      <c r="GH91" t="e">
        <f>AND(Bills!#REF!,"AAAAAH6rf70=")</f>
        <v>#REF!</v>
      </c>
      <c r="GI91" t="e">
        <f>AND(Bills!#REF!,"AAAAAH6rf74=")</f>
        <v>#REF!</v>
      </c>
      <c r="GJ91" t="e">
        <f>AND(Bills!#REF!,"AAAAAH6rf78=")</f>
        <v>#REF!</v>
      </c>
      <c r="GK91" t="e">
        <f>AND(Bills!#REF!,"AAAAAH6rf8A=")</f>
        <v>#REF!</v>
      </c>
      <c r="GL91" t="e">
        <f>AND(Bills!#REF!,"AAAAAH6rf8E=")</f>
        <v>#REF!</v>
      </c>
      <c r="GM91" t="e">
        <f>AND(Bills!#REF!,"AAAAAH6rf8I=")</f>
        <v>#REF!</v>
      </c>
      <c r="GN91" t="e">
        <f>AND(Bills!#REF!,"AAAAAH6rf8M=")</f>
        <v>#REF!</v>
      </c>
      <c r="GO91" t="e">
        <f>AND(Bills!Y226,"AAAAAH6rf8Q=")</f>
        <v>#VALUE!</v>
      </c>
      <c r="GP91" t="e">
        <f>AND(Bills!Z226,"AAAAAH6rf8U=")</f>
        <v>#VALUE!</v>
      </c>
      <c r="GQ91" t="e">
        <f>AND(Bills!#REF!,"AAAAAH6rf8Y=")</f>
        <v>#REF!</v>
      </c>
      <c r="GR91" t="e">
        <f>AND(Bills!#REF!,"AAAAAH6rf8c=")</f>
        <v>#REF!</v>
      </c>
      <c r="GS91" t="e">
        <f>AND(Bills!#REF!,"AAAAAH6rf8g=")</f>
        <v>#REF!</v>
      </c>
      <c r="GT91" t="e">
        <f>AND(Bills!AA226,"AAAAAH6rf8k=")</f>
        <v>#VALUE!</v>
      </c>
      <c r="GU91" t="e">
        <f>AND(Bills!AB226,"AAAAAH6rf8o=")</f>
        <v>#VALUE!</v>
      </c>
      <c r="GV91" t="e">
        <f>AND(Bills!#REF!,"AAAAAH6rf8s=")</f>
        <v>#REF!</v>
      </c>
      <c r="GW91">
        <f>IF(Bills!227:227,"AAAAAH6rf8w=",0)</f>
        <v>0</v>
      </c>
      <c r="GX91" t="e">
        <f>AND(Bills!B227,"AAAAAH6rf80=")</f>
        <v>#VALUE!</v>
      </c>
      <c r="GY91" t="e">
        <f>AND(Bills!#REF!,"AAAAAH6rf84=")</f>
        <v>#REF!</v>
      </c>
      <c r="GZ91" t="e">
        <f>AND(Bills!C227,"AAAAAH6rf88=")</f>
        <v>#VALUE!</v>
      </c>
      <c r="HA91" t="e">
        <f>AND(Bills!#REF!,"AAAAAH6rf9A=")</f>
        <v>#REF!</v>
      </c>
      <c r="HB91" t="e">
        <f>AND(Bills!#REF!,"AAAAAH6rf9E=")</f>
        <v>#REF!</v>
      </c>
      <c r="HC91" t="e">
        <f>AND(Bills!#REF!,"AAAAAH6rf9I=")</f>
        <v>#REF!</v>
      </c>
      <c r="HD91" t="e">
        <f>AND(Bills!#REF!,"AAAAAH6rf9M=")</f>
        <v>#REF!</v>
      </c>
      <c r="HE91" t="e">
        <f>AND(Bills!#REF!,"AAAAAH6rf9Q=")</f>
        <v>#REF!</v>
      </c>
      <c r="HF91" t="e">
        <f>AND(Bills!D227,"AAAAAH6rf9U=")</f>
        <v>#VALUE!</v>
      </c>
      <c r="HG91" t="e">
        <f>AND(Bills!#REF!,"AAAAAH6rf9Y=")</f>
        <v>#REF!</v>
      </c>
      <c r="HH91" t="e">
        <f>AND(Bills!E227,"AAAAAH6rf9c=")</f>
        <v>#VALUE!</v>
      </c>
      <c r="HI91" t="e">
        <f>AND(Bills!F227,"AAAAAH6rf9g=")</f>
        <v>#VALUE!</v>
      </c>
      <c r="HJ91" t="e">
        <f>AND(Bills!G227,"AAAAAH6rf9k=")</f>
        <v>#VALUE!</v>
      </c>
      <c r="HK91" t="e">
        <f>AND(Bills!H227,"AAAAAH6rf9o=")</f>
        <v>#VALUE!</v>
      </c>
      <c r="HL91" t="e">
        <f>AND(Bills!I227,"AAAAAH6rf9s=")</f>
        <v>#VALUE!</v>
      </c>
      <c r="HM91" t="e">
        <f>AND(Bills!J227,"AAAAAH6rf9w=")</f>
        <v>#VALUE!</v>
      </c>
      <c r="HN91" t="e">
        <f>AND(Bills!#REF!,"AAAAAH6rf90=")</f>
        <v>#REF!</v>
      </c>
      <c r="HO91" t="e">
        <f>AND(Bills!K227,"AAAAAH6rf94=")</f>
        <v>#VALUE!</v>
      </c>
      <c r="HP91" t="e">
        <f>AND(Bills!L227,"AAAAAH6rf98=")</f>
        <v>#VALUE!</v>
      </c>
      <c r="HQ91" t="e">
        <f>AND(Bills!M227,"AAAAAH6rf+A=")</f>
        <v>#VALUE!</v>
      </c>
      <c r="HR91" t="e">
        <f>AND(Bills!N227,"AAAAAH6rf+E=")</f>
        <v>#VALUE!</v>
      </c>
      <c r="HS91" t="e">
        <f>AND(Bills!O227,"AAAAAH6rf+I=")</f>
        <v>#VALUE!</v>
      </c>
      <c r="HT91" t="e">
        <f>AND(Bills!P227,"AAAAAH6rf+M=")</f>
        <v>#VALUE!</v>
      </c>
      <c r="HU91" t="e">
        <f>AND(Bills!Q227,"AAAAAH6rf+Q=")</f>
        <v>#VALUE!</v>
      </c>
      <c r="HV91" t="e">
        <f>AND(Bills!R227,"AAAAAH6rf+U=")</f>
        <v>#VALUE!</v>
      </c>
      <c r="HW91" t="e">
        <f>AND(Bills!#REF!,"AAAAAH6rf+Y=")</f>
        <v>#REF!</v>
      </c>
      <c r="HX91" t="e">
        <f>AND(Bills!S227,"AAAAAH6rf+c=")</f>
        <v>#VALUE!</v>
      </c>
      <c r="HY91" t="e">
        <f>AND(Bills!T227,"AAAAAH6rf+g=")</f>
        <v>#VALUE!</v>
      </c>
      <c r="HZ91" t="e">
        <f>AND(Bills!U227,"AAAAAH6rf+k=")</f>
        <v>#VALUE!</v>
      </c>
      <c r="IA91" t="e">
        <f>AND(Bills!#REF!,"AAAAAH6rf+o=")</f>
        <v>#REF!</v>
      </c>
      <c r="IB91" t="e">
        <f>AND(Bills!#REF!,"AAAAAH6rf+s=")</f>
        <v>#REF!</v>
      </c>
      <c r="IC91" t="e">
        <f>AND(Bills!W227,"AAAAAH6rf+w=")</f>
        <v>#VALUE!</v>
      </c>
      <c r="ID91" t="e">
        <f>AND(Bills!X227,"AAAAAH6rf+0=")</f>
        <v>#VALUE!</v>
      </c>
      <c r="IE91" t="e">
        <f>AND(Bills!#REF!,"AAAAAH6rf+4=")</f>
        <v>#REF!</v>
      </c>
      <c r="IF91" t="e">
        <f>AND(Bills!#REF!,"AAAAAH6rf+8=")</f>
        <v>#REF!</v>
      </c>
      <c r="IG91" t="e">
        <f>AND(Bills!#REF!,"AAAAAH6rf/A=")</f>
        <v>#REF!</v>
      </c>
      <c r="IH91" t="e">
        <f>AND(Bills!#REF!,"AAAAAH6rf/E=")</f>
        <v>#REF!</v>
      </c>
      <c r="II91" t="e">
        <f>AND(Bills!#REF!,"AAAAAH6rf/I=")</f>
        <v>#REF!</v>
      </c>
      <c r="IJ91" t="e">
        <f>AND(Bills!#REF!,"AAAAAH6rf/M=")</f>
        <v>#REF!</v>
      </c>
      <c r="IK91" t="e">
        <f>AND(Bills!#REF!,"AAAAAH6rf/Q=")</f>
        <v>#REF!</v>
      </c>
      <c r="IL91" t="e">
        <f>AND(Bills!#REF!,"AAAAAH6rf/U=")</f>
        <v>#REF!</v>
      </c>
      <c r="IM91" t="e">
        <f>AND(Bills!#REF!,"AAAAAH6rf/Y=")</f>
        <v>#REF!</v>
      </c>
      <c r="IN91" t="e">
        <f>AND(Bills!Y227,"AAAAAH6rf/c=")</f>
        <v>#VALUE!</v>
      </c>
      <c r="IO91" t="e">
        <f>AND(Bills!Z227,"AAAAAH6rf/g=")</f>
        <v>#VALUE!</v>
      </c>
      <c r="IP91" t="e">
        <f>AND(Bills!#REF!,"AAAAAH6rf/k=")</f>
        <v>#REF!</v>
      </c>
      <c r="IQ91" t="e">
        <f>AND(Bills!#REF!,"AAAAAH6rf/o=")</f>
        <v>#REF!</v>
      </c>
      <c r="IR91" t="e">
        <f>AND(Bills!#REF!,"AAAAAH6rf/s=")</f>
        <v>#REF!</v>
      </c>
      <c r="IS91" t="e">
        <f>AND(Bills!AA227,"AAAAAH6rf/w=")</f>
        <v>#VALUE!</v>
      </c>
      <c r="IT91" t="e">
        <f>AND(Bills!AB227,"AAAAAH6rf/0=")</f>
        <v>#VALUE!</v>
      </c>
      <c r="IU91" t="e">
        <f>AND(Bills!#REF!,"AAAAAH6rf/4=")</f>
        <v>#REF!</v>
      </c>
      <c r="IV91">
        <f>IF(Bills!228:228,"AAAAAH6rf/8=",0)</f>
        <v>0</v>
      </c>
    </row>
    <row r="92" spans="1:256">
      <c r="A92" t="e">
        <f>AND(Bills!B228,"AAAAAD/v3wA=")</f>
        <v>#VALUE!</v>
      </c>
      <c r="B92" t="e">
        <f>AND(Bills!#REF!,"AAAAAD/v3wE=")</f>
        <v>#REF!</v>
      </c>
      <c r="C92" t="e">
        <f>AND(Bills!C228,"AAAAAD/v3wI=")</f>
        <v>#VALUE!</v>
      </c>
      <c r="D92" t="e">
        <f>AND(Bills!#REF!,"AAAAAD/v3wM=")</f>
        <v>#REF!</v>
      </c>
      <c r="E92" t="e">
        <f>AND(Bills!#REF!,"AAAAAD/v3wQ=")</f>
        <v>#REF!</v>
      </c>
      <c r="F92" t="e">
        <f>AND(Bills!#REF!,"AAAAAD/v3wU=")</f>
        <v>#REF!</v>
      </c>
      <c r="G92" t="e">
        <f>AND(Bills!#REF!,"AAAAAD/v3wY=")</f>
        <v>#REF!</v>
      </c>
      <c r="H92" t="e">
        <f>AND(Bills!#REF!,"AAAAAD/v3wc=")</f>
        <v>#REF!</v>
      </c>
      <c r="I92" t="e">
        <f>AND(Bills!D228,"AAAAAD/v3wg=")</f>
        <v>#VALUE!</v>
      </c>
      <c r="J92" t="e">
        <f>AND(Bills!#REF!,"AAAAAD/v3wk=")</f>
        <v>#REF!</v>
      </c>
      <c r="K92" t="e">
        <f>AND(Bills!E228,"AAAAAD/v3wo=")</f>
        <v>#VALUE!</v>
      </c>
      <c r="L92" t="e">
        <f>AND(Bills!F228,"AAAAAD/v3ws=")</f>
        <v>#VALUE!</v>
      </c>
      <c r="M92" t="e">
        <f>AND(Bills!G228,"AAAAAD/v3ww=")</f>
        <v>#VALUE!</v>
      </c>
      <c r="N92" t="e">
        <f>AND(Bills!H228,"AAAAAD/v3w0=")</f>
        <v>#VALUE!</v>
      </c>
      <c r="O92" t="e">
        <f>AND(Bills!I228,"AAAAAD/v3w4=")</f>
        <v>#VALUE!</v>
      </c>
      <c r="P92" t="e">
        <f>AND(Bills!J228,"AAAAAD/v3w8=")</f>
        <v>#VALUE!</v>
      </c>
      <c r="Q92" t="e">
        <f>AND(Bills!#REF!,"AAAAAD/v3xA=")</f>
        <v>#REF!</v>
      </c>
      <c r="R92" t="e">
        <f>AND(Bills!K228,"AAAAAD/v3xE=")</f>
        <v>#VALUE!</v>
      </c>
      <c r="S92" t="e">
        <f>AND(Bills!L228,"AAAAAD/v3xI=")</f>
        <v>#VALUE!</v>
      </c>
      <c r="T92" t="e">
        <f>AND(Bills!M228,"AAAAAD/v3xM=")</f>
        <v>#VALUE!</v>
      </c>
      <c r="U92" t="e">
        <f>AND(Bills!N228,"AAAAAD/v3xQ=")</f>
        <v>#VALUE!</v>
      </c>
      <c r="V92" t="e">
        <f>AND(Bills!O228,"AAAAAD/v3xU=")</f>
        <v>#VALUE!</v>
      </c>
      <c r="W92" t="e">
        <f>AND(Bills!P228,"AAAAAD/v3xY=")</f>
        <v>#VALUE!</v>
      </c>
      <c r="X92" t="e">
        <f>AND(Bills!Q228,"AAAAAD/v3xc=")</f>
        <v>#VALUE!</v>
      </c>
      <c r="Y92" t="e">
        <f>AND(Bills!R228,"AAAAAD/v3xg=")</f>
        <v>#VALUE!</v>
      </c>
      <c r="Z92" t="e">
        <f>AND(Bills!#REF!,"AAAAAD/v3xk=")</f>
        <v>#REF!</v>
      </c>
      <c r="AA92" t="e">
        <f>AND(Bills!S228,"AAAAAD/v3xo=")</f>
        <v>#VALUE!</v>
      </c>
      <c r="AB92" t="e">
        <f>AND(Bills!T228,"AAAAAD/v3xs=")</f>
        <v>#VALUE!</v>
      </c>
      <c r="AC92" t="e">
        <f>AND(Bills!U228,"AAAAAD/v3xw=")</f>
        <v>#VALUE!</v>
      </c>
      <c r="AD92" t="e">
        <f>AND(Bills!#REF!,"AAAAAD/v3x0=")</f>
        <v>#REF!</v>
      </c>
      <c r="AE92" t="e">
        <f>AND(Bills!#REF!,"AAAAAD/v3x4=")</f>
        <v>#REF!</v>
      </c>
      <c r="AF92" t="e">
        <f>AND(Bills!W228,"AAAAAD/v3x8=")</f>
        <v>#VALUE!</v>
      </c>
      <c r="AG92" t="e">
        <f>AND(Bills!X228,"AAAAAD/v3yA=")</f>
        <v>#VALUE!</v>
      </c>
      <c r="AH92" t="e">
        <f>AND(Bills!#REF!,"AAAAAD/v3yE=")</f>
        <v>#REF!</v>
      </c>
      <c r="AI92" t="e">
        <f>AND(Bills!#REF!,"AAAAAD/v3yI=")</f>
        <v>#REF!</v>
      </c>
      <c r="AJ92" t="e">
        <f>AND(Bills!#REF!,"AAAAAD/v3yM=")</f>
        <v>#REF!</v>
      </c>
      <c r="AK92" t="e">
        <f>AND(Bills!#REF!,"AAAAAD/v3yQ=")</f>
        <v>#REF!</v>
      </c>
      <c r="AL92" t="e">
        <f>AND(Bills!#REF!,"AAAAAD/v3yU=")</f>
        <v>#REF!</v>
      </c>
      <c r="AM92" t="e">
        <f>AND(Bills!#REF!,"AAAAAD/v3yY=")</f>
        <v>#REF!</v>
      </c>
      <c r="AN92" t="e">
        <f>AND(Bills!#REF!,"AAAAAD/v3yc=")</f>
        <v>#REF!</v>
      </c>
      <c r="AO92" t="e">
        <f>AND(Bills!#REF!,"AAAAAD/v3yg=")</f>
        <v>#REF!</v>
      </c>
      <c r="AP92" t="e">
        <f>AND(Bills!#REF!,"AAAAAD/v3yk=")</f>
        <v>#REF!</v>
      </c>
      <c r="AQ92" t="e">
        <f>AND(Bills!Y228,"AAAAAD/v3yo=")</f>
        <v>#VALUE!</v>
      </c>
      <c r="AR92" t="e">
        <f>AND(Bills!Z228,"AAAAAD/v3ys=")</f>
        <v>#VALUE!</v>
      </c>
      <c r="AS92" t="e">
        <f>AND(Bills!#REF!,"AAAAAD/v3yw=")</f>
        <v>#REF!</v>
      </c>
      <c r="AT92" t="e">
        <f>AND(Bills!#REF!,"AAAAAD/v3y0=")</f>
        <v>#REF!</v>
      </c>
      <c r="AU92" t="e">
        <f>AND(Bills!#REF!,"AAAAAD/v3y4=")</f>
        <v>#REF!</v>
      </c>
      <c r="AV92" t="e">
        <f>AND(Bills!AA228,"AAAAAD/v3y8=")</f>
        <v>#VALUE!</v>
      </c>
      <c r="AW92" t="e">
        <f>AND(Bills!AB228,"AAAAAD/v3zA=")</f>
        <v>#VALUE!</v>
      </c>
      <c r="AX92" t="e">
        <f>AND(Bills!#REF!,"AAAAAD/v3zE=")</f>
        <v>#REF!</v>
      </c>
      <c r="AY92">
        <f>IF(Bills!229:229,"AAAAAD/v3zI=",0)</f>
        <v>0</v>
      </c>
      <c r="AZ92" t="e">
        <f>AND(Bills!B229,"AAAAAD/v3zM=")</f>
        <v>#VALUE!</v>
      </c>
      <c r="BA92" t="e">
        <f>AND(Bills!#REF!,"AAAAAD/v3zQ=")</f>
        <v>#REF!</v>
      </c>
      <c r="BB92" t="e">
        <f>AND(Bills!C229,"AAAAAD/v3zU=")</f>
        <v>#VALUE!</v>
      </c>
      <c r="BC92" t="e">
        <f>AND(Bills!#REF!,"AAAAAD/v3zY=")</f>
        <v>#REF!</v>
      </c>
      <c r="BD92" t="e">
        <f>AND(Bills!#REF!,"AAAAAD/v3zc=")</f>
        <v>#REF!</v>
      </c>
      <c r="BE92" t="e">
        <f>AND(Bills!#REF!,"AAAAAD/v3zg=")</f>
        <v>#REF!</v>
      </c>
      <c r="BF92" t="e">
        <f>AND(Bills!#REF!,"AAAAAD/v3zk=")</f>
        <v>#REF!</v>
      </c>
      <c r="BG92" t="e">
        <f>AND(Bills!#REF!,"AAAAAD/v3zo=")</f>
        <v>#REF!</v>
      </c>
      <c r="BH92" t="e">
        <f>AND(Bills!D229,"AAAAAD/v3zs=")</f>
        <v>#VALUE!</v>
      </c>
      <c r="BI92" t="e">
        <f>AND(Bills!#REF!,"AAAAAD/v3zw=")</f>
        <v>#REF!</v>
      </c>
      <c r="BJ92" t="e">
        <f>AND(Bills!E229,"AAAAAD/v3z0=")</f>
        <v>#VALUE!</v>
      </c>
      <c r="BK92" t="e">
        <f>AND(Bills!F229,"AAAAAD/v3z4=")</f>
        <v>#VALUE!</v>
      </c>
      <c r="BL92" t="e">
        <f>AND(Bills!G229,"AAAAAD/v3z8=")</f>
        <v>#VALUE!</v>
      </c>
      <c r="BM92" t="e">
        <f>AND(Bills!H229,"AAAAAD/v30A=")</f>
        <v>#VALUE!</v>
      </c>
      <c r="BN92" t="e">
        <f>AND(Bills!I229,"AAAAAD/v30E=")</f>
        <v>#VALUE!</v>
      </c>
      <c r="BO92" t="e">
        <f>AND(Bills!J229,"AAAAAD/v30I=")</f>
        <v>#VALUE!</v>
      </c>
      <c r="BP92" t="e">
        <f>AND(Bills!#REF!,"AAAAAD/v30M=")</f>
        <v>#REF!</v>
      </c>
      <c r="BQ92" t="e">
        <f>AND(Bills!K229,"AAAAAD/v30Q=")</f>
        <v>#VALUE!</v>
      </c>
      <c r="BR92" t="e">
        <f>AND(Bills!L229,"AAAAAD/v30U=")</f>
        <v>#VALUE!</v>
      </c>
      <c r="BS92" t="e">
        <f>AND(Bills!M229,"AAAAAD/v30Y=")</f>
        <v>#VALUE!</v>
      </c>
      <c r="BT92" t="e">
        <f>AND(Bills!N229,"AAAAAD/v30c=")</f>
        <v>#VALUE!</v>
      </c>
      <c r="BU92" t="e">
        <f>AND(Bills!O229,"AAAAAD/v30g=")</f>
        <v>#VALUE!</v>
      </c>
      <c r="BV92" t="e">
        <f>AND(Bills!P229,"AAAAAD/v30k=")</f>
        <v>#VALUE!</v>
      </c>
      <c r="BW92" t="e">
        <f>AND(Bills!Q229,"AAAAAD/v30o=")</f>
        <v>#VALUE!</v>
      </c>
      <c r="BX92" t="e">
        <f>AND(Bills!R229,"AAAAAD/v30s=")</f>
        <v>#VALUE!</v>
      </c>
      <c r="BY92" t="e">
        <f>AND(Bills!#REF!,"AAAAAD/v30w=")</f>
        <v>#REF!</v>
      </c>
      <c r="BZ92" t="e">
        <f>AND(Bills!S229,"AAAAAD/v300=")</f>
        <v>#VALUE!</v>
      </c>
      <c r="CA92" t="e">
        <f>AND(Bills!T229,"AAAAAD/v304=")</f>
        <v>#VALUE!</v>
      </c>
      <c r="CB92" t="e">
        <f>AND(Bills!U229,"AAAAAD/v308=")</f>
        <v>#VALUE!</v>
      </c>
      <c r="CC92" t="e">
        <f>AND(Bills!#REF!,"AAAAAD/v31A=")</f>
        <v>#REF!</v>
      </c>
      <c r="CD92" t="e">
        <f>AND(Bills!#REF!,"AAAAAD/v31E=")</f>
        <v>#REF!</v>
      </c>
      <c r="CE92" t="e">
        <f>AND(Bills!W229,"AAAAAD/v31I=")</f>
        <v>#VALUE!</v>
      </c>
      <c r="CF92" t="e">
        <f>AND(Bills!X229,"AAAAAD/v31M=")</f>
        <v>#VALUE!</v>
      </c>
      <c r="CG92" t="e">
        <f>AND(Bills!#REF!,"AAAAAD/v31Q=")</f>
        <v>#REF!</v>
      </c>
      <c r="CH92" t="e">
        <f>AND(Bills!#REF!,"AAAAAD/v31U=")</f>
        <v>#REF!</v>
      </c>
      <c r="CI92" t="e">
        <f>AND(Bills!#REF!,"AAAAAD/v31Y=")</f>
        <v>#REF!</v>
      </c>
      <c r="CJ92" t="e">
        <f>AND(Bills!#REF!,"AAAAAD/v31c=")</f>
        <v>#REF!</v>
      </c>
      <c r="CK92" t="e">
        <f>AND(Bills!#REF!,"AAAAAD/v31g=")</f>
        <v>#REF!</v>
      </c>
      <c r="CL92" t="e">
        <f>AND(Bills!#REF!,"AAAAAD/v31k=")</f>
        <v>#REF!</v>
      </c>
      <c r="CM92" t="e">
        <f>AND(Bills!#REF!,"AAAAAD/v31o=")</f>
        <v>#REF!</v>
      </c>
      <c r="CN92" t="e">
        <f>AND(Bills!#REF!,"AAAAAD/v31s=")</f>
        <v>#REF!</v>
      </c>
      <c r="CO92" t="e">
        <f>AND(Bills!#REF!,"AAAAAD/v31w=")</f>
        <v>#REF!</v>
      </c>
      <c r="CP92" t="e">
        <f>AND(Bills!Y229,"AAAAAD/v310=")</f>
        <v>#VALUE!</v>
      </c>
      <c r="CQ92" t="e">
        <f>AND(Bills!Z229,"AAAAAD/v314=")</f>
        <v>#VALUE!</v>
      </c>
      <c r="CR92" t="e">
        <f>AND(Bills!#REF!,"AAAAAD/v318=")</f>
        <v>#REF!</v>
      </c>
      <c r="CS92" t="e">
        <f>AND(Bills!#REF!,"AAAAAD/v32A=")</f>
        <v>#REF!</v>
      </c>
      <c r="CT92" t="e">
        <f>AND(Bills!#REF!,"AAAAAD/v32E=")</f>
        <v>#REF!</v>
      </c>
      <c r="CU92" t="e">
        <f>AND(Bills!AA229,"AAAAAD/v32I=")</f>
        <v>#VALUE!</v>
      </c>
      <c r="CV92" t="e">
        <f>AND(Bills!AB229,"AAAAAD/v32M=")</f>
        <v>#VALUE!</v>
      </c>
      <c r="CW92" t="e">
        <f>AND(Bills!#REF!,"AAAAAD/v32Q=")</f>
        <v>#REF!</v>
      </c>
      <c r="CX92">
        <f>IF(Bills!230:230,"AAAAAD/v32U=",0)</f>
        <v>0</v>
      </c>
      <c r="CY92" t="e">
        <f>AND(Bills!B230,"AAAAAD/v32Y=")</f>
        <v>#VALUE!</v>
      </c>
      <c r="CZ92" t="e">
        <f>AND(Bills!#REF!,"AAAAAD/v32c=")</f>
        <v>#REF!</v>
      </c>
      <c r="DA92" t="e">
        <f>AND(Bills!C230,"AAAAAD/v32g=")</f>
        <v>#VALUE!</v>
      </c>
      <c r="DB92" t="e">
        <f>AND(Bills!#REF!,"AAAAAD/v32k=")</f>
        <v>#REF!</v>
      </c>
      <c r="DC92" t="e">
        <f>AND(Bills!#REF!,"AAAAAD/v32o=")</f>
        <v>#REF!</v>
      </c>
      <c r="DD92" t="e">
        <f>AND(Bills!#REF!,"AAAAAD/v32s=")</f>
        <v>#REF!</v>
      </c>
      <c r="DE92" t="e">
        <f>AND(Bills!#REF!,"AAAAAD/v32w=")</f>
        <v>#REF!</v>
      </c>
      <c r="DF92" t="e">
        <f>AND(Bills!#REF!,"AAAAAD/v320=")</f>
        <v>#REF!</v>
      </c>
      <c r="DG92" t="e">
        <f>AND(Bills!D230,"AAAAAD/v324=")</f>
        <v>#VALUE!</v>
      </c>
      <c r="DH92" t="e">
        <f>AND(Bills!#REF!,"AAAAAD/v328=")</f>
        <v>#REF!</v>
      </c>
      <c r="DI92" t="e">
        <f>AND(Bills!E230,"AAAAAD/v33A=")</f>
        <v>#VALUE!</v>
      </c>
      <c r="DJ92" t="e">
        <f>AND(Bills!F230,"AAAAAD/v33E=")</f>
        <v>#VALUE!</v>
      </c>
      <c r="DK92" t="e">
        <f>AND(Bills!G230,"AAAAAD/v33I=")</f>
        <v>#VALUE!</v>
      </c>
      <c r="DL92" t="e">
        <f>AND(Bills!H230,"AAAAAD/v33M=")</f>
        <v>#VALUE!</v>
      </c>
      <c r="DM92" t="e">
        <f>AND(Bills!I230,"AAAAAD/v33Q=")</f>
        <v>#VALUE!</v>
      </c>
      <c r="DN92" t="e">
        <f>AND(Bills!J230,"AAAAAD/v33U=")</f>
        <v>#VALUE!</v>
      </c>
      <c r="DO92" t="e">
        <f>AND(Bills!#REF!,"AAAAAD/v33Y=")</f>
        <v>#REF!</v>
      </c>
      <c r="DP92" t="e">
        <f>AND(Bills!K230,"AAAAAD/v33c=")</f>
        <v>#VALUE!</v>
      </c>
      <c r="DQ92" t="e">
        <f>AND(Bills!L230,"AAAAAD/v33g=")</f>
        <v>#VALUE!</v>
      </c>
      <c r="DR92" t="e">
        <f>AND(Bills!M230,"AAAAAD/v33k=")</f>
        <v>#VALUE!</v>
      </c>
      <c r="DS92" t="e">
        <f>AND(Bills!N230,"AAAAAD/v33o=")</f>
        <v>#VALUE!</v>
      </c>
      <c r="DT92" t="e">
        <f>AND(Bills!O230,"AAAAAD/v33s=")</f>
        <v>#VALUE!</v>
      </c>
      <c r="DU92" t="e">
        <f>AND(Bills!P230,"AAAAAD/v33w=")</f>
        <v>#VALUE!</v>
      </c>
      <c r="DV92" t="e">
        <f>AND(Bills!Q230,"AAAAAD/v330=")</f>
        <v>#VALUE!</v>
      </c>
      <c r="DW92" t="e">
        <f>AND(Bills!R230,"AAAAAD/v334=")</f>
        <v>#VALUE!</v>
      </c>
      <c r="DX92" t="e">
        <f>AND(Bills!#REF!,"AAAAAD/v338=")</f>
        <v>#REF!</v>
      </c>
      <c r="DY92" t="e">
        <f>AND(Bills!S230,"AAAAAD/v34A=")</f>
        <v>#VALUE!</v>
      </c>
      <c r="DZ92" t="e">
        <f>AND(Bills!T230,"AAAAAD/v34E=")</f>
        <v>#VALUE!</v>
      </c>
      <c r="EA92" t="e">
        <f>AND(Bills!U230,"AAAAAD/v34I=")</f>
        <v>#VALUE!</v>
      </c>
      <c r="EB92" t="e">
        <f>AND(Bills!#REF!,"AAAAAD/v34M=")</f>
        <v>#REF!</v>
      </c>
      <c r="EC92" t="e">
        <f>AND(Bills!#REF!,"AAAAAD/v34Q=")</f>
        <v>#REF!</v>
      </c>
      <c r="ED92" t="e">
        <f>AND(Bills!W230,"AAAAAD/v34U=")</f>
        <v>#VALUE!</v>
      </c>
      <c r="EE92" t="e">
        <f>AND(Bills!X230,"AAAAAD/v34Y=")</f>
        <v>#VALUE!</v>
      </c>
      <c r="EF92" t="e">
        <f>AND(Bills!#REF!,"AAAAAD/v34c=")</f>
        <v>#REF!</v>
      </c>
      <c r="EG92" t="e">
        <f>AND(Bills!#REF!,"AAAAAD/v34g=")</f>
        <v>#REF!</v>
      </c>
      <c r="EH92" t="e">
        <f>AND(Bills!#REF!,"AAAAAD/v34k=")</f>
        <v>#REF!</v>
      </c>
      <c r="EI92" t="e">
        <f>AND(Bills!#REF!,"AAAAAD/v34o=")</f>
        <v>#REF!</v>
      </c>
      <c r="EJ92" t="e">
        <f>AND(Bills!#REF!,"AAAAAD/v34s=")</f>
        <v>#REF!</v>
      </c>
      <c r="EK92" t="e">
        <f>AND(Bills!#REF!,"AAAAAD/v34w=")</f>
        <v>#REF!</v>
      </c>
      <c r="EL92" t="e">
        <f>AND(Bills!#REF!,"AAAAAD/v340=")</f>
        <v>#REF!</v>
      </c>
      <c r="EM92" t="e">
        <f>AND(Bills!#REF!,"AAAAAD/v344=")</f>
        <v>#REF!</v>
      </c>
      <c r="EN92" t="e">
        <f>AND(Bills!#REF!,"AAAAAD/v348=")</f>
        <v>#REF!</v>
      </c>
      <c r="EO92" t="e">
        <f>AND(Bills!Y230,"AAAAAD/v35A=")</f>
        <v>#VALUE!</v>
      </c>
      <c r="EP92" t="e">
        <f>AND(Bills!Z230,"AAAAAD/v35E=")</f>
        <v>#VALUE!</v>
      </c>
      <c r="EQ92" t="e">
        <f>AND(Bills!#REF!,"AAAAAD/v35I=")</f>
        <v>#REF!</v>
      </c>
      <c r="ER92" t="e">
        <f>AND(Bills!#REF!,"AAAAAD/v35M=")</f>
        <v>#REF!</v>
      </c>
      <c r="ES92" t="e">
        <f>AND(Bills!#REF!,"AAAAAD/v35Q=")</f>
        <v>#REF!</v>
      </c>
      <c r="ET92" t="e">
        <f>AND(Bills!AA230,"AAAAAD/v35U=")</f>
        <v>#VALUE!</v>
      </c>
      <c r="EU92" t="e">
        <f>AND(Bills!AB230,"AAAAAD/v35Y=")</f>
        <v>#VALUE!</v>
      </c>
      <c r="EV92" t="e">
        <f>AND(Bills!#REF!,"AAAAAD/v35c=")</f>
        <v>#REF!</v>
      </c>
      <c r="EW92">
        <f>IF(Bills!231:231,"AAAAAD/v35g=",0)</f>
        <v>0</v>
      </c>
      <c r="EX92" t="e">
        <f>AND(Bills!B231,"AAAAAD/v35k=")</f>
        <v>#VALUE!</v>
      </c>
      <c r="EY92" t="e">
        <f>AND(Bills!#REF!,"AAAAAD/v35o=")</f>
        <v>#REF!</v>
      </c>
      <c r="EZ92" t="e">
        <f>AND(Bills!C231,"AAAAAD/v35s=")</f>
        <v>#VALUE!</v>
      </c>
      <c r="FA92" t="e">
        <f>AND(Bills!#REF!,"AAAAAD/v35w=")</f>
        <v>#REF!</v>
      </c>
      <c r="FB92" t="e">
        <f>AND(Bills!#REF!,"AAAAAD/v350=")</f>
        <v>#REF!</v>
      </c>
      <c r="FC92" t="e">
        <f>AND(Bills!#REF!,"AAAAAD/v354=")</f>
        <v>#REF!</v>
      </c>
      <c r="FD92" t="e">
        <f>AND(Bills!#REF!,"AAAAAD/v358=")</f>
        <v>#REF!</v>
      </c>
      <c r="FE92" t="e">
        <f>AND(Bills!#REF!,"AAAAAD/v36A=")</f>
        <v>#REF!</v>
      </c>
      <c r="FF92" t="e">
        <f>AND(Bills!D231,"AAAAAD/v36E=")</f>
        <v>#VALUE!</v>
      </c>
      <c r="FG92" t="e">
        <f>AND(Bills!#REF!,"AAAAAD/v36I=")</f>
        <v>#REF!</v>
      </c>
      <c r="FH92" t="e">
        <f>AND(Bills!E231,"AAAAAD/v36M=")</f>
        <v>#VALUE!</v>
      </c>
      <c r="FI92" t="e">
        <f>AND(Bills!F231,"AAAAAD/v36Q=")</f>
        <v>#VALUE!</v>
      </c>
      <c r="FJ92" t="e">
        <f>AND(Bills!G231,"AAAAAD/v36U=")</f>
        <v>#VALUE!</v>
      </c>
      <c r="FK92" t="e">
        <f>AND(Bills!H231,"AAAAAD/v36Y=")</f>
        <v>#VALUE!</v>
      </c>
      <c r="FL92" t="e">
        <f>AND(Bills!I231,"AAAAAD/v36c=")</f>
        <v>#VALUE!</v>
      </c>
      <c r="FM92" t="e">
        <f>AND(Bills!J231,"AAAAAD/v36g=")</f>
        <v>#VALUE!</v>
      </c>
      <c r="FN92" t="e">
        <f>AND(Bills!#REF!,"AAAAAD/v36k=")</f>
        <v>#REF!</v>
      </c>
      <c r="FO92" t="e">
        <f>AND(Bills!K231,"AAAAAD/v36o=")</f>
        <v>#VALUE!</v>
      </c>
      <c r="FP92" t="e">
        <f>AND(Bills!L231,"AAAAAD/v36s=")</f>
        <v>#VALUE!</v>
      </c>
      <c r="FQ92" t="e">
        <f>AND(Bills!M231,"AAAAAD/v36w=")</f>
        <v>#VALUE!</v>
      </c>
      <c r="FR92" t="e">
        <f>AND(Bills!N231,"AAAAAD/v360=")</f>
        <v>#VALUE!</v>
      </c>
      <c r="FS92" t="e">
        <f>AND(Bills!O231,"AAAAAD/v364=")</f>
        <v>#VALUE!</v>
      </c>
      <c r="FT92" t="e">
        <f>AND(Bills!P231,"AAAAAD/v368=")</f>
        <v>#VALUE!</v>
      </c>
      <c r="FU92" t="e">
        <f>AND(Bills!Q231,"AAAAAD/v37A=")</f>
        <v>#VALUE!</v>
      </c>
      <c r="FV92" t="e">
        <f>AND(Bills!R231,"AAAAAD/v37E=")</f>
        <v>#VALUE!</v>
      </c>
      <c r="FW92" t="e">
        <f>AND(Bills!#REF!,"AAAAAD/v37I=")</f>
        <v>#REF!</v>
      </c>
      <c r="FX92" t="e">
        <f>AND(Bills!S231,"AAAAAD/v37M=")</f>
        <v>#VALUE!</v>
      </c>
      <c r="FY92" t="e">
        <f>AND(Bills!T231,"AAAAAD/v37Q=")</f>
        <v>#VALUE!</v>
      </c>
      <c r="FZ92" t="e">
        <f>AND(Bills!U231,"AAAAAD/v37U=")</f>
        <v>#VALUE!</v>
      </c>
      <c r="GA92" t="e">
        <f>AND(Bills!#REF!,"AAAAAD/v37Y=")</f>
        <v>#REF!</v>
      </c>
      <c r="GB92" t="e">
        <f>AND(Bills!#REF!,"AAAAAD/v37c=")</f>
        <v>#REF!</v>
      </c>
      <c r="GC92" t="e">
        <f>AND(Bills!W231,"AAAAAD/v37g=")</f>
        <v>#VALUE!</v>
      </c>
      <c r="GD92" t="e">
        <f>AND(Bills!X231,"AAAAAD/v37k=")</f>
        <v>#VALUE!</v>
      </c>
      <c r="GE92" t="e">
        <f>AND(Bills!#REF!,"AAAAAD/v37o=")</f>
        <v>#REF!</v>
      </c>
      <c r="GF92" t="e">
        <f>AND(Bills!#REF!,"AAAAAD/v37s=")</f>
        <v>#REF!</v>
      </c>
      <c r="GG92" t="e">
        <f>AND(Bills!#REF!,"AAAAAD/v37w=")</f>
        <v>#REF!</v>
      </c>
      <c r="GH92" t="e">
        <f>AND(Bills!#REF!,"AAAAAD/v370=")</f>
        <v>#REF!</v>
      </c>
      <c r="GI92" t="e">
        <f>AND(Bills!#REF!,"AAAAAD/v374=")</f>
        <v>#REF!</v>
      </c>
      <c r="GJ92" t="e">
        <f>AND(Bills!#REF!,"AAAAAD/v378=")</f>
        <v>#REF!</v>
      </c>
      <c r="GK92" t="e">
        <f>AND(Bills!#REF!,"AAAAAD/v38A=")</f>
        <v>#REF!</v>
      </c>
      <c r="GL92" t="e">
        <f>AND(Bills!#REF!,"AAAAAD/v38E=")</f>
        <v>#REF!</v>
      </c>
      <c r="GM92" t="e">
        <f>AND(Bills!#REF!,"AAAAAD/v38I=")</f>
        <v>#REF!</v>
      </c>
      <c r="GN92" t="e">
        <f>AND(Bills!Y231,"AAAAAD/v38M=")</f>
        <v>#VALUE!</v>
      </c>
      <c r="GO92" t="e">
        <f>AND(Bills!Z231,"AAAAAD/v38Q=")</f>
        <v>#VALUE!</v>
      </c>
      <c r="GP92" t="e">
        <f>AND(Bills!#REF!,"AAAAAD/v38U=")</f>
        <v>#REF!</v>
      </c>
      <c r="GQ92" t="e">
        <f>AND(Bills!#REF!,"AAAAAD/v38Y=")</f>
        <v>#REF!</v>
      </c>
      <c r="GR92" t="e">
        <f>AND(Bills!#REF!,"AAAAAD/v38c=")</f>
        <v>#REF!</v>
      </c>
      <c r="GS92" t="e">
        <f>AND(Bills!AA231,"AAAAAD/v38g=")</f>
        <v>#VALUE!</v>
      </c>
      <c r="GT92" t="e">
        <f>AND(Bills!AB231,"AAAAAD/v38k=")</f>
        <v>#VALUE!</v>
      </c>
      <c r="GU92" t="e">
        <f>AND(Bills!#REF!,"AAAAAD/v38o=")</f>
        <v>#REF!</v>
      </c>
      <c r="GV92">
        <f>IF(Bills!232:232,"AAAAAD/v38s=",0)</f>
        <v>0</v>
      </c>
      <c r="GW92" t="e">
        <f>AND(Bills!B232,"AAAAAD/v38w=")</f>
        <v>#VALUE!</v>
      </c>
      <c r="GX92" t="e">
        <f>AND(Bills!#REF!,"AAAAAD/v380=")</f>
        <v>#REF!</v>
      </c>
      <c r="GY92" t="e">
        <f>AND(Bills!C232,"AAAAAD/v384=")</f>
        <v>#VALUE!</v>
      </c>
      <c r="GZ92" t="e">
        <f>AND(Bills!#REF!,"AAAAAD/v388=")</f>
        <v>#REF!</v>
      </c>
      <c r="HA92" t="e">
        <f>AND(Bills!#REF!,"AAAAAD/v39A=")</f>
        <v>#REF!</v>
      </c>
      <c r="HB92" t="e">
        <f>AND(Bills!#REF!,"AAAAAD/v39E=")</f>
        <v>#REF!</v>
      </c>
      <c r="HC92" t="e">
        <f>AND(Bills!#REF!,"AAAAAD/v39I=")</f>
        <v>#REF!</v>
      </c>
      <c r="HD92" t="e">
        <f>AND(Bills!#REF!,"AAAAAD/v39M=")</f>
        <v>#REF!</v>
      </c>
      <c r="HE92" t="e">
        <f>AND(Bills!D232,"AAAAAD/v39Q=")</f>
        <v>#VALUE!</v>
      </c>
      <c r="HF92" t="e">
        <f>AND(Bills!#REF!,"AAAAAD/v39U=")</f>
        <v>#REF!</v>
      </c>
      <c r="HG92" t="e">
        <f>AND(Bills!E232,"AAAAAD/v39Y=")</f>
        <v>#VALUE!</v>
      </c>
      <c r="HH92" t="e">
        <f>AND(Bills!F232,"AAAAAD/v39c=")</f>
        <v>#VALUE!</v>
      </c>
      <c r="HI92" t="e">
        <f>AND(Bills!G232,"AAAAAD/v39g=")</f>
        <v>#VALUE!</v>
      </c>
      <c r="HJ92" t="e">
        <f>AND(Bills!H232,"AAAAAD/v39k=")</f>
        <v>#VALUE!</v>
      </c>
      <c r="HK92" t="e">
        <f>AND(Bills!I232,"AAAAAD/v39o=")</f>
        <v>#VALUE!</v>
      </c>
      <c r="HL92" t="e">
        <f>AND(Bills!J232,"AAAAAD/v39s=")</f>
        <v>#VALUE!</v>
      </c>
      <c r="HM92" t="e">
        <f>AND(Bills!#REF!,"AAAAAD/v39w=")</f>
        <v>#REF!</v>
      </c>
      <c r="HN92" t="e">
        <f>AND(Bills!K232,"AAAAAD/v390=")</f>
        <v>#VALUE!</v>
      </c>
      <c r="HO92" t="e">
        <f>AND(Bills!L232,"AAAAAD/v394=")</f>
        <v>#VALUE!</v>
      </c>
      <c r="HP92" t="e">
        <f>AND(Bills!M232,"AAAAAD/v398=")</f>
        <v>#VALUE!</v>
      </c>
      <c r="HQ92" t="e">
        <f>AND(Bills!N232,"AAAAAD/v3+A=")</f>
        <v>#VALUE!</v>
      </c>
      <c r="HR92" t="e">
        <f>AND(Bills!O232,"AAAAAD/v3+E=")</f>
        <v>#VALUE!</v>
      </c>
      <c r="HS92" t="e">
        <f>AND(Bills!P232,"AAAAAD/v3+I=")</f>
        <v>#VALUE!</v>
      </c>
      <c r="HT92" t="e">
        <f>AND(Bills!Q232,"AAAAAD/v3+M=")</f>
        <v>#VALUE!</v>
      </c>
      <c r="HU92" t="e">
        <f>AND(Bills!R232,"AAAAAD/v3+Q=")</f>
        <v>#VALUE!</v>
      </c>
      <c r="HV92" t="e">
        <f>AND(Bills!#REF!,"AAAAAD/v3+U=")</f>
        <v>#REF!</v>
      </c>
      <c r="HW92" t="e">
        <f>AND(Bills!S232,"AAAAAD/v3+Y=")</f>
        <v>#VALUE!</v>
      </c>
      <c r="HX92" t="e">
        <f>AND(Bills!T232,"AAAAAD/v3+c=")</f>
        <v>#VALUE!</v>
      </c>
      <c r="HY92" t="e">
        <f>AND(Bills!U232,"AAAAAD/v3+g=")</f>
        <v>#VALUE!</v>
      </c>
      <c r="HZ92" t="e">
        <f>AND(Bills!#REF!,"AAAAAD/v3+k=")</f>
        <v>#REF!</v>
      </c>
      <c r="IA92" t="e">
        <f>AND(Bills!#REF!,"AAAAAD/v3+o=")</f>
        <v>#REF!</v>
      </c>
      <c r="IB92" t="e">
        <f>AND(Bills!W232,"AAAAAD/v3+s=")</f>
        <v>#VALUE!</v>
      </c>
      <c r="IC92" t="e">
        <f>AND(Bills!X232,"AAAAAD/v3+w=")</f>
        <v>#VALUE!</v>
      </c>
      <c r="ID92" t="e">
        <f>AND(Bills!#REF!,"AAAAAD/v3+0=")</f>
        <v>#REF!</v>
      </c>
      <c r="IE92" t="e">
        <f>AND(Bills!#REF!,"AAAAAD/v3+4=")</f>
        <v>#REF!</v>
      </c>
      <c r="IF92" t="e">
        <f>AND(Bills!#REF!,"AAAAAD/v3+8=")</f>
        <v>#REF!</v>
      </c>
      <c r="IG92" t="e">
        <f>AND(Bills!#REF!,"AAAAAD/v3/A=")</f>
        <v>#REF!</v>
      </c>
      <c r="IH92" t="e">
        <f>AND(Bills!#REF!,"AAAAAD/v3/E=")</f>
        <v>#REF!</v>
      </c>
      <c r="II92" t="e">
        <f>AND(Bills!#REF!,"AAAAAD/v3/I=")</f>
        <v>#REF!</v>
      </c>
      <c r="IJ92" t="e">
        <f>AND(Bills!#REF!,"AAAAAD/v3/M=")</f>
        <v>#REF!</v>
      </c>
      <c r="IK92" t="e">
        <f>AND(Bills!#REF!,"AAAAAD/v3/Q=")</f>
        <v>#REF!</v>
      </c>
      <c r="IL92" t="e">
        <f>AND(Bills!#REF!,"AAAAAD/v3/U=")</f>
        <v>#REF!</v>
      </c>
      <c r="IM92" t="e">
        <f>AND(Bills!Y232,"AAAAAD/v3/Y=")</f>
        <v>#VALUE!</v>
      </c>
      <c r="IN92" t="e">
        <f>AND(Bills!Z232,"AAAAAD/v3/c=")</f>
        <v>#VALUE!</v>
      </c>
      <c r="IO92" t="e">
        <f>AND(Bills!#REF!,"AAAAAD/v3/g=")</f>
        <v>#REF!</v>
      </c>
      <c r="IP92" t="e">
        <f>AND(Bills!#REF!,"AAAAAD/v3/k=")</f>
        <v>#REF!</v>
      </c>
      <c r="IQ92" t="e">
        <f>AND(Bills!#REF!,"AAAAAD/v3/o=")</f>
        <v>#REF!</v>
      </c>
      <c r="IR92" t="e">
        <f>AND(Bills!AA232,"AAAAAD/v3/s=")</f>
        <v>#VALUE!</v>
      </c>
      <c r="IS92" t="e">
        <f>AND(Bills!AB232,"AAAAAD/v3/w=")</f>
        <v>#VALUE!</v>
      </c>
      <c r="IT92" t="e">
        <f>AND(Bills!#REF!,"AAAAAD/v3/0=")</f>
        <v>#REF!</v>
      </c>
      <c r="IU92">
        <f>IF(Bills!233:233,"AAAAAD/v3/4=",0)</f>
        <v>0</v>
      </c>
      <c r="IV92" t="e">
        <f>AND(Bills!B233,"AAAAAD/v3/8=")</f>
        <v>#VALUE!</v>
      </c>
    </row>
    <row r="93" spans="1:256">
      <c r="A93" t="e">
        <f>AND(Bills!#REF!,"AAAAAHj1/gA=")</f>
        <v>#REF!</v>
      </c>
      <c r="B93" t="e">
        <f>AND(Bills!C233,"AAAAAHj1/gE=")</f>
        <v>#VALUE!</v>
      </c>
      <c r="C93" t="e">
        <f>AND(Bills!#REF!,"AAAAAHj1/gI=")</f>
        <v>#REF!</v>
      </c>
      <c r="D93" t="e">
        <f>AND(Bills!#REF!,"AAAAAHj1/gM=")</f>
        <v>#REF!</v>
      </c>
      <c r="E93" t="e">
        <f>AND(Bills!#REF!,"AAAAAHj1/gQ=")</f>
        <v>#REF!</v>
      </c>
      <c r="F93" t="e">
        <f>AND(Bills!#REF!,"AAAAAHj1/gU=")</f>
        <v>#REF!</v>
      </c>
      <c r="G93" t="e">
        <f>AND(Bills!#REF!,"AAAAAHj1/gY=")</f>
        <v>#REF!</v>
      </c>
      <c r="H93" t="e">
        <f>AND(Bills!D233,"AAAAAHj1/gc=")</f>
        <v>#VALUE!</v>
      </c>
      <c r="I93" t="e">
        <f>AND(Bills!#REF!,"AAAAAHj1/gg=")</f>
        <v>#REF!</v>
      </c>
      <c r="J93" t="e">
        <f>AND(Bills!E233,"AAAAAHj1/gk=")</f>
        <v>#VALUE!</v>
      </c>
      <c r="K93" t="e">
        <f>AND(Bills!F233,"AAAAAHj1/go=")</f>
        <v>#VALUE!</v>
      </c>
      <c r="L93" t="e">
        <f>AND(Bills!G233,"AAAAAHj1/gs=")</f>
        <v>#VALUE!</v>
      </c>
      <c r="M93" t="e">
        <f>AND(Bills!H233,"AAAAAHj1/gw=")</f>
        <v>#VALUE!</v>
      </c>
      <c r="N93" t="e">
        <f>AND(Bills!I233,"AAAAAHj1/g0=")</f>
        <v>#VALUE!</v>
      </c>
      <c r="O93" t="e">
        <f>AND(Bills!J233,"AAAAAHj1/g4=")</f>
        <v>#VALUE!</v>
      </c>
      <c r="P93" t="e">
        <f>AND(Bills!#REF!,"AAAAAHj1/g8=")</f>
        <v>#REF!</v>
      </c>
      <c r="Q93" t="e">
        <f>AND(Bills!K233,"AAAAAHj1/hA=")</f>
        <v>#VALUE!</v>
      </c>
      <c r="R93" t="e">
        <f>AND(Bills!L233,"AAAAAHj1/hE=")</f>
        <v>#VALUE!</v>
      </c>
      <c r="S93" t="e">
        <f>AND(Bills!M233,"AAAAAHj1/hI=")</f>
        <v>#VALUE!</v>
      </c>
      <c r="T93" t="e">
        <f>AND(Bills!N233,"AAAAAHj1/hM=")</f>
        <v>#VALUE!</v>
      </c>
      <c r="U93" t="e">
        <f>AND(Bills!O233,"AAAAAHj1/hQ=")</f>
        <v>#VALUE!</v>
      </c>
      <c r="V93" t="e">
        <f>AND(Bills!P233,"AAAAAHj1/hU=")</f>
        <v>#VALUE!</v>
      </c>
      <c r="W93" t="e">
        <f>AND(Bills!Q233,"AAAAAHj1/hY=")</f>
        <v>#VALUE!</v>
      </c>
      <c r="X93" t="e">
        <f>AND(Bills!R233,"AAAAAHj1/hc=")</f>
        <v>#VALUE!</v>
      </c>
      <c r="Y93" t="e">
        <f>AND(Bills!#REF!,"AAAAAHj1/hg=")</f>
        <v>#REF!</v>
      </c>
      <c r="Z93" t="e">
        <f>AND(Bills!S233,"AAAAAHj1/hk=")</f>
        <v>#VALUE!</v>
      </c>
      <c r="AA93" t="e">
        <f>AND(Bills!T233,"AAAAAHj1/ho=")</f>
        <v>#VALUE!</v>
      </c>
      <c r="AB93" t="e">
        <f>AND(Bills!U233,"AAAAAHj1/hs=")</f>
        <v>#VALUE!</v>
      </c>
      <c r="AC93" t="e">
        <f>AND(Bills!#REF!,"AAAAAHj1/hw=")</f>
        <v>#REF!</v>
      </c>
      <c r="AD93" t="e">
        <f>AND(Bills!#REF!,"AAAAAHj1/h0=")</f>
        <v>#REF!</v>
      </c>
      <c r="AE93" t="e">
        <f>AND(Bills!W233,"AAAAAHj1/h4=")</f>
        <v>#VALUE!</v>
      </c>
      <c r="AF93" t="e">
        <f>AND(Bills!X233,"AAAAAHj1/h8=")</f>
        <v>#VALUE!</v>
      </c>
      <c r="AG93" t="e">
        <f>AND(Bills!#REF!,"AAAAAHj1/iA=")</f>
        <v>#REF!</v>
      </c>
      <c r="AH93" t="e">
        <f>AND(Bills!#REF!,"AAAAAHj1/iE=")</f>
        <v>#REF!</v>
      </c>
      <c r="AI93" t="e">
        <f>AND(Bills!#REF!,"AAAAAHj1/iI=")</f>
        <v>#REF!</v>
      </c>
      <c r="AJ93" t="e">
        <f>AND(Bills!#REF!,"AAAAAHj1/iM=")</f>
        <v>#REF!</v>
      </c>
      <c r="AK93" t="e">
        <f>AND(Bills!#REF!,"AAAAAHj1/iQ=")</f>
        <v>#REF!</v>
      </c>
      <c r="AL93" t="e">
        <f>AND(Bills!#REF!,"AAAAAHj1/iU=")</f>
        <v>#REF!</v>
      </c>
      <c r="AM93" t="e">
        <f>AND(Bills!#REF!,"AAAAAHj1/iY=")</f>
        <v>#REF!</v>
      </c>
      <c r="AN93" t="e">
        <f>AND(Bills!#REF!,"AAAAAHj1/ic=")</f>
        <v>#REF!</v>
      </c>
      <c r="AO93" t="e">
        <f>AND(Bills!#REF!,"AAAAAHj1/ig=")</f>
        <v>#REF!</v>
      </c>
      <c r="AP93" t="e">
        <f>AND(Bills!Y233,"AAAAAHj1/ik=")</f>
        <v>#VALUE!</v>
      </c>
      <c r="AQ93" t="e">
        <f>AND(Bills!Z233,"AAAAAHj1/io=")</f>
        <v>#VALUE!</v>
      </c>
      <c r="AR93" t="e">
        <f>AND(Bills!#REF!,"AAAAAHj1/is=")</f>
        <v>#REF!</v>
      </c>
      <c r="AS93" t="e">
        <f>AND(Bills!#REF!,"AAAAAHj1/iw=")</f>
        <v>#REF!</v>
      </c>
      <c r="AT93" t="e">
        <f>AND(Bills!#REF!,"AAAAAHj1/i0=")</f>
        <v>#REF!</v>
      </c>
      <c r="AU93" t="e">
        <f>AND(Bills!AA233,"AAAAAHj1/i4=")</f>
        <v>#VALUE!</v>
      </c>
      <c r="AV93" t="e">
        <f>AND(Bills!AB233,"AAAAAHj1/i8=")</f>
        <v>#VALUE!</v>
      </c>
      <c r="AW93" t="e">
        <f>AND(Bills!#REF!,"AAAAAHj1/jA=")</f>
        <v>#REF!</v>
      </c>
      <c r="AX93">
        <f>IF(Bills!234:234,"AAAAAHj1/jE=",0)</f>
        <v>0</v>
      </c>
      <c r="AY93" t="e">
        <f>AND(Bills!B234,"AAAAAHj1/jI=")</f>
        <v>#VALUE!</v>
      </c>
      <c r="AZ93" t="e">
        <f>AND(Bills!#REF!,"AAAAAHj1/jM=")</f>
        <v>#REF!</v>
      </c>
      <c r="BA93" t="e">
        <f>AND(Bills!C234,"AAAAAHj1/jQ=")</f>
        <v>#VALUE!</v>
      </c>
      <c r="BB93" t="e">
        <f>AND(Bills!#REF!,"AAAAAHj1/jU=")</f>
        <v>#REF!</v>
      </c>
      <c r="BC93" t="e">
        <f>AND(Bills!#REF!,"AAAAAHj1/jY=")</f>
        <v>#REF!</v>
      </c>
      <c r="BD93" t="e">
        <f>AND(Bills!#REF!,"AAAAAHj1/jc=")</f>
        <v>#REF!</v>
      </c>
      <c r="BE93" t="e">
        <f>AND(Bills!#REF!,"AAAAAHj1/jg=")</f>
        <v>#REF!</v>
      </c>
      <c r="BF93" t="e">
        <f>AND(Bills!#REF!,"AAAAAHj1/jk=")</f>
        <v>#REF!</v>
      </c>
      <c r="BG93" t="e">
        <f>AND(Bills!D234,"AAAAAHj1/jo=")</f>
        <v>#VALUE!</v>
      </c>
      <c r="BH93" t="e">
        <f>AND(Bills!#REF!,"AAAAAHj1/js=")</f>
        <v>#REF!</v>
      </c>
      <c r="BI93" t="e">
        <f>AND(Bills!E234,"AAAAAHj1/jw=")</f>
        <v>#VALUE!</v>
      </c>
      <c r="BJ93" t="e">
        <f>AND(Bills!F234,"AAAAAHj1/j0=")</f>
        <v>#VALUE!</v>
      </c>
      <c r="BK93" t="e">
        <f>AND(Bills!G234,"AAAAAHj1/j4=")</f>
        <v>#VALUE!</v>
      </c>
      <c r="BL93" t="e">
        <f>AND(Bills!H234,"AAAAAHj1/j8=")</f>
        <v>#VALUE!</v>
      </c>
      <c r="BM93" t="e">
        <f>AND(Bills!I234,"AAAAAHj1/kA=")</f>
        <v>#VALUE!</v>
      </c>
      <c r="BN93" t="e">
        <f>AND(Bills!J234,"AAAAAHj1/kE=")</f>
        <v>#VALUE!</v>
      </c>
      <c r="BO93" t="e">
        <f>AND(Bills!#REF!,"AAAAAHj1/kI=")</f>
        <v>#REF!</v>
      </c>
      <c r="BP93" t="e">
        <f>AND(Bills!K234,"AAAAAHj1/kM=")</f>
        <v>#VALUE!</v>
      </c>
      <c r="BQ93" t="e">
        <f>AND(Bills!L234,"AAAAAHj1/kQ=")</f>
        <v>#VALUE!</v>
      </c>
      <c r="BR93" t="e">
        <f>AND(Bills!M234,"AAAAAHj1/kU=")</f>
        <v>#VALUE!</v>
      </c>
      <c r="BS93" t="e">
        <f>AND(Bills!N234,"AAAAAHj1/kY=")</f>
        <v>#VALUE!</v>
      </c>
      <c r="BT93" t="e">
        <f>AND(Bills!O234,"AAAAAHj1/kc=")</f>
        <v>#VALUE!</v>
      </c>
      <c r="BU93" t="e">
        <f>AND(Bills!P234,"AAAAAHj1/kg=")</f>
        <v>#VALUE!</v>
      </c>
      <c r="BV93" t="e">
        <f>AND(Bills!Q234,"AAAAAHj1/kk=")</f>
        <v>#VALUE!</v>
      </c>
      <c r="BW93" t="e">
        <f>AND(Bills!R234,"AAAAAHj1/ko=")</f>
        <v>#VALUE!</v>
      </c>
      <c r="BX93" t="e">
        <f>AND(Bills!#REF!,"AAAAAHj1/ks=")</f>
        <v>#REF!</v>
      </c>
      <c r="BY93" t="e">
        <f>AND(Bills!S234,"AAAAAHj1/kw=")</f>
        <v>#VALUE!</v>
      </c>
      <c r="BZ93" t="e">
        <f>AND(Bills!T234,"AAAAAHj1/k0=")</f>
        <v>#VALUE!</v>
      </c>
      <c r="CA93" t="e">
        <f>AND(Bills!U234,"AAAAAHj1/k4=")</f>
        <v>#VALUE!</v>
      </c>
      <c r="CB93" t="e">
        <f>AND(Bills!#REF!,"AAAAAHj1/k8=")</f>
        <v>#REF!</v>
      </c>
      <c r="CC93" t="e">
        <f>AND(Bills!#REF!,"AAAAAHj1/lA=")</f>
        <v>#REF!</v>
      </c>
      <c r="CD93" t="e">
        <f>AND(Bills!W234,"AAAAAHj1/lE=")</f>
        <v>#VALUE!</v>
      </c>
      <c r="CE93" t="e">
        <f>AND(Bills!X234,"AAAAAHj1/lI=")</f>
        <v>#VALUE!</v>
      </c>
      <c r="CF93" t="e">
        <f>AND(Bills!#REF!,"AAAAAHj1/lM=")</f>
        <v>#REF!</v>
      </c>
      <c r="CG93" t="e">
        <f>AND(Bills!#REF!,"AAAAAHj1/lQ=")</f>
        <v>#REF!</v>
      </c>
      <c r="CH93" t="e">
        <f>AND(Bills!#REF!,"AAAAAHj1/lU=")</f>
        <v>#REF!</v>
      </c>
      <c r="CI93" t="e">
        <f>AND(Bills!#REF!,"AAAAAHj1/lY=")</f>
        <v>#REF!</v>
      </c>
      <c r="CJ93" t="e">
        <f>AND(Bills!#REF!,"AAAAAHj1/lc=")</f>
        <v>#REF!</v>
      </c>
      <c r="CK93" t="e">
        <f>AND(Bills!#REF!,"AAAAAHj1/lg=")</f>
        <v>#REF!</v>
      </c>
      <c r="CL93" t="e">
        <f>AND(Bills!#REF!,"AAAAAHj1/lk=")</f>
        <v>#REF!</v>
      </c>
      <c r="CM93" t="e">
        <f>AND(Bills!#REF!,"AAAAAHj1/lo=")</f>
        <v>#REF!</v>
      </c>
      <c r="CN93" t="e">
        <f>AND(Bills!#REF!,"AAAAAHj1/ls=")</f>
        <v>#REF!</v>
      </c>
      <c r="CO93" t="e">
        <f>AND(Bills!Y234,"AAAAAHj1/lw=")</f>
        <v>#VALUE!</v>
      </c>
      <c r="CP93" t="e">
        <f>AND(Bills!Z234,"AAAAAHj1/l0=")</f>
        <v>#VALUE!</v>
      </c>
      <c r="CQ93" t="e">
        <f>AND(Bills!#REF!,"AAAAAHj1/l4=")</f>
        <v>#REF!</v>
      </c>
      <c r="CR93" t="e">
        <f>AND(Bills!#REF!,"AAAAAHj1/l8=")</f>
        <v>#REF!</v>
      </c>
      <c r="CS93" t="e">
        <f>AND(Bills!#REF!,"AAAAAHj1/mA=")</f>
        <v>#REF!</v>
      </c>
      <c r="CT93" t="e">
        <f>AND(Bills!AA234,"AAAAAHj1/mE=")</f>
        <v>#VALUE!</v>
      </c>
      <c r="CU93" t="e">
        <f>AND(Bills!AB234,"AAAAAHj1/mI=")</f>
        <v>#VALUE!</v>
      </c>
      <c r="CV93" t="e">
        <f>AND(Bills!#REF!,"AAAAAHj1/mM=")</f>
        <v>#REF!</v>
      </c>
      <c r="CW93">
        <f>IF(Bills!235:235,"AAAAAHj1/mQ=",0)</f>
        <v>0</v>
      </c>
      <c r="CX93" t="e">
        <f>AND(Bills!B235,"AAAAAHj1/mU=")</f>
        <v>#VALUE!</v>
      </c>
      <c r="CY93" t="e">
        <f>AND(Bills!#REF!,"AAAAAHj1/mY=")</f>
        <v>#REF!</v>
      </c>
      <c r="CZ93" t="e">
        <f>AND(Bills!C235,"AAAAAHj1/mc=")</f>
        <v>#VALUE!</v>
      </c>
      <c r="DA93" t="e">
        <f>AND(Bills!#REF!,"AAAAAHj1/mg=")</f>
        <v>#REF!</v>
      </c>
      <c r="DB93" t="e">
        <f>AND(Bills!#REF!,"AAAAAHj1/mk=")</f>
        <v>#REF!</v>
      </c>
      <c r="DC93" t="e">
        <f>AND(Bills!#REF!,"AAAAAHj1/mo=")</f>
        <v>#REF!</v>
      </c>
      <c r="DD93" t="e">
        <f>AND(Bills!#REF!,"AAAAAHj1/ms=")</f>
        <v>#REF!</v>
      </c>
      <c r="DE93" t="e">
        <f>AND(Bills!#REF!,"AAAAAHj1/mw=")</f>
        <v>#REF!</v>
      </c>
      <c r="DF93" t="e">
        <f>AND(Bills!D235,"AAAAAHj1/m0=")</f>
        <v>#VALUE!</v>
      </c>
      <c r="DG93" t="e">
        <f>AND(Bills!#REF!,"AAAAAHj1/m4=")</f>
        <v>#REF!</v>
      </c>
      <c r="DH93" t="e">
        <f>AND(Bills!E235,"AAAAAHj1/m8=")</f>
        <v>#VALUE!</v>
      </c>
      <c r="DI93" t="e">
        <f>AND(Bills!F235,"AAAAAHj1/nA=")</f>
        <v>#VALUE!</v>
      </c>
      <c r="DJ93" t="e">
        <f>AND(Bills!G235,"AAAAAHj1/nE=")</f>
        <v>#VALUE!</v>
      </c>
      <c r="DK93" t="e">
        <f>AND(Bills!H235,"AAAAAHj1/nI=")</f>
        <v>#VALUE!</v>
      </c>
      <c r="DL93" t="e">
        <f>AND(Bills!I235,"AAAAAHj1/nM=")</f>
        <v>#VALUE!</v>
      </c>
      <c r="DM93" t="e">
        <f>AND(Bills!J235,"AAAAAHj1/nQ=")</f>
        <v>#VALUE!</v>
      </c>
      <c r="DN93" t="e">
        <f>AND(Bills!#REF!,"AAAAAHj1/nU=")</f>
        <v>#REF!</v>
      </c>
      <c r="DO93" t="e">
        <f>AND(Bills!K235,"AAAAAHj1/nY=")</f>
        <v>#VALUE!</v>
      </c>
      <c r="DP93" t="e">
        <f>AND(Bills!L235,"AAAAAHj1/nc=")</f>
        <v>#VALUE!</v>
      </c>
      <c r="DQ93" t="e">
        <f>AND(Bills!M235,"AAAAAHj1/ng=")</f>
        <v>#VALUE!</v>
      </c>
      <c r="DR93" t="e">
        <f>AND(Bills!N235,"AAAAAHj1/nk=")</f>
        <v>#VALUE!</v>
      </c>
      <c r="DS93" t="e">
        <f>AND(Bills!O235,"AAAAAHj1/no=")</f>
        <v>#VALUE!</v>
      </c>
      <c r="DT93" t="e">
        <f>AND(Bills!P235,"AAAAAHj1/ns=")</f>
        <v>#VALUE!</v>
      </c>
      <c r="DU93" t="e">
        <f>AND(Bills!Q235,"AAAAAHj1/nw=")</f>
        <v>#VALUE!</v>
      </c>
      <c r="DV93" t="e">
        <f>AND(Bills!R235,"AAAAAHj1/n0=")</f>
        <v>#VALUE!</v>
      </c>
      <c r="DW93" t="e">
        <f>AND(Bills!#REF!,"AAAAAHj1/n4=")</f>
        <v>#REF!</v>
      </c>
      <c r="DX93" t="e">
        <f>AND(Bills!S235,"AAAAAHj1/n8=")</f>
        <v>#VALUE!</v>
      </c>
      <c r="DY93" t="e">
        <f>AND(Bills!T235,"AAAAAHj1/oA=")</f>
        <v>#VALUE!</v>
      </c>
      <c r="DZ93" t="e">
        <f>AND(Bills!U235,"AAAAAHj1/oE=")</f>
        <v>#VALUE!</v>
      </c>
      <c r="EA93" t="e">
        <f>AND(Bills!#REF!,"AAAAAHj1/oI=")</f>
        <v>#REF!</v>
      </c>
      <c r="EB93" t="e">
        <f>AND(Bills!#REF!,"AAAAAHj1/oM=")</f>
        <v>#REF!</v>
      </c>
      <c r="EC93" t="e">
        <f>AND(Bills!W235,"AAAAAHj1/oQ=")</f>
        <v>#VALUE!</v>
      </c>
      <c r="ED93" t="e">
        <f>AND(Bills!X235,"AAAAAHj1/oU=")</f>
        <v>#VALUE!</v>
      </c>
      <c r="EE93" t="e">
        <f>AND(Bills!#REF!,"AAAAAHj1/oY=")</f>
        <v>#REF!</v>
      </c>
      <c r="EF93" t="e">
        <f>AND(Bills!#REF!,"AAAAAHj1/oc=")</f>
        <v>#REF!</v>
      </c>
      <c r="EG93" t="e">
        <f>AND(Bills!#REF!,"AAAAAHj1/og=")</f>
        <v>#REF!</v>
      </c>
      <c r="EH93" t="e">
        <f>AND(Bills!#REF!,"AAAAAHj1/ok=")</f>
        <v>#REF!</v>
      </c>
      <c r="EI93" t="e">
        <f>AND(Bills!#REF!,"AAAAAHj1/oo=")</f>
        <v>#REF!</v>
      </c>
      <c r="EJ93" t="e">
        <f>AND(Bills!#REF!,"AAAAAHj1/os=")</f>
        <v>#REF!</v>
      </c>
      <c r="EK93" t="e">
        <f>AND(Bills!#REF!,"AAAAAHj1/ow=")</f>
        <v>#REF!</v>
      </c>
      <c r="EL93" t="e">
        <f>AND(Bills!#REF!,"AAAAAHj1/o0=")</f>
        <v>#REF!</v>
      </c>
      <c r="EM93" t="e">
        <f>AND(Bills!#REF!,"AAAAAHj1/o4=")</f>
        <v>#REF!</v>
      </c>
      <c r="EN93" t="e">
        <f>AND(Bills!Y235,"AAAAAHj1/o8=")</f>
        <v>#VALUE!</v>
      </c>
      <c r="EO93" t="e">
        <f>AND(Bills!Z235,"AAAAAHj1/pA=")</f>
        <v>#VALUE!</v>
      </c>
      <c r="EP93" t="e">
        <f>AND(Bills!#REF!,"AAAAAHj1/pE=")</f>
        <v>#REF!</v>
      </c>
      <c r="EQ93" t="e">
        <f>AND(Bills!#REF!,"AAAAAHj1/pI=")</f>
        <v>#REF!</v>
      </c>
      <c r="ER93" t="e">
        <f>AND(Bills!#REF!,"AAAAAHj1/pM=")</f>
        <v>#REF!</v>
      </c>
      <c r="ES93" t="e">
        <f>AND(Bills!AA235,"AAAAAHj1/pQ=")</f>
        <v>#VALUE!</v>
      </c>
      <c r="ET93" t="e">
        <f>AND(Bills!AB235,"AAAAAHj1/pU=")</f>
        <v>#VALUE!</v>
      </c>
      <c r="EU93" t="e">
        <f>AND(Bills!#REF!,"AAAAAHj1/pY=")</f>
        <v>#REF!</v>
      </c>
      <c r="EV93">
        <f>IF(Bills!236:236,"AAAAAHj1/pc=",0)</f>
        <v>0</v>
      </c>
      <c r="EW93" t="e">
        <f>AND(Bills!B236,"AAAAAHj1/pg=")</f>
        <v>#VALUE!</v>
      </c>
      <c r="EX93" t="e">
        <f>AND(Bills!#REF!,"AAAAAHj1/pk=")</f>
        <v>#REF!</v>
      </c>
      <c r="EY93" t="e">
        <f>AND(Bills!C236,"AAAAAHj1/po=")</f>
        <v>#VALUE!</v>
      </c>
      <c r="EZ93" t="e">
        <f>AND(Bills!#REF!,"AAAAAHj1/ps=")</f>
        <v>#REF!</v>
      </c>
      <c r="FA93" t="e">
        <f>AND(Bills!#REF!,"AAAAAHj1/pw=")</f>
        <v>#REF!</v>
      </c>
      <c r="FB93" t="e">
        <f>AND(Bills!#REF!,"AAAAAHj1/p0=")</f>
        <v>#REF!</v>
      </c>
      <c r="FC93" t="e">
        <f>AND(Bills!#REF!,"AAAAAHj1/p4=")</f>
        <v>#REF!</v>
      </c>
      <c r="FD93" t="e">
        <f>AND(Bills!#REF!,"AAAAAHj1/p8=")</f>
        <v>#REF!</v>
      </c>
      <c r="FE93" t="e">
        <f>AND(Bills!D236,"AAAAAHj1/qA=")</f>
        <v>#VALUE!</v>
      </c>
      <c r="FF93" t="e">
        <f>AND(Bills!#REF!,"AAAAAHj1/qE=")</f>
        <v>#REF!</v>
      </c>
      <c r="FG93" t="e">
        <f>AND(Bills!E236,"AAAAAHj1/qI=")</f>
        <v>#VALUE!</v>
      </c>
      <c r="FH93" t="e">
        <f>AND(Bills!F236,"AAAAAHj1/qM=")</f>
        <v>#VALUE!</v>
      </c>
      <c r="FI93" t="e">
        <f>AND(Bills!G236,"AAAAAHj1/qQ=")</f>
        <v>#VALUE!</v>
      </c>
      <c r="FJ93" t="e">
        <f>AND(Bills!H236,"AAAAAHj1/qU=")</f>
        <v>#VALUE!</v>
      </c>
      <c r="FK93" t="e">
        <f>AND(Bills!I236,"AAAAAHj1/qY=")</f>
        <v>#VALUE!</v>
      </c>
      <c r="FL93" t="e">
        <f>AND(Bills!J236,"AAAAAHj1/qc=")</f>
        <v>#VALUE!</v>
      </c>
      <c r="FM93" t="e">
        <f>AND(Bills!#REF!,"AAAAAHj1/qg=")</f>
        <v>#REF!</v>
      </c>
      <c r="FN93" t="e">
        <f>AND(Bills!K236,"AAAAAHj1/qk=")</f>
        <v>#VALUE!</v>
      </c>
      <c r="FO93" t="e">
        <f>AND(Bills!L236,"AAAAAHj1/qo=")</f>
        <v>#VALUE!</v>
      </c>
      <c r="FP93" t="e">
        <f>AND(Bills!M236,"AAAAAHj1/qs=")</f>
        <v>#VALUE!</v>
      </c>
      <c r="FQ93" t="e">
        <f>AND(Bills!N236,"AAAAAHj1/qw=")</f>
        <v>#VALUE!</v>
      </c>
      <c r="FR93" t="e">
        <f>AND(Bills!O236,"AAAAAHj1/q0=")</f>
        <v>#VALUE!</v>
      </c>
      <c r="FS93" t="e">
        <f>AND(Bills!P236,"AAAAAHj1/q4=")</f>
        <v>#VALUE!</v>
      </c>
      <c r="FT93" t="e">
        <f>AND(Bills!Q236,"AAAAAHj1/q8=")</f>
        <v>#VALUE!</v>
      </c>
      <c r="FU93" t="e">
        <f>AND(Bills!R236,"AAAAAHj1/rA=")</f>
        <v>#VALUE!</v>
      </c>
      <c r="FV93" t="e">
        <f>AND(Bills!#REF!,"AAAAAHj1/rE=")</f>
        <v>#REF!</v>
      </c>
      <c r="FW93" t="e">
        <f>AND(Bills!S236,"AAAAAHj1/rI=")</f>
        <v>#VALUE!</v>
      </c>
      <c r="FX93" t="e">
        <f>AND(Bills!T236,"AAAAAHj1/rM=")</f>
        <v>#VALUE!</v>
      </c>
      <c r="FY93" t="e">
        <f>AND(Bills!U236,"AAAAAHj1/rQ=")</f>
        <v>#VALUE!</v>
      </c>
      <c r="FZ93" t="e">
        <f>AND(Bills!#REF!,"AAAAAHj1/rU=")</f>
        <v>#REF!</v>
      </c>
      <c r="GA93" t="e">
        <f>AND(Bills!#REF!,"AAAAAHj1/rY=")</f>
        <v>#REF!</v>
      </c>
      <c r="GB93" t="e">
        <f>AND(Bills!W236,"AAAAAHj1/rc=")</f>
        <v>#VALUE!</v>
      </c>
      <c r="GC93" t="e">
        <f>AND(Bills!X236,"AAAAAHj1/rg=")</f>
        <v>#VALUE!</v>
      </c>
      <c r="GD93" t="e">
        <f>AND(Bills!#REF!,"AAAAAHj1/rk=")</f>
        <v>#REF!</v>
      </c>
      <c r="GE93" t="e">
        <f>AND(Bills!#REF!,"AAAAAHj1/ro=")</f>
        <v>#REF!</v>
      </c>
      <c r="GF93" t="e">
        <f>AND(Bills!#REF!,"AAAAAHj1/rs=")</f>
        <v>#REF!</v>
      </c>
      <c r="GG93" t="e">
        <f>AND(Bills!#REF!,"AAAAAHj1/rw=")</f>
        <v>#REF!</v>
      </c>
      <c r="GH93" t="e">
        <f>AND(Bills!#REF!,"AAAAAHj1/r0=")</f>
        <v>#REF!</v>
      </c>
      <c r="GI93" t="e">
        <f>AND(Bills!#REF!,"AAAAAHj1/r4=")</f>
        <v>#REF!</v>
      </c>
      <c r="GJ93" t="e">
        <f>AND(Bills!#REF!,"AAAAAHj1/r8=")</f>
        <v>#REF!</v>
      </c>
      <c r="GK93" t="e">
        <f>AND(Bills!#REF!,"AAAAAHj1/sA=")</f>
        <v>#REF!</v>
      </c>
      <c r="GL93" t="e">
        <f>AND(Bills!#REF!,"AAAAAHj1/sE=")</f>
        <v>#REF!</v>
      </c>
      <c r="GM93" t="e">
        <f>AND(Bills!Y236,"AAAAAHj1/sI=")</f>
        <v>#VALUE!</v>
      </c>
      <c r="GN93" t="e">
        <f>AND(Bills!Z236,"AAAAAHj1/sM=")</f>
        <v>#VALUE!</v>
      </c>
      <c r="GO93" t="e">
        <f>AND(Bills!#REF!,"AAAAAHj1/sQ=")</f>
        <v>#REF!</v>
      </c>
      <c r="GP93" t="e">
        <f>AND(Bills!#REF!,"AAAAAHj1/sU=")</f>
        <v>#REF!</v>
      </c>
      <c r="GQ93" t="e">
        <f>AND(Bills!#REF!,"AAAAAHj1/sY=")</f>
        <v>#REF!</v>
      </c>
      <c r="GR93" t="e">
        <f>AND(Bills!AA236,"AAAAAHj1/sc=")</f>
        <v>#VALUE!</v>
      </c>
      <c r="GS93" t="e">
        <f>AND(Bills!AB236,"AAAAAHj1/sg=")</f>
        <v>#VALUE!</v>
      </c>
      <c r="GT93" t="e">
        <f>AND(Bills!#REF!,"AAAAAHj1/sk=")</f>
        <v>#REF!</v>
      </c>
      <c r="GU93">
        <f>IF(Bills!237:237,"AAAAAHj1/so=",0)</f>
        <v>0</v>
      </c>
      <c r="GV93" t="e">
        <f>AND(Bills!B237,"AAAAAHj1/ss=")</f>
        <v>#VALUE!</v>
      </c>
      <c r="GW93" t="e">
        <f>AND(Bills!#REF!,"AAAAAHj1/sw=")</f>
        <v>#REF!</v>
      </c>
      <c r="GX93" t="e">
        <f>AND(Bills!C237,"AAAAAHj1/s0=")</f>
        <v>#VALUE!</v>
      </c>
      <c r="GY93" t="e">
        <f>AND(Bills!#REF!,"AAAAAHj1/s4=")</f>
        <v>#REF!</v>
      </c>
      <c r="GZ93" t="e">
        <f>AND(Bills!#REF!,"AAAAAHj1/s8=")</f>
        <v>#REF!</v>
      </c>
      <c r="HA93" t="e">
        <f>AND(Bills!#REF!,"AAAAAHj1/tA=")</f>
        <v>#REF!</v>
      </c>
      <c r="HB93" t="e">
        <f>AND(Bills!#REF!,"AAAAAHj1/tE=")</f>
        <v>#REF!</v>
      </c>
      <c r="HC93" t="e">
        <f>AND(Bills!#REF!,"AAAAAHj1/tI=")</f>
        <v>#REF!</v>
      </c>
      <c r="HD93" t="e">
        <f>AND(Bills!D237,"AAAAAHj1/tM=")</f>
        <v>#VALUE!</v>
      </c>
      <c r="HE93" t="e">
        <f>AND(Bills!#REF!,"AAAAAHj1/tQ=")</f>
        <v>#REF!</v>
      </c>
      <c r="HF93" t="e">
        <f>AND(Bills!E237,"AAAAAHj1/tU=")</f>
        <v>#VALUE!</v>
      </c>
      <c r="HG93" t="e">
        <f>AND(Bills!F237,"AAAAAHj1/tY=")</f>
        <v>#VALUE!</v>
      </c>
      <c r="HH93" t="e">
        <f>AND(Bills!G237,"AAAAAHj1/tc=")</f>
        <v>#VALUE!</v>
      </c>
      <c r="HI93" t="e">
        <f>AND(Bills!H237,"AAAAAHj1/tg=")</f>
        <v>#VALUE!</v>
      </c>
      <c r="HJ93" t="e">
        <f>AND(Bills!I237,"AAAAAHj1/tk=")</f>
        <v>#VALUE!</v>
      </c>
      <c r="HK93" t="e">
        <f>AND(Bills!J237,"AAAAAHj1/to=")</f>
        <v>#VALUE!</v>
      </c>
      <c r="HL93" t="e">
        <f>AND(Bills!#REF!,"AAAAAHj1/ts=")</f>
        <v>#REF!</v>
      </c>
      <c r="HM93" t="e">
        <f>AND(Bills!K237,"AAAAAHj1/tw=")</f>
        <v>#VALUE!</v>
      </c>
      <c r="HN93" t="e">
        <f>AND(Bills!L237,"AAAAAHj1/t0=")</f>
        <v>#VALUE!</v>
      </c>
      <c r="HO93" t="e">
        <f>AND(Bills!M237,"AAAAAHj1/t4=")</f>
        <v>#VALUE!</v>
      </c>
      <c r="HP93" t="e">
        <f>AND(Bills!N237,"AAAAAHj1/t8=")</f>
        <v>#VALUE!</v>
      </c>
      <c r="HQ93" t="e">
        <f>AND(Bills!O237,"AAAAAHj1/uA=")</f>
        <v>#VALUE!</v>
      </c>
      <c r="HR93" t="e">
        <f>AND(Bills!P237,"AAAAAHj1/uE=")</f>
        <v>#VALUE!</v>
      </c>
      <c r="HS93" t="e">
        <f>AND(Bills!Q237,"AAAAAHj1/uI=")</f>
        <v>#VALUE!</v>
      </c>
      <c r="HT93" t="e">
        <f>AND(Bills!R237,"AAAAAHj1/uM=")</f>
        <v>#VALUE!</v>
      </c>
      <c r="HU93" t="e">
        <f>AND(Bills!#REF!,"AAAAAHj1/uQ=")</f>
        <v>#REF!</v>
      </c>
      <c r="HV93" t="e">
        <f>AND(Bills!S237,"AAAAAHj1/uU=")</f>
        <v>#VALUE!</v>
      </c>
      <c r="HW93" t="e">
        <f>AND(Bills!T237,"AAAAAHj1/uY=")</f>
        <v>#VALUE!</v>
      </c>
      <c r="HX93" t="e">
        <f>AND(Bills!U237,"AAAAAHj1/uc=")</f>
        <v>#VALUE!</v>
      </c>
      <c r="HY93" t="e">
        <f>AND(Bills!#REF!,"AAAAAHj1/ug=")</f>
        <v>#REF!</v>
      </c>
      <c r="HZ93" t="e">
        <f>AND(Bills!#REF!,"AAAAAHj1/uk=")</f>
        <v>#REF!</v>
      </c>
      <c r="IA93" t="e">
        <f>AND(Bills!W237,"AAAAAHj1/uo=")</f>
        <v>#VALUE!</v>
      </c>
      <c r="IB93" t="e">
        <f>AND(Bills!X237,"AAAAAHj1/us=")</f>
        <v>#VALUE!</v>
      </c>
      <c r="IC93" t="e">
        <f>AND(Bills!#REF!,"AAAAAHj1/uw=")</f>
        <v>#REF!</v>
      </c>
      <c r="ID93" t="e">
        <f>AND(Bills!#REF!,"AAAAAHj1/u0=")</f>
        <v>#REF!</v>
      </c>
      <c r="IE93" t="e">
        <f>AND(Bills!#REF!,"AAAAAHj1/u4=")</f>
        <v>#REF!</v>
      </c>
      <c r="IF93" t="e">
        <f>AND(Bills!#REF!,"AAAAAHj1/u8=")</f>
        <v>#REF!</v>
      </c>
      <c r="IG93" t="e">
        <f>AND(Bills!#REF!,"AAAAAHj1/vA=")</f>
        <v>#REF!</v>
      </c>
      <c r="IH93" t="e">
        <f>AND(Bills!#REF!,"AAAAAHj1/vE=")</f>
        <v>#REF!</v>
      </c>
      <c r="II93" t="e">
        <f>AND(Bills!#REF!,"AAAAAHj1/vI=")</f>
        <v>#REF!</v>
      </c>
      <c r="IJ93" t="e">
        <f>AND(Bills!#REF!,"AAAAAHj1/vM=")</f>
        <v>#REF!</v>
      </c>
      <c r="IK93" t="e">
        <f>AND(Bills!#REF!,"AAAAAHj1/vQ=")</f>
        <v>#REF!</v>
      </c>
      <c r="IL93" t="e">
        <f>AND(Bills!Y237,"AAAAAHj1/vU=")</f>
        <v>#VALUE!</v>
      </c>
      <c r="IM93" t="e">
        <f>AND(Bills!Z237,"AAAAAHj1/vY=")</f>
        <v>#VALUE!</v>
      </c>
      <c r="IN93" t="e">
        <f>AND(Bills!#REF!,"AAAAAHj1/vc=")</f>
        <v>#REF!</v>
      </c>
      <c r="IO93" t="e">
        <f>AND(Bills!#REF!,"AAAAAHj1/vg=")</f>
        <v>#REF!</v>
      </c>
      <c r="IP93" t="e">
        <f>AND(Bills!#REF!,"AAAAAHj1/vk=")</f>
        <v>#REF!</v>
      </c>
      <c r="IQ93" t="e">
        <f>AND(Bills!AA237,"AAAAAHj1/vo=")</f>
        <v>#VALUE!</v>
      </c>
      <c r="IR93" t="e">
        <f>AND(Bills!AB237,"AAAAAHj1/vs=")</f>
        <v>#VALUE!</v>
      </c>
      <c r="IS93" t="e">
        <f>AND(Bills!#REF!,"AAAAAHj1/vw=")</f>
        <v>#REF!</v>
      </c>
      <c r="IT93">
        <f>IF(Bills!238:238,"AAAAAHj1/v0=",0)</f>
        <v>0</v>
      </c>
      <c r="IU93" t="e">
        <f>AND(Bills!B238,"AAAAAHj1/v4=")</f>
        <v>#VALUE!</v>
      </c>
      <c r="IV93" t="e">
        <f>AND(Bills!#REF!,"AAAAAHj1/v8=")</f>
        <v>#REF!</v>
      </c>
    </row>
    <row r="94" spans="1:256">
      <c r="A94" t="e">
        <f>AND(Bills!C238,"AAAAAB/a3wA=")</f>
        <v>#VALUE!</v>
      </c>
      <c r="B94" t="e">
        <f>AND(Bills!#REF!,"AAAAAB/a3wE=")</f>
        <v>#REF!</v>
      </c>
      <c r="C94" t="e">
        <f>AND(Bills!#REF!,"AAAAAB/a3wI=")</f>
        <v>#REF!</v>
      </c>
      <c r="D94" t="e">
        <f>AND(Bills!#REF!,"AAAAAB/a3wM=")</f>
        <v>#REF!</v>
      </c>
      <c r="E94" t="e">
        <f>AND(Bills!#REF!,"AAAAAB/a3wQ=")</f>
        <v>#REF!</v>
      </c>
      <c r="F94" t="e">
        <f>AND(Bills!#REF!,"AAAAAB/a3wU=")</f>
        <v>#REF!</v>
      </c>
      <c r="G94" t="e">
        <f>AND(Bills!D238,"AAAAAB/a3wY=")</f>
        <v>#VALUE!</v>
      </c>
      <c r="H94" t="e">
        <f>AND(Bills!#REF!,"AAAAAB/a3wc=")</f>
        <v>#REF!</v>
      </c>
      <c r="I94" t="e">
        <f>AND(Bills!E238,"AAAAAB/a3wg=")</f>
        <v>#VALUE!</v>
      </c>
      <c r="J94" t="e">
        <f>AND(Bills!F238,"AAAAAB/a3wk=")</f>
        <v>#VALUE!</v>
      </c>
      <c r="K94" t="e">
        <f>AND(Bills!G238,"AAAAAB/a3wo=")</f>
        <v>#VALUE!</v>
      </c>
      <c r="L94" t="e">
        <f>AND(Bills!H238,"AAAAAB/a3ws=")</f>
        <v>#VALUE!</v>
      </c>
      <c r="M94" t="e">
        <f>AND(Bills!I238,"AAAAAB/a3ww=")</f>
        <v>#VALUE!</v>
      </c>
      <c r="N94" t="e">
        <f>AND(Bills!J238,"AAAAAB/a3w0=")</f>
        <v>#VALUE!</v>
      </c>
      <c r="O94" t="e">
        <f>AND(Bills!#REF!,"AAAAAB/a3w4=")</f>
        <v>#REF!</v>
      </c>
      <c r="P94" t="e">
        <f>AND(Bills!K238,"AAAAAB/a3w8=")</f>
        <v>#VALUE!</v>
      </c>
      <c r="Q94" t="e">
        <f>AND(Bills!L238,"AAAAAB/a3xA=")</f>
        <v>#VALUE!</v>
      </c>
      <c r="R94" t="e">
        <f>AND(Bills!M238,"AAAAAB/a3xE=")</f>
        <v>#VALUE!</v>
      </c>
      <c r="S94" t="e">
        <f>AND(Bills!N238,"AAAAAB/a3xI=")</f>
        <v>#VALUE!</v>
      </c>
      <c r="T94" t="e">
        <f>AND(Bills!O238,"AAAAAB/a3xM=")</f>
        <v>#VALUE!</v>
      </c>
      <c r="U94" t="e">
        <f>AND(Bills!P238,"AAAAAB/a3xQ=")</f>
        <v>#VALUE!</v>
      </c>
      <c r="V94" t="e">
        <f>AND(Bills!Q238,"AAAAAB/a3xU=")</f>
        <v>#VALUE!</v>
      </c>
      <c r="W94" t="e">
        <f>AND(Bills!R238,"AAAAAB/a3xY=")</f>
        <v>#VALUE!</v>
      </c>
      <c r="X94" t="e">
        <f>AND(Bills!#REF!,"AAAAAB/a3xc=")</f>
        <v>#REF!</v>
      </c>
      <c r="Y94" t="e">
        <f>AND(Bills!S238,"AAAAAB/a3xg=")</f>
        <v>#VALUE!</v>
      </c>
      <c r="Z94" t="e">
        <f>AND(Bills!T238,"AAAAAB/a3xk=")</f>
        <v>#VALUE!</v>
      </c>
      <c r="AA94" t="e">
        <f>AND(Bills!U238,"AAAAAB/a3xo=")</f>
        <v>#VALUE!</v>
      </c>
      <c r="AB94" t="e">
        <f>AND(Bills!#REF!,"AAAAAB/a3xs=")</f>
        <v>#REF!</v>
      </c>
      <c r="AC94" t="e">
        <f>AND(Bills!#REF!,"AAAAAB/a3xw=")</f>
        <v>#REF!</v>
      </c>
      <c r="AD94" t="e">
        <f>AND(Bills!W238,"AAAAAB/a3x0=")</f>
        <v>#VALUE!</v>
      </c>
      <c r="AE94" t="e">
        <f>AND(Bills!X238,"AAAAAB/a3x4=")</f>
        <v>#VALUE!</v>
      </c>
      <c r="AF94" t="e">
        <f>AND(Bills!#REF!,"AAAAAB/a3x8=")</f>
        <v>#REF!</v>
      </c>
      <c r="AG94" t="e">
        <f>AND(Bills!#REF!,"AAAAAB/a3yA=")</f>
        <v>#REF!</v>
      </c>
      <c r="AH94" t="e">
        <f>AND(Bills!#REF!,"AAAAAB/a3yE=")</f>
        <v>#REF!</v>
      </c>
      <c r="AI94" t="e">
        <f>AND(Bills!#REF!,"AAAAAB/a3yI=")</f>
        <v>#REF!</v>
      </c>
      <c r="AJ94" t="e">
        <f>AND(Bills!#REF!,"AAAAAB/a3yM=")</f>
        <v>#REF!</v>
      </c>
      <c r="AK94" t="e">
        <f>AND(Bills!#REF!,"AAAAAB/a3yQ=")</f>
        <v>#REF!</v>
      </c>
      <c r="AL94" t="e">
        <f>AND(Bills!#REF!,"AAAAAB/a3yU=")</f>
        <v>#REF!</v>
      </c>
      <c r="AM94" t="e">
        <f>AND(Bills!#REF!,"AAAAAB/a3yY=")</f>
        <v>#REF!</v>
      </c>
      <c r="AN94" t="e">
        <f>AND(Bills!#REF!,"AAAAAB/a3yc=")</f>
        <v>#REF!</v>
      </c>
      <c r="AO94" t="e">
        <f>AND(Bills!Y238,"AAAAAB/a3yg=")</f>
        <v>#VALUE!</v>
      </c>
      <c r="AP94" t="e">
        <f>AND(Bills!Z238,"AAAAAB/a3yk=")</f>
        <v>#VALUE!</v>
      </c>
      <c r="AQ94" t="e">
        <f>AND(Bills!#REF!,"AAAAAB/a3yo=")</f>
        <v>#REF!</v>
      </c>
      <c r="AR94" t="e">
        <f>AND(Bills!#REF!,"AAAAAB/a3ys=")</f>
        <v>#REF!</v>
      </c>
      <c r="AS94" t="e">
        <f>AND(Bills!#REF!,"AAAAAB/a3yw=")</f>
        <v>#REF!</v>
      </c>
      <c r="AT94" t="e">
        <f>AND(Bills!AA238,"AAAAAB/a3y0=")</f>
        <v>#VALUE!</v>
      </c>
      <c r="AU94" t="e">
        <f>AND(Bills!AB238,"AAAAAB/a3y4=")</f>
        <v>#VALUE!</v>
      </c>
      <c r="AV94" t="e">
        <f>AND(Bills!#REF!,"AAAAAB/a3y8=")</f>
        <v>#REF!</v>
      </c>
      <c r="AW94">
        <f>IF(Bills!239:239,"AAAAAB/a3zA=",0)</f>
        <v>0</v>
      </c>
      <c r="AX94" t="e">
        <f>AND(Bills!B239,"AAAAAB/a3zE=")</f>
        <v>#VALUE!</v>
      </c>
      <c r="AY94" t="e">
        <f>AND(Bills!#REF!,"AAAAAB/a3zI=")</f>
        <v>#REF!</v>
      </c>
      <c r="AZ94" t="e">
        <f>AND(Bills!C239,"AAAAAB/a3zM=")</f>
        <v>#VALUE!</v>
      </c>
      <c r="BA94" t="e">
        <f>AND(Bills!#REF!,"AAAAAB/a3zQ=")</f>
        <v>#REF!</v>
      </c>
      <c r="BB94" t="e">
        <f>AND(Bills!#REF!,"AAAAAB/a3zU=")</f>
        <v>#REF!</v>
      </c>
      <c r="BC94" t="e">
        <f>AND(Bills!#REF!,"AAAAAB/a3zY=")</f>
        <v>#REF!</v>
      </c>
      <c r="BD94" t="e">
        <f>AND(Bills!#REF!,"AAAAAB/a3zc=")</f>
        <v>#REF!</v>
      </c>
      <c r="BE94" t="e">
        <f>AND(Bills!#REF!,"AAAAAB/a3zg=")</f>
        <v>#REF!</v>
      </c>
      <c r="BF94" t="e">
        <f>AND(Bills!D239,"AAAAAB/a3zk=")</f>
        <v>#VALUE!</v>
      </c>
      <c r="BG94" t="e">
        <f>AND(Bills!#REF!,"AAAAAB/a3zo=")</f>
        <v>#REF!</v>
      </c>
      <c r="BH94" t="e">
        <f>AND(Bills!E239,"AAAAAB/a3zs=")</f>
        <v>#VALUE!</v>
      </c>
      <c r="BI94" t="e">
        <f>AND(Bills!F239,"AAAAAB/a3zw=")</f>
        <v>#VALUE!</v>
      </c>
      <c r="BJ94" t="e">
        <f>AND(Bills!G239,"AAAAAB/a3z0=")</f>
        <v>#VALUE!</v>
      </c>
      <c r="BK94" t="e">
        <f>AND(Bills!H239,"AAAAAB/a3z4=")</f>
        <v>#VALUE!</v>
      </c>
      <c r="BL94" t="e">
        <f>AND(Bills!I239,"AAAAAB/a3z8=")</f>
        <v>#VALUE!</v>
      </c>
      <c r="BM94" t="e">
        <f>AND(Bills!J239,"AAAAAB/a30A=")</f>
        <v>#VALUE!</v>
      </c>
      <c r="BN94" t="e">
        <f>AND(Bills!#REF!,"AAAAAB/a30E=")</f>
        <v>#REF!</v>
      </c>
      <c r="BO94" t="e">
        <f>AND(Bills!K239,"AAAAAB/a30I=")</f>
        <v>#VALUE!</v>
      </c>
      <c r="BP94" t="e">
        <f>AND(Bills!L239,"AAAAAB/a30M=")</f>
        <v>#VALUE!</v>
      </c>
      <c r="BQ94" t="e">
        <f>AND(Bills!M239,"AAAAAB/a30Q=")</f>
        <v>#VALUE!</v>
      </c>
      <c r="BR94" t="e">
        <f>AND(Bills!N239,"AAAAAB/a30U=")</f>
        <v>#VALUE!</v>
      </c>
      <c r="BS94" t="e">
        <f>AND(Bills!O239,"AAAAAB/a30Y=")</f>
        <v>#VALUE!</v>
      </c>
      <c r="BT94" t="e">
        <f>AND(Bills!P239,"AAAAAB/a30c=")</f>
        <v>#VALUE!</v>
      </c>
      <c r="BU94" t="e">
        <f>AND(Bills!Q239,"AAAAAB/a30g=")</f>
        <v>#VALUE!</v>
      </c>
      <c r="BV94" t="e">
        <f>AND(Bills!R239,"AAAAAB/a30k=")</f>
        <v>#VALUE!</v>
      </c>
      <c r="BW94" t="e">
        <f>AND(Bills!#REF!,"AAAAAB/a30o=")</f>
        <v>#REF!</v>
      </c>
      <c r="BX94" t="e">
        <f>AND(Bills!S239,"AAAAAB/a30s=")</f>
        <v>#VALUE!</v>
      </c>
      <c r="BY94" t="e">
        <f>AND(Bills!T239,"AAAAAB/a30w=")</f>
        <v>#VALUE!</v>
      </c>
      <c r="BZ94" t="e">
        <f>AND(Bills!U239,"AAAAAB/a300=")</f>
        <v>#VALUE!</v>
      </c>
      <c r="CA94" t="e">
        <f>AND(Bills!#REF!,"AAAAAB/a304=")</f>
        <v>#REF!</v>
      </c>
      <c r="CB94" t="e">
        <f>AND(Bills!#REF!,"AAAAAB/a308=")</f>
        <v>#REF!</v>
      </c>
      <c r="CC94" t="e">
        <f>AND(Bills!W239,"AAAAAB/a31A=")</f>
        <v>#VALUE!</v>
      </c>
      <c r="CD94" t="e">
        <f>AND(Bills!X239,"AAAAAB/a31E=")</f>
        <v>#VALUE!</v>
      </c>
      <c r="CE94" t="e">
        <f>AND(Bills!#REF!,"AAAAAB/a31I=")</f>
        <v>#REF!</v>
      </c>
      <c r="CF94" t="e">
        <f>AND(Bills!#REF!,"AAAAAB/a31M=")</f>
        <v>#REF!</v>
      </c>
      <c r="CG94" t="e">
        <f>AND(Bills!#REF!,"AAAAAB/a31Q=")</f>
        <v>#REF!</v>
      </c>
      <c r="CH94" t="e">
        <f>AND(Bills!#REF!,"AAAAAB/a31U=")</f>
        <v>#REF!</v>
      </c>
      <c r="CI94" t="e">
        <f>AND(Bills!#REF!,"AAAAAB/a31Y=")</f>
        <v>#REF!</v>
      </c>
      <c r="CJ94" t="e">
        <f>AND(Bills!#REF!,"AAAAAB/a31c=")</f>
        <v>#REF!</v>
      </c>
      <c r="CK94" t="e">
        <f>AND(Bills!#REF!,"AAAAAB/a31g=")</f>
        <v>#REF!</v>
      </c>
      <c r="CL94" t="e">
        <f>AND(Bills!#REF!,"AAAAAB/a31k=")</f>
        <v>#REF!</v>
      </c>
      <c r="CM94" t="e">
        <f>AND(Bills!#REF!,"AAAAAB/a31o=")</f>
        <v>#REF!</v>
      </c>
      <c r="CN94" t="e">
        <f>AND(Bills!Y239,"AAAAAB/a31s=")</f>
        <v>#VALUE!</v>
      </c>
      <c r="CO94" t="e">
        <f>AND(Bills!Z239,"AAAAAB/a31w=")</f>
        <v>#VALUE!</v>
      </c>
      <c r="CP94" t="e">
        <f>AND(Bills!#REF!,"AAAAAB/a310=")</f>
        <v>#REF!</v>
      </c>
      <c r="CQ94" t="e">
        <f>AND(Bills!#REF!,"AAAAAB/a314=")</f>
        <v>#REF!</v>
      </c>
      <c r="CR94" t="e">
        <f>AND(Bills!#REF!,"AAAAAB/a318=")</f>
        <v>#REF!</v>
      </c>
      <c r="CS94" t="e">
        <f>AND(Bills!AA239,"AAAAAB/a32A=")</f>
        <v>#VALUE!</v>
      </c>
      <c r="CT94" t="e">
        <f>AND(Bills!AB239,"AAAAAB/a32E=")</f>
        <v>#VALUE!</v>
      </c>
      <c r="CU94" t="e">
        <f>AND(Bills!#REF!,"AAAAAB/a32I=")</f>
        <v>#REF!</v>
      </c>
      <c r="CV94">
        <f>IF(Bills!240:240,"AAAAAB/a32M=",0)</f>
        <v>0</v>
      </c>
      <c r="CW94" t="e">
        <f>AND(Bills!B240,"AAAAAB/a32Q=")</f>
        <v>#VALUE!</v>
      </c>
      <c r="CX94" t="e">
        <f>AND(Bills!#REF!,"AAAAAB/a32U=")</f>
        <v>#REF!</v>
      </c>
      <c r="CY94" t="e">
        <f>AND(Bills!C240,"AAAAAB/a32Y=")</f>
        <v>#VALUE!</v>
      </c>
      <c r="CZ94" t="e">
        <f>AND(Bills!#REF!,"AAAAAB/a32c=")</f>
        <v>#REF!</v>
      </c>
      <c r="DA94" t="e">
        <f>AND(Bills!#REF!,"AAAAAB/a32g=")</f>
        <v>#REF!</v>
      </c>
      <c r="DB94" t="e">
        <f>AND(Bills!#REF!,"AAAAAB/a32k=")</f>
        <v>#REF!</v>
      </c>
      <c r="DC94" t="e">
        <f>AND(Bills!#REF!,"AAAAAB/a32o=")</f>
        <v>#REF!</v>
      </c>
      <c r="DD94" t="e">
        <f>AND(Bills!#REF!,"AAAAAB/a32s=")</f>
        <v>#REF!</v>
      </c>
      <c r="DE94" t="e">
        <f>AND(Bills!D240,"AAAAAB/a32w=")</f>
        <v>#VALUE!</v>
      </c>
      <c r="DF94" t="e">
        <f>AND(Bills!#REF!,"AAAAAB/a320=")</f>
        <v>#REF!</v>
      </c>
      <c r="DG94" t="e">
        <f>AND(Bills!E240,"AAAAAB/a324=")</f>
        <v>#VALUE!</v>
      </c>
      <c r="DH94" t="e">
        <f>AND(Bills!F240,"AAAAAB/a328=")</f>
        <v>#VALUE!</v>
      </c>
      <c r="DI94" t="e">
        <f>AND(Bills!G240,"AAAAAB/a33A=")</f>
        <v>#VALUE!</v>
      </c>
      <c r="DJ94" t="e">
        <f>AND(Bills!H240,"AAAAAB/a33E=")</f>
        <v>#VALUE!</v>
      </c>
      <c r="DK94" t="e">
        <f>AND(Bills!I240,"AAAAAB/a33I=")</f>
        <v>#VALUE!</v>
      </c>
      <c r="DL94" t="e">
        <f>AND(Bills!J240,"AAAAAB/a33M=")</f>
        <v>#VALUE!</v>
      </c>
      <c r="DM94" t="e">
        <f>AND(Bills!#REF!,"AAAAAB/a33Q=")</f>
        <v>#REF!</v>
      </c>
      <c r="DN94" t="e">
        <f>AND(Bills!K240,"AAAAAB/a33U=")</f>
        <v>#VALUE!</v>
      </c>
      <c r="DO94" t="e">
        <f>AND(Bills!L240,"AAAAAB/a33Y=")</f>
        <v>#VALUE!</v>
      </c>
      <c r="DP94" t="e">
        <f>AND(Bills!M240,"AAAAAB/a33c=")</f>
        <v>#VALUE!</v>
      </c>
      <c r="DQ94" t="e">
        <f>AND(Bills!N240,"AAAAAB/a33g=")</f>
        <v>#VALUE!</v>
      </c>
      <c r="DR94" t="e">
        <f>AND(Bills!O240,"AAAAAB/a33k=")</f>
        <v>#VALUE!</v>
      </c>
      <c r="DS94" t="e">
        <f>AND(Bills!P240,"AAAAAB/a33o=")</f>
        <v>#VALUE!</v>
      </c>
      <c r="DT94" t="e">
        <f>AND(Bills!Q240,"AAAAAB/a33s=")</f>
        <v>#VALUE!</v>
      </c>
      <c r="DU94" t="e">
        <f>AND(Bills!R240,"AAAAAB/a33w=")</f>
        <v>#VALUE!</v>
      </c>
      <c r="DV94" t="e">
        <f>AND(Bills!#REF!,"AAAAAB/a330=")</f>
        <v>#REF!</v>
      </c>
      <c r="DW94" t="e">
        <f>AND(Bills!S240,"AAAAAB/a334=")</f>
        <v>#VALUE!</v>
      </c>
      <c r="DX94" t="e">
        <f>AND(Bills!T240,"AAAAAB/a338=")</f>
        <v>#VALUE!</v>
      </c>
      <c r="DY94" t="e">
        <f>AND(Bills!U240,"AAAAAB/a34A=")</f>
        <v>#VALUE!</v>
      </c>
      <c r="DZ94" t="e">
        <f>AND(Bills!#REF!,"AAAAAB/a34E=")</f>
        <v>#REF!</v>
      </c>
      <c r="EA94" t="e">
        <f>AND(Bills!#REF!,"AAAAAB/a34I=")</f>
        <v>#REF!</v>
      </c>
      <c r="EB94" t="e">
        <f>AND(Bills!W240,"AAAAAB/a34M=")</f>
        <v>#VALUE!</v>
      </c>
      <c r="EC94" t="e">
        <f>AND(Bills!X240,"AAAAAB/a34Q=")</f>
        <v>#VALUE!</v>
      </c>
      <c r="ED94" t="e">
        <f>AND(Bills!#REF!,"AAAAAB/a34U=")</f>
        <v>#REF!</v>
      </c>
      <c r="EE94" t="e">
        <f>AND(Bills!#REF!,"AAAAAB/a34Y=")</f>
        <v>#REF!</v>
      </c>
      <c r="EF94" t="e">
        <f>AND(Bills!#REF!,"AAAAAB/a34c=")</f>
        <v>#REF!</v>
      </c>
      <c r="EG94" t="e">
        <f>AND(Bills!#REF!,"AAAAAB/a34g=")</f>
        <v>#REF!</v>
      </c>
      <c r="EH94" t="e">
        <f>AND(Bills!#REF!,"AAAAAB/a34k=")</f>
        <v>#REF!</v>
      </c>
      <c r="EI94" t="e">
        <f>AND(Bills!#REF!,"AAAAAB/a34o=")</f>
        <v>#REF!</v>
      </c>
      <c r="EJ94" t="e">
        <f>AND(Bills!#REF!,"AAAAAB/a34s=")</f>
        <v>#REF!</v>
      </c>
      <c r="EK94" t="e">
        <f>AND(Bills!#REF!,"AAAAAB/a34w=")</f>
        <v>#REF!</v>
      </c>
      <c r="EL94" t="e">
        <f>AND(Bills!#REF!,"AAAAAB/a340=")</f>
        <v>#REF!</v>
      </c>
      <c r="EM94" t="e">
        <f>AND(Bills!Y240,"AAAAAB/a344=")</f>
        <v>#VALUE!</v>
      </c>
      <c r="EN94" t="e">
        <f>AND(Bills!Z240,"AAAAAB/a348=")</f>
        <v>#VALUE!</v>
      </c>
      <c r="EO94" t="e">
        <f>AND(Bills!#REF!,"AAAAAB/a35A=")</f>
        <v>#REF!</v>
      </c>
      <c r="EP94" t="e">
        <f>AND(Bills!#REF!,"AAAAAB/a35E=")</f>
        <v>#REF!</v>
      </c>
      <c r="EQ94" t="e">
        <f>AND(Bills!#REF!,"AAAAAB/a35I=")</f>
        <v>#REF!</v>
      </c>
      <c r="ER94" t="e">
        <f>AND(Bills!AA240,"AAAAAB/a35M=")</f>
        <v>#VALUE!</v>
      </c>
      <c r="ES94" t="e">
        <f>AND(Bills!AB240,"AAAAAB/a35Q=")</f>
        <v>#VALUE!</v>
      </c>
      <c r="ET94" t="e">
        <f>AND(Bills!#REF!,"AAAAAB/a35U=")</f>
        <v>#REF!</v>
      </c>
      <c r="EU94">
        <f>IF(Bills!241:241,"AAAAAB/a35Y=",0)</f>
        <v>0</v>
      </c>
      <c r="EV94" t="e">
        <f>AND(Bills!B241,"AAAAAB/a35c=")</f>
        <v>#VALUE!</v>
      </c>
      <c r="EW94" t="e">
        <f>AND(Bills!#REF!,"AAAAAB/a35g=")</f>
        <v>#REF!</v>
      </c>
      <c r="EX94" t="e">
        <f>AND(Bills!C241,"AAAAAB/a35k=")</f>
        <v>#VALUE!</v>
      </c>
      <c r="EY94" t="e">
        <f>AND(Bills!#REF!,"AAAAAB/a35o=")</f>
        <v>#REF!</v>
      </c>
      <c r="EZ94" t="e">
        <f>AND(Bills!#REF!,"AAAAAB/a35s=")</f>
        <v>#REF!</v>
      </c>
      <c r="FA94" t="e">
        <f>AND(Bills!#REF!,"AAAAAB/a35w=")</f>
        <v>#REF!</v>
      </c>
      <c r="FB94" t="e">
        <f>AND(Bills!#REF!,"AAAAAB/a350=")</f>
        <v>#REF!</v>
      </c>
      <c r="FC94" t="e">
        <f>AND(Bills!#REF!,"AAAAAB/a354=")</f>
        <v>#REF!</v>
      </c>
      <c r="FD94" t="e">
        <f>AND(Bills!D241,"AAAAAB/a358=")</f>
        <v>#VALUE!</v>
      </c>
      <c r="FE94" t="e">
        <f>AND(Bills!#REF!,"AAAAAB/a36A=")</f>
        <v>#REF!</v>
      </c>
      <c r="FF94" t="e">
        <f>AND(Bills!E241,"AAAAAB/a36E=")</f>
        <v>#VALUE!</v>
      </c>
      <c r="FG94" t="e">
        <f>AND(Bills!F241,"AAAAAB/a36I=")</f>
        <v>#VALUE!</v>
      </c>
      <c r="FH94" t="e">
        <f>AND(Bills!G241,"AAAAAB/a36M=")</f>
        <v>#VALUE!</v>
      </c>
      <c r="FI94" t="e">
        <f>AND(Bills!H241,"AAAAAB/a36Q=")</f>
        <v>#VALUE!</v>
      </c>
      <c r="FJ94" t="e">
        <f>AND(Bills!I241,"AAAAAB/a36U=")</f>
        <v>#VALUE!</v>
      </c>
      <c r="FK94" t="e">
        <f>AND(Bills!J241,"AAAAAB/a36Y=")</f>
        <v>#VALUE!</v>
      </c>
      <c r="FL94" t="e">
        <f>AND(Bills!#REF!,"AAAAAB/a36c=")</f>
        <v>#REF!</v>
      </c>
      <c r="FM94" t="e">
        <f>AND(Bills!K241,"AAAAAB/a36g=")</f>
        <v>#VALUE!</v>
      </c>
      <c r="FN94" t="e">
        <f>AND(Bills!L241,"AAAAAB/a36k=")</f>
        <v>#VALUE!</v>
      </c>
      <c r="FO94" t="e">
        <f>AND(Bills!M241,"AAAAAB/a36o=")</f>
        <v>#VALUE!</v>
      </c>
      <c r="FP94" t="e">
        <f>AND(Bills!N241,"AAAAAB/a36s=")</f>
        <v>#VALUE!</v>
      </c>
      <c r="FQ94" t="e">
        <f>AND(Bills!O241,"AAAAAB/a36w=")</f>
        <v>#VALUE!</v>
      </c>
      <c r="FR94" t="e">
        <f>AND(Bills!P241,"AAAAAB/a360=")</f>
        <v>#VALUE!</v>
      </c>
      <c r="FS94" t="e">
        <f>AND(Bills!Q241,"AAAAAB/a364=")</f>
        <v>#VALUE!</v>
      </c>
      <c r="FT94" t="e">
        <f>AND(Bills!R241,"AAAAAB/a368=")</f>
        <v>#VALUE!</v>
      </c>
      <c r="FU94" t="e">
        <f>AND(Bills!#REF!,"AAAAAB/a37A=")</f>
        <v>#REF!</v>
      </c>
      <c r="FV94" t="e">
        <f>AND(Bills!S241,"AAAAAB/a37E=")</f>
        <v>#VALUE!</v>
      </c>
      <c r="FW94" t="e">
        <f>AND(Bills!T241,"AAAAAB/a37I=")</f>
        <v>#VALUE!</v>
      </c>
      <c r="FX94" t="e">
        <f>AND(Bills!U241,"AAAAAB/a37M=")</f>
        <v>#VALUE!</v>
      </c>
      <c r="FY94" t="e">
        <f>AND(Bills!#REF!,"AAAAAB/a37Q=")</f>
        <v>#REF!</v>
      </c>
      <c r="FZ94" t="e">
        <f>AND(Bills!#REF!,"AAAAAB/a37U=")</f>
        <v>#REF!</v>
      </c>
      <c r="GA94" t="e">
        <f>AND(Bills!W241,"AAAAAB/a37Y=")</f>
        <v>#VALUE!</v>
      </c>
      <c r="GB94" t="e">
        <f>AND(Bills!X241,"AAAAAB/a37c=")</f>
        <v>#VALUE!</v>
      </c>
      <c r="GC94" t="e">
        <f>AND(Bills!#REF!,"AAAAAB/a37g=")</f>
        <v>#REF!</v>
      </c>
      <c r="GD94" t="e">
        <f>AND(Bills!#REF!,"AAAAAB/a37k=")</f>
        <v>#REF!</v>
      </c>
      <c r="GE94" t="e">
        <f>AND(Bills!#REF!,"AAAAAB/a37o=")</f>
        <v>#REF!</v>
      </c>
      <c r="GF94" t="e">
        <f>AND(Bills!#REF!,"AAAAAB/a37s=")</f>
        <v>#REF!</v>
      </c>
      <c r="GG94" t="e">
        <f>AND(Bills!#REF!,"AAAAAB/a37w=")</f>
        <v>#REF!</v>
      </c>
      <c r="GH94" t="e">
        <f>AND(Bills!#REF!,"AAAAAB/a370=")</f>
        <v>#REF!</v>
      </c>
      <c r="GI94" t="e">
        <f>AND(Bills!#REF!,"AAAAAB/a374=")</f>
        <v>#REF!</v>
      </c>
      <c r="GJ94" t="e">
        <f>AND(Bills!#REF!,"AAAAAB/a378=")</f>
        <v>#REF!</v>
      </c>
      <c r="GK94" t="e">
        <f>AND(Bills!#REF!,"AAAAAB/a38A=")</f>
        <v>#REF!</v>
      </c>
      <c r="GL94" t="e">
        <f>AND(Bills!Y241,"AAAAAB/a38E=")</f>
        <v>#VALUE!</v>
      </c>
      <c r="GM94" t="e">
        <f>AND(Bills!Z241,"AAAAAB/a38I=")</f>
        <v>#VALUE!</v>
      </c>
      <c r="GN94" t="e">
        <f>AND(Bills!#REF!,"AAAAAB/a38M=")</f>
        <v>#REF!</v>
      </c>
      <c r="GO94" t="e">
        <f>AND(Bills!#REF!,"AAAAAB/a38Q=")</f>
        <v>#REF!</v>
      </c>
      <c r="GP94" t="e">
        <f>AND(Bills!#REF!,"AAAAAB/a38U=")</f>
        <v>#REF!</v>
      </c>
      <c r="GQ94" t="e">
        <f>AND(Bills!AA241,"AAAAAB/a38Y=")</f>
        <v>#VALUE!</v>
      </c>
      <c r="GR94" t="e">
        <f>AND(Bills!AB241,"AAAAAB/a38c=")</f>
        <v>#VALUE!</v>
      </c>
      <c r="GS94" t="e">
        <f>AND(Bills!#REF!,"AAAAAB/a38g=")</f>
        <v>#REF!</v>
      </c>
      <c r="GT94">
        <f>IF(Bills!242:242,"AAAAAB/a38k=",0)</f>
        <v>0</v>
      </c>
      <c r="GU94" t="e">
        <f>AND(Bills!B242,"AAAAAB/a38o=")</f>
        <v>#VALUE!</v>
      </c>
      <c r="GV94" t="e">
        <f>AND(Bills!#REF!,"AAAAAB/a38s=")</f>
        <v>#REF!</v>
      </c>
      <c r="GW94" t="e">
        <f>AND(Bills!C242,"AAAAAB/a38w=")</f>
        <v>#VALUE!</v>
      </c>
      <c r="GX94" t="e">
        <f>AND(Bills!#REF!,"AAAAAB/a380=")</f>
        <v>#REF!</v>
      </c>
      <c r="GY94" t="e">
        <f>AND(Bills!#REF!,"AAAAAB/a384=")</f>
        <v>#REF!</v>
      </c>
      <c r="GZ94" t="e">
        <f>AND(Bills!#REF!,"AAAAAB/a388=")</f>
        <v>#REF!</v>
      </c>
      <c r="HA94" t="e">
        <f>AND(Bills!#REF!,"AAAAAB/a39A=")</f>
        <v>#REF!</v>
      </c>
      <c r="HB94" t="e">
        <f>AND(Bills!#REF!,"AAAAAB/a39E=")</f>
        <v>#REF!</v>
      </c>
      <c r="HC94" t="e">
        <f>AND(Bills!D242,"AAAAAB/a39I=")</f>
        <v>#VALUE!</v>
      </c>
      <c r="HD94" t="e">
        <f>AND(Bills!#REF!,"AAAAAB/a39M=")</f>
        <v>#REF!</v>
      </c>
      <c r="HE94" t="e">
        <f>AND(Bills!E242,"AAAAAB/a39Q=")</f>
        <v>#VALUE!</v>
      </c>
      <c r="HF94" t="e">
        <f>AND(Bills!F242,"AAAAAB/a39U=")</f>
        <v>#VALUE!</v>
      </c>
      <c r="HG94" t="e">
        <f>AND(Bills!G242,"AAAAAB/a39Y=")</f>
        <v>#VALUE!</v>
      </c>
      <c r="HH94" t="e">
        <f>AND(Bills!H242,"AAAAAB/a39c=")</f>
        <v>#VALUE!</v>
      </c>
      <c r="HI94" t="e">
        <f>AND(Bills!I242,"AAAAAB/a39g=")</f>
        <v>#VALUE!</v>
      </c>
      <c r="HJ94" t="e">
        <f>AND(Bills!J242,"AAAAAB/a39k=")</f>
        <v>#VALUE!</v>
      </c>
      <c r="HK94" t="e">
        <f>AND(Bills!#REF!,"AAAAAB/a39o=")</f>
        <v>#REF!</v>
      </c>
      <c r="HL94" t="e">
        <f>AND(Bills!K242,"AAAAAB/a39s=")</f>
        <v>#VALUE!</v>
      </c>
      <c r="HM94" t="e">
        <f>AND(Bills!L242,"AAAAAB/a39w=")</f>
        <v>#VALUE!</v>
      </c>
      <c r="HN94" t="e">
        <f>AND(Bills!M242,"AAAAAB/a390=")</f>
        <v>#VALUE!</v>
      </c>
      <c r="HO94" t="e">
        <f>AND(Bills!N242,"AAAAAB/a394=")</f>
        <v>#VALUE!</v>
      </c>
      <c r="HP94" t="e">
        <f>AND(Bills!O242,"AAAAAB/a398=")</f>
        <v>#VALUE!</v>
      </c>
      <c r="HQ94" t="e">
        <f>AND(Bills!P242,"AAAAAB/a3+A=")</f>
        <v>#VALUE!</v>
      </c>
      <c r="HR94" t="e">
        <f>AND(Bills!Q242,"AAAAAB/a3+E=")</f>
        <v>#VALUE!</v>
      </c>
      <c r="HS94" t="e">
        <f>AND(Bills!R242,"AAAAAB/a3+I=")</f>
        <v>#VALUE!</v>
      </c>
      <c r="HT94" t="e">
        <f>AND(Bills!#REF!,"AAAAAB/a3+M=")</f>
        <v>#REF!</v>
      </c>
      <c r="HU94" t="e">
        <f>AND(Bills!S242,"AAAAAB/a3+Q=")</f>
        <v>#VALUE!</v>
      </c>
      <c r="HV94" t="e">
        <f>AND(Bills!T242,"AAAAAB/a3+U=")</f>
        <v>#VALUE!</v>
      </c>
      <c r="HW94" t="e">
        <f>AND(Bills!U242,"AAAAAB/a3+Y=")</f>
        <v>#VALUE!</v>
      </c>
      <c r="HX94" t="e">
        <f>AND(Bills!#REF!,"AAAAAB/a3+c=")</f>
        <v>#REF!</v>
      </c>
      <c r="HY94" t="e">
        <f>AND(Bills!#REF!,"AAAAAB/a3+g=")</f>
        <v>#REF!</v>
      </c>
      <c r="HZ94" t="e">
        <f>AND(Bills!W242,"AAAAAB/a3+k=")</f>
        <v>#VALUE!</v>
      </c>
      <c r="IA94" t="e">
        <f>AND(Bills!X242,"AAAAAB/a3+o=")</f>
        <v>#VALUE!</v>
      </c>
      <c r="IB94" t="e">
        <f>AND(Bills!#REF!,"AAAAAB/a3+s=")</f>
        <v>#REF!</v>
      </c>
      <c r="IC94" t="e">
        <f>AND(Bills!#REF!,"AAAAAB/a3+w=")</f>
        <v>#REF!</v>
      </c>
      <c r="ID94" t="e">
        <f>AND(Bills!#REF!,"AAAAAB/a3+0=")</f>
        <v>#REF!</v>
      </c>
      <c r="IE94" t="e">
        <f>AND(Bills!#REF!,"AAAAAB/a3+4=")</f>
        <v>#REF!</v>
      </c>
      <c r="IF94" t="e">
        <f>AND(Bills!#REF!,"AAAAAB/a3+8=")</f>
        <v>#REF!</v>
      </c>
      <c r="IG94" t="e">
        <f>AND(Bills!#REF!,"AAAAAB/a3/A=")</f>
        <v>#REF!</v>
      </c>
      <c r="IH94" t="e">
        <f>AND(Bills!#REF!,"AAAAAB/a3/E=")</f>
        <v>#REF!</v>
      </c>
      <c r="II94" t="e">
        <f>AND(Bills!#REF!,"AAAAAB/a3/I=")</f>
        <v>#REF!</v>
      </c>
      <c r="IJ94" t="e">
        <f>AND(Bills!#REF!,"AAAAAB/a3/M=")</f>
        <v>#REF!</v>
      </c>
      <c r="IK94" t="e">
        <f>AND(Bills!Y242,"AAAAAB/a3/Q=")</f>
        <v>#VALUE!</v>
      </c>
      <c r="IL94" t="e">
        <f>AND(Bills!Z242,"AAAAAB/a3/U=")</f>
        <v>#VALUE!</v>
      </c>
      <c r="IM94" t="e">
        <f>AND(Bills!#REF!,"AAAAAB/a3/Y=")</f>
        <v>#REF!</v>
      </c>
      <c r="IN94" t="e">
        <f>AND(Bills!#REF!,"AAAAAB/a3/c=")</f>
        <v>#REF!</v>
      </c>
      <c r="IO94" t="e">
        <f>AND(Bills!#REF!,"AAAAAB/a3/g=")</f>
        <v>#REF!</v>
      </c>
      <c r="IP94" t="e">
        <f>AND(Bills!AA242,"AAAAAB/a3/k=")</f>
        <v>#VALUE!</v>
      </c>
      <c r="IQ94" t="e">
        <f>AND(Bills!AB242,"AAAAAB/a3/o=")</f>
        <v>#VALUE!</v>
      </c>
      <c r="IR94" t="e">
        <f>AND(Bills!#REF!,"AAAAAB/a3/s=")</f>
        <v>#REF!</v>
      </c>
      <c r="IS94">
        <f>IF(Bills!243:243,"AAAAAB/a3/w=",0)</f>
        <v>0</v>
      </c>
      <c r="IT94" t="e">
        <f>AND(Bills!B243,"AAAAAB/a3/0=")</f>
        <v>#VALUE!</v>
      </c>
      <c r="IU94" t="e">
        <f>AND(Bills!#REF!,"AAAAAB/a3/4=")</f>
        <v>#REF!</v>
      </c>
      <c r="IV94" t="e">
        <f>AND(Bills!C243,"AAAAAB/a3/8=")</f>
        <v>#VALUE!</v>
      </c>
    </row>
    <row r="95" spans="1:256">
      <c r="A95" t="e">
        <f>AND(Bills!#REF!,"AAAAAGZ71wA=")</f>
        <v>#REF!</v>
      </c>
      <c r="B95" t="e">
        <f>AND(Bills!#REF!,"AAAAAGZ71wE=")</f>
        <v>#REF!</v>
      </c>
      <c r="C95" t="e">
        <f>AND(Bills!#REF!,"AAAAAGZ71wI=")</f>
        <v>#REF!</v>
      </c>
      <c r="D95" t="e">
        <f>AND(Bills!#REF!,"AAAAAGZ71wM=")</f>
        <v>#REF!</v>
      </c>
      <c r="E95" t="e">
        <f>AND(Bills!#REF!,"AAAAAGZ71wQ=")</f>
        <v>#REF!</v>
      </c>
      <c r="F95" t="e">
        <f>AND(Bills!D243,"AAAAAGZ71wU=")</f>
        <v>#VALUE!</v>
      </c>
      <c r="G95" t="e">
        <f>AND(Bills!#REF!,"AAAAAGZ71wY=")</f>
        <v>#REF!</v>
      </c>
      <c r="H95" t="e">
        <f>AND(Bills!E243,"AAAAAGZ71wc=")</f>
        <v>#VALUE!</v>
      </c>
      <c r="I95" t="e">
        <f>AND(Bills!F243,"AAAAAGZ71wg=")</f>
        <v>#VALUE!</v>
      </c>
      <c r="J95" t="e">
        <f>AND(Bills!G243,"AAAAAGZ71wk=")</f>
        <v>#VALUE!</v>
      </c>
      <c r="K95" t="e">
        <f>AND(Bills!H243,"AAAAAGZ71wo=")</f>
        <v>#VALUE!</v>
      </c>
      <c r="L95" t="e">
        <f>AND(Bills!I243,"AAAAAGZ71ws=")</f>
        <v>#VALUE!</v>
      </c>
      <c r="M95" t="e">
        <f>AND(Bills!J243,"AAAAAGZ71ww=")</f>
        <v>#VALUE!</v>
      </c>
      <c r="N95" t="e">
        <f>AND(Bills!#REF!,"AAAAAGZ71w0=")</f>
        <v>#REF!</v>
      </c>
      <c r="O95" t="e">
        <f>AND(Bills!K243,"AAAAAGZ71w4=")</f>
        <v>#VALUE!</v>
      </c>
      <c r="P95" t="e">
        <f>AND(Bills!L243,"AAAAAGZ71w8=")</f>
        <v>#VALUE!</v>
      </c>
      <c r="Q95" t="e">
        <f>AND(Bills!M243,"AAAAAGZ71xA=")</f>
        <v>#VALUE!</v>
      </c>
      <c r="R95" t="e">
        <f>AND(Bills!N243,"AAAAAGZ71xE=")</f>
        <v>#VALUE!</v>
      </c>
      <c r="S95" t="e">
        <f>AND(Bills!O243,"AAAAAGZ71xI=")</f>
        <v>#VALUE!</v>
      </c>
      <c r="T95" t="e">
        <f>AND(Bills!P243,"AAAAAGZ71xM=")</f>
        <v>#VALUE!</v>
      </c>
      <c r="U95" t="e">
        <f>AND(Bills!Q243,"AAAAAGZ71xQ=")</f>
        <v>#VALUE!</v>
      </c>
      <c r="V95" t="e">
        <f>AND(Bills!R243,"AAAAAGZ71xU=")</f>
        <v>#VALUE!</v>
      </c>
      <c r="W95" t="e">
        <f>AND(Bills!#REF!,"AAAAAGZ71xY=")</f>
        <v>#REF!</v>
      </c>
      <c r="X95" t="e">
        <f>AND(Bills!S243,"AAAAAGZ71xc=")</f>
        <v>#VALUE!</v>
      </c>
      <c r="Y95" t="e">
        <f>AND(Bills!T243,"AAAAAGZ71xg=")</f>
        <v>#VALUE!</v>
      </c>
      <c r="Z95" t="e">
        <f>AND(Bills!U243,"AAAAAGZ71xk=")</f>
        <v>#VALUE!</v>
      </c>
      <c r="AA95" t="e">
        <f>AND(Bills!#REF!,"AAAAAGZ71xo=")</f>
        <v>#REF!</v>
      </c>
      <c r="AB95" t="e">
        <f>AND(Bills!#REF!,"AAAAAGZ71xs=")</f>
        <v>#REF!</v>
      </c>
      <c r="AC95" t="e">
        <f>AND(Bills!W243,"AAAAAGZ71xw=")</f>
        <v>#VALUE!</v>
      </c>
      <c r="AD95" t="e">
        <f>AND(Bills!X243,"AAAAAGZ71x0=")</f>
        <v>#VALUE!</v>
      </c>
      <c r="AE95" t="e">
        <f>AND(Bills!#REF!,"AAAAAGZ71x4=")</f>
        <v>#REF!</v>
      </c>
      <c r="AF95" t="e">
        <f>AND(Bills!#REF!,"AAAAAGZ71x8=")</f>
        <v>#REF!</v>
      </c>
      <c r="AG95" t="e">
        <f>AND(Bills!#REF!,"AAAAAGZ71yA=")</f>
        <v>#REF!</v>
      </c>
      <c r="AH95" t="e">
        <f>AND(Bills!#REF!,"AAAAAGZ71yE=")</f>
        <v>#REF!</v>
      </c>
      <c r="AI95" t="e">
        <f>AND(Bills!#REF!,"AAAAAGZ71yI=")</f>
        <v>#REF!</v>
      </c>
      <c r="AJ95" t="e">
        <f>AND(Bills!#REF!,"AAAAAGZ71yM=")</f>
        <v>#REF!</v>
      </c>
      <c r="AK95" t="e">
        <f>AND(Bills!#REF!,"AAAAAGZ71yQ=")</f>
        <v>#REF!</v>
      </c>
      <c r="AL95" t="e">
        <f>AND(Bills!#REF!,"AAAAAGZ71yU=")</f>
        <v>#REF!</v>
      </c>
      <c r="AM95" t="e">
        <f>AND(Bills!#REF!,"AAAAAGZ71yY=")</f>
        <v>#REF!</v>
      </c>
      <c r="AN95" t="e">
        <f>AND(Bills!Y243,"AAAAAGZ71yc=")</f>
        <v>#VALUE!</v>
      </c>
      <c r="AO95" t="e">
        <f>AND(Bills!Z243,"AAAAAGZ71yg=")</f>
        <v>#VALUE!</v>
      </c>
      <c r="AP95" t="e">
        <f>AND(Bills!#REF!,"AAAAAGZ71yk=")</f>
        <v>#REF!</v>
      </c>
      <c r="AQ95" t="e">
        <f>AND(Bills!#REF!,"AAAAAGZ71yo=")</f>
        <v>#REF!</v>
      </c>
      <c r="AR95" t="e">
        <f>AND(Bills!#REF!,"AAAAAGZ71ys=")</f>
        <v>#REF!</v>
      </c>
      <c r="AS95" t="e">
        <f>AND(Bills!AA243,"AAAAAGZ71yw=")</f>
        <v>#VALUE!</v>
      </c>
      <c r="AT95" t="e">
        <f>AND(Bills!AB243,"AAAAAGZ71y0=")</f>
        <v>#VALUE!</v>
      </c>
      <c r="AU95" t="e">
        <f>AND(Bills!#REF!,"AAAAAGZ71y4=")</f>
        <v>#REF!</v>
      </c>
      <c r="AV95">
        <f>IF(Bills!244:244,"AAAAAGZ71y8=",0)</f>
        <v>0</v>
      </c>
      <c r="AW95" t="e">
        <f>AND(Bills!B244,"AAAAAGZ71zA=")</f>
        <v>#VALUE!</v>
      </c>
      <c r="AX95" t="e">
        <f>AND(Bills!#REF!,"AAAAAGZ71zE=")</f>
        <v>#REF!</v>
      </c>
      <c r="AY95" t="e">
        <f>AND(Bills!C244,"AAAAAGZ71zI=")</f>
        <v>#VALUE!</v>
      </c>
      <c r="AZ95" t="e">
        <f>AND(Bills!#REF!,"AAAAAGZ71zM=")</f>
        <v>#REF!</v>
      </c>
      <c r="BA95" t="e">
        <f>AND(Bills!#REF!,"AAAAAGZ71zQ=")</f>
        <v>#REF!</v>
      </c>
      <c r="BB95" t="e">
        <f>AND(Bills!#REF!,"AAAAAGZ71zU=")</f>
        <v>#REF!</v>
      </c>
      <c r="BC95" t="e">
        <f>AND(Bills!#REF!,"AAAAAGZ71zY=")</f>
        <v>#REF!</v>
      </c>
      <c r="BD95" t="e">
        <f>AND(Bills!#REF!,"AAAAAGZ71zc=")</f>
        <v>#REF!</v>
      </c>
      <c r="BE95" t="e">
        <f>AND(Bills!D244,"AAAAAGZ71zg=")</f>
        <v>#VALUE!</v>
      </c>
      <c r="BF95" t="e">
        <f>AND(Bills!#REF!,"AAAAAGZ71zk=")</f>
        <v>#REF!</v>
      </c>
      <c r="BG95" t="e">
        <f>AND(Bills!E244,"AAAAAGZ71zo=")</f>
        <v>#VALUE!</v>
      </c>
      <c r="BH95" t="e">
        <f>AND(Bills!F244,"AAAAAGZ71zs=")</f>
        <v>#VALUE!</v>
      </c>
      <c r="BI95" t="e">
        <f>AND(Bills!G244,"AAAAAGZ71zw=")</f>
        <v>#VALUE!</v>
      </c>
      <c r="BJ95" t="e">
        <f>AND(Bills!H244,"AAAAAGZ71z0=")</f>
        <v>#VALUE!</v>
      </c>
      <c r="BK95" t="e">
        <f>AND(Bills!I244,"AAAAAGZ71z4=")</f>
        <v>#VALUE!</v>
      </c>
      <c r="BL95" t="e">
        <f>AND(Bills!J244,"AAAAAGZ71z8=")</f>
        <v>#VALUE!</v>
      </c>
      <c r="BM95" t="e">
        <f>AND(Bills!#REF!,"AAAAAGZ710A=")</f>
        <v>#REF!</v>
      </c>
      <c r="BN95" t="e">
        <f>AND(Bills!K244,"AAAAAGZ710E=")</f>
        <v>#VALUE!</v>
      </c>
      <c r="BO95" t="e">
        <f>AND(Bills!L244,"AAAAAGZ710I=")</f>
        <v>#VALUE!</v>
      </c>
      <c r="BP95" t="e">
        <f>AND(Bills!M244,"AAAAAGZ710M=")</f>
        <v>#VALUE!</v>
      </c>
      <c r="BQ95" t="e">
        <f>AND(Bills!N244,"AAAAAGZ710Q=")</f>
        <v>#VALUE!</v>
      </c>
      <c r="BR95" t="e">
        <f>AND(Bills!O244,"AAAAAGZ710U=")</f>
        <v>#VALUE!</v>
      </c>
      <c r="BS95" t="e">
        <f>AND(Bills!P244,"AAAAAGZ710Y=")</f>
        <v>#VALUE!</v>
      </c>
      <c r="BT95" t="e">
        <f>AND(Bills!Q244,"AAAAAGZ710c=")</f>
        <v>#VALUE!</v>
      </c>
      <c r="BU95" t="e">
        <f>AND(Bills!R244,"AAAAAGZ710g=")</f>
        <v>#VALUE!</v>
      </c>
      <c r="BV95" t="e">
        <f>AND(Bills!#REF!,"AAAAAGZ710k=")</f>
        <v>#REF!</v>
      </c>
      <c r="BW95" t="e">
        <f>AND(Bills!S244,"AAAAAGZ710o=")</f>
        <v>#VALUE!</v>
      </c>
      <c r="BX95" t="e">
        <f>AND(Bills!T244,"AAAAAGZ710s=")</f>
        <v>#VALUE!</v>
      </c>
      <c r="BY95" t="e">
        <f>AND(Bills!U244,"AAAAAGZ710w=")</f>
        <v>#VALUE!</v>
      </c>
      <c r="BZ95" t="e">
        <f>AND(Bills!#REF!,"AAAAAGZ7100=")</f>
        <v>#REF!</v>
      </c>
      <c r="CA95" t="e">
        <f>AND(Bills!#REF!,"AAAAAGZ7104=")</f>
        <v>#REF!</v>
      </c>
      <c r="CB95" t="e">
        <f>AND(Bills!W244,"AAAAAGZ7108=")</f>
        <v>#VALUE!</v>
      </c>
      <c r="CC95" t="e">
        <f>AND(Bills!X244,"AAAAAGZ711A=")</f>
        <v>#VALUE!</v>
      </c>
      <c r="CD95" t="e">
        <f>AND(Bills!#REF!,"AAAAAGZ711E=")</f>
        <v>#REF!</v>
      </c>
      <c r="CE95" t="e">
        <f>AND(Bills!#REF!,"AAAAAGZ711I=")</f>
        <v>#REF!</v>
      </c>
      <c r="CF95" t="e">
        <f>AND(Bills!#REF!,"AAAAAGZ711M=")</f>
        <v>#REF!</v>
      </c>
      <c r="CG95" t="e">
        <f>AND(Bills!#REF!,"AAAAAGZ711Q=")</f>
        <v>#REF!</v>
      </c>
      <c r="CH95" t="e">
        <f>AND(Bills!#REF!,"AAAAAGZ711U=")</f>
        <v>#REF!</v>
      </c>
      <c r="CI95" t="e">
        <f>AND(Bills!#REF!,"AAAAAGZ711Y=")</f>
        <v>#REF!</v>
      </c>
      <c r="CJ95" t="e">
        <f>AND(Bills!#REF!,"AAAAAGZ711c=")</f>
        <v>#REF!</v>
      </c>
      <c r="CK95" t="e">
        <f>AND(Bills!#REF!,"AAAAAGZ711g=")</f>
        <v>#REF!</v>
      </c>
      <c r="CL95" t="e">
        <f>AND(Bills!#REF!,"AAAAAGZ711k=")</f>
        <v>#REF!</v>
      </c>
      <c r="CM95" t="e">
        <f>AND(Bills!Y244,"AAAAAGZ711o=")</f>
        <v>#VALUE!</v>
      </c>
      <c r="CN95" t="e">
        <f>AND(Bills!Z244,"AAAAAGZ711s=")</f>
        <v>#VALUE!</v>
      </c>
      <c r="CO95" t="e">
        <f>AND(Bills!#REF!,"AAAAAGZ711w=")</f>
        <v>#REF!</v>
      </c>
      <c r="CP95" t="e">
        <f>AND(Bills!#REF!,"AAAAAGZ7110=")</f>
        <v>#REF!</v>
      </c>
      <c r="CQ95" t="e">
        <f>AND(Bills!#REF!,"AAAAAGZ7114=")</f>
        <v>#REF!</v>
      </c>
      <c r="CR95" t="e">
        <f>AND(Bills!AA244,"AAAAAGZ7118=")</f>
        <v>#VALUE!</v>
      </c>
      <c r="CS95" t="e">
        <f>AND(Bills!AB244,"AAAAAGZ712A=")</f>
        <v>#VALUE!</v>
      </c>
      <c r="CT95" t="e">
        <f>AND(Bills!#REF!,"AAAAAGZ712E=")</f>
        <v>#REF!</v>
      </c>
      <c r="CU95">
        <f>IF(Bills!245:245,"AAAAAGZ712I=",0)</f>
        <v>0</v>
      </c>
      <c r="CV95" t="e">
        <f>AND(Bills!B245,"AAAAAGZ712M=")</f>
        <v>#VALUE!</v>
      </c>
      <c r="CW95" t="e">
        <f>AND(Bills!#REF!,"AAAAAGZ712Q=")</f>
        <v>#REF!</v>
      </c>
      <c r="CX95" t="e">
        <f>AND(Bills!C245,"AAAAAGZ712U=")</f>
        <v>#VALUE!</v>
      </c>
      <c r="CY95" t="e">
        <f>AND(Bills!#REF!,"AAAAAGZ712Y=")</f>
        <v>#REF!</v>
      </c>
      <c r="CZ95" t="e">
        <f>AND(Bills!#REF!,"AAAAAGZ712c=")</f>
        <v>#REF!</v>
      </c>
      <c r="DA95" t="e">
        <f>AND(Bills!#REF!,"AAAAAGZ712g=")</f>
        <v>#REF!</v>
      </c>
      <c r="DB95" t="e">
        <f>AND(Bills!#REF!,"AAAAAGZ712k=")</f>
        <v>#REF!</v>
      </c>
      <c r="DC95" t="e">
        <f>AND(Bills!#REF!,"AAAAAGZ712o=")</f>
        <v>#REF!</v>
      </c>
      <c r="DD95" t="e">
        <f>AND(Bills!D245,"AAAAAGZ712s=")</f>
        <v>#VALUE!</v>
      </c>
      <c r="DE95" t="e">
        <f>AND(Bills!#REF!,"AAAAAGZ712w=")</f>
        <v>#REF!</v>
      </c>
      <c r="DF95" t="e">
        <f>AND(Bills!E245,"AAAAAGZ7120=")</f>
        <v>#VALUE!</v>
      </c>
      <c r="DG95" t="e">
        <f>AND(Bills!F245,"AAAAAGZ7124=")</f>
        <v>#VALUE!</v>
      </c>
      <c r="DH95" t="e">
        <f>AND(Bills!G245,"AAAAAGZ7128=")</f>
        <v>#VALUE!</v>
      </c>
      <c r="DI95" t="e">
        <f>AND(Bills!H245,"AAAAAGZ713A=")</f>
        <v>#VALUE!</v>
      </c>
      <c r="DJ95" t="e">
        <f>AND(Bills!I245,"AAAAAGZ713E=")</f>
        <v>#VALUE!</v>
      </c>
      <c r="DK95" t="e">
        <f>AND(Bills!J245,"AAAAAGZ713I=")</f>
        <v>#VALUE!</v>
      </c>
      <c r="DL95" t="e">
        <f>AND(Bills!#REF!,"AAAAAGZ713M=")</f>
        <v>#REF!</v>
      </c>
      <c r="DM95" t="e">
        <f>AND(Bills!K245,"AAAAAGZ713Q=")</f>
        <v>#VALUE!</v>
      </c>
      <c r="DN95" t="e">
        <f>AND(Bills!L245,"AAAAAGZ713U=")</f>
        <v>#VALUE!</v>
      </c>
      <c r="DO95" t="e">
        <f>AND(Bills!M245,"AAAAAGZ713Y=")</f>
        <v>#VALUE!</v>
      </c>
      <c r="DP95" t="e">
        <f>AND(Bills!N245,"AAAAAGZ713c=")</f>
        <v>#VALUE!</v>
      </c>
      <c r="DQ95" t="e">
        <f>AND(Bills!O245,"AAAAAGZ713g=")</f>
        <v>#VALUE!</v>
      </c>
      <c r="DR95" t="e">
        <f>AND(Bills!P245,"AAAAAGZ713k=")</f>
        <v>#VALUE!</v>
      </c>
      <c r="DS95" t="e">
        <f>AND(Bills!Q245,"AAAAAGZ713o=")</f>
        <v>#VALUE!</v>
      </c>
      <c r="DT95" t="e">
        <f>AND(Bills!R245,"AAAAAGZ713s=")</f>
        <v>#VALUE!</v>
      </c>
      <c r="DU95" t="e">
        <f>AND(Bills!#REF!,"AAAAAGZ713w=")</f>
        <v>#REF!</v>
      </c>
      <c r="DV95" t="e">
        <f>AND(Bills!S245,"AAAAAGZ7130=")</f>
        <v>#VALUE!</v>
      </c>
      <c r="DW95" t="e">
        <f>AND(Bills!T245,"AAAAAGZ7134=")</f>
        <v>#VALUE!</v>
      </c>
      <c r="DX95" t="e">
        <f>AND(Bills!U245,"AAAAAGZ7138=")</f>
        <v>#VALUE!</v>
      </c>
      <c r="DY95" t="e">
        <f>AND(Bills!#REF!,"AAAAAGZ714A=")</f>
        <v>#REF!</v>
      </c>
      <c r="DZ95" t="e">
        <f>AND(Bills!#REF!,"AAAAAGZ714E=")</f>
        <v>#REF!</v>
      </c>
      <c r="EA95" t="e">
        <f>AND(Bills!W245,"AAAAAGZ714I=")</f>
        <v>#VALUE!</v>
      </c>
      <c r="EB95" t="e">
        <f>AND(Bills!X245,"AAAAAGZ714M=")</f>
        <v>#VALUE!</v>
      </c>
      <c r="EC95" t="e">
        <f>AND(Bills!#REF!,"AAAAAGZ714Q=")</f>
        <v>#REF!</v>
      </c>
      <c r="ED95" t="e">
        <f>AND(Bills!#REF!,"AAAAAGZ714U=")</f>
        <v>#REF!</v>
      </c>
      <c r="EE95" t="e">
        <f>AND(Bills!#REF!,"AAAAAGZ714Y=")</f>
        <v>#REF!</v>
      </c>
      <c r="EF95" t="e">
        <f>AND(Bills!#REF!,"AAAAAGZ714c=")</f>
        <v>#REF!</v>
      </c>
      <c r="EG95" t="e">
        <f>AND(Bills!#REF!,"AAAAAGZ714g=")</f>
        <v>#REF!</v>
      </c>
      <c r="EH95" t="e">
        <f>AND(Bills!#REF!,"AAAAAGZ714k=")</f>
        <v>#REF!</v>
      </c>
      <c r="EI95" t="e">
        <f>AND(Bills!#REF!,"AAAAAGZ714o=")</f>
        <v>#REF!</v>
      </c>
      <c r="EJ95" t="e">
        <f>AND(Bills!#REF!,"AAAAAGZ714s=")</f>
        <v>#REF!</v>
      </c>
      <c r="EK95" t="e">
        <f>AND(Bills!#REF!,"AAAAAGZ714w=")</f>
        <v>#REF!</v>
      </c>
      <c r="EL95" t="e">
        <f>AND(Bills!Y245,"AAAAAGZ7140=")</f>
        <v>#VALUE!</v>
      </c>
      <c r="EM95" t="e">
        <f>AND(Bills!Z245,"AAAAAGZ7144=")</f>
        <v>#VALUE!</v>
      </c>
      <c r="EN95" t="e">
        <f>AND(Bills!#REF!,"AAAAAGZ7148=")</f>
        <v>#REF!</v>
      </c>
      <c r="EO95" t="e">
        <f>AND(Bills!#REF!,"AAAAAGZ715A=")</f>
        <v>#REF!</v>
      </c>
      <c r="EP95" t="e">
        <f>AND(Bills!#REF!,"AAAAAGZ715E=")</f>
        <v>#REF!</v>
      </c>
      <c r="EQ95" t="e">
        <f>AND(Bills!AA245,"AAAAAGZ715I=")</f>
        <v>#VALUE!</v>
      </c>
      <c r="ER95" t="e">
        <f>AND(Bills!AB245,"AAAAAGZ715M=")</f>
        <v>#VALUE!</v>
      </c>
      <c r="ES95" t="e">
        <f>AND(Bills!#REF!,"AAAAAGZ715Q=")</f>
        <v>#REF!</v>
      </c>
      <c r="ET95">
        <f>IF(Bills!246:246,"AAAAAGZ715U=",0)</f>
        <v>0</v>
      </c>
      <c r="EU95" t="e">
        <f>AND(Bills!B246,"AAAAAGZ715Y=")</f>
        <v>#VALUE!</v>
      </c>
      <c r="EV95" t="e">
        <f>AND(Bills!#REF!,"AAAAAGZ715c=")</f>
        <v>#REF!</v>
      </c>
      <c r="EW95" t="e">
        <f>AND(Bills!C246,"AAAAAGZ715g=")</f>
        <v>#VALUE!</v>
      </c>
      <c r="EX95" t="e">
        <f>AND(Bills!#REF!,"AAAAAGZ715k=")</f>
        <v>#REF!</v>
      </c>
      <c r="EY95" t="e">
        <f>AND(Bills!#REF!,"AAAAAGZ715o=")</f>
        <v>#REF!</v>
      </c>
      <c r="EZ95" t="e">
        <f>AND(Bills!#REF!,"AAAAAGZ715s=")</f>
        <v>#REF!</v>
      </c>
      <c r="FA95" t="e">
        <f>AND(Bills!#REF!,"AAAAAGZ715w=")</f>
        <v>#REF!</v>
      </c>
      <c r="FB95" t="e">
        <f>AND(Bills!#REF!,"AAAAAGZ7150=")</f>
        <v>#REF!</v>
      </c>
      <c r="FC95" t="e">
        <f>AND(Bills!D246,"AAAAAGZ7154=")</f>
        <v>#VALUE!</v>
      </c>
      <c r="FD95" t="e">
        <f>AND(Bills!#REF!,"AAAAAGZ7158=")</f>
        <v>#REF!</v>
      </c>
      <c r="FE95" t="e">
        <f>AND(Bills!E246,"AAAAAGZ716A=")</f>
        <v>#VALUE!</v>
      </c>
      <c r="FF95" t="e">
        <f>AND(Bills!F246,"AAAAAGZ716E=")</f>
        <v>#VALUE!</v>
      </c>
      <c r="FG95" t="e">
        <f>AND(Bills!G246,"AAAAAGZ716I=")</f>
        <v>#VALUE!</v>
      </c>
      <c r="FH95" t="e">
        <f>AND(Bills!H246,"AAAAAGZ716M=")</f>
        <v>#VALUE!</v>
      </c>
      <c r="FI95" t="e">
        <f>AND(Bills!I246,"AAAAAGZ716Q=")</f>
        <v>#VALUE!</v>
      </c>
      <c r="FJ95" t="e">
        <f>AND(Bills!J246,"AAAAAGZ716U=")</f>
        <v>#VALUE!</v>
      </c>
      <c r="FK95" t="e">
        <f>AND(Bills!#REF!,"AAAAAGZ716Y=")</f>
        <v>#REF!</v>
      </c>
      <c r="FL95" t="e">
        <f>AND(Bills!K246,"AAAAAGZ716c=")</f>
        <v>#VALUE!</v>
      </c>
      <c r="FM95" t="e">
        <f>AND(Bills!L246,"AAAAAGZ716g=")</f>
        <v>#VALUE!</v>
      </c>
      <c r="FN95" t="e">
        <f>AND(Bills!M246,"AAAAAGZ716k=")</f>
        <v>#VALUE!</v>
      </c>
      <c r="FO95" t="e">
        <f>AND(Bills!N246,"AAAAAGZ716o=")</f>
        <v>#VALUE!</v>
      </c>
      <c r="FP95" t="e">
        <f>AND(Bills!O246,"AAAAAGZ716s=")</f>
        <v>#VALUE!</v>
      </c>
      <c r="FQ95" t="e">
        <f>AND(Bills!P246,"AAAAAGZ716w=")</f>
        <v>#VALUE!</v>
      </c>
      <c r="FR95" t="e">
        <f>AND(Bills!Q246,"AAAAAGZ7160=")</f>
        <v>#VALUE!</v>
      </c>
      <c r="FS95" t="e">
        <f>AND(Bills!R246,"AAAAAGZ7164=")</f>
        <v>#VALUE!</v>
      </c>
      <c r="FT95" t="e">
        <f>AND(Bills!#REF!,"AAAAAGZ7168=")</f>
        <v>#REF!</v>
      </c>
      <c r="FU95" t="e">
        <f>AND(Bills!S246,"AAAAAGZ717A=")</f>
        <v>#VALUE!</v>
      </c>
      <c r="FV95" t="e">
        <f>AND(Bills!T246,"AAAAAGZ717E=")</f>
        <v>#VALUE!</v>
      </c>
      <c r="FW95" t="e">
        <f>AND(Bills!U246,"AAAAAGZ717I=")</f>
        <v>#VALUE!</v>
      </c>
      <c r="FX95" t="e">
        <f>AND(Bills!#REF!,"AAAAAGZ717M=")</f>
        <v>#REF!</v>
      </c>
      <c r="FY95" t="e">
        <f>AND(Bills!#REF!,"AAAAAGZ717Q=")</f>
        <v>#REF!</v>
      </c>
      <c r="FZ95" t="e">
        <f>AND(Bills!W246,"AAAAAGZ717U=")</f>
        <v>#VALUE!</v>
      </c>
      <c r="GA95" t="e">
        <f>AND(Bills!X246,"AAAAAGZ717Y=")</f>
        <v>#VALUE!</v>
      </c>
      <c r="GB95" t="e">
        <f>AND(Bills!#REF!,"AAAAAGZ717c=")</f>
        <v>#REF!</v>
      </c>
      <c r="GC95" t="e">
        <f>AND(Bills!#REF!,"AAAAAGZ717g=")</f>
        <v>#REF!</v>
      </c>
      <c r="GD95" t="e">
        <f>AND(Bills!#REF!,"AAAAAGZ717k=")</f>
        <v>#REF!</v>
      </c>
      <c r="GE95" t="e">
        <f>AND(Bills!#REF!,"AAAAAGZ717o=")</f>
        <v>#REF!</v>
      </c>
      <c r="GF95" t="e">
        <f>AND(Bills!#REF!,"AAAAAGZ717s=")</f>
        <v>#REF!</v>
      </c>
      <c r="GG95" t="e">
        <f>AND(Bills!#REF!,"AAAAAGZ717w=")</f>
        <v>#REF!</v>
      </c>
      <c r="GH95" t="e">
        <f>AND(Bills!#REF!,"AAAAAGZ7170=")</f>
        <v>#REF!</v>
      </c>
      <c r="GI95" t="e">
        <f>AND(Bills!#REF!,"AAAAAGZ7174=")</f>
        <v>#REF!</v>
      </c>
      <c r="GJ95" t="e">
        <f>AND(Bills!#REF!,"AAAAAGZ7178=")</f>
        <v>#REF!</v>
      </c>
      <c r="GK95" t="e">
        <f>AND(Bills!Y246,"AAAAAGZ718A=")</f>
        <v>#VALUE!</v>
      </c>
      <c r="GL95" t="e">
        <f>AND(Bills!Z246,"AAAAAGZ718E=")</f>
        <v>#VALUE!</v>
      </c>
      <c r="GM95" t="e">
        <f>AND(Bills!#REF!,"AAAAAGZ718I=")</f>
        <v>#REF!</v>
      </c>
      <c r="GN95" t="e">
        <f>AND(Bills!#REF!,"AAAAAGZ718M=")</f>
        <v>#REF!</v>
      </c>
      <c r="GO95" t="e">
        <f>AND(Bills!#REF!,"AAAAAGZ718Q=")</f>
        <v>#REF!</v>
      </c>
      <c r="GP95" t="e">
        <f>AND(Bills!AA246,"AAAAAGZ718U=")</f>
        <v>#VALUE!</v>
      </c>
      <c r="GQ95" t="e">
        <f>AND(Bills!AB246,"AAAAAGZ718Y=")</f>
        <v>#VALUE!</v>
      </c>
      <c r="GR95" t="e">
        <f>AND(Bills!#REF!,"AAAAAGZ718c=")</f>
        <v>#REF!</v>
      </c>
      <c r="GS95">
        <f>IF(Bills!247:247,"AAAAAGZ718g=",0)</f>
        <v>0</v>
      </c>
      <c r="GT95" t="e">
        <f>AND(Bills!B247,"AAAAAGZ718k=")</f>
        <v>#VALUE!</v>
      </c>
      <c r="GU95" t="e">
        <f>AND(Bills!#REF!,"AAAAAGZ718o=")</f>
        <v>#REF!</v>
      </c>
      <c r="GV95" t="e">
        <f>AND(Bills!C247,"AAAAAGZ718s=")</f>
        <v>#VALUE!</v>
      </c>
      <c r="GW95" t="e">
        <f>AND(Bills!#REF!,"AAAAAGZ718w=")</f>
        <v>#REF!</v>
      </c>
      <c r="GX95" t="e">
        <f>AND(Bills!#REF!,"AAAAAGZ7180=")</f>
        <v>#REF!</v>
      </c>
      <c r="GY95" t="e">
        <f>AND(Bills!#REF!,"AAAAAGZ7184=")</f>
        <v>#REF!</v>
      </c>
      <c r="GZ95" t="e">
        <f>AND(Bills!#REF!,"AAAAAGZ7188=")</f>
        <v>#REF!</v>
      </c>
      <c r="HA95" t="e">
        <f>AND(Bills!#REF!,"AAAAAGZ719A=")</f>
        <v>#REF!</v>
      </c>
      <c r="HB95" t="e">
        <f>AND(Bills!D247,"AAAAAGZ719E=")</f>
        <v>#VALUE!</v>
      </c>
      <c r="HC95" t="e">
        <f>AND(Bills!#REF!,"AAAAAGZ719I=")</f>
        <v>#REF!</v>
      </c>
      <c r="HD95" t="e">
        <f>AND(Bills!E247,"AAAAAGZ719M=")</f>
        <v>#VALUE!</v>
      </c>
      <c r="HE95" t="e">
        <f>AND(Bills!F247,"AAAAAGZ719Q=")</f>
        <v>#VALUE!</v>
      </c>
      <c r="HF95" t="e">
        <f>AND(Bills!G247,"AAAAAGZ719U=")</f>
        <v>#VALUE!</v>
      </c>
      <c r="HG95" t="e">
        <f>AND(Bills!H247,"AAAAAGZ719Y=")</f>
        <v>#VALUE!</v>
      </c>
      <c r="HH95" t="e">
        <f>AND(Bills!I247,"AAAAAGZ719c=")</f>
        <v>#VALUE!</v>
      </c>
      <c r="HI95" t="e">
        <f>AND(Bills!J247,"AAAAAGZ719g=")</f>
        <v>#VALUE!</v>
      </c>
      <c r="HJ95" t="e">
        <f>AND(Bills!#REF!,"AAAAAGZ719k=")</f>
        <v>#REF!</v>
      </c>
      <c r="HK95" t="e">
        <f>AND(Bills!K247,"AAAAAGZ719o=")</f>
        <v>#VALUE!</v>
      </c>
      <c r="HL95" t="e">
        <f>AND(Bills!L247,"AAAAAGZ719s=")</f>
        <v>#VALUE!</v>
      </c>
      <c r="HM95" t="e">
        <f>AND(Bills!M247,"AAAAAGZ719w=")</f>
        <v>#VALUE!</v>
      </c>
      <c r="HN95" t="e">
        <f>AND(Bills!N247,"AAAAAGZ7190=")</f>
        <v>#VALUE!</v>
      </c>
      <c r="HO95" t="e">
        <f>AND(Bills!O247,"AAAAAGZ7194=")</f>
        <v>#VALUE!</v>
      </c>
      <c r="HP95" t="e">
        <f>AND(Bills!P247,"AAAAAGZ7198=")</f>
        <v>#VALUE!</v>
      </c>
      <c r="HQ95" t="e">
        <f>AND(Bills!Q247,"AAAAAGZ71+A=")</f>
        <v>#VALUE!</v>
      </c>
      <c r="HR95" t="e">
        <f>AND(Bills!R247,"AAAAAGZ71+E=")</f>
        <v>#VALUE!</v>
      </c>
      <c r="HS95" t="e">
        <f>AND(Bills!#REF!,"AAAAAGZ71+I=")</f>
        <v>#REF!</v>
      </c>
      <c r="HT95" t="e">
        <f>AND(Bills!S247,"AAAAAGZ71+M=")</f>
        <v>#VALUE!</v>
      </c>
      <c r="HU95" t="e">
        <f>AND(Bills!T247,"AAAAAGZ71+Q=")</f>
        <v>#VALUE!</v>
      </c>
      <c r="HV95" t="e">
        <f>AND(Bills!U247,"AAAAAGZ71+U=")</f>
        <v>#VALUE!</v>
      </c>
      <c r="HW95" t="e">
        <f>AND(Bills!#REF!,"AAAAAGZ71+Y=")</f>
        <v>#REF!</v>
      </c>
      <c r="HX95" t="e">
        <f>AND(Bills!#REF!,"AAAAAGZ71+c=")</f>
        <v>#REF!</v>
      </c>
      <c r="HY95" t="e">
        <f>AND(Bills!W247,"AAAAAGZ71+g=")</f>
        <v>#VALUE!</v>
      </c>
      <c r="HZ95" t="e">
        <f>AND(Bills!X247,"AAAAAGZ71+k=")</f>
        <v>#VALUE!</v>
      </c>
      <c r="IA95" t="e">
        <f>AND(Bills!#REF!,"AAAAAGZ71+o=")</f>
        <v>#REF!</v>
      </c>
      <c r="IB95" t="e">
        <f>AND(Bills!#REF!,"AAAAAGZ71+s=")</f>
        <v>#REF!</v>
      </c>
      <c r="IC95" t="e">
        <f>AND(Bills!#REF!,"AAAAAGZ71+w=")</f>
        <v>#REF!</v>
      </c>
      <c r="ID95" t="e">
        <f>AND(Bills!#REF!,"AAAAAGZ71+0=")</f>
        <v>#REF!</v>
      </c>
      <c r="IE95" t="e">
        <f>AND(Bills!#REF!,"AAAAAGZ71+4=")</f>
        <v>#REF!</v>
      </c>
      <c r="IF95" t="e">
        <f>AND(Bills!#REF!,"AAAAAGZ71+8=")</f>
        <v>#REF!</v>
      </c>
      <c r="IG95" t="e">
        <f>AND(Bills!#REF!,"AAAAAGZ71/A=")</f>
        <v>#REF!</v>
      </c>
      <c r="IH95" t="e">
        <f>AND(Bills!#REF!,"AAAAAGZ71/E=")</f>
        <v>#REF!</v>
      </c>
      <c r="II95" t="e">
        <f>AND(Bills!#REF!,"AAAAAGZ71/I=")</f>
        <v>#REF!</v>
      </c>
      <c r="IJ95" t="e">
        <f>AND(Bills!Y247,"AAAAAGZ71/M=")</f>
        <v>#VALUE!</v>
      </c>
      <c r="IK95" t="e">
        <f>AND(Bills!Z247,"AAAAAGZ71/Q=")</f>
        <v>#VALUE!</v>
      </c>
      <c r="IL95" t="e">
        <f>AND(Bills!#REF!,"AAAAAGZ71/U=")</f>
        <v>#REF!</v>
      </c>
      <c r="IM95" t="e">
        <f>AND(Bills!#REF!,"AAAAAGZ71/Y=")</f>
        <v>#REF!</v>
      </c>
      <c r="IN95" t="e">
        <f>AND(Bills!#REF!,"AAAAAGZ71/c=")</f>
        <v>#REF!</v>
      </c>
      <c r="IO95" t="e">
        <f>AND(Bills!AA247,"AAAAAGZ71/g=")</f>
        <v>#VALUE!</v>
      </c>
      <c r="IP95" t="e">
        <f>AND(Bills!AB247,"AAAAAGZ71/k=")</f>
        <v>#VALUE!</v>
      </c>
      <c r="IQ95" t="e">
        <f>AND(Bills!#REF!,"AAAAAGZ71/o=")</f>
        <v>#REF!</v>
      </c>
      <c r="IR95">
        <f>IF(Bills!248:248,"AAAAAGZ71/s=",0)</f>
        <v>0</v>
      </c>
      <c r="IS95" t="e">
        <f>AND(Bills!B248,"AAAAAGZ71/w=")</f>
        <v>#VALUE!</v>
      </c>
      <c r="IT95" t="e">
        <f>AND(Bills!#REF!,"AAAAAGZ71/0=")</f>
        <v>#REF!</v>
      </c>
      <c r="IU95" t="e">
        <f>AND(Bills!C248,"AAAAAGZ71/4=")</f>
        <v>#VALUE!</v>
      </c>
      <c r="IV95" t="e">
        <f>AND(Bills!#REF!,"AAAAAGZ71/8=")</f>
        <v>#REF!</v>
      </c>
    </row>
    <row r="96" spans="1:256">
      <c r="A96" t="e">
        <f>AND(Bills!#REF!,"AAAAAHe/jwA=")</f>
        <v>#REF!</v>
      </c>
      <c r="B96" t="e">
        <f>AND(Bills!#REF!,"AAAAAHe/jwE=")</f>
        <v>#REF!</v>
      </c>
      <c r="C96" t="e">
        <f>AND(Bills!#REF!,"AAAAAHe/jwI=")</f>
        <v>#REF!</v>
      </c>
      <c r="D96" t="e">
        <f>AND(Bills!#REF!,"AAAAAHe/jwM=")</f>
        <v>#REF!</v>
      </c>
      <c r="E96" t="e">
        <f>AND(Bills!D248,"AAAAAHe/jwQ=")</f>
        <v>#VALUE!</v>
      </c>
      <c r="F96" t="e">
        <f>AND(Bills!#REF!,"AAAAAHe/jwU=")</f>
        <v>#REF!</v>
      </c>
      <c r="G96" t="e">
        <f>AND(Bills!E248,"AAAAAHe/jwY=")</f>
        <v>#VALUE!</v>
      </c>
      <c r="H96" t="e">
        <f>AND(Bills!F248,"AAAAAHe/jwc=")</f>
        <v>#VALUE!</v>
      </c>
      <c r="I96" t="e">
        <f>AND(Bills!G248,"AAAAAHe/jwg=")</f>
        <v>#VALUE!</v>
      </c>
      <c r="J96" t="e">
        <f>AND(Bills!H248,"AAAAAHe/jwk=")</f>
        <v>#VALUE!</v>
      </c>
      <c r="K96" t="e">
        <f>AND(Bills!I248,"AAAAAHe/jwo=")</f>
        <v>#VALUE!</v>
      </c>
      <c r="L96" t="e">
        <f>AND(Bills!J248,"AAAAAHe/jws=")</f>
        <v>#VALUE!</v>
      </c>
      <c r="M96" t="e">
        <f>AND(Bills!#REF!,"AAAAAHe/jww=")</f>
        <v>#REF!</v>
      </c>
      <c r="N96" t="e">
        <f>AND(Bills!K248,"AAAAAHe/jw0=")</f>
        <v>#VALUE!</v>
      </c>
      <c r="O96" t="e">
        <f>AND(Bills!L248,"AAAAAHe/jw4=")</f>
        <v>#VALUE!</v>
      </c>
      <c r="P96" t="e">
        <f>AND(Bills!M248,"AAAAAHe/jw8=")</f>
        <v>#VALUE!</v>
      </c>
      <c r="Q96" t="e">
        <f>AND(Bills!N248,"AAAAAHe/jxA=")</f>
        <v>#VALUE!</v>
      </c>
      <c r="R96" t="e">
        <f>AND(Bills!O248,"AAAAAHe/jxE=")</f>
        <v>#VALUE!</v>
      </c>
      <c r="S96" t="e">
        <f>AND(Bills!P248,"AAAAAHe/jxI=")</f>
        <v>#VALUE!</v>
      </c>
      <c r="T96" t="e">
        <f>AND(Bills!Q248,"AAAAAHe/jxM=")</f>
        <v>#VALUE!</v>
      </c>
      <c r="U96" t="e">
        <f>AND(Bills!R248,"AAAAAHe/jxQ=")</f>
        <v>#VALUE!</v>
      </c>
      <c r="V96" t="e">
        <f>AND(Bills!#REF!,"AAAAAHe/jxU=")</f>
        <v>#REF!</v>
      </c>
      <c r="W96" t="e">
        <f>AND(Bills!S248,"AAAAAHe/jxY=")</f>
        <v>#VALUE!</v>
      </c>
      <c r="X96" t="e">
        <f>AND(Bills!T248,"AAAAAHe/jxc=")</f>
        <v>#VALUE!</v>
      </c>
      <c r="Y96" t="e">
        <f>AND(Bills!U248,"AAAAAHe/jxg=")</f>
        <v>#VALUE!</v>
      </c>
      <c r="Z96" t="e">
        <f>AND(Bills!#REF!,"AAAAAHe/jxk=")</f>
        <v>#REF!</v>
      </c>
      <c r="AA96" t="e">
        <f>AND(Bills!#REF!,"AAAAAHe/jxo=")</f>
        <v>#REF!</v>
      </c>
      <c r="AB96" t="e">
        <f>AND(Bills!W248,"AAAAAHe/jxs=")</f>
        <v>#VALUE!</v>
      </c>
      <c r="AC96" t="e">
        <f>AND(Bills!X248,"AAAAAHe/jxw=")</f>
        <v>#VALUE!</v>
      </c>
      <c r="AD96" t="e">
        <f>AND(Bills!#REF!,"AAAAAHe/jx0=")</f>
        <v>#REF!</v>
      </c>
      <c r="AE96" t="e">
        <f>AND(Bills!#REF!,"AAAAAHe/jx4=")</f>
        <v>#REF!</v>
      </c>
      <c r="AF96" t="e">
        <f>AND(Bills!#REF!,"AAAAAHe/jx8=")</f>
        <v>#REF!</v>
      </c>
      <c r="AG96" t="e">
        <f>AND(Bills!#REF!,"AAAAAHe/jyA=")</f>
        <v>#REF!</v>
      </c>
      <c r="AH96" t="e">
        <f>AND(Bills!#REF!,"AAAAAHe/jyE=")</f>
        <v>#REF!</v>
      </c>
      <c r="AI96" t="e">
        <f>AND(Bills!#REF!,"AAAAAHe/jyI=")</f>
        <v>#REF!</v>
      </c>
      <c r="AJ96" t="e">
        <f>AND(Bills!#REF!,"AAAAAHe/jyM=")</f>
        <v>#REF!</v>
      </c>
      <c r="AK96" t="e">
        <f>AND(Bills!#REF!,"AAAAAHe/jyQ=")</f>
        <v>#REF!</v>
      </c>
      <c r="AL96" t="e">
        <f>AND(Bills!#REF!,"AAAAAHe/jyU=")</f>
        <v>#REF!</v>
      </c>
      <c r="AM96" t="e">
        <f>AND(Bills!Y248,"AAAAAHe/jyY=")</f>
        <v>#VALUE!</v>
      </c>
      <c r="AN96" t="e">
        <f>AND(Bills!Z248,"AAAAAHe/jyc=")</f>
        <v>#VALUE!</v>
      </c>
      <c r="AO96" t="e">
        <f>AND(Bills!#REF!,"AAAAAHe/jyg=")</f>
        <v>#REF!</v>
      </c>
      <c r="AP96" t="e">
        <f>AND(Bills!#REF!,"AAAAAHe/jyk=")</f>
        <v>#REF!</v>
      </c>
      <c r="AQ96" t="e">
        <f>AND(Bills!#REF!,"AAAAAHe/jyo=")</f>
        <v>#REF!</v>
      </c>
      <c r="AR96" t="e">
        <f>AND(Bills!AA248,"AAAAAHe/jys=")</f>
        <v>#VALUE!</v>
      </c>
      <c r="AS96" t="e">
        <f>AND(Bills!AB248,"AAAAAHe/jyw=")</f>
        <v>#VALUE!</v>
      </c>
      <c r="AT96" t="e">
        <f>AND(Bills!#REF!,"AAAAAHe/jy0=")</f>
        <v>#REF!</v>
      </c>
      <c r="AU96">
        <f>IF(Bills!249:249,"AAAAAHe/jy4=",0)</f>
        <v>0</v>
      </c>
      <c r="AV96" t="e">
        <f>AND(Bills!B249,"AAAAAHe/jy8=")</f>
        <v>#VALUE!</v>
      </c>
      <c r="AW96" t="e">
        <f>AND(Bills!#REF!,"AAAAAHe/jzA=")</f>
        <v>#REF!</v>
      </c>
      <c r="AX96" t="e">
        <f>AND(Bills!C249,"AAAAAHe/jzE=")</f>
        <v>#VALUE!</v>
      </c>
      <c r="AY96" t="e">
        <f>AND(Bills!#REF!,"AAAAAHe/jzI=")</f>
        <v>#REF!</v>
      </c>
      <c r="AZ96" t="e">
        <f>AND(Bills!#REF!,"AAAAAHe/jzM=")</f>
        <v>#REF!</v>
      </c>
      <c r="BA96" t="e">
        <f>AND(Bills!#REF!,"AAAAAHe/jzQ=")</f>
        <v>#REF!</v>
      </c>
      <c r="BB96" t="e">
        <f>AND(Bills!#REF!,"AAAAAHe/jzU=")</f>
        <v>#REF!</v>
      </c>
      <c r="BC96" t="e">
        <f>AND(Bills!#REF!,"AAAAAHe/jzY=")</f>
        <v>#REF!</v>
      </c>
      <c r="BD96" t="e">
        <f>AND(Bills!D249,"AAAAAHe/jzc=")</f>
        <v>#VALUE!</v>
      </c>
      <c r="BE96" t="e">
        <f>AND(Bills!#REF!,"AAAAAHe/jzg=")</f>
        <v>#REF!</v>
      </c>
      <c r="BF96" t="e">
        <f>AND(Bills!E249,"AAAAAHe/jzk=")</f>
        <v>#VALUE!</v>
      </c>
      <c r="BG96" t="e">
        <f>AND(Bills!F249,"AAAAAHe/jzo=")</f>
        <v>#VALUE!</v>
      </c>
      <c r="BH96" t="e">
        <f>AND(Bills!G249,"AAAAAHe/jzs=")</f>
        <v>#VALUE!</v>
      </c>
      <c r="BI96" t="e">
        <f>AND(Bills!H249,"AAAAAHe/jzw=")</f>
        <v>#VALUE!</v>
      </c>
      <c r="BJ96" t="e">
        <f>AND(Bills!I249,"AAAAAHe/jz0=")</f>
        <v>#VALUE!</v>
      </c>
      <c r="BK96" t="e">
        <f>AND(Bills!J249,"AAAAAHe/jz4=")</f>
        <v>#VALUE!</v>
      </c>
      <c r="BL96" t="e">
        <f>AND(Bills!#REF!,"AAAAAHe/jz8=")</f>
        <v>#REF!</v>
      </c>
      <c r="BM96" t="e">
        <f>AND(Bills!K249,"AAAAAHe/j0A=")</f>
        <v>#VALUE!</v>
      </c>
      <c r="BN96" t="e">
        <f>AND(Bills!L249,"AAAAAHe/j0E=")</f>
        <v>#VALUE!</v>
      </c>
      <c r="BO96" t="e">
        <f>AND(Bills!M249,"AAAAAHe/j0I=")</f>
        <v>#VALUE!</v>
      </c>
      <c r="BP96" t="e">
        <f>AND(Bills!N249,"AAAAAHe/j0M=")</f>
        <v>#VALUE!</v>
      </c>
      <c r="BQ96" t="e">
        <f>AND(Bills!O249,"AAAAAHe/j0Q=")</f>
        <v>#VALUE!</v>
      </c>
      <c r="BR96" t="e">
        <f>AND(Bills!P249,"AAAAAHe/j0U=")</f>
        <v>#VALUE!</v>
      </c>
      <c r="BS96" t="e">
        <f>AND(Bills!Q249,"AAAAAHe/j0Y=")</f>
        <v>#VALUE!</v>
      </c>
      <c r="BT96" t="e">
        <f>AND(Bills!R249,"AAAAAHe/j0c=")</f>
        <v>#VALUE!</v>
      </c>
      <c r="BU96" t="e">
        <f>AND(Bills!#REF!,"AAAAAHe/j0g=")</f>
        <v>#REF!</v>
      </c>
      <c r="BV96" t="e">
        <f>AND(Bills!S249,"AAAAAHe/j0k=")</f>
        <v>#VALUE!</v>
      </c>
      <c r="BW96" t="e">
        <f>AND(Bills!T249,"AAAAAHe/j0o=")</f>
        <v>#VALUE!</v>
      </c>
      <c r="BX96" t="e">
        <f>AND(Bills!U249,"AAAAAHe/j0s=")</f>
        <v>#VALUE!</v>
      </c>
      <c r="BY96" t="e">
        <f>AND(Bills!#REF!,"AAAAAHe/j0w=")</f>
        <v>#REF!</v>
      </c>
      <c r="BZ96" t="e">
        <f>AND(Bills!#REF!,"AAAAAHe/j00=")</f>
        <v>#REF!</v>
      </c>
      <c r="CA96" t="e">
        <f>AND(Bills!W249,"AAAAAHe/j04=")</f>
        <v>#VALUE!</v>
      </c>
      <c r="CB96" t="e">
        <f>AND(Bills!X249,"AAAAAHe/j08=")</f>
        <v>#VALUE!</v>
      </c>
      <c r="CC96" t="e">
        <f>AND(Bills!#REF!,"AAAAAHe/j1A=")</f>
        <v>#REF!</v>
      </c>
      <c r="CD96" t="e">
        <f>AND(Bills!#REF!,"AAAAAHe/j1E=")</f>
        <v>#REF!</v>
      </c>
      <c r="CE96" t="e">
        <f>AND(Bills!#REF!,"AAAAAHe/j1I=")</f>
        <v>#REF!</v>
      </c>
      <c r="CF96" t="e">
        <f>AND(Bills!#REF!,"AAAAAHe/j1M=")</f>
        <v>#REF!</v>
      </c>
      <c r="CG96" t="e">
        <f>AND(Bills!#REF!,"AAAAAHe/j1Q=")</f>
        <v>#REF!</v>
      </c>
      <c r="CH96" t="e">
        <f>AND(Bills!#REF!,"AAAAAHe/j1U=")</f>
        <v>#REF!</v>
      </c>
      <c r="CI96" t="e">
        <f>AND(Bills!#REF!,"AAAAAHe/j1Y=")</f>
        <v>#REF!</v>
      </c>
      <c r="CJ96" t="e">
        <f>AND(Bills!#REF!,"AAAAAHe/j1c=")</f>
        <v>#REF!</v>
      </c>
      <c r="CK96" t="e">
        <f>AND(Bills!#REF!,"AAAAAHe/j1g=")</f>
        <v>#REF!</v>
      </c>
      <c r="CL96" t="e">
        <f>AND(Bills!Y249,"AAAAAHe/j1k=")</f>
        <v>#VALUE!</v>
      </c>
      <c r="CM96" t="e">
        <f>AND(Bills!Z249,"AAAAAHe/j1o=")</f>
        <v>#VALUE!</v>
      </c>
      <c r="CN96" t="e">
        <f>AND(Bills!#REF!,"AAAAAHe/j1s=")</f>
        <v>#REF!</v>
      </c>
      <c r="CO96" t="e">
        <f>AND(Bills!#REF!,"AAAAAHe/j1w=")</f>
        <v>#REF!</v>
      </c>
      <c r="CP96" t="e">
        <f>AND(Bills!#REF!,"AAAAAHe/j10=")</f>
        <v>#REF!</v>
      </c>
      <c r="CQ96" t="e">
        <f>AND(Bills!AA249,"AAAAAHe/j14=")</f>
        <v>#VALUE!</v>
      </c>
      <c r="CR96" t="e">
        <f>AND(Bills!AB249,"AAAAAHe/j18=")</f>
        <v>#VALUE!</v>
      </c>
      <c r="CS96" t="e">
        <f>AND(Bills!#REF!,"AAAAAHe/j2A=")</f>
        <v>#REF!</v>
      </c>
      <c r="CT96">
        <f>IF(Bills!250:250,"AAAAAHe/j2E=",0)</f>
        <v>0</v>
      </c>
      <c r="CU96" t="e">
        <f>AND(Bills!B250,"AAAAAHe/j2I=")</f>
        <v>#VALUE!</v>
      </c>
      <c r="CV96" t="e">
        <f>AND(Bills!#REF!,"AAAAAHe/j2M=")</f>
        <v>#REF!</v>
      </c>
      <c r="CW96" t="e">
        <f>AND(Bills!C250,"AAAAAHe/j2Q=")</f>
        <v>#VALUE!</v>
      </c>
      <c r="CX96" t="e">
        <f>AND(Bills!#REF!,"AAAAAHe/j2U=")</f>
        <v>#REF!</v>
      </c>
      <c r="CY96" t="e">
        <f>AND(Bills!#REF!,"AAAAAHe/j2Y=")</f>
        <v>#REF!</v>
      </c>
      <c r="CZ96" t="e">
        <f>AND(Bills!#REF!,"AAAAAHe/j2c=")</f>
        <v>#REF!</v>
      </c>
      <c r="DA96" t="e">
        <f>AND(Bills!#REF!,"AAAAAHe/j2g=")</f>
        <v>#REF!</v>
      </c>
      <c r="DB96" t="e">
        <f>AND(Bills!#REF!,"AAAAAHe/j2k=")</f>
        <v>#REF!</v>
      </c>
      <c r="DC96" t="e">
        <f>AND(Bills!D250,"AAAAAHe/j2o=")</f>
        <v>#VALUE!</v>
      </c>
      <c r="DD96" t="e">
        <f>AND(Bills!#REF!,"AAAAAHe/j2s=")</f>
        <v>#REF!</v>
      </c>
      <c r="DE96" t="e">
        <f>AND(Bills!E250,"AAAAAHe/j2w=")</f>
        <v>#VALUE!</v>
      </c>
      <c r="DF96" t="e">
        <f>AND(Bills!F250,"AAAAAHe/j20=")</f>
        <v>#VALUE!</v>
      </c>
      <c r="DG96" t="e">
        <f>AND(Bills!G250,"AAAAAHe/j24=")</f>
        <v>#VALUE!</v>
      </c>
      <c r="DH96" t="e">
        <f>AND(Bills!H250,"AAAAAHe/j28=")</f>
        <v>#VALUE!</v>
      </c>
      <c r="DI96" t="e">
        <f>AND(Bills!I250,"AAAAAHe/j3A=")</f>
        <v>#VALUE!</v>
      </c>
      <c r="DJ96" t="e">
        <f>AND(Bills!J250,"AAAAAHe/j3E=")</f>
        <v>#VALUE!</v>
      </c>
      <c r="DK96" t="e">
        <f>AND(Bills!#REF!,"AAAAAHe/j3I=")</f>
        <v>#REF!</v>
      </c>
      <c r="DL96" t="e">
        <f>AND(Bills!K250,"AAAAAHe/j3M=")</f>
        <v>#VALUE!</v>
      </c>
      <c r="DM96" t="e">
        <f>AND(Bills!L250,"AAAAAHe/j3Q=")</f>
        <v>#VALUE!</v>
      </c>
      <c r="DN96" t="e">
        <f>AND(Bills!M250,"AAAAAHe/j3U=")</f>
        <v>#VALUE!</v>
      </c>
      <c r="DO96" t="e">
        <f>AND(Bills!N250,"AAAAAHe/j3Y=")</f>
        <v>#VALUE!</v>
      </c>
      <c r="DP96" t="e">
        <f>AND(Bills!O250,"AAAAAHe/j3c=")</f>
        <v>#VALUE!</v>
      </c>
      <c r="DQ96" t="e">
        <f>AND(Bills!P250,"AAAAAHe/j3g=")</f>
        <v>#VALUE!</v>
      </c>
      <c r="DR96" t="e">
        <f>AND(Bills!Q250,"AAAAAHe/j3k=")</f>
        <v>#VALUE!</v>
      </c>
      <c r="DS96" t="e">
        <f>AND(Bills!R250,"AAAAAHe/j3o=")</f>
        <v>#VALUE!</v>
      </c>
      <c r="DT96" t="e">
        <f>AND(Bills!#REF!,"AAAAAHe/j3s=")</f>
        <v>#REF!</v>
      </c>
      <c r="DU96" t="e">
        <f>AND(Bills!S250,"AAAAAHe/j3w=")</f>
        <v>#VALUE!</v>
      </c>
      <c r="DV96" t="e">
        <f>AND(Bills!T250,"AAAAAHe/j30=")</f>
        <v>#VALUE!</v>
      </c>
      <c r="DW96" t="e">
        <f>AND(Bills!U250,"AAAAAHe/j34=")</f>
        <v>#VALUE!</v>
      </c>
      <c r="DX96" t="e">
        <f>AND(Bills!#REF!,"AAAAAHe/j38=")</f>
        <v>#REF!</v>
      </c>
      <c r="DY96" t="e">
        <f>AND(Bills!#REF!,"AAAAAHe/j4A=")</f>
        <v>#REF!</v>
      </c>
      <c r="DZ96" t="e">
        <f>AND(Bills!W250,"AAAAAHe/j4E=")</f>
        <v>#VALUE!</v>
      </c>
      <c r="EA96" t="e">
        <f>AND(Bills!X250,"AAAAAHe/j4I=")</f>
        <v>#VALUE!</v>
      </c>
      <c r="EB96" t="e">
        <f>AND(Bills!#REF!,"AAAAAHe/j4M=")</f>
        <v>#REF!</v>
      </c>
      <c r="EC96" t="e">
        <f>AND(Bills!#REF!,"AAAAAHe/j4Q=")</f>
        <v>#REF!</v>
      </c>
      <c r="ED96" t="e">
        <f>AND(Bills!#REF!,"AAAAAHe/j4U=")</f>
        <v>#REF!</v>
      </c>
      <c r="EE96" t="e">
        <f>AND(Bills!#REF!,"AAAAAHe/j4Y=")</f>
        <v>#REF!</v>
      </c>
      <c r="EF96" t="e">
        <f>AND(Bills!#REF!,"AAAAAHe/j4c=")</f>
        <v>#REF!</v>
      </c>
      <c r="EG96" t="e">
        <f>AND(Bills!#REF!,"AAAAAHe/j4g=")</f>
        <v>#REF!</v>
      </c>
      <c r="EH96" t="e">
        <f>AND(Bills!#REF!,"AAAAAHe/j4k=")</f>
        <v>#REF!</v>
      </c>
      <c r="EI96" t="e">
        <f>AND(Bills!#REF!,"AAAAAHe/j4o=")</f>
        <v>#REF!</v>
      </c>
      <c r="EJ96" t="e">
        <f>AND(Bills!#REF!,"AAAAAHe/j4s=")</f>
        <v>#REF!</v>
      </c>
      <c r="EK96" t="e">
        <f>AND(Bills!Y250,"AAAAAHe/j4w=")</f>
        <v>#VALUE!</v>
      </c>
      <c r="EL96" t="e">
        <f>AND(Bills!Z250,"AAAAAHe/j40=")</f>
        <v>#VALUE!</v>
      </c>
      <c r="EM96" t="e">
        <f>AND(Bills!#REF!,"AAAAAHe/j44=")</f>
        <v>#REF!</v>
      </c>
      <c r="EN96" t="e">
        <f>AND(Bills!#REF!,"AAAAAHe/j48=")</f>
        <v>#REF!</v>
      </c>
      <c r="EO96" t="e">
        <f>AND(Bills!#REF!,"AAAAAHe/j5A=")</f>
        <v>#REF!</v>
      </c>
      <c r="EP96" t="e">
        <f>AND(Bills!AA250,"AAAAAHe/j5E=")</f>
        <v>#VALUE!</v>
      </c>
      <c r="EQ96" t="e">
        <f>AND(Bills!AB250,"AAAAAHe/j5I=")</f>
        <v>#VALUE!</v>
      </c>
      <c r="ER96" t="e">
        <f>AND(Bills!#REF!,"AAAAAHe/j5M=")</f>
        <v>#REF!</v>
      </c>
      <c r="ES96">
        <f>IF(Bills!251:251,"AAAAAHe/j5Q=",0)</f>
        <v>0</v>
      </c>
      <c r="ET96" t="e">
        <f>AND(Bills!B251,"AAAAAHe/j5U=")</f>
        <v>#VALUE!</v>
      </c>
      <c r="EU96" t="e">
        <f>AND(Bills!#REF!,"AAAAAHe/j5Y=")</f>
        <v>#REF!</v>
      </c>
      <c r="EV96" t="e">
        <f>AND(Bills!C251,"AAAAAHe/j5c=")</f>
        <v>#VALUE!</v>
      </c>
      <c r="EW96" t="e">
        <f>AND(Bills!#REF!,"AAAAAHe/j5g=")</f>
        <v>#REF!</v>
      </c>
      <c r="EX96" t="e">
        <f>AND(Bills!#REF!,"AAAAAHe/j5k=")</f>
        <v>#REF!</v>
      </c>
      <c r="EY96" t="e">
        <f>AND(Bills!#REF!,"AAAAAHe/j5o=")</f>
        <v>#REF!</v>
      </c>
      <c r="EZ96" t="e">
        <f>AND(Bills!#REF!,"AAAAAHe/j5s=")</f>
        <v>#REF!</v>
      </c>
      <c r="FA96" t="e">
        <f>AND(Bills!#REF!,"AAAAAHe/j5w=")</f>
        <v>#REF!</v>
      </c>
      <c r="FB96" t="e">
        <f>AND(Bills!D251,"AAAAAHe/j50=")</f>
        <v>#VALUE!</v>
      </c>
      <c r="FC96" t="e">
        <f>AND(Bills!#REF!,"AAAAAHe/j54=")</f>
        <v>#REF!</v>
      </c>
      <c r="FD96" t="e">
        <f>AND(Bills!E251,"AAAAAHe/j58=")</f>
        <v>#VALUE!</v>
      </c>
      <c r="FE96" t="e">
        <f>AND(Bills!F251,"AAAAAHe/j6A=")</f>
        <v>#VALUE!</v>
      </c>
      <c r="FF96" t="e">
        <f>AND(Bills!G251,"AAAAAHe/j6E=")</f>
        <v>#VALUE!</v>
      </c>
      <c r="FG96" t="e">
        <f>AND(Bills!H251,"AAAAAHe/j6I=")</f>
        <v>#VALUE!</v>
      </c>
      <c r="FH96" t="e">
        <f>AND(Bills!I251,"AAAAAHe/j6M=")</f>
        <v>#VALUE!</v>
      </c>
      <c r="FI96" t="e">
        <f>AND(Bills!J251,"AAAAAHe/j6Q=")</f>
        <v>#VALUE!</v>
      </c>
      <c r="FJ96" t="e">
        <f>AND(Bills!#REF!,"AAAAAHe/j6U=")</f>
        <v>#REF!</v>
      </c>
      <c r="FK96" t="e">
        <f>AND(Bills!K251,"AAAAAHe/j6Y=")</f>
        <v>#VALUE!</v>
      </c>
      <c r="FL96" t="e">
        <f>AND(Bills!L251,"AAAAAHe/j6c=")</f>
        <v>#VALUE!</v>
      </c>
      <c r="FM96" t="e">
        <f>AND(Bills!M251,"AAAAAHe/j6g=")</f>
        <v>#VALUE!</v>
      </c>
      <c r="FN96" t="e">
        <f>AND(Bills!N251,"AAAAAHe/j6k=")</f>
        <v>#VALUE!</v>
      </c>
      <c r="FO96" t="e">
        <f>AND(Bills!O251,"AAAAAHe/j6o=")</f>
        <v>#VALUE!</v>
      </c>
      <c r="FP96" t="e">
        <f>AND(Bills!P251,"AAAAAHe/j6s=")</f>
        <v>#VALUE!</v>
      </c>
      <c r="FQ96" t="e">
        <f>AND(Bills!Q251,"AAAAAHe/j6w=")</f>
        <v>#VALUE!</v>
      </c>
      <c r="FR96" t="e">
        <f>AND(Bills!R251,"AAAAAHe/j60=")</f>
        <v>#VALUE!</v>
      </c>
      <c r="FS96" t="e">
        <f>AND(Bills!#REF!,"AAAAAHe/j64=")</f>
        <v>#REF!</v>
      </c>
      <c r="FT96" t="e">
        <f>AND(Bills!S251,"AAAAAHe/j68=")</f>
        <v>#VALUE!</v>
      </c>
      <c r="FU96" t="e">
        <f>AND(Bills!T251,"AAAAAHe/j7A=")</f>
        <v>#VALUE!</v>
      </c>
      <c r="FV96" t="e">
        <f>AND(Bills!U251,"AAAAAHe/j7E=")</f>
        <v>#VALUE!</v>
      </c>
      <c r="FW96" t="e">
        <f>AND(Bills!#REF!,"AAAAAHe/j7I=")</f>
        <v>#REF!</v>
      </c>
      <c r="FX96" t="e">
        <f>AND(Bills!#REF!,"AAAAAHe/j7M=")</f>
        <v>#REF!</v>
      </c>
      <c r="FY96" t="e">
        <f>AND(Bills!W251,"AAAAAHe/j7Q=")</f>
        <v>#VALUE!</v>
      </c>
      <c r="FZ96" t="e">
        <f>AND(Bills!X251,"AAAAAHe/j7U=")</f>
        <v>#VALUE!</v>
      </c>
      <c r="GA96" t="e">
        <f>AND(Bills!#REF!,"AAAAAHe/j7Y=")</f>
        <v>#REF!</v>
      </c>
      <c r="GB96" t="e">
        <f>AND(Bills!#REF!,"AAAAAHe/j7c=")</f>
        <v>#REF!</v>
      </c>
      <c r="GC96" t="e">
        <f>AND(Bills!#REF!,"AAAAAHe/j7g=")</f>
        <v>#REF!</v>
      </c>
      <c r="GD96" t="e">
        <f>AND(Bills!#REF!,"AAAAAHe/j7k=")</f>
        <v>#REF!</v>
      </c>
      <c r="GE96" t="e">
        <f>AND(Bills!#REF!,"AAAAAHe/j7o=")</f>
        <v>#REF!</v>
      </c>
      <c r="GF96" t="e">
        <f>AND(Bills!#REF!,"AAAAAHe/j7s=")</f>
        <v>#REF!</v>
      </c>
      <c r="GG96" t="e">
        <f>AND(Bills!#REF!,"AAAAAHe/j7w=")</f>
        <v>#REF!</v>
      </c>
      <c r="GH96" t="e">
        <f>AND(Bills!#REF!,"AAAAAHe/j70=")</f>
        <v>#REF!</v>
      </c>
      <c r="GI96" t="e">
        <f>AND(Bills!#REF!,"AAAAAHe/j74=")</f>
        <v>#REF!</v>
      </c>
      <c r="GJ96" t="e">
        <f>AND(Bills!Y251,"AAAAAHe/j78=")</f>
        <v>#VALUE!</v>
      </c>
      <c r="GK96" t="e">
        <f>AND(Bills!Z251,"AAAAAHe/j8A=")</f>
        <v>#VALUE!</v>
      </c>
      <c r="GL96" t="e">
        <f>AND(Bills!#REF!,"AAAAAHe/j8E=")</f>
        <v>#REF!</v>
      </c>
      <c r="GM96" t="e">
        <f>AND(Bills!#REF!,"AAAAAHe/j8I=")</f>
        <v>#REF!</v>
      </c>
      <c r="GN96" t="e">
        <f>AND(Bills!#REF!,"AAAAAHe/j8M=")</f>
        <v>#REF!</v>
      </c>
      <c r="GO96" t="e">
        <f>AND(Bills!AA251,"AAAAAHe/j8Q=")</f>
        <v>#VALUE!</v>
      </c>
      <c r="GP96" t="e">
        <f>AND(Bills!AB251,"AAAAAHe/j8U=")</f>
        <v>#VALUE!</v>
      </c>
      <c r="GQ96" t="e">
        <f>AND(Bills!#REF!,"AAAAAHe/j8Y=")</f>
        <v>#REF!</v>
      </c>
      <c r="GR96">
        <f>IF(Bills!252:252,"AAAAAHe/j8c=",0)</f>
        <v>0</v>
      </c>
      <c r="GS96" t="e">
        <f>AND(Bills!B252,"AAAAAHe/j8g=")</f>
        <v>#VALUE!</v>
      </c>
      <c r="GT96" t="e">
        <f>AND(Bills!#REF!,"AAAAAHe/j8k=")</f>
        <v>#REF!</v>
      </c>
      <c r="GU96" t="e">
        <f>AND(Bills!C252,"AAAAAHe/j8o=")</f>
        <v>#VALUE!</v>
      </c>
      <c r="GV96" t="e">
        <f>AND(Bills!#REF!,"AAAAAHe/j8s=")</f>
        <v>#REF!</v>
      </c>
      <c r="GW96" t="e">
        <f>AND(Bills!#REF!,"AAAAAHe/j8w=")</f>
        <v>#REF!</v>
      </c>
      <c r="GX96" t="e">
        <f>AND(Bills!#REF!,"AAAAAHe/j80=")</f>
        <v>#REF!</v>
      </c>
      <c r="GY96" t="e">
        <f>AND(Bills!#REF!,"AAAAAHe/j84=")</f>
        <v>#REF!</v>
      </c>
      <c r="GZ96" t="e">
        <f>AND(Bills!#REF!,"AAAAAHe/j88=")</f>
        <v>#REF!</v>
      </c>
      <c r="HA96" t="e">
        <f>AND(Bills!D252,"AAAAAHe/j9A=")</f>
        <v>#VALUE!</v>
      </c>
      <c r="HB96" t="e">
        <f>AND(Bills!#REF!,"AAAAAHe/j9E=")</f>
        <v>#REF!</v>
      </c>
      <c r="HC96" t="e">
        <f>AND(Bills!E252,"AAAAAHe/j9I=")</f>
        <v>#VALUE!</v>
      </c>
      <c r="HD96" t="e">
        <f>AND(Bills!F252,"AAAAAHe/j9M=")</f>
        <v>#VALUE!</v>
      </c>
      <c r="HE96" t="e">
        <f>AND(Bills!G252,"AAAAAHe/j9Q=")</f>
        <v>#VALUE!</v>
      </c>
      <c r="HF96" t="e">
        <f>AND(Bills!H252,"AAAAAHe/j9U=")</f>
        <v>#VALUE!</v>
      </c>
      <c r="HG96" t="e">
        <f>AND(Bills!I252,"AAAAAHe/j9Y=")</f>
        <v>#VALUE!</v>
      </c>
      <c r="HH96" t="e">
        <f>AND(Bills!J252,"AAAAAHe/j9c=")</f>
        <v>#VALUE!</v>
      </c>
      <c r="HI96" t="e">
        <f>AND(Bills!#REF!,"AAAAAHe/j9g=")</f>
        <v>#REF!</v>
      </c>
      <c r="HJ96" t="e">
        <f>AND(Bills!K252,"AAAAAHe/j9k=")</f>
        <v>#VALUE!</v>
      </c>
      <c r="HK96" t="e">
        <f>AND(Bills!L252,"AAAAAHe/j9o=")</f>
        <v>#VALUE!</v>
      </c>
      <c r="HL96" t="e">
        <f>AND(Bills!M252,"AAAAAHe/j9s=")</f>
        <v>#VALUE!</v>
      </c>
      <c r="HM96" t="e">
        <f>AND(Bills!N252,"AAAAAHe/j9w=")</f>
        <v>#VALUE!</v>
      </c>
      <c r="HN96" t="e">
        <f>AND(Bills!O252,"AAAAAHe/j90=")</f>
        <v>#VALUE!</v>
      </c>
      <c r="HO96" t="e">
        <f>AND(Bills!P252,"AAAAAHe/j94=")</f>
        <v>#VALUE!</v>
      </c>
      <c r="HP96" t="e">
        <f>AND(Bills!Q252,"AAAAAHe/j98=")</f>
        <v>#VALUE!</v>
      </c>
      <c r="HQ96" t="e">
        <f>AND(Bills!R252,"AAAAAHe/j+A=")</f>
        <v>#VALUE!</v>
      </c>
      <c r="HR96" t="e">
        <f>AND(Bills!#REF!,"AAAAAHe/j+E=")</f>
        <v>#REF!</v>
      </c>
      <c r="HS96" t="e">
        <f>AND(Bills!S252,"AAAAAHe/j+I=")</f>
        <v>#VALUE!</v>
      </c>
      <c r="HT96" t="e">
        <f>AND(Bills!T252,"AAAAAHe/j+M=")</f>
        <v>#VALUE!</v>
      </c>
      <c r="HU96" t="e">
        <f>AND(Bills!U252,"AAAAAHe/j+Q=")</f>
        <v>#VALUE!</v>
      </c>
      <c r="HV96" t="e">
        <f>AND(Bills!#REF!,"AAAAAHe/j+U=")</f>
        <v>#REF!</v>
      </c>
      <c r="HW96" t="e">
        <f>AND(Bills!#REF!,"AAAAAHe/j+Y=")</f>
        <v>#REF!</v>
      </c>
      <c r="HX96" t="e">
        <f>AND(Bills!W252,"AAAAAHe/j+c=")</f>
        <v>#VALUE!</v>
      </c>
      <c r="HY96" t="e">
        <f>AND(Bills!X252,"AAAAAHe/j+g=")</f>
        <v>#VALUE!</v>
      </c>
      <c r="HZ96" t="e">
        <f>AND(Bills!#REF!,"AAAAAHe/j+k=")</f>
        <v>#REF!</v>
      </c>
      <c r="IA96" t="e">
        <f>AND(Bills!#REF!,"AAAAAHe/j+o=")</f>
        <v>#REF!</v>
      </c>
      <c r="IB96" t="e">
        <f>AND(Bills!#REF!,"AAAAAHe/j+s=")</f>
        <v>#REF!</v>
      </c>
      <c r="IC96" t="e">
        <f>AND(Bills!#REF!,"AAAAAHe/j+w=")</f>
        <v>#REF!</v>
      </c>
      <c r="ID96" t="e">
        <f>AND(Bills!#REF!,"AAAAAHe/j+0=")</f>
        <v>#REF!</v>
      </c>
      <c r="IE96" t="e">
        <f>AND(Bills!#REF!,"AAAAAHe/j+4=")</f>
        <v>#REF!</v>
      </c>
      <c r="IF96" t="e">
        <f>AND(Bills!#REF!,"AAAAAHe/j+8=")</f>
        <v>#REF!</v>
      </c>
      <c r="IG96" t="e">
        <f>AND(Bills!#REF!,"AAAAAHe/j/A=")</f>
        <v>#REF!</v>
      </c>
      <c r="IH96" t="e">
        <f>AND(Bills!#REF!,"AAAAAHe/j/E=")</f>
        <v>#REF!</v>
      </c>
      <c r="II96" t="e">
        <f>AND(Bills!Y252,"AAAAAHe/j/I=")</f>
        <v>#VALUE!</v>
      </c>
      <c r="IJ96" t="e">
        <f>AND(Bills!Z252,"AAAAAHe/j/M=")</f>
        <v>#VALUE!</v>
      </c>
      <c r="IK96" t="e">
        <f>AND(Bills!#REF!,"AAAAAHe/j/Q=")</f>
        <v>#REF!</v>
      </c>
      <c r="IL96" t="e">
        <f>AND(Bills!#REF!,"AAAAAHe/j/U=")</f>
        <v>#REF!</v>
      </c>
      <c r="IM96" t="e">
        <f>AND(Bills!#REF!,"AAAAAHe/j/Y=")</f>
        <v>#REF!</v>
      </c>
      <c r="IN96" t="e">
        <f>AND(Bills!AA252,"AAAAAHe/j/c=")</f>
        <v>#VALUE!</v>
      </c>
      <c r="IO96" t="e">
        <f>AND(Bills!AB252,"AAAAAHe/j/g=")</f>
        <v>#VALUE!</v>
      </c>
      <c r="IP96" t="e">
        <f>AND(Bills!#REF!,"AAAAAHe/j/k=")</f>
        <v>#REF!</v>
      </c>
      <c r="IQ96">
        <f>IF(Bills!253:253,"AAAAAHe/j/o=",0)</f>
        <v>0</v>
      </c>
      <c r="IR96" t="e">
        <f>AND(Bills!B253,"AAAAAHe/j/s=")</f>
        <v>#VALUE!</v>
      </c>
      <c r="IS96" t="e">
        <f>AND(Bills!#REF!,"AAAAAHe/j/w=")</f>
        <v>#REF!</v>
      </c>
      <c r="IT96" t="e">
        <f>AND(Bills!C253,"AAAAAHe/j/0=")</f>
        <v>#VALUE!</v>
      </c>
      <c r="IU96" t="e">
        <f>AND(Bills!#REF!,"AAAAAHe/j/4=")</f>
        <v>#REF!</v>
      </c>
      <c r="IV96" t="e">
        <f>AND(Bills!#REF!,"AAAAAHe/j/8=")</f>
        <v>#REF!</v>
      </c>
    </row>
    <row r="97" spans="1:256">
      <c r="A97" t="e">
        <f>AND(Bills!#REF!,"AAAAADs2/wA=")</f>
        <v>#REF!</v>
      </c>
      <c r="B97" t="e">
        <f>AND(Bills!#REF!,"AAAAADs2/wE=")</f>
        <v>#REF!</v>
      </c>
      <c r="C97" t="e">
        <f>AND(Bills!#REF!,"AAAAADs2/wI=")</f>
        <v>#REF!</v>
      </c>
      <c r="D97" t="e">
        <f>AND(Bills!D253,"AAAAADs2/wM=")</f>
        <v>#VALUE!</v>
      </c>
      <c r="E97" t="e">
        <f>AND(Bills!#REF!,"AAAAADs2/wQ=")</f>
        <v>#REF!</v>
      </c>
      <c r="F97" t="e">
        <f>AND(Bills!E253,"AAAAADs2/wU=")</f>
        <v>#VALUE!</v>
      </c>
      <c r="G97" t="e">
        <f>AND(Bills!F253,"AAAAADs2/wY=")</f>
        <v>#VALUE!</v>
      </c>
      <c r="H97" t="e">
        <f>AND(Bills!G253,"AAAAADs2/wc=")</f>
        <v>#VALUE!</v>
      </c>
      <c r="I97" t="e">
        <f>AND(Bills!H253,"AAAAADs2/wg=")</f>
        <v>#VALUE!</v>
      </c>
      <c r="J97" t="e">
        <f>AND(Bills!I253,"AAAAADs2/wk=")</f>
        <v>#VALUE!</v>
      </c>
      <c r="K97" t="e">
        <f>AND(Bills!J253,"AAAAADs2/wo=")</f>
        <v>#VALUE!</v>
      </c>
      <c r="L97" t="e">
        <f>AND(Bills!#REF!,"AAAAADs2/ws=")</f>
        <v>#REF!</v>
      </c>
      <c r="M97" t="e">
        <f>AND(Bills!K253,"AAAAADs2/ww=")</f>
        <v>#VALUE!</v>
      </c>
      <c r="N97" t="e">
        <f>AND(Bills!L253,"AAAAADs2/w0=")</f>
        <v>#VALUE!</v>
      </c>
      <c r="O97" t="e">
        <f>AND(Bills!M253,"AAAAADs2/w4=")</f>
        <v>#VALUE!</v>
      </c>
      <c r="P97" t="e">
        <f>AND(Bills!N253,"AAAAADs2/w8=")</f>
        <v>#VALUE!</v>
      </c>
      <c r="Q97" t="e">
        <f>AND(Bills!O253,"AAAAADs2/xA=")</f>
        <v>#VALUE!</v>
      </c>
      <c r="R97" t="e">
        <f>AND(Bills!P253,"AAAAADs2/xE=")</f>
        <v>#VALUE!</v>
      </c>
      <c r="S97" t="e">
        <f>AND(Bills!Q253,"AAAAADs2/xI=")</f>
        <v>#VALUE!</v>
      </c>
      <c r="T97" t="e">
        <f>AND(Bills!R253,"AAAAADs2/xM=")</f>
        <v>#VALUE!</v>
      </c>
      <c r="U97" t="e">
        <f>AND(Bills!#REF!,"AAAAADs2/xQ=")</f>
        <v>#REF!</v>
      </c>
      <c r="V97" t="e">
        <f>AND(Bills!S253,"AAAAADs2/xU=")</f>
        <v>#VALUE!</v>
      </c>
      <c r="W97" t="e">
        <f>AND(Bills!T253,"AAAAADs2/xY=")</f>
        <v>#VALUE!</v>
      </c>
      <c r="X97" t="e">
        <f>AND(Bills!U253,"AAAAADs2/xc=")</f>
        <v>#VALUE!</v>
      </c>
      <c r="Y97" t="e">
        <f>AND(Bills!#REF!,"AAAAADs2/xg=")</f>
        <v>#REF!</v>
      </c>
      <c r="Z97" t="e">
        <f>AND(Bills!#REF!,"AAAAADs2/xk=")</f>
        <v>#REF!</v>
      </c>
      <c r="AA97" t="e">
        <f>AND(Bills!W253,"AAAAADs2/xo=")</f>
        <v>#VALUE!</v>
      </c>
      <c r="AB97" t="e">
        <f>AND(Bills!X253,"AAAAADs2/xs=")</f>
        <v>#VALUE!</v>
      </c>
      <c r="AC97" t="e">
        <f>AND(Bills!#REF!,"AAAAADs2/xw=")</f>
        <v>#REF!</v>
      </c>
      <c r="AD97" t="e">
        <f>AND(Bills!#REF!,"AAAAADs2/x0=")</f>
        <v>#REF!</v>
      </c>
      <c r="AE97" t="e">
        <f>AND(Bills!#REF!,"AAAAADs2/x4=")</f>
        <v>#REF!</v>
      </c>
      <c r="AF97" t="e">
        <f>AND(Bills!#REF!,"AAAAADs2/x8=")</f>
        <v>#REF!</v>
      </c>
      <c r="AG97" t="e">
        <f>AND(Bills!#REF!,"AAAAADs2/yA=")</f>
        <v>#REF!</v>
      </c>
      <c r="AH97" t="e">
        <f>AND(Bills!#REF!,"AAAAADs2/yE=")</f>
        <v>#REF!</v>
      </c>
      <c r="AI97" t="e">
        <f>AND(Bills!#REF!,"AAAAADs2/yI=")</f>
        <v>#REF!</v>
      </c>
      <c r="AJ97" t="e">
        <f>AND(Bills!#REF!,"AAAAADs2/yM=")</f>
        <v>#REF!</v>
      </c>
      <c r="AK97" t="e">
        <f>AND(Bills!#REF!,"AAAAADs2/yQ=")</f>
        <v>#REF!</v>
      </c>
      <c r="AL97" t="e">
        <f>AND(Bills!Y253,"AAAAADs2/yU=")</f>
        <v>#VALUE!</v>
      </c>
      <c r="AM97" t="e">
        <f>AND(Bills!Z253,"AAAAADs2/yY=")</f>
        <v>#VALUE!</v>
      </c>
      <c r="AN97" t="e">
        <f>AND(Bills!#REF!,"AAAAADs2/yc=")</f>
        <v>#REF!</v>
      </c>
      <c r="AO97" t="e">
        <f>AND(Bills!#REF!,"AAAAADs2/yg=")</f>
        <v>#REF!</v>
      </c>
      <c r="AP97" t="e">
        <f>AND(Bills!#REF!,"AAAAADs2/yk=")</f>
        <v>#REF!</v>
      </c>
      <c r="AQ97" t="e">
        <f>AND(Bills!AA253,"AAAAADs2/yo=")</f>
        <v>#VALUE!</v>
      </c>
      <c r="AR97" t="e">
        <f>AND(Bills!AB253,"AAAAADs2/ys=")</f>
        <v>#VALUE!</v>
      </c>
      <c r="AS97" t="e">
        <f>AND(Bills!#REF!,"AAAAADs2/yw=")</f>
        <v>#REF!</v>
      </c>
      <c r="AT97">
        <f>IF(Bills!254:254,"AAAAADs2/y0=",0)</f>
        <v>0</v>
      </c>
      <c r="AU97" t="e">
        <f>AND(Bills!B254,"AAAAADs2/y4=")</f>
        <v>#VALUE!</v>
      </c>
      <c r="AV97" t="e">
        <f>AND(Bills!#REF!,"AAAAADs2/y8=")</f>
        <v>#REF!</v>
      </c>
      <c r="AW97" t="e">
        <f>AND(Bills!C254,"AAAAADs2/zA=")</f>
        <v>#VALUE!</v>
      </c>
      <c r="AX97" t="e">
        <f>AND(Bills!#REF!,"AAAAADs2/zE=")</f>
        <v>#REF!</v>
      </c>
      <c r="AY97" t="e">
        <f>AND(Bills!#REF!,"AAAAADs2/zI=")</f>
        <v>#REF!</v>
      </c>
      <c r="AZ97" t="e">
        <f>AND(Bills!#REF!,"AAAAADs2/zM=")</f>
        <v>#REF!</v>
      </c>
      <c r="BA97" t="e">
        <f>AND(Bills!#REF!,"AAAAADs2/zQ=")</f>
        <v>#REF!</v>
      </c>
      <c r="BB97" t="e">
        <f>AND(Bills!#REF!,"AAAAADs2/zU=")</f>
        <v>#REF!</v>
      </c>
      <c r="BC97" t="e">
        <f>AND(Bills!D254,"AAAAADs2/zY=")</f>
        <v>#VALUE!</v>
      </c>
      <c r="BD97" t="e">
        <f>AND(Bills!#REF!,"AAAAADs2/zc=")</f>
        <v>#REF!</v>
      </c>
      <c r="BE97" t="e">
        <f>AND(Bills!E254,"AAAAADs2/zg=")</f>
        <v>#VALUE!</v>
      </c>
      <c r="BF97" t="e">
        <f>AND(Bills!F254,"AAAAADs2/zk=")</f>
        <v>#VALUE!</v>
      </c>
      <c r="BG97" t="e">
        <f>AND(Bills!G254,"AAAAADs2/zo=")</f>
        <v>#VALUE!</v>
      </c>
      <c r="BH97" t="e">
        <f>AND(Bills!H254,"AAAAADs2/zs=")</f>
        <v>#VALUE!</v>
      </c>
      <c r="BI97" t="e">
        <f>AND(Bills!I254,"AAAAADs2/zw=")</f>
        <v>#VALUE!</v>
      </c>
      <c r="BJ97" t="e">
        <f>AND(Bills!J254,"AAAAADs2/z0=")</f>
        <v>#VALUE!</v>
      </c>
      <c r="BK97" t="e">
        <f>AND(Bills!#REF!,"AAAAADs2/z4=")</f>
        <v>#REF!</v>
      </c>
      <c r="BL97" t="e">
        <f>AND(Bills!K254,"AAAAADs2/z8=")</f>
        <v>#VALUE!</v>
      </c>
      <c r="BM97" t="e">
        <f>AND(Bills!L254,"AAAAADs2/0A=")</f>
        <v>#VALUE!</v>
      </c>
      <c r="BN97" t="e">
        <f>AND(Bills!M254,"AAAAADs2/0E=")</f>
        <v>#VALUE!</v>
      </c>
      <c r="BO97" t="e">
        <f>AND(Bills!N254,"AAAAADs2/0I=")</f>
        <v>#VALUE!</v>
      </c>
      <c r="BP97" t="e">
        <f>AND(Bills!O254,"AAAAADs2/0M=")</f>
        <v>#VALUE!</v>
      </c>
      <c r="BQ97" t="e">
        <f>AND(Bills!P254,"AAAAADs2/0Q=")</f>
        <v>#VALUE!</v>
      </c>
      <c r="BR97" t="e">
        <f>AND(Bills!Q254,"AAAAADs2/0U=")</f>
        <v>#VALUE!</v>
      </c>
      <c r="BS97" t="e">
        <f>AND(Bills!R254,"AAAAADs2/0Y=")</f>
        <v>#VALUE!</v>
      </c>
      <c r="BT97" t="e">
        <f>AND(Bills!#REF!,"AAAAADs2/0c=")</f>
        <v>#REF!</v>
      </c>
      <c r="BU97" t="e">
        <f>AND(Bills!S254,"AAAAADs2/0g=")</f>
        <v>#VALUE!</v>
      </c>
      <c r="BV97" t="e">
        <f>AND(Bills!T254,"AAAAADs2/0k=")</f>
        <v>#VALUE!</v>
      </c>
      <c r="BW97" t="e">
        <f>AND(Bills!U254,"AAAAADs2/0o=")</f>
        <v>#VALUE!</v>
      </c>
      <c r="BX97" t="e">
        <f>AND(Bills!#REF!,"AAAAADs2/0s=")</f>
        <v>#REF!</v>
      </c>
      <c r="BY97" t="e">
        <f>AND(Bills!#REF!,"AAAAADs2/0w=")</f>
        <v>#REF!</v>
      </c>
      <c r="BZ97" t="e">
        <f>AND(Bills!W254,"AAAAADs2/00=")</f>
        <v>#VALUE!</v>
      </c>
      <c r="CA97" t="e">
        <f>AND(Bills!X254,"AAAAADs2/04=")</f>
        <v>#VALUE!</v>
      </c>
      <c r="CB97" t="e">
        <f>AND(Bills!#REF!,"AAAAADs2/08=")</f>
        <v>#REF!</v>
      </c>
      <c r="CC97" t="e">
        <f>AND(Bills!#REF!,"AAAAADs2/1A=")</f>
        <v>#REF!</v>
      </c>
      <c r="CD97" t="e">
        <f>AND(Bills!#REF!,"AAAAADs2/1E=")</f>
        <v>#REF!</v>
      </c>
      <c r="CE97" t="e">
        <f>AND(Bills!#REF!,"AAAAADs2/1I=")</f>
        <v>#REF!</v>
      </c>
      <c r="CF97" t="e">
        <f>AND(Bills!#REF!,"AAAAADs2/1M=")</f>
        <v>#REF!</v>
      </c>
      <c r="CG97" t="e">
        <f>AND(Bills!#REF!,"AAAAADs2/1Q=")</f>
        <v>#REF!</v>
      </c>
      <c r="CH97" t="e">
        <f>AND(Bills!#REF!,"AAAAADs2/1U=")</f>
        <v>#REF!</v>
      </c>
      <c r="CI97" t="e">
        <f>AND(Bills!#REF!,"AAAAADs2/1Y=")</f>
        <v>#REF!</v>
      </c>
      <c r="CJ97" t="e">
        <f>AND(Bills!#REF!,"AAAAADs2/1c=")</f>
        <v>#REF!</v>
      </c>
      <c r="CK97" t="e">
        <f>AND(Bills!Y254,"AAAAADs2/1g=")</f>
        <v>#VALUE!</v>
      </c>
      <c r="CL97" t="e">
        <f>AND(Bills!Z254,"AAAAADs2/1k=")</f>
        <v>#VALUE!</v>
      </c>
      <c r="CM97" t="e">
        <f>AND(Bills!#REF!,"AAAAADs2/1o=")</f>
        <v>#REF!</v>
      </c>
      <c r="CN97" t="e">
        <f>AND(Bills!#REF!,"AAAAADs2/1s=")</f>
        <v>#REF!</v>
      </c>
      <c r="CO97" t="e">
        <f>AND(Bills!#REF!,"AAAAADs2/1w=")</f>
        <v>#REF!</v>
      </c>
      <c r="CP97" t="e">
        <f>AND(Bills!AA254,"AAAAADs2/10=")</f>
        <v>#VALUE!</v>
      </c>
      <c r="CQ97" t="e">
        <f>AND(Bills!AB254,"AAAAADs2/14=")</f>
        <v>#VALUE!</v>
      </c>
      <c r="CR97" t="e">
        <f>AND(Bills!#REF!,"AAAAADs2/18=")</f>
        <v>#REF!</v>
      </c>
      <c r="CS97">
        <f>IF(Bills!255:255,"AAAAADs2/2A=",0)</f>
        <v>0</v>
      </c>
      <c r="CT97" t="e">
        <f>AND(Bills!B255,"AAAAADs2/2E=")</f>
        <v>#VALUE!</v>
      </c>
      <c r="CU97" t="e">
        <f>AND(Bills!#REF!,"AAAAADs2/2I=")</f>
        <v>#REF!</v>
      </c>
      <c r="CV97" t="e">
        <f>AND(Bills!C255,"AAAAADs2/2M=")</f>
        <v>#VALUE!</v>
      </c>
      <c r="CW97" t="e">
        <f>AND(Bills!#REF!,"AAAAADs2/2Q=")</f>
        <v>#REF!</v>
      </c>
      <c r="CX97" t="e">
        <f>AND(Bills!#REF!,"AAAAADs2/2U=")</f>
        <v>#REF!</v>
      </c>
      <c r="CY97" t="e">
        <f>AND(Bills!#REF!,"AAAAADs2/2Y=")</f>
        <v>#REF!</v>
      </c>
      <c r="CZ97" t="e">
        <f>AND(Bills!#REF!,"AAAAADs2/2c=")</f>
        <v>#REF!</v>
      </c>
      <c r="DA97" t="e">
        <f>AND(Bills!#REF!,"AAAAADs2/2g=")</f>
        <v>#REF!</v>
      </c>
      <c r="DB97" t="e">
        <f>AND(Bills!D255,"AAAAADs2/2k=")</f>
        <v>#VALUE!</v>
      </c>
      <c r="DC97" t="e">
        <f>AND(Bills!#REF!,"AAAAADs2/2o=")</f>
        <v>#REF!</v>
      </c>
      <c r="DD97" t="e">
        <f>AND(Bills!E255,"AAAAADs2/2s=")</f>
        <v>#VALUE!</v>
      </c>
      <c r="DE97" t="e">
        <f>AND(Bills!F255,"AAAAADs2/2w=")</f>
        <v>#VALUE!</v>
      </c>
      <c r="DF97" t="e">
        <f>AND(Bills!G255,"AAAAADs2/20=")</f>
        <v>#VALUE!</v>
      </c>
      <c r="DG97" t="e">
        <f>AND(Bills!H255,"AAAAADs2/24=")</f>
        <v>#VALUE!</v>
      </c>
      <c r="DH97" t="e">
        <f>AND(Bills!I255,"AAAAADs2/28=")</f>
        <v>#VALUE!</v>
      </c>
      <c r="DI97" t="e">
        <f>AND(Bills!J255,"AAAAADs2/3A=")</f>
        <v>#VALUE!</v>
      </c>
      <c r="DJ97" t="e">
        <f>AND(Bills!#REF!,"AAAAADs2/3E=")</f>
        <v>#REF!</v>
      </c>
      <c r="DK97" t="e">
        <f>AND(Bills!K255,"AAAAADs2/3I=")</f>
        <v>#VALUE!</v>
      </c>
      <c r="DL97" t="e">
        <f>AND(Bills!L255,"AAAAADs2/3M=")</f>
        <v>#VALUE!</v>
      </c>
      <c r="DM97" t="e">
        <f>AND(Bills!M255,"AAAAADs2/3Q=")</f>
        <v>#VALUE!</v>
      </c>
      <c r="DN97" t="e">
        <f>AND(Bills!N255,"AAAAADs2/3U=")</f>
        <v>#VALUE!</v>
      </c>
      <c r="DO97" t="e">
        <f>AND(Bills!O255,"AAAAADs2/3Y=")</f>
        <v>#VALUE!</v>
      </c>
      <c r="DP97" t="e">
        <f>AND(Bills!P255,"AAAAADs2/3c=")</f>
        <v>#VALUE!</v>
      </c>
      <c r="DQ97" t="e">
        <f>AND(Bills!Q255,"AAAAADs2/3g=")</f>
        <v>#VALUE!</v>
      </c>
      <c r="DR97" t="e">
        <f>AND(Bills!R255,"AAAAADs2/3k=")</f>
        <v>#VALUE!</v>
      </c>
      <c r="DS97" t="e">
        <f>AND(Bills!#REF!,"AAAAADs2/3o=")</f>
        <v>#REF!</v>
      </c>
      <c r="DT97" t="e">
        <f>AND(Bills!S255,"AAAAADs2/3s=")</f>
        <v>#VALUE!</v>
      </c>
      <c r="DU97" t="e">
        <f>AND(Bills!T255,"AAAAADs2/3w=")</f>
        <v>#VALUE!</v>
      </c>
      <c r="DV97" t="e">
        <f>AND(Bills!U255,"AAAAADs2/30=")</f>
        <v>#VALUE!</v>
      </c>
      <c r="DW97" t="e">
        <f>AND(Bills!#REF!,"AAAAADs2/34=")</f>
        <v>#REF!</v>
      </c>
      <c r="DX97" t="e">
        <f>AND(Bills!#REF!,"AAAAADs2/38=")</f>
        <v>#REF!</v>
      </c>
      <c r="DY97" t="e">
        <f>AND(Bills!W255,"AAAAADs2/4A=")</f>
        <v>#VALUE!</v>
      </c>
      <c r="DZ97" t="e">
        <f>AND(Bills!X255,"AAAAADs2/4E=")</f>
        <v>#VALUE!</v>
      </c>
      <c r="EA97" t="e">
        <f>AND(Bills!#REF!,"AAAAADs2/4I=")</f>
        <v>#REF!</v>
      </c>
      <c r="EB97" t="e">
        <f>AND(Bills!#REF!,"AAAAADs2/4M=")</f>
        <v>#REF!</v>
      </c>
      <c r="EC97" t="e">
        <f>AND(Bills!#REF!,"AAAAADs2/4Q=")</f>
        <v>#REF!</v>
      </c>
      <c r="ED97" t="e">
        <f>AND(Bills!#REF!,"AAAAADs2/4U=")</f>
        <v>#REF!</v>
      </c>
      <c r="EE97" t="e">
        <f>AND(Bills!#REF!,"AAAAADs2/4Y=")</f>
        <v>#REF!</v>
      </c>
      <c r="EF97" t="e">
        <f>AND(Bills!#REF!,"AAAAADs2/4c=")</f>
        <v>#REF!</v>
      </c>
      <c r="EG97" t="e">
        <f>AND(Bills!#REF!,"AAAAADs2/4g=")</f>
        <v>#REF!</v>
      </c>
      <c r="EH97" t="e">
        <f>AND(Bills!#REF!,"AAAAADs2/4k=")</f>
        <v>#REF!</v>
      </c>
      <c r="EI97" t="e">
        <f>AND(Bills!#REF!,"AAAAADs2/4o=")</f>
        <v>#REF!</v>
      </c>
      <c r="EJ97" t="e">
        <f>AND(Bills!Y255,"AAAAADs2/4s=")</f>
        <v>#VALUE!</v>
      </c>
      <c r="EK97" t="e">
        <f>AND(Bills!Z255,"AAAAADs2/4w=")</f>
        <v>#VALUE!</v>
      </c>
      <c r="EL97" t="e">
        <f>AND(Bills!#REF!,"AAAAADs2/40=")</f>
        <v>#REF!</v>
      </c>
      <c r="EM97" t="e">
        <f>AND(Bills!#REF!,"AAAAADs2/44=")</f>
        <v>#REF!</v>
      </c>
      <c r="EN97" t="e">
        <f>AND(Bills!#REF!,"AAAAADs2/48=")</f>
        <v>#REF!</v>
      </c>
      <c r="EO97" t="e">
        <f>AND(Bills!AA255,"AAAAADs2/5A=")</f>
        <v>#VALUE!</v>
      </c>
      <c r="EP97" t="e">
        <f>AND(Bills!AB255,"AAAAADs2/5E=")</f>
        <v>#VALUE!</v>
      </c>
      <c r="EQ97" t="e">
        <f>AND(Bills!#REF!,"AAAAADs2/5I=")</f>
        <v>#REF!</v>
      </c>
      <c r="ER97">
        <f>IF(Bills!256:256,"AAAAADs2/5M=",0)</f>
        <v>0</v>
      </c>
      <c r="ES97" t="e">
        <f>AND(Bills!B256,"AAAAADs2/5Q=")</f>
        <v>#VALUE!</v>
      </c>
      <c r="ET97" t="e">
        <f>AND(Bills!#REF!,"AAAAADs2/5U=")</f>
        <v>#REF!</v>
      </c>
      <c r="EU97" t="e">
        <f>AND(Bills!C256,"AAAAADs2/5Y=")</f>
        <v>#VALUE!</v>
      </c>
      <c r="EV97" t="e">
        <f>AND(Bills!#REF!,"AAAAADs2/5c=")</f>
        <v>#REF!</v>
      </c>
      <c r="EW97" t="e">
        <f>AND(Bills!#REF!,"AAAAADs2/5g=")</f>
        <v>#REF!</v>
      </c>
      <c r="EX97" t="e">
        <f>AND(Bills!#REF!,"AAAAADs2/5k=")</f>
        <v>#REF!</v>
      </c>
      <c r="EY97" t="e">
        <f>AND(Bills!#REF!,"AAAAADs2/5o=")</f>
        <v>#REF!</v>
      </c>
      <c r="EZ97" t="e">
        <f>AND(Bills!#REF!,"AAAAADs2/5s=")</f>
        <v>#REF!</v>
      </c>
      <c r="FA97" t="e">
        <f>AND(Bills!D256,"AAAAADs2/5w=")</f>
        <v>#VALUE!</v>
      </c>
      <c r="FB97" t="e">
        <f>AND(Bills!#REF!,"AAAAADs2/50=")</f>
        <v>#REF!</v>
      </c>
      <c r="FC97" t="e">
        <f>AND(Bills!E256,"AAAAADs2/54=")</f>
        <v>#VALUE!</v>
      </c>
      <c r="FD97" t="e">
        <f>AND(Bills!F256,"AAAAADs2/58=")</f>
        <v>#VALUE!</v>
      </c>
      <c r="FE97" t="e">
        <f>AND(Bills!G256,"AAAAADs2/6A=")</f>
        <v>#VALUE!</v>
      </c>
      <c r="FF97" t="e">
        <f>AND(Bills!H256,"AAAAADs2/6E=")</f>
        <v>#VALUE!</v>
      </c>
      <c r="FG97" t="e">
        <f>AND(Bills!I256,"AAAAADs2/6I=")</f>
        <v>#VALUE!</v>
      </c>
      <c r="FH97" t="e">
        <f>AND(Bills!J256,"AAAAADs2/6M=")</f>
        <v>#VALUE!</v>
      </c>
      <c r="FI97" t="e">
        <f>AND(Bills!#REF!,"AAAAADs2/6Q=")</f>
        <v>#REF!</v>
      </c>
      <c r="FJ97" t="e">
        <f>AND(Bills!K256,"AAAAADs2/6U=")</f>
        <v>#VALUE!</v>
      </c>
      <c r="FK97" t="e">
        <f>AND(Bills!L256,"AAAAADs2/6Y=")</f>
        <v>#VALUE!</v>
      </c>
      <c r="FL97" t="e">
        <f>AND(Bills!M256,"AAAAADs2/6c=")</f>
        <v>#VALUE!</v>
      </c>
      <c r="FM97" t="e">
        <f>AND(Bills!N256,"AAAAADs2/6g=")</f>
        <v>#VALUE!</v>
      </c>
      <c r="FN97" t="e">
        <f>AND(Bills!O256,"AAAAADs2/6k=")</f>
        <v>#VALUE!</v>
      </c>
      <c r="FO97" t="e">
        <f>AND(Bills!P256,"AAAAADs2/6o=")</f>
        <v>#VALUE!</v>
      </c>
      <c r="FP97" t="e">
        <f>AND(Bills!Q256,"AAAAADs2/6s=")</f>
        <v>#VALUE!</v>
      </c>
      <c r="FQ97" t="e">
        <f>AND(Bills!R256,"AAAAADs2/6w=")</f>
        <v>#VALUE!</v>
      </c>
      <c r="FR97" t="e">
        <f>AND(Bills!#REF!,"AAAAADs2/60=")</f>
        <v>#REF!</v>
      </c>
      <c r="FS97" t="e">
        <f>AND(Bills!S256,"AAAAADs2/64=")</f>
        <v>#VALUE!</v>
      </c>
      <c r="FT97" t="e">
        <f>AND(Bills!T256,"AAAAADs2/68=")</f>
        <v>#VALUE!</v>
      </c>
      <c r="FU97" t="e">
        <f>AND(Bills!U256,"AAAAADs2/7A=")</f>
        <v>#VALUE!</v>
      </c>
      <c r="FV97" t="e">
        <f>AND(Bills!#REF!,"AAAAADs2/7E=")</f>
        <v>#REF!</v>
      </c>
      <c r="FW97" t="e">
        <f>AND(Bills!#REF!,"AAAAADs2/7I=")</f>
        <v>#REF!</v>
      </c>
      <c r="FX97" t="e">
        <f>AND(Bills!W256,"AAAAADs2/7M=")</f>
        <v>#VALUE!</v>
      </c>
      <c r="FY97" t="e">
        <f>AND(Bills!X256,"AAAAADs2/7Q=")</f>
        <v>#VALUE!</v>
      </c>
      <c r="FZ97" t="e">
        <f>AND(Bills!#REF!,"AAAAADs2/7U=")</f>
        <v>#REF!</v>
      </c>
      <c r="GA97" t="e">
        <f>AND(Bills!#REF!,"AAAAADs2/7Y=")</f>
        <v>#REF!</v>
      </c>
      <c r="GB97" t="e">
        <f>AND(Bills!#REF!,"AAAAADs2/7c=")</f>
        <v>#REF!</v>
      </c>
      <c r="GC97" t="e">
        <f>AND(Bills!#REF!,"AAAAADs2/7g=")</f>
        <v>#REF!</v>
      </c>
      <c r="GD97" t="e">
        <f>AND(Bills!#REF!,"AAAAADs2/7k=")</f>
        <v>#REF!</v>
      </c>
      <c r="GE97" t="e">
        <f>AND(Bills!#REF!,"AAAAADs2/7o=")</f>
        <v>#REF!</v>
      </c>
      <c r="GF97" t="e">
        <f>AND(Bills!#REF!,"AAAAADs2/7s=")</f>
        <v>#REF!</v>
      </c>
      <c r="GG97" t="e">
        <f>AND(Bills!#REF!,"AAAAADs2/7w=")</f>
        <v>#REF!</v>
      </c>
      <c r="GH97" t="e">
        <f>AND(Bills!#REF!,"AAAAADs2/70=")</f>
        <v>#REF!</v>
      </c>
      <c r="GI97" t="e">
        <f>AND(Bills!Y256,"AAAAADs2/74=")</f>
        <v>#VALUE!</v>
      </c>
      <c r="GJ97" t="e">
        <f>AND(Bills!Z256,"AAAAADs2/78=")</f>
        <v>#VALUE!</v>
      </c>
      <c r="GK97" t="e">
        <f>AND(Bills!#REF!,"AAAAADs2/8A=")</f>
        <v>#REF!</v>
      </c>
      <c r="GL97" t="e">
        <f>AND(Bills!#REF!,"AAAAADs2/8E=")</f>
        <v>#REF!</v>
      </c>
      <c r="GM97" t="e">
        <f>AND(Bills!#REF!,"AAAAADs2/8I=")</f>
        <v>#REF!</v>
      </c>
      <c r="GN97" t="e">
        <f>AND(Bills!AA256,"AAAAADs2/8M=")</f>
        <v>#VALUE!</v>
      </c>
      <c r="GO97" t="e">
        <f>AND(Bills!AB256,"AAAAADs2/8Q=")</f>
        <v>#VALUE!</v>
      </c>
      <c r="GP97" t="e">
        <f>AND(Bills!#REF!,"AAAAADs2/8U=")</f>
        <v>#REF!</v>
      </c>
      <c r="GQ97">
        <f>IF(Bills!257:257,"AAAAADs2/8Y=",0)</f>
        <v>0</v>
      </c>
      <c r="GR97" t="e">
        <f>AND(Bills!B257,"AAAAADs2/8c=")</f>
        <v>#VALUE!</v>
      </c>
      <c r="GS97" t="e">
        <f>AND(Bills!#REF!,"AAAAADs2/8g=")</f>
        <v>#REF!</v>
      </c>
      <c r="GT97" t="e">
        <f>AND(Bills!C257,"AAAAADs2/8k=")</f>
        <v>#VALUE!</v>
      </c>
      <c r="GU97" t="e">
        <f>AND(Bills!#REF!,"AAAAADs2/8o=")</f>
        <v>#REF!</v>
      </c>
      <c r="GV97" t="e">
        <f>AND(Bills!#REF!,"AAAAADs2/8s=")</f>
        <v>#REF!</v>
      </c>
      <c r="GW97" t="e">
        <f>AND(Bills!#REF!,"AAAAADs2/8w=")</f>
        <v>#REF!</v>
      </c>
      <c r="GX97" t="e">
        <f>AND(Bills!#REF!,"AAAAADs2/80=")</f>
        <v>#REF!</v>
      </c>
      <c r="GY97" t="e">
        <f>AND(Bills!#REF!,"AAAAADs2/84=")</f>
        <v>#REF!</v>
      </c>
      <c r="GZ97" t="e">
        <f>AND(Bills!D257,"AAAAADs2/88=")</f>
        <v>#VALUE!</v>
      </c>
      <c r="HA97" t="e">
        <f>AND(Bills!#REF!,"AAAAADs2/9A=")</f>
        <v>#REF!</v>
      </c>
      <c r="HB97" t="e">
        <f>AND(Bills!E257,"AAAAADs2/9E=")</f>
        <v>#VALUE!</v>
      </c>
      <c r="HC97" t="e">
        <f>AND(Bills!F257,"AAAAADs2/9I=")</f>
        <v>#VALUE!</v>
      </c>
      <c r="HD97" t="e">
        <f>AND(Bills!G257,"AAAAADs2/9M=")</f>
        <v>#VALUE!</v>
      </c>
      <c r="HE97" t="e">
        <f>AND(Bills!H257,"AAAAADs2/9Q=")</f>
        <v>#VALUE!</v>
      </c>
      <c r="HF97" t="e">
        <f>AND(Bills!I257,"AAAAADs2/9U=")</f>
        <v>#VALUE!</v>
      </c>
      <c r="HG97" t="e">
        <f>AND(Bills!J257,"AAAAADs2/9Y=")</f>
        <v>#VALUE!</v>
      </c>
      <c r="HH97" t="e">
        <f>AND(Bills!#REF!,"AAAAADs2/9c=")</f>
        <v>#REF!</v>
      </c>
      <c r="HI97" t="e">
        <f>AND(Bills!K257,"AAAAADs2/9g=")</f>
        <v>#VALUE!</v>
      </c>
      <c r="HJ97" t="e">
        <f>AND(Bills!L257,"AAAAADs2/9k=")</f>
        <v>#VALUE!</v>
      </c>
      <c r="HK97" t="e">
        <f>AND(Bills!M257,"AAAAADs2/9o=")</f>
        <v>#VALUE!</v>
      </c>
      <c r="HL97" t="e">
        <f>AND(Bills!N257,"AAAAADs2/9s=")</f>
        <v>#VALUE!</v>
      </c>
      <c r="HM97" t="e">
        <f>AND(Bills!O257,"AAAAADs2/9w=")</f>
        <v>#VALUE!</v>
      </c>
      <c r="HN97" t="e">
        <f>AND(Bills!P257,"AAAAADs2/90=")</f>
        <v>#VALUE!</v>
      </c>
      <c r="HO97" t="e">
        <f>AND(Bills!Q257,"AAAAADs2/94=")</f>
        <v>#VALUE!</v>
      </c>
      <c r="HP97" t="e">
        <f>AND(Bills!R257,"AAAAADs2/98=")</f>
        <v>#VALUE!</v>
      </c>
      <c r="HQ97" t="e">
        <f>AND(Bills!#REF!,"AAAAADs2/+A=")</f>
        <v>#REF!</v>
      </c>
      <c r="HR97" t="e">
        <f>AND(Bills!S257,"AAAAADs2/+E=")</f>
        <v>#VALUE!</v>
      </c>
      <c r="HS97" t="e">
        <f>AND(Bills!T257,"AAAAADs2/+I=")</f>
        <v>#VALUE!</v>
      </c>
      <c r="HT97" t="e">
        <f>AND(Bills!U257,"AAAAADs2/+M=")</f>
        <v>#VALUE!</v>
      </c>
      <c r="HU97" t="e">
        <f>AND(Bills!#REF!,"AAAAADs2/+Q=")</f>
        <v>#REF!</v>
      </c>
      <c r="HV97" t="e">
        <f>AND(Bills!#REF!,"AAAAADs2/+U=")</f>
        <v>#REF!</v>
      </c>
      <c r="HW97" t="e">
        <f>AND(Bills!W257,"AAAAADs2/+Y=")</f>
        <v>#VALUE!</v>
      </c>
      <c r="HX97" t="e">
        <f>AND(Bills!X257,"AAAAADs2/+c=")</f>
        <v>#VALUE!</v>
      </c>
      <c r="HY97" t="e">
        <f>AND(Bills!#REF!,"AAAAADs2/+g=")</f>
        <v>#REF!</v>
      </c>
      <c r="HZ97" t="e">
        <f>AND(Bills!#REF!,"AAAAADs2/+k=")</f>
        <v>#REF!</v>
      </c>
      <c r="IA97" t="e">
        <f>AND(Bills!#REF!,"AAAAADs2/+o=")</f>
        <v>#REF!</v>
      </c>
      <c r="IB97" t="e">
        <f>AND(Bills!#REF!,"AAAAADs2/+s=")</f>
        <v>#REF!</v>
      </c>
      <c r="IC97" t="e">
        <f>AND(Bills!#REF!,"AAAAADs2/+w=")</f>
        <v>#REF!</v>
      </c>
      <c r="ID97" t="e">
        <f>AND(Bills!#REF!,"AAAAADs2/+0=")</f>
        <v>#REF!</v>
      </c>
      <c r="IE97" t="e">
        <f>AND(Bills!#REF!,"AAAAADs2/+4=")</f>
        <v>#REF!</v>
      </c>
      <c r="IF97" t="e">
        <f>AND(Bills!#REF!,"AAAAADs2/+8=")</f>
        <v>#REF!</v>
      </c>
      <c r="IG97" t="e">
        <f>AND(Bills!#REF!,"AAAAADs2//A=")</f>
        <v>#REF!</v>
      </c>
      <c r="IH97" t="e">
        <f>AND(Bills!Y257,"AAAAADs2//E=")</f>
        <v>#VALUE!</v>
      </c>
      <c r="II97" t="e">
        <f>AND(Bills!Z257,"AAAAADs2//I=")</f>
        <v>#VALUE!</v>
      </c>
      <c r="IJ97" t="e">
        <f>AND(Bills!#REF!,"AAAAADs2//M=")</f>
        <v>#REF!</v>
      </c>
      <c r="IK97" t="e">
        <f>AND(Bills!#REF!,"AAAAADs2//Q=")</f>
        <v>#REF!</v>
      </c>
      <c r="IL97" t="e">
        <f>AND(Bills!#REF!,"AAAAADs2//U=")</f>
        <v>#REF!</v>
      </c>
      <c r="IM97" t="e">
        <f>AND(Bills!AA257,"AAAAADs2//Y=")</f>
        <v>#VALUE!</v>
      </c>
      <c r="IN97" t="e">
        <f>AND(Bills!AB257,"AAAAADs2//c=")</f>
        <v>#VALUE!</v>
      </c>
      <c r="IO97" t="e">
        <f>AND(Bills!#REF!,"AAAAADs2//g=")</f>
        <v>#REF!</v>
      </c>
      <c r="IP97">
        <f>IF(Bills!258:258,"AAAAADs2//k=",0)</f>
        <v>0</v>
      </c>
      <c r="IQ97" t="e">
        <f>AND(Bills!B258,"AAAAADs2//o=")</f>
        <v>#VALUE!</v>
      </c>
      <c r="IR97" t="e">
        <f>AND(Bills!#REF!,"AAAAADs2//s=")</f>
        <v>#REF!</v>
      </c>
      <c r="IS97" t="e">
        <f>AND(Bills!C258,"AAAAADs2//w=")</f>
        <v>#VALUE!</v>
      </c>
      <c r="IT97" t="e">
        <f>AND(Bills!#REF!,"AAAAADs2//0=")</f>
        <v>#REF!</v>
      </c>
      <c r="IU97" t="e">
        <f>AND(Bills!#REF!,"AAAAADs2//4=")</f>
        <v>#REF!</v>
      </c>
      <c r="IV97" t="e">
        <f>AND(Bills!#REF!,"AAAAADs2//8=")</f>
        <v>#REF!</v>
      </c>
    </row>
    <row r="98" spans="1:256">
      <c r="A98" t="e">
        <f>AND(Bills!#REF!,"AAAAAC61vgA=")</f>
        <v>#REF!</v>
      </c>
      <c r="B98" t="e">
        <f>AND(Bills!#REF!,"AAAAAC61vgE=")</f>
        <v>#REF!</v>
      </c>
      <c r="C98" t="e">
        <f>AND(Bills!D258,"AAAAAC61vgI=")</f>
        <v>#VALUE!</v>
      </c>
      <c r="D98" t="e">
        <f>AND(Bills!#REF!,"AAAAAC61vgM=")</f>
        <v>#REF!</v>
      </c>
      <c r="E98" t="e">
        <f>AND(Bills!E258,"AAAAAC61vgQ=")</f>
        <v>#VALUE!</v>
      </c>
      <c r="F98" t="e">
        <f>AND(Bills!F258,"AAAAAC61vgU=")</f>
        <v>#VALUE!</v>
      </c>
      <c r="G98" t="e">
        <f>AND(Bills!G258,"AAAAAC61vgY=")</f>
        <v>#VALUE!</v>
      </c>
      <c r="H98" t="e">
        <f>AND(Bills!H258,"AAAAAC61vgc=")</f>
        <v>#VALUE!</v>
      </c>
      <c r="I98" t="e">
        <f>AND(Bills!I258,"AAAAAC61vgg=")</f>
        <v>#VALUE!</v>
      </c>
      <c r="J98" t="e">
        <f>AND(Bills!J258,"AAAAAC61vgk=")</f>
        <v>#VALUE!</v>
      </c>
      <c r="K98" t="e">
        <f>AND(Bills!#REF!,"AAAAAC61vgo=")</f>
        <v>#REF!</v>
      </c>
      <c r="L98" t="e">
        <f>AND(Bills!K258,"AAAAAC61vgs=")</f>
        <v>#VALUE!</v>
      </c>
      <c r="M98" t="e">
        <f>AND(Bills!L258,"AAAAAC61vgw=")</f>
        <v>#VALUE!</v>
      </c>
      <c r="N98" t="e">
        <f>AND(Bills!M258,"AAAAAC61vg0=")</f>
        <v>#VALUE!</v>
      </c>
      <c r="O98" t="e">
        <f>AND(Bills!N258,"AAAAAC61vg4=")</f>
        <v>#VALUE!</v>
      </c>
      <c r="P98" t="e">
        <f>AND(Bills!O258,"AAAAAC61vg8=")</f>
        <v>#VALUE!</v>
      </c>
      <c r="Q98" t="e">
        <f>AND(Bills!P258,"AAAAAC61vhA=")</f>
        <v>#VALUE!</v>
      </c>
      <c r="R98" t="e">
        <f>AND(Bills!Q258,"AAAAAC61vhE=")</f>
        <v>#VALUE!</v>
      </c>
      <c r="S98" t="e">
        <f>AND(Bills!R258,"AAAAAC61vhI=")</f>
        <v>#VALUE!</v>
      </c>
      <c r="T98" t="e">
        <f>AND(Bills!#REF!,"AAAAAC61vhM=")</f>
        <v>#REF!</v>
      </c>
      <c r="U98" t="e">
        <f>AND(Bills!S258,"AAAAAC61vhQ=")</f>
        <v>#VALUE!</v>
      </c>
      <c r="V98" t="e">
        <f>AND(Bills!T258,"AAAAAC61vhU=")</f>
        <v>#VALUE!</v>
      </c>
      <c r="W98" t="e">
        <f>AND(Bills!U258,"AAAAAC61vhY=")</f>
        <v>#VALUE!</v>
      </c>
      <c r="X98" t="e">
        <f>AND(Bills!#REF!,"AAAAAC61vhc=")</f>
        <v>#REF!</v>
      </c>
      <c r="Y98" t="e">
        <f>AND(Bills!#REF!,"AAAAAC61vhg=")</f>
        <v>#REF!</v>
      </c>
      <c r="Z98" t="e">
        <f>AND(Bills!W258,"AAAAAC61vhk=")</f>
        <v>#VALUE!</v>
      </c>
      <c r="AA98" t="e">
        <f>AND(Bills!X258,"AAAAAC61vho=")</f>
        <v>#VALUE!</v>
      </c>
      <c r="AB98" t="e">
        <f>AND(Bills!#REF!,"AAAAAC61vhs=")</f>
        <v>#REF!</v>
      </c>
      <c r="AC98" t="e">
        <f>AND(Bills!#REF!,"AAAAAC61vhw=")</f>
        <v>#REF!</v>
      </c>
      <c r="AD98" t="e">
        <f>AND(Bills!#REF!,"AAAAAC61vh0=")</f>
        <v>#REF!</v>
      </c>
      <c r="AE98" t="e">
        <f>AND(Bills!#REF!,"AAAAAC61vh4=")</f>
        <v>#REF!</v>
      </c>
      <c r="AF98" t="e">
        <f>AND(Bills!#REF!,"AAAAAC61vh8=")</f>
        <v>#REF!</v>
      </c>
      <c r="AG98" t="e">
        <f>AND(Bills!#REF!,"AAAAAC61viA=")</f>
        <v>#REF!</v>
      </c>
      <c r="AH98" t="e">
        <f>AND(Bills!#REF!,"AAAAAC61viE=")</f>
        <v>#REF!</v>
      </c>
      <c r="AI98" t="e">
        <f>AND(Bills!#REF!,"AAAAAC61viI=")</f>
        <v>#REF!</v>
      </c>
      <c r="AJ98" t="e">
        <f>AND(Bills!#REF!,"AAAAAC61viM=")</f>
        <v>#REF!</v>
      </c>
      <c r="AK98" t="e">
        <f>AND(Bills!Y258,"AAAAAC61viQ=")</f>
        <v>#VALUE!</v>
      </c>
      <c r="AL98" t="e">
        <f>AND(Bills!Z258,"AAAAAC61viU=")</f>
        <v>#VALUE!</v>
      </c>
      <c r="AM98" t="e">
        <f>AND(Bills!#REF!,"AAAAAC61viY=")</f>
        <v>#REF!</v>
      </c>
      <c r="AN98" t="e">
        <f>AND(Bills!#REF!,"AAAAAC61vic=")</f>
        <v>#REF!</v>
      </c>
      <c r="AO98" t="e">
        <f>AND(Bills!#REF!,"AAAAAC61vig=")</f>
        <v>#REF!</v>
      </c>
      <c r="AP98" t="e">
        <f>AND(Bills!AA258,"AAAAAC61vik=")</f>
        <v>#VALUE!</v>
      </c>
      <c r="AQ98" t="e">
        <f>AND(Bills!AB258,"AAAAAC61vio=")</f>
        <v>#VALUE!</v>
      </c>
      <c r="AR98" t="e">
        <f>AND(Bills!#REF!,"AAAAAC61vis=")</f>
        <v>#REF!</v>
      </c>
      <c r="AS98">
        <f>IF(Bills!259:259,"AAAAAC61viw=",0)</f>
        <v>0</v>
      </c>
      <c r="AT98" t="e">
        <f>AND(Bills!B259,"AAAAAC61vi0=")</f>
        <v>#VALUE!</v>
      </c>
      <c r="AU98" t="e">
        <f>AND(Bills!#REF!,"AAAAAC61vi4=")</f>
        <v>#REF!</v>
      </c>
      <c r="AV98" t="e">
        <f>AND(Bills!C259,"AAAAAC61vi8=")</f>
        <v>#VALUE!</v>
      </c>
      <c r="AW98" t="e">
        <f>AND(Bills!#REF!,"AAAAAC61vjA=")</f>
        <v>#REF!</v>
      </c>
      <c r="AX98" t="e">
        <f>AND(Bills!#REF!,"AAAAAC61vjE=")</f>
        <v>#REF!</v>
      </c>
      <c r="AY98" t="e">
        <f>AND(Bills!#REF!,"AAAAAC61vjI=")</f>
        <v>#REF!</v>
      </c>
      <c r="AZ98" t="e">
        <f>AND(Bills!#REF!,"AAAAAC61vjM=")</f>
        <v>#REF!</v>
      </c>
      <c r="BA98" t="e">
        <f>AND(Bills!#REF!,"AAAAAC61vjQ=")</f>
        <v>#REF!</v>
      </c>
      <c r="BB98" t="e">
        <f>AND(Bills!D259,"AAAAAC61vjU=")</f>
        <v>#VALUE!</v>
      </c>
      <c r="BC98" t="e">
        <f>AND(Bills!#REF!,"AAAAAC61vjY=")</f>
        <v>#REF!</v>
      </c>
      <c r="BD98" t="e">
        <f>AND(Bills!E259,"AAAAAC61vjc=")</f>
        <v>#VALUE!</v>
      </c>
      <c r="BE98" t="e">
        <f>AND(Bills!F259,"AAAAAC61vjg=")</f>
        <v>#VALUE!</v>
      </c>
      <c r="BF98" t="e">
        <f>AND(Bills!G259,"AAAAAC61vjk=")</f>
        <v>#VALUE!</v>
      </c>
      <c r="BG98" t="e">
        <f>AND(Bills!H259,"AAAAAC61vjo=")</f>
        <v>#VALUE!</v>
      </c>
      <c r="BH98" t="e">
        <f>AND(Bills!I259,"AAAAAC61vjs=")</f>
        <v>#VALUE!</v>
      </c>
      <c r="BI98" t="e">
        <f>AND(Bills!J259,"AAAAAC61vjw=")</f>
        <v>#VALUE!</v>
      </c>
      <c r="BJ98" t="e">
        <f>AND(Bills!#REF!,"AAAAAC61vj0=")</f>
        <v>#REF!</v>
      </c>
      <c r="BK98" t="e">
        <f>AND(Bills!K259,"AAAAAC61vj4=")</f>
        <v>#VALUE!</v>
      </c>
      <c r="BL98" t="e">
        <f>AND(Bills!L259,"AAAAAC61vj8=")</f>
        <v>#VALUE!</v>
      </c>
      <c r="BM98" t="e">
        <f>AND(Bills!M259,"AAAAAC61vkA=")</f>
        <v>#VALUE!</v>
      </c>
      <c r="BN98" t="e">
        <f>AND(Bills!N259,"AAAAAC61vkE=")</f>
        <v>#VALUE!</v>
      </c>
      <c r="BO98" t="e">
        <f>AND(Bills!O259,"AAAAAC61vkI=")</f>
        <v>#VALUE!</v>
      </c>
      <c r="BP98" t="e">
        <f>AND(Bills!P259,"AAAAAC61vkM=")</f>
        <v>#VALUE!</v>
      </c>
      <c r="BQ98" t="e">
        <f>AND(Bills!Q259,"AAAAAC61vkQ=")</f>
        <v>#VALUE!</v>
      </c>
      <c r="BR98" t="e">
        <f>AND(Bills!R259,"AAAAAC61vkU=")</f>
        <v>#VALUE!</v>
      </c>
      <c r="BS98" t="e">
        <f>AND(Bills!#REF!,"AAAAAC61vkY=")</f>
        <v>#REF!</v>
      </c>
      <c r="BT98" t="e">
        <f>AND(Bills!S259,"AAAAAC61vkc=")</f>
        <v>#VALUE!</v>
      </c>
      <c r="BU98" t="e">
        <f>AND(Bills!T259,"AAAAAC61vkg=")</f>
        <v>#VALUE!</v>
      </c>
      <c r="BV98" t="e">
        <f>AND(Bills!U259,"AAAAAC61vkk=")</f>
        <v>#VALUE!</v>
      </c>
      <c r="BW98" t="e">
        <f>AND(Bills!#REF!,"AAAAAC61vko=")</f>
        <v>#REF!</v>
      </c>
      <c r="BX98" t="e">
        <f>AND(Bills!#REF!,"AAAAAC61vks=")</f>
        <v>#REF!</v>
      </c>
      <c r="BY98" t="e">
        <f>AND(Bills!W259,"AAAAAC61vkw=")</f>
        <v>#VALUE!</v>
      </c>
      <c r="BZ98" t="e">
        <f>AND(Bills!X259,"AAAAAC61vk0=")</f>
        <v>#VALUE!</v>
      </c>
      <c r="CA98" t="e">
        <f>AND(Bills!#REF!,"AAAAAC61vk4=")</f>
        <v>#REF!</v>
      </c>
      <c r="CB98" t="e">
        <f>AND(Bills!#REF!,"AAAAAC61vk8=")</f>
        <v>#REF!</v>
      </c>
      <c r="CC98" t="e">
        <f>AND(Bills!#REF!,"AAAAAC61vlA=")</f>
        <v>#REF!</v>
      </c>
      <c r="CD98" t="e">
        <f>AND(Bills!#REF!,"AAAAAC61vlE=")</f>
        <v>#REF!</v>
      </c>
      <c r="CE98" t="e">
        <f>AND(Bills!#REF!,"AAAAAC61vlI=")</f>
        <v>#REF!</v>
      </c>
      <c r="CF98" t="e">
        <f>AND(Bills!#REF!,"AAAAAC61vlM=")</f>
        <v>#REF!</v>
      </c>
      <c r="CG98" t="e">
        <f>AND(Bills!#REF!,"AAAAAC61vlQ=")</f>
        <v>#REF!</v>
      </c>
      <c r="CH98" t="e">
        <f>AND(Bills!#REF!,"AAAAAC61vlU=")</f>
        <v>#REF!</v>
      </c>
      <c r="CI98" t="e">
        <f>AND(Bills!#REF!,"AAAAAC61vlY=")</f>
        <v>#REF!</v>
      </c>
      <c r="CJ98" t="e">
        <f>AND(Bills!Y259,"AAAAAC61vlc=")</f>
        <v>#VALUE!</v>
      </c>
      <c r="CK98" t="e">
        <f>AND(Bills!Z259,"AAAAAC61vlg=")</f>
        <v>#VALUE!</v>
      </c>
      <c r="CL98" t="e">
        <f>AND(Bills!#REF!,"AAAAAC61vlk=")</f>
        <v>#REF!</v>
      </c>
      <c r="CM98" t="e">
        <f>AND(Bills!#REF!,"AAAAAC61vlo=")</f>
        <v>#REF!</v>
      </c>
      <c r="CN98" t="e">
        <f>AND(Bills!#REF!,"AAAAAC61vls=")</f>
        <v>#REF!</v>
      </c>
      <c r="CO98" t="e">
        <f>AND(Bills!AA259,"AAAAAC61vlw=")</f>
        <v>#VALUE!</v>
      </c>
      <c r="CP98" t="e">
        <f>AND(Bills!AB259,"AAAAAC61vl0=")</f>
        <v>#VALUE!</v>
      </c>
      <c r="CQ98" t="e">
        <f>AND(Bills!#REF!,"AAAAAC61vl4=")</f>
        <v>#REF!</v>
      </c>
      <c r="CR98">
        <f>IF(Bills!260:260,"AAAAAC61vl8=",0)</f>
        <v>0</v>
      </c>
      <c r="CS98" t="e">
        <f>AND(Bills!B260,"AAAAAC61vmA=")</f>
        <v>#VALUE!</v>
      </c>
      <c r="CT98" t="e">
        <f>AND(Bills!#REF!,"AAAAAC61vmE=")</f>
        <v>#REF!</v>
      </c>
      <c r="CU98" t="e">
        <f>AND(Bills!C260,"AAAAAC61vmI=")</f>
        <v>#VALUE!</v>
      </c>
      <c r="CV98" t="e">
        <f>AND(Bills!#REF!,"AAAAAC61vmM=")</f>
        <v>#REF!</v>
      </c>
      <c r="CW98" t="e">
        <f>AND(Bills!#REF!,"AAAAAC61vmQ=")</f>
        <v>#REF!</v>
      </c>
      <c r="CX98" t="e">
        <f>AND(Bills!#REF!,"AAAAAC61vmU=")</f>
        <v>#REF!</v>
      </c>
      <c r="CY98" t="e">
        <f>AND(Bills!#REF!,"AAAAAC61vmY=")</f>
        <v>#REF!</v>
      </c>
      <c r="CZ98" t="e">
        <f>AND(Bills!#REF!,"AAAAAC61vmc=")</f>
        <v>#REF!</v>
      </c>
      <c r="DA98" t="e">
        <f>AND(Bills!D260,"AAAAAC61vmg=")</f>
        <v>#VALUE!</v>
      </c>
      <c r="DB98" t="e">
        <f>AND(Bills!#REF!,"AAAAAC61vmk=")</f>
        <v>#REF!</v>
      </c>
      <c r="DC98" t="e">
        <f>AND(Bills!E260,"AAAAAC61vmo=")</f>
        <v>#VALUE!</v>
      </c>
      <c r="DD98" t="e">
        <f>AND(Bills!F260,"AAAAAC61vms=")</f>
        <v>#VALUE!</v>
      </c>
      <c r="DE98" t="e">
        <f>AND(Bills!G260,"AAAAAC61vmw=")</f>
        <v>#VALUE!</v>
      </c>
      <c r="DF98" t="e">
        <f>AND(Bills!H260,"AAAAAC61vm0=")</f>
        <v>#VALUE!</v>
      </c>
      <c r="DG98" t="e">
        <f>AND(Bills!I260,"AAAAAC61vm4=")</f>
        <v>#VALUE!</v>
      </c>
      <c r="DH98" t="e">
        <f>AND(Bills!J260,"AAAAAC61vm8=")</f>
        <v>#VALUE!</v>
      </c>
      <c r="DI98" t="e">
        <f>AND(Bills!#REF!,"AAAAAC61vnA=")</f>
        <v>#REF!</v>
      </c>
      <c r="DJ98" t="e">
        <f>AND(Bills!K260,"AAAAAC61vnE=")</f>
        <v>#VALUE!</v>
      </c>
      <c r="DK98" t="e">
        <f>AND(Bills!L260,"AAAAAC61vnI=")</f>
        <v>#VALUE!</v>
      </c>
      <c r="DL98" t="e">
        <f>AND(Bills!M260,"AAAAAC61vnM=")</f>
        <v>#VALUE!</v>
      </c>
      <c r="DM98" t="e">
        <f>AND(Bills!N260,"AAAAAC61vnQ=")</f>
        <v>#VALUE!</v>
      </c>
      <c r="DN98" t="e">
        <f>AND(Bills!O260,"AAAAAC61vnU=")</f>
        <v>#VALUE!</v>
      </c>
      <c r="DO98" t="e">
        <f>AND(Bills!P260,"AAAAAC61vnY=")</f>
        <v>#VALUE!</v>
      </c>
      <c r="DP98" t="e">
        <f>AND(Bills!Q260,"AAAAAC61vnc=")</f>
        <v>#VALUE!</v>
      </c>
      <c r="DQ98" t="e">
        <f>AND(Bills!R260,"AAAAAC61vng=")</f>
        <v>#VALUE!</v>
      </c>
      <c r="DR98" t="e">
        <f>AND(Bills!#REF!,"AAAAAC61vnk=")</f>
        <v>#REF!</v>
      </c>
      <c r="DS98" t="e">
        <f>AND(Bills!S260,"AAAAAC61vno=")</f>
        <v>#VALUE!</v>
      </c>
      <c r="DT98" t="e">
        <f>AND(Bills!T260,"AAAAAC61vns=")</f>
        <v>#VALUE!</v>
      </c>
      <c r="DU98" t="e">
        <f>AND(Bills!U260,"AAAAAC61vnw=")</f>
        <v>#VALUE!</v>
      </c>
      <c r="DV98" t="e">
        <f>AND(Bills!#REF!,"AAAAAC61vn0=")</f>
        <v>#REF!</v>
      </c>
      <c r="DW98" t="e">
        <f>AND(Bills!#REF!,"AAAAAC61vn4=")</f>
        <v>#REF!</v>
      </c>
      <c r="DX98" t="e">
        <f>AND(Bills!W260,"AAAAAC61vn8=")</f>
        <v>#VALUE!</v>
      </c>
      <c r="DY98" t="e">
        <f>AND(Bills!X260,"AAAAAC61voA=")</f>
        <v>#VALUE!</v>
      </c>
      <c r="DZ98" t="e">
        <f>AND(Bills!#REF!,"AAAAAC61voE=")</f>
        <v>#REF!</v>
      </c>
      <c r="EA98" t="e">
        <f>AND(Bills!#REF!,"AAAAAC61voI=")</f>
        <v>#REF!</v>
      </c>
      <c r="EB98" t="e">
        <f>AND(Bills!#REF!,"AAAAAC61voM=")</f>
        <v>#REF!</v>
      </c>
      <c r="EC98" t="e">
        <f>AND(Bills!#REF!,"AAAAAC61voQ=")</f>
        <v>#REF!</v>
      </c>
      <c r="ED98" t="e">
        <f>AND(Bills!#REF!,"AAAAAC61voU=")</f>
        <v>#REF!</v>
      </c>
      <c r="EE98" t="e">
        <f>AND(Bills!#REF!,"AAAAAC61voY=")</f>
        <v>#REF!</v>
      </c>
      <c r="EF98" t="e">
        <f>AND(Bills!#REF!,"AAAAAC61voc=")</f>
        <v>#REF!</v>
      </c>
      <c r="EG98" t="e">
        <f>AND(Bills!#REF!,"AAAAAC61vog=")</f>
        <v>#REF!</v>
      </c>
      <c r="EH98" t="e">
        <f>AND(Bills!#REF!,"AAAAAC61vok=")</f>
        <v>#REF!</v>
      </c>
      <c r="EI98" t="e">
        <f>AND(Bills!Y260,"AAAAAC61voo=")</f>
        <v>#VALUE!</v>
      </c>
      <c r="EJ98" t="e">
        <f>AND(Bills!Z260,"AAAAAC61vos=")</f>
        <v>#VALUE!</v>
      </c>
      <c r="EK98" t="e">
        <f>AND(Bills!#REF!,"AAAAAC61vow=")</f>
        <v>#REF!</v>
      </c>
      <c r="EL98" t="e">
        <f>AND(Bills!#REF!,"AAAAAC61vo0=")</f>
        <v>#REF!</v>
      </c>
      <c r="EM98" t="e">
        <f>AND(Bills!#REF!,"AAAAAC61vo4=")</f>
        <v>#REF!</v>
      </c>
      <c r="EN98" t="e">
        <f>AND(Bills!AA260,"AAAAAC61vo8=")</f>
        <v>#VALUE!</v>
      </c>
      <c r="EO98" t="e">
        <f>AND(Bills!AB260,"AAAAAC61vpA=")</f>
        <v>#VALUE!</v>
      </c>
      <c r="EP98" t="e">
        <f>AND(Bills!#REF!,"AAAAAC61vpE=")</f>
        <v>#REF!</v>
      </c>
      <c r="EQ98">
        <f>IF(Bills!261:261,"AAAAAC61vpI=",0)</f>
        <v>0</v>
      </c>
      <c r="ER98" t="e">
        <f>AND(Bills!B261,"AAAAAC61vpM=")</f>
        <v>#VALUE!</v>
      </c>
      <c r="ES98" t="e">
        <f>AND(Bills!#REF!,"AAAAAC61vpQ=")</f>
        <v>#REF!</v>
      </c>
      <c r="ET98" t="e">
        <f>AND(Bills!C261,"AAAAAC61vpU=")</f>
        <v>#VALUE!</v>
      </c>
      <c r="EU98" t="e">
        <f>AND(Bills!#REF!,"AAAAAC61vpY=")</f>
        <v>#REF!</v>
      </c>
      <c r="EV98" t="e">
        <f>AND(Bills!#REF!,"AAAAAC61vpc=")</f>
        <v>#REF!</v>
      </c>
      <c r="EW98" t="e">
        <f>AND(Bills!#REF!,"AAAAAC61vpg=")</f>
        <v>#REF!</v>
      </c>
      <c r="EX98" t="e">
        <f>AND(Bills!#REF!,"AAAAAC61vpk=")</f>
        <v>#REF!</v>
      </c>
      <c r="EY98" t="e">
        <f>AND(Bills!#REF!,"AAAAAC61vpo=")</f>
        <v>#REF!</v>
      </c>
      <c r="EZ98" t="e">
        <f>AND(Bills!D261,"AAAAAC61vps=")</f>
        <v>#VALUE!</v>
      </c>
      <c r="FA98" t="e">
        <f>AND(Bills!#REF!,"AAAAAC61vpw=")</f>
        <v>#REF!</v>
      </c>
      <c r="FB98" t="e">
        <f>AND(Bills!E261,"AAAAAC61vp0=")</f>
        <v>#VALUE!</v>
      </c>
      <c r="FC98" t="e">
        <f>AND(Bills!F261,"AAAAAC61vp4=")</f>
        <v>#VALUE!</v>
      </c>
      <c r="FD98" t="e">
        <f>AND(Bills!G261,"AAAAAC61vp8=")</f>
        <v>#VALUE!</v>
      </c>
      <c r="FE98" t="e">
        <f>AND(Bills!H261,"AAAAAC61vqA=")</f>
        <v>#VALUE!</v>
      </c>
      <c r="FF98" t="e">
        <f>AND(Bills!I261,"AAAAAC61vqE=")</f>
        <v>#VALUE!</v>
      </c>
      <c r="FG98" t="e">
        <f>AND(Bills!J261,"AAAAAC61vqI=")</f>
        <v>#VALUE!</v>
      </c>
      <c r="FH98" t="e">
        <f>AND(Bills!#REF!,"AAAAAC61vqM=")</f>
        <v>#REF!</v>
      </c>
      <c r="FI98" t="e">
        <f>AND(Bills!K261,"AAAAAC61vqQ=")</f>
        <v>#VALUE!</v>
      </c>
      <c r="FJ98" t="e">
        <f>AND(Bills!L261,"AAAAAC61vqU=")</f>
        <v>#VALUE!</v>
      </c>
      <c r="FK98" t="e">
        <f>AND(Bills!M261,"AAAAAC61vqY=")</f>
        <v>#VALUE!</v>
      </c>
      <c r="FL98" t="e">
        <f>AND(Bills!N261,"AAAAAC61vqc=")</f>
        <v>#VALUE!</v>
      </c>
      <c r="FM98" t="e">
        <f>AND(Bills!O261,"AAAAAC61vqg=")</f>
        <v>#VALUE!</v>
      </c>
      <c r="FN98" t="e">
        <f>AND(Bills!P261,"AAAAAC61vqk=")</f>
        <v>#VALUE!</v>
      </c>
      <c r="FO98" t="e">
        <f>AND(Bills!Q261,"AAAAAC61vqo=")</f>
        <v>#VALUE!</v>
      </c>
      <c r="FP98" t="e">
        <f>AND(Bills!R261,"AAAAAC61vqs=")</f>
        <v>#VALUE!</v>
      </c>
      <c r="FQ98" t="e">
        <f>AND(Bills!#REF!,"AAAAAC61vqw=")</f>
        <v>#REF!</v>
      </c>
      <c r="FR98" t="e">
        <f>AND(Bills!S261,"AAAAAC61vq0=")</f>
        <v>#VALUE!</v>
      </c>
      <c r="FS98" t="e">
        <f>AND(Bills!T261,"AAAAAC61vq4=")</f>
        <v>#VALUE!</v>
      </c>
      <c r="FT98" t="e">
        <f>AND(Bills!U261,"AAAAAC61vq8=")</f>
        <v>#VALUE!</v>
      </c>
      <c r="FU98" t="e">
        <f>AND(Bills!#REF!,"AAAAAC61vrA=")</f>
        <v>#REF!</v>
      </c>
      <c r="FV98" t="e">
        <f>AND(Bills!#REF!,"AAAAAC61vrE=")</f>
        <v>#REF!</v>
      </c>
      <c r="FW98" t="e">
        <f>AND(Bills!W261,"AAAAAC61vrI=")</f>
        <v>#VALUE!</v>
      </c>
      <c r="FX98" t="e">
        <f>AND(Bills!X261,"AAAAAC61vrM=")</f>
        <v>#VALUE!</v>
      </c>
      <c r="FY98" t="e">
        <f>AND(Bills!#REF!,"AAAAAC61vrQ=")</f>
        <v>#REF!</v>
      </c>
      <c r="FZ98" t="e">
        <f>AND(Bills!#REF!,"AAAAAC61vrU=")</f>
        <v>#REF!</v>
      </c>
      <c r="GA98" t="e">
        <f>AND(Bills!#REF!,"AAAAAC61vrY=")</f>
        <v>#REF!</v>
      </c>
      <c r="GB98" t="e">
        <f>AND(Bills!#REF!,"AAAAAC61vrc=")</f>
        <v>#REF!</v>
      </c>
      <c r="GC98" t="e">
        <f>AND(Bills!#REF!,"AAAAAC61vrg=")</f>
        <v>#REF!</v>
      </c>
      <c r="GD98" t="e">
        <f>AND(Bills!#REF!,"AAAAAC61vrk=")</f>
        <v>#REF!</v>
      </c>
      <c r="GE98" t="e">
        <f>AND(Bills!#REF!,"AAAAAC61vro=")</f>
        <v>#REF!</v>
      </c>
      <c r="GF98" t="e">
        <f>AND(Bills!#REF!,"AAAAAC61vrs=")</f>
        <v>#REF!</v>
      </c>
      <c r="GG98" t="e">
        <f>AND(Bills!#REF!,"AAAAAC61vrw=")</f>
        <v>#REF!</v>
      </c>
      <c r="GH98" t="e">
        <f>AND(Bills!Y261,"AAAAAC61vr0=")</f>
        <v>#VALUE!</v>
      </c>
      <c r="GI98" t="e">
        <f>AND(Bills!Z261,"AAAAAC61vr4=")</f>
        <v>#VALUE!</v>
      </c>
      <c r="GJ98" t="e">
        <f>AND(Bills!#REF!,"AAAAAC61vr8=")</f>
        <v>#REF!</v>
      </c>
      <c r="GK98" t="e">
        <f>AND(Bills!#REF!,"AAAAAC61vsA=")</f>
        <v>#REF!</v>
      </c>
      <c r="GL98" t="e">
        <f>AND(Bills!#REF!,"AAAAAC61vsE=")</f>
        <v>#REF!</v>
      </c>
      <c r="GM98" t="e">
        <f>AND(Bills!AA261,"AAAAAC61vsI=")</f>
        <v>#VALUE!</v>
      </c>
      <c r="GN98" t="e">
        <f>AND(Bills!AB261,"AAAAAC61vsM=")</f>
        <v>#VALUE!</v>
      </c>
      <c r="GO98" t="e">
        <f>AND(Bills!#REF!,"AAAAAC61vsQ=")</f>
        <v>#REF!</v>
      </c>
      <c r="GP98">
        <f>IF(Bills!262:262,"AAAAAC61vsU=",0)</f>
        <v>0</v>
      </c>
      <c r="GQ98" t="e">
        <f>AND(Bills!B262,"AAAAAC61vsY=")</f>
        <v>#VALUE!</v>
      </c>
      <c r="GR98" t="e">
        <f>AND(Bills!#REF!,"AAAAAC61vsc=")</f>
        <v>#REF!</v>
      </c>
      <c r="GS98" t="e">
        <f>AND(Bills!C262,"AAAAAC61vsg=")</f>
        <v>#VALUE!</v>
      </c>
      <c r="GT98" t="e">
        <f>AND(Bills!#REF!,"AAAAAC61vsk=")</f>
        <v>#REF!</v>
      </c>
      <c r="GU98" t="e">
        <f>AND(Bills!#REF!,"AAAAAC61vso=")</f>
        <v>#REF!</v>
      </c>
      <c r="GV98" t="e">
        <f>AND(Bills!#REF!,"AAAAAC61vss=")</f>
        <v>#REF!</v>
      </c>
      <c r="GW98" t="e">
        <f>AND(Bills!#REF!,"AAAAAC61vsw=")</f>
        <v>#REF!</v>
      </c>
      <c r="GX98" t="e">
        <f>AND(Bills!#REF!,"AAAAAC61vs0=")</f>
        <v>#REF!</v>
      </c>
      <c r="GY98" t="e">
        <f>AND(Bills!D262,"AAAAAC61vs4=")</f>
        <v>#VALUE!</v>
      </c>
      <c r="GZ98" t="e">
        <f>AND(Bills!#REF!,"AAAAAC61vs8=")</f>
        <v>#REF!</v>
      </c>
      <c r="HA98" t="e">
        <f>AND(Bills!E262,"AAAAAC61vtA=")</f>
        <v>#VALUE!</v>
      </c>
      <c r="HB98" t="e">
        <f>AND(Bills!F262,"AAAAAC61vtE=")</f>
        <v>#VALUE!</v>
      </c>
      <c r="HC98" t="e">
        <f>AND(Bills!G262,"AAAAAC61vtI=")</f>
        <v>#VALUE!</v>
      </c>
      <c r="HD98" t="e">
        <f>AND(Bills!H262,"AAAAAC61vtM=")</f>
        <v>#VALUE!</v>
      </c>
      <c r="HE98" t="e">
        <f>AND(Bills!I262,"AAAAAC61vtQ=")</f>
        <v>#VALUE!</v>
      </c>
      <c r="HF98" t="e">
        <f>AND(Bills!J262,"AAAAAC61vtU=")</f>
        <v>#VALUE!</v>
      </c>
      <c r="HG98" t="e">
        <f>AND(Bills!#REF!,"AAAAAC61vtY=")</f>
        <v>#REF!</v>
      </c>
      <c r="HH98" t="e">
        <f>AND(Bills!K262,"AAAAAC61vtc=")</f>
        <v>#VALUE!</v>
      </c>
      <c r="HI98" t="e">
        <f>AND(Bills!L262,"AAAAAC61vtg=")</f>
        <v>#VALUE!</v>
      </c>
      <c r="HJ98" t="e">
        <f>AND(Bills!M262,"AAAAAC61vtk=")</f>
        <v>#VALUE!</v>
      </c>
      <c r="HK98" t="e">
        <f>AND(Bills!N262,"AAAAAC61vto=")</f>
        <v>#VALUE!</v>
      </c>
      <c r="HL98" t="e">
        <f>AND(Bills!O262,"AAAAAC61vts=")</f>
        <v>#VALUE!</v>
      </c>
      <c r="HM98" t="e">
        <f>AND(Bills!P262,"AAAAAC61vtw=")</f>
        <v>#VALUE!</v>
      </c>
      <c r="HN98" t="e">
        <f>AND(Bills!Q262,"AAAAAC61vt0=")</f>
        <v>#VALUE!</v>
      </c>
      <c r="HO98" t="e">
        <f>AND(Bills!R262,"AAAAAC61vt4=")</f>
        <v>#VALUE!</v>
      </c>
      <c r="HP98" t="e">
        <f>AND(Bills!#REF!,"AAAAAC61vt8=")</f>
        <v>#REF!</v>
      </c>
      <c r="HQ98" t="e">
        <f>AND(Bills!S262,"AAAAAC61vuA=")</f>
        <v>#VALUE!</v>
      </c>
      <c r="HR98" t="e">
        <f>AND(Bills!T262,"AAAAAC61vuE=")</f>
        <v>#VALUE!</v>
      </c>
      <c r="HS98" t="e">
        <f>AND(Bills!U262,"AAAAAC61vuI=")</f>
        <v>#VALUE!</v>
      </c>
      <c r="HT98" t="e">
        <f>AND(Bills!#REF!,"AAAAAC61vuM=")</f>
        <v>#REF!</v>
      </c>
      <c r="HU98" t="e">
        <f>AND(Bills!#REF!,"AAAAAC61vuQ=")</f>
        <v>#REF!</v>
      </c>
      <c r="HV98" t="e">
        <f>AND(Bills!W262,"AAAAAC61vuU=")</f>
        <v>#VALUE!</v>
      </c>
      <c r="HW98" t="e">
        <f>AND(Bills!X262,"AAAAAC61vuY=")</f>
        <v>#VALUE!</v>
      </c>
      <c r="HX98" t="e">
        <f>AND(Bills!#REF!,"AAAAAC61vuc=")</f>
        <v>#REF!</v>
      </c>
      <c r="HY98" t="e">
        <f>AND(Bills!#REF!,"AAAAAC61vug=")</f>
        <v>#REF!</v>
      </c>
      <c r="HZ98" t="e">
        <f>AND(Bills!#REF!,"AAAAAC61vuk=")</f>
        <v>#REF!</v>
      </c>
      <c r="IA98" t="e">
        <f>AND(Bills!#REF!,"AAAAAC61vuo=")</f>
        <v>#REF!</v>
      </c>
      <c r="IB98" t="e">
        <f>AND(Bills!#REF!,"AAAAAC61vus=")</f>
        <v>#REF!</v>
      </c>
      <c r="IC98" t="e">
        <f>AND(Bills!#REF!,"AAAAAC61vuw=")</f>
        <v>#REF!</v>
      </c>
      <c r="ID98" t="e">
        <f>AND(Bills!#REF!,"AAAAAC61vu0=")</f>
        <v>#REF!</v>
      </c>
      <c r="IE98" t="e">
        <f>AND(Bills!#REF!,"AAAAAC61vu4=")</f>
        <v>#REF!</v>
      </c>
      <c r="IF98" t="e">
        <f>AND(Bills!#REF!,"AAAAAC61vu8=")</f>
        <v>#REF!</v>
      </c>
      <c r="IG98" t="e">
        <f>AND(Bills!Y262,"AAAAAC61vvA=")</f>
        <v>#VALUE!</v>
      </c>
      <c r="IH98" t="e">
        <f>AND(Bills!Z262,"AAAAAC61vvE=")</f>
        <v>#VALUE!</v>
      </c>
      <c r="II98" t="e">
        <f>AND(Bills!#REF!,"AAAAAC61vvI=")</f>
        <v>#REF!</v>
      </c>
      <c r="IJ98" t="e">
        <f>AND(Bills!#REF!,"AAAAAC61vvM=")</f>
        <v>#REF!</v>
      </c>
      <c r="IK98" t="e">
        <f>AND(Bills!#REF!,"AAAAAC61vvQ=")</f>
        <v>#REF!</v>
      </c>
      <c r="IL98" t="e">
        <f>AND(Bills!AA262,"AAAAAC61vvU=")</f>
        <v>#VALUE!</v>
      </c>
      <c r="IM98" t="e">
        <f>AND(Bills!AB262,"AAAAAC61vvY=")</f>
        <v>#VALUE!</v>
      </c>
      <c r="IN98" t="e">
        <f>AND(Bills!#REF!,"AAAAAC61vvc=")</f>
        <v>#REF!</v>
      </c>
      <c r="IO98">
        <f>IF(Bills!263:263,"AAAAAC61vvg=",0)</f>
        <v>0</v>
      </c>
      <c r="IP98" t="e">
        <f>AND(Bills!B263,"AAAAAC61vvk=")</f>
        <v>#VALUE!</v>
      </c>
      <c r="IQ98" t="e">
        <f>AND(Bills!#REF!,"AAAAAC61vvo=")</f>
        <v>#REF!</v>
      </c>
      <c r="IR98" t="e">
        <f>AND(Bills!C263,"AAAAAC61vvs=")</f>
        <v>#VALUE!</v>
      </c>
      <c r="IS98" t="e">
        <f>AND(Bills!#REF!,"AAAAAC61vvw=")</f>
        <v>#REF!</v>
      </c>
      <c r="IT98" t="e">
        <f>AND(Bills!#REF!,"AAAAAC61vv0=")</f>
        <v>#REF!</v>
      </c>
      <c r="IU98" t="e">
        <f>AND(Bills!#REF!,"AAAAAC61vv4=")</f>
        <v>#REF!</v>
      </c>
      <c r="IV98" t="e">
        <f>AND(Bills!#REF!,"AAAAAC61vv8=")</f>
        <v>#REF!</v>
      </c>
    </row>
    <row r="99" spans="1:256">
      <c r="A99" t="e">
        <f>AND(Bills!#REF!,"AAAAAGK/7AA=")</f>
        <v>#REF!</v>
      </c>
      <c r="B99" t="e">
        <f>AND(Bills!D263,"AAAAAGK/7AE=")</f>
        <v>#VALUE!</v>
      </c>
      <c r="C99" t="e">
        <f>AND(Bills!#REF!,"AAAAAGK/7AI=")</f>
        <v>#REF!</v>
      </c>
      <c r="D99" t="e">
        <f>AND(Bills!E263,"AAAAAGK/7AM=")</f>
        <v>#VALUE!</v>
      </c>
      <c r="E99" t="e">
        <f>AND(Bills!F263,"AAAAAGK/7AQ=")</f>
        <v>#VALUE!</v>
      </c>
      <c r="F99" t="e">
        <f>AND(Bills!G263,"AAAAAGK/7AU=")</f>
        <v>#VALUE!</v>
      </c>
      <c r="G99" t="e">
        <f>AND(Bills!H263,"AAAAAGK/7AY=")</f>
        <v>#VALUE!</v>
      </c>
      <c r="H99" t="e">
        <f>AND(Bills!I263,"AAAAAGK/7Ac=")</f>
        <v>#VALUE!</v>
      </c>
      <c r="I99" t="e">
        <f>AND(Bills!J263,"AAAAAGK/7Ag=")</f>
        <v>#VALUE!</v>
      </c>
      <c r="J99" t="e">
        <f>AND(Bills!#REF!,"AAAAAGK/7Ak=")</f>
        <v>#REF!</v>
      </c>
      <c r="K99" t="e">
        <f>AND(Bills!K263,"AAAAAGK/7Ao=")</f>
        <v>#VALUE!</v>
      </c>
      <c r="L99" t="e">
        <f>AND(Bills!L263,"AAAAAGK/7As=")</f>
        <v>#VALUE!</v>
      </c>
      <c r="M99" t="e">
        <f>AND(Bills!M263,"AAAAAGK/7Aw=")</f>
        <v>#VALUE!</v>
      </c>
      <c r="N99" t="e">
        <f>AND(Bills!N263,"AAAAAGK/7A0=")</f>
        <v>#VALUE!</v>
      </c>
      <c r="O99" t="e">
        <f>AND(Bills!O263,"AAAAAGK/7A4=")</f>
        <v>#VALUE!</v>
      </c>
      <c r="P99" t="e">
        <f>AND(Bills!P263,"AAAAAGK/7A8=")</f>
        <v>#VALUE!</v>
      </c>
      <c r="Q99" t="e">
        <f>AND(Bills!Q263,"AAAAAGK/7BA=")</f>
        <v>#VALUE!</v>
      </c>
      <c r="R99" t="e">
        <f>AND(Bills!R263,"AAAAAGK/7BE=")</f>
        <v>#VALUE!</v>
      </c>
      <c r="S99" t="e">
        <f>AND(Bills!#REF!,"AAAAAGK/7BI=")</f>
        <v>#REF!</v>
      </c>
      <c r="T99" t="e">
        <f>AND(Bills!S263,"AAAAAGK/7BM=")</f>
        <v>#VALUE!</v>
      </c>
      <c r="U99" t="e">
        <f>AND(Bills!T263,"AAAAAGK/7BQ=")</f>
        <v>#VALUE!</v>
      </c>
      <c r="V99" t="e">
        <f>AND(Bills!U263,"AAAAAGK/7BU=")</f>
        <v>#VALUE!</v>
      </c>
      <c r="W99" t="e">
        <f>AND(Bills!#REF!,"AAAAAGK/7BY=")</f>
        <v>#REF!</v>
      </c>
      <c r="X99" t="e">
        <f>AND(Bills!#REF!,"AAAAAGK/7Bc=")</f>
        <v>#REF!</v>
      </c>
      <c r="Y99" t="e">
        <f>AND(Bills!W263,"AAAAAGK/7Bg=")</f>
        <v>#VALUE!</v>
      </c>
      <c r="Z99" t="e">
        <f>AND(Bills!X263,"AAAAAGK/7Bk=")</f>
        <v>#VALUE!</v>
      </c>
      <c r="AA99" t="e">
        <f>AND(Bills!#REF!,"AAAAAGK/7Bo=")</f>
        <v>#REF!</v>
      </c>
      <c r="AB99" t="e">
        <f>AND(Bills!#REF!,"AAAAAGK/7Bs=")</f>
        <v>#REF!</v>
      </c>
      <c r="AC99" t="e">
        <f>AND(Bills!#REF!,"AAAAAGK/7Bw=")</f>
        <v>#REF!</v>
      </c>
      <c r="AD99" t="e">
        <f>AND(Bills!#REF!,"AAAAAGK/7B0=")</f>
        <v>#REF!</v>
      </c>
      <c r="AE99" t="e">
        <f>AND(Bills!#REF!,"AAAAAGK/7B4=")</f>
        <v>#REF!</v>
      </c>
      <c r="AF99" t="e">
        <f>AND(Bills!#REF!,"AAAAAGK/7B8=")</f>
        <v>#REF!</v>
      </c>
      <c r="AG99" t="e">
        <f>AND(Bills!#REF!,"AAAAAGK/7CA=")</f>
        <v>#REF!</v>
      </c>
      <c r="AH99" t="e">
        <f>AND(Bills!#REF!,"AAAAAGK/7CE=")</f>
        <v>#REF!</v>
      </c>
      <c r="AI99" t="e">
        <f>AND(Bills!#REF!,"AAAAAGK/7CI=")</f>
        <v>#REF!</v>
      </c>
      <c r="AJ99" t="e">
        <f>AND(Bills!Y263,"AAAAAGK/7CM=")</f>
        <v>#VALUE!</v>
      </c>
      <c r="AK99" t="e">
        <f>AND(Bills!Z263,"AAAAAGK/7CQ=")</f>
        <v>#VALUE!</v>
      </c>
      <c r="AL99" t="e">
        <f>AND(Bills!#REF!,"AAAAAGK/7CU=")</f>
        <v>#REF!</v>
      </c>
      <c r="AM99" t="e">
        <f>AND(Bills!#REF!,"AAAAAGK/7CY=")</f>
        <v>#REF!</v>
      </c>
      <c r="AN99" t="e">
        <f>AND(Bills!#REF!,"AAAAAGK/7Cc=")</f>
        <v>#REF!</v>
      </c>
      <c r="AO99" t="e">
        <f>AND(Bills!AA263,"AAAAAGK/7Cg=")</f>
        <v>#VALUE!</v>
      </c>
      <c r="AP99" t="e">
        <f>AND(Bills!AB263,"AAAAAGK/7Ck=")</f>
        <v>#VALUE!</v>
      </c>
      <c r="AQ99" t="e">
        <f>AND(Bills!#REF!,"AAAAAGK/7Co=")</f>
        <v>#REF!</v>
      </c>
      <c r="AR99">
        <f>IF(Bills!264:264,"AAAAAGK/7Cs=",0)</f>
        <v>0</v>
      </c>
      <c r="AS99" t="e">
        <f>AND(Bills!B264,"AAAAAGK/7Cw=")</f>
        <v>#VALUE!</v>
      </c>
      <c r="AT99" t="e">
        <f>AND(Bills!#REF!,"AAAAAGK/7C0=")</f>
        <v>#REF!</v>
      </c>
      <c r="AU99" t="e">
        <f>AND(Bills!C264,"AAAAAGK/7C4=")</f>
        <v>#VALUE!</v>
      </c>
      <c r="AV99" t="e">
        <f>AND(Bills!#REF!,"AAAAAGK/7C8=")</f>
        <v>#REF!</v>
      </c>
      <c r="AW99" t="e">
        <f>AND(Bills!#REF!,"AAAAAGK/7DA=")</f>
        <v>#REF!</v>
      </c>
      <c r="AX99" t="e">
        <f>AND(Bills!#REF!,"AAAAAGK/7DE=")</f>
        <v>#REF!</v>
      </c>
      <c r="AY99" t="e">
        <f>AND(Bills!#REF!,"AAAAAGK/7DI=")</f>
        <v>#REF!</v>
      </c>
      <c r="AZ99" t="e">
        <f>AND(Bills!#REF!,"AAAAAGK/7DM=")</f>
        <v>#REF!</v>
      </c>
      <c r="BA99" t="e">
        <f>AND(Bills!D264,"AAAAAGK/7DQ=")</f>
        <v>#VALUE!</v>
      </c>
      <c r="BB99" t="e">
        <f>AND(Bills!#REF!,"AAAAAGK/7DU=")</f>
        <v>#REF!</v>
      </c>
      <c r="BC99" t="e">
        <f>AND(Bills!E264,"AAAAAGK/7DY=")</f>
        <v>#VALUE!</v>
      </c>
      <c r="BD99" t="e">
        <f>AND(Bills!F264,"AAAAAGK/7Dc=")</f>
        <v>#VALUE!</v>
      </c>
      <c r="BE99" t="e">
        <f>AND(Bills!G264,"AAAAAGK/7Dg=")</f>
        <v>#VALUE!</v>
      </c>
      <c r="BF99" t="e">
        <f>AND(Bills!H264,"AAAAAGK/7Dk=")</f>
        <v>#VALUE!</v>
      </c>
      <c r="BG99" t="e">
        <f>AND(Bills!I264,"AAAAAGK/7Do=")</f>
        <v>#VALUE!</v>
      </c>
      <c r="BH99" t="e">
        <f>AND(Bills!J264,"AAAAAGK/7Ds=")</f>
        <v>#VALUE!</v>
      </c>
      <c r="BI99" t="e">
        <f>AND(Bills!#REF!,"AAAAAGK/7Dw=")</f>
        <v>#REF!</v>
      </c>
      <c r="BJ99" t="e">
        <f>AND(Bills!K264,"AAAAAGK/7D0=")</f>
        <v>#VALUE!</v>
      </c>
      <c r="BK99" t="e">
        <f>AND(Bills!L264,"AAAAAGK/7D4=")</f>
        <v>#VALUE!</v>
      </c>
      <c r="BL99" t="e">
        <f>AND(Bills!M264,"AAAAAGK/7D8=")</f>
        <v>#VALUE!</v>
      </c>
      <c r="BM99" t="e">
        <f>AND(Bills!N264,"AAAAAGK/7EA=")</f>
        <v>#VALUE!</v>
      </c>
      <c r="BN99" t="e">
        <f>AND(Bills!O264,"AAAAAGK/7EE=")</f>
        <v>#VALUE!</v>
      </c>
      <c r="BO99" t="e">
        <f>AND(Bills!P264,"AAAAAGK/7EI=")</f>
        <v>#VALUE!</v>
      </c>
      <c r="BP99" t="e">
        <f>AND(Bills!Q264,"AAAAAGK/7EM=")</f>
        <v>#VALUE!</v>
      </c>
      <c r="BQ99" t="e">
        <f>AND(Bills!R264,"AAAAAGK/7EQ=")</f>
        <v>#VALUE!</v>
      </c>
      <c r="BR99" t="e">
        <f>AND(Bills!#REF!,"AAAAAGK/7EU=")</f>
        <v>#REF!</v>
      </c>
      <c r="BS99" t="e">
        <f>AND(Bills!S264,"AAAAAGK/7EY=")</f>
        <v>#VALUE!</v>
      </c>
      <c r="BT99" t="e">
        <f>AND(Bills!T264,"AAAAAGK/7Ec=")</f>
        <v>#VALUE!</v>
      </c>
      <c r="BU99" t="e">
        <f>AND(Bills!U264,"AAAAAGK/7Eg=")</f>
        <v>#VALUE!</v>
      </c>
      <c r="BV99" t="e">
        <f>AND(Bills!#REF!,"AAAAAGK/7Ek=")</f>
        <v>#REF!</v>
      </c>
      <c r="BW99" t="e">
        <f>AND(Bills!#REF!,"AAAAAGK/7Eo=")</f>
        <v>#REF!</v>
      </c>
      <c r="BX99" t="e">
        <f>AND(Bills!W264,"AAAAAGK/7Es=")</f>
        <v>#VALUE!</v>
      </c>
      <c r="BY99" t="e">
        <f>AND(Bills!X264,"AAAAAGK/7Ew=")</f>
        <v>#VALUE!</v>
      </c>
      <c r="BZ99" t="e">
        <f>AND(Bills!#REF!,"AAAAAGK/7E0=")</f>
        <v>#REF!</v>
      </c>
      <c r="CA99" t="e">
        <f>AND(Bills!#REF!,"AAAAAGK/7E4=")</f>
        <v>#REF!</v>
      </c>
      <c r="CB99" t="e">
        <f>AND(Bills!#REF!,"AAAAAGK/7E8=")</f>
        <v>#REF!</v>
      </c>
      <c r="CC99" t="e">
        <f>AND(Bills!#REF!,"AAAAAGK/7FA=")</f>
        <v>#REF!</v>
      </c>
      <c r="CD99" t="e">
        <f>AND(Bills!#REF!,"AAAAAGK/7FE=")</f>
        <v>#REF!</v>
      </c>
      <c r="CE99" t="e">
        <f>AND(Bills!#REF!,"AAAAAGK/7FI=")</f>
        <v>#REF!</v>
      </c>
      <c r="CF99" t="e">
        <f>AND(Bills!#REF!,"AAAAAGK/7FM=")</f>
        <v>#REF!</v>
      </c>
      <c r="CG99" t="e">
        <f>AND(Bills!#REF!,"AAAAAGK/7FQ=")</f>
        <v>#REF!</v>
      </c>
      <c r="CH99" t="e">
        <f>AND(Bills!#REF!,"AAAAAGK/7FU=")</f>
        <v>#REF!</v>
      </c>
      <c r="CI99" t="e">
        <f>AND(Bills!Y264,"AAAAAGK/7FY=")</f>
        <v>#VALUE!</v>
      </c>
      <c r="CJ99" t="e">
        <f>AND(Bills!Z264,"AAAAAGK/7Fc=")</f>
        <v>#VALUE!</v>
      </c>
      <c r="CK99" t="e">
        <f>AND(Bills!#REF!,"AAAAAGK/7Fg=")</f>
        <v>#REF!</v>
      </c>
      <c r="CL99" t="e">
        <f>AND(Bills!#REF!,"AAAAAGK/7Fk=")</f>
        <v>#REF!</v>
      </c>
      <c r="CM99" t="e">
        <f>AND(Bills!#REF!,"AAAAAGK/7Fo=")</f>
        <v>#REF!</v>
      </c>
      <c r="CN99" t="e">
        <f>AND(Bills!AA264,"AAAAAGK/7Fs=")</f>
        <v>#VALUE!</v>
      </c>
      <c r="CO99" t="e">
        <f>AND(Bills!AB264,"AAAAAGK/7Fw=")</f>
        <v>#VALUE!</v>
      </c>
      <c r="CP99" t="e">
        <f>AND(Bills!#REF!,"AAAAAGK/7F0=")</f>
        <v>#REF!</v>
      </c>
      <c r="CQ99">
        <f>IF(Bills!265:265,"AAAAAGK/7F4=",0)</f>
        <v>0</v>
      </c>
      <c r="CR99" t="e">
        <f>AND(Bills!B265,"AAAAAGK/7F8=")</f>
        <v>#VALUE!</v>
      </c>
      <c r="CS99" t="e">
        <f>AND(Bills!#REF!,"AAAAAGK/7GA=")</f>
        <v>#REF!</v>
      </c>
      <c r="CT99" t="e">
        <f>AND(Bills!C265,"AAAAAGK/7GE=")</f>
        <v>#VALUE!</v>
      </c>
      <c r="CU99" t="e">
        <f>AND(Bills!#REF!,"AAAAAGK/7GI=")</f>
        <v>#REF!</v>
      </c>
      <c r="CV99" t="e">
        <f>AND(Bills!#REF!,"AAAAAGK/7GM=")</f>
        <v>#REF!</v>
      </c>
      <c r="CW99" t="e">
        <f>AND(Bills!#REF!,"AAAAAGK/7GQ=")</f>
        <v>#REF!</v>
      </c>
      <c r="CX99" t="e">
        <f>AND(Bills!#REF!,"AAAAAGK/7GU=")</f>
        <v>#REF!</v>
      </c>
      <c r="CY99" t="e">
        <f>AND(Bills!#REF!,"AAAAAGK/7GY=")</f>
        <v>#REF!</v>
      </c>
      <c r="CZ99" t="e">
        <f>AND(Bills!D265,"AAAAAGK/7Gc=")</f>
        <v>#VALUE!</v>
      </c>
      <c r="DA99" t="e">
        <f>AND(Bills!#REF!,"AAAAAGK/7Gg=")</f>
        <v>#REF!</v>
      </c>
      <c r="DB99" t="e">
        <f>AND(Bills!E265,"AAAAAGK/7Gk=")</f>
        <v>#VALUE!</v>
      </c>
      <c r="DC99" t="e">
        <f>AND(Bills!F265,"AAAAAGK/7Go=")</f>
        <v>#VALUE!</v>
      </c>
      <c r="DD99" t="e">
        <f>AND(Bills!G265,"AAAAAGK/7Gs=")</f>
        <v>#VALUE!</v>
      </c>
      <c r="DE99" t="e">
        <f>AND(Bills!H265,"AAAAAGK/7Gw=")</f>
        <v>#VALUE!</v>
      </c>
      <c r="DF99" t="e">
        <f>AND(Bills!I265,"AAAAAGK/7G0=")</f>
        <v>#VALUE!</v>
      </c>
      <c r="DG99" t="e">
        <f>AND(Bills!J265,"AAAAAGK/7G4=")</f>
        <v>#VALUE!</v>
      </c>
      <c r="DH99" t="e">
        <f>AND(Bills!#REF!,"AAAAAGK/7G8=")</f>
        <v>#REF!</v>
      </c>
      <c r="DI99" t="e">
        <f>AND(Bills!K265,"AAAAAGK/7HA=")</f>
        <v>#VALUE!</v>
      </c>
      <c r="DJ99" t="e">
        <f>AND(Bills!L265,"AAAAAGK/7HE=")</f>
        <v>#VALUE!</v>
      </c>
      <c r="DK99" t="e">
        <f>AND(Bills!M265,"AAAAAGK/7HI=")</f>
        <v>#VALUE!</v>
      </c>
      <c r="DL99" t="e">
        <f>AND(Bills!N265,"AAAAAGK/7HM=")</f>
        <v>#VALUE!</v>
      </c>
      <c r="DM99" t="e">
        <f>AND(Bills!O265,"AAAAAGK/7HQ=")</f>
        <v>#VALUE!</v>
      </c>
      <c r="DN99" t="e">
        <f>AND(Bills!P265,"AAAAAGK/7HU=")</f>
        <v>#VALUE!</v>
      </c>
      <c r="DO99" t="e">
        <f>AND(Bills!Q265,"AAAAAGK/7HY=")</f>
        <v>#VALUE!</v>
      </c>
      <c r="DP99" t="e">
        <f>AND(Bills!R265,"AAAAAGK/7Hc=")</f>
        <v>#VALUE!</v>
      </c>
      <c r="DQ99" t="e">
        <f>AND(Bills!#REF!,"AAAAAGK/7Hg=")</f>
        <v>#REF!</v>
      </c>
      <c r="DR99" t="e">
        <f>AND(Bills!S265,"AAAAAGK/7Hk=")</f>
        <v>#VALUE!</v>
      </c>
      <c r="DS99" t="e">
        <f>AND(Bills!T265,"AAAAAGK/7Ho=")</f>
        <v>#VALUE!</v>
      </c>
      <c r="DT99" t="e">
        <f>AND(Bills!U265,"AAAAAGK/7Hs=")</f>
        <v>#VALUE!</v>
      </c>
      <c r="DU99" t="e">
        <f>AND(Bills!#REF!,"AAAAAGK/7Hw=")</f>
        <v>#REF!</v>
      </c>
      <c r="DV99" t="e">
        <f>AND(Bills!#REF!,"AAAAAGK/7H0=")</f>
        <v>#REF!</v>
      </c>
      <c r="DW99" t="e">
        <f>AND(Bills!W265,"AAAAAGK/7H4=")</f>
        <v>#VALUE!</v>
      </c>
      <c r="DX99" t="e">
        <f>AND(Bills!X265,"AAAAAGK/7H8=")</f>
        <v>#VALUE!</v>
      </c>
      <c r="DY99" t="e">
        <f>AND(Bills!#REF!,"AAAAAGK/7IA=")</f>
        <v>#REF!</v>
      </c>
      <c r="DZ99" t="e">
        <f>AND(Bills!#REF!,"AAAAAGK/7IE=")</f>
        <v>#REF!</v>
      </c>
      <c r="EA99" t="e">
        <f>AND(Bills!#REF!,"AAAAAGK/7II=")</f>
        <v>#REF!</v>
      </c>
      <c r="EB99" t="e">
        <f>AND(Bills!#REF!,"AAAAAGK/7IM=")</f>
        <v>#REF!</v>
      </c>
      <c r="EC99" t="e">
        <f>AND(Bills!#REF!,"AAAAAGK/7IQ=")</f>
        <v>#REF!</v>
      </c>
      <c r="ED99" t="e">
        <f>AND(Bills!#REF!,"AAAAAGK/7IU=")</f>
        <v>#REF!</v>
      </c>
      <c r="EE99" t="e">
        <f>AND(Bills!#REF!,"AAAAAGK/7IY=")</f>
        <v>#REF!</v>
      </c>
      <c r="EF99" t="e">
        <f>AND(Bills!#REF!,"AAAAAGK/7Ic=")</f>
        <v>#REF!</v>
      </c>
      <c r="EG99" t="e">
        <f>AND(Bills!#REF!,"AAAAAGK/7Ig=")</f>
        <v>#REF!</v>
      </c>
      <c r="EH99" t="e">
        <f>AND(Bills!Y265,"AAAAAGK/7Ik=")</f>
        <v>#VALUE!</v>
      </c>
      <c r="EI99" t="e">
        <f>AND(Bills!Z265,"AAAAAGK/7Io=")</f>
        <v>#VALUE!</v>
      </c>
      <c r="EJ99" t="e">
        <f>AND(Bills!#REF!,"AAAAAGK/7Is=")</f>
        <v>#REF!</v>
      </c>
      <c r="EK99" t="e">
        <f>AND(Bills!#REF!,"AAAAAGK/7Iw=")</f>
        <v>#REF!</v>
      </c>
      <c r="EL99" t="e">
        <f>AND(Bills!#REF!,"AAAAAGK/7I0=")</f>
        <v>#REF!</v>
      </c>
      <c r="EM99" t="e">
        <f>AND(Bills!AA265,"AAAAAGK/7I4=")</f>
        <v>#VALUE!</v>
      </c>
      <c r="EN99" t="e">
        <f>AND(Bills!AB265,"AAAAAGK/7I8=")</f>
        <v>#VALUE!</v>
      </c>
      <c r="EO99" t="e">
        <f>AND(Bills!#REF!,"AAAAAGK/7JA=")</f>
        <v>#REF!</v>
      </c>
      <c r="EP99">
        <f>IF(Bills!266:266,"AAAAAGK/7JE=",0)</f>
        <v>0</v>
      </c>
      <c r="EQ99" t="e">
        <f>AND(Bills!B266,"AAAAAGK/7JI=")</f>
        <v>#VALUE!</v>
      </c>
      <c r="ER99" t="e">
        <f>AND(Bills!#REF!,"AAAAAGK/7JM=")</f>
        <v>#REF!</v>
      </c>
      <c r="ES99" t="e">
        <f>AND(Bills!C266,"AAAAAGK/7JQ=")</f>
        <v>#VALUE!</v>
      </c>
      <c r="ET99" t="e">
        <f>AND(Bills!#REF!,"AAAAAGK/7JU=")</f>
        <v>#REF!</v>
      </c>
      <c r="EU99" t="e">
        <f>AND(Bills!#REF!,"AAAAAGK/7JY=")</f>
        <v>#REF!</v>
      </c>
      <c r="EV99" t="e">
        <f>AND(Bills!#REF!,"AAAAAGK/7Jc=")</f>
        <v>#REF!</v>
      </c>
      <c r="EW99" t="e">
        <f>AND(Bills!#REF!,"AAAAAGK/7Jg=")</f>
        <v>#REF!</v>
      </c>
      <c r="EX99" t="e">
        <f>AND(Bills!#REF!,"AAAAAGK/7Jk=")</f>
        <v>#REF!</v>
      </c>
      <c r="EY99" t="e">
        <f>AND(Bills!D266,"AAAAAGK/7Jo=")</f>
        <v>#VALUE!</v>
      </c>
      <c r="EZ99" t="e">
        <f>AND(Bills!#REF!,"AAAAAGK/7Js=")</f>
        <v>#REF!</v>
      </c>
      <c r="FA99" t="e">
        <f>AND(Bills!E266,"AAAAAGK/7Jw=")</f>
        <v>#VALUE!</v>
      </c>
      <c r="FB99" t="e">
        <f>AND(Bills!F266,"AAAAAGK/7J0=")</f>
        <v>#VALUE!</v>
      </c>
      <c r="FC99" t="e">
        <f>AND(Bills!G266,"AAAAAGK/7J4=")</f>
        <v>#VALUE!</v>
      </c>
      <c r="FD99" t="e">
        <f>AND(Bills!H266,"AAAAAGK/7J8=")</f>
        <v>#VALUE!</v>
      </c>
      <c r="FE99" t="e">
        <f>AND(Bills!I266,"AAAAAGK/7KA=")</f>
        <v>#VALUE!</v>
      </c>
      <c r="FF99" t="e">
        <f>AND(Bills!J266,"AAAAAGK/7KE=")</f>
        <v>#VALUE!</v>
      </c>
      <c r="FG99" t="e">
        <f>AND(Bills!#REF!,"AAAAAGK/7KI=")</f>
        <v>#REF!</v>
      </c>
      <c r="FH99" t="e">
        <f>AND(Bills!K266,"AAAAAGK/7KM=")</f>
        <v>#VALUE!</v>
      </c>
      <c r="FI99" t="e">
        <f>AND(Bills!L266,"AAAAAGK/7KQ=")</f>
        <v>#VALUE!</v>
      </c>
      <c r="FJ99" t="e">
        <f>AND(Bills!M266,"AAAAAGK/7KU=")</f>
        <v>#VALUE!</v>
      </c>
      <c r="FK99" t="e">
        <f>AND(Bills!N266,"AAAAAGK/7KY=")</f>
        <v>#VALUE!</v>
      </c>
      <c r="FL99" t="e">
        <f>AND(Bills!O266,"AAAAAGK/7Kc=")</f>
        <v>#VALUE!</v>
      </c>
      <c r="FM99" t="e">
        <f>AND(Bills!P266,"AAAAAGK/7Kg=")</f>
        <v>#VALUE!</v>
      </c>
      <c r="FN99" t="e">
        <f>AND(Bills!Q266,"AAAAAGK/7Kk=")</f>
        <v>#VALUE!</v>
      </c>
      <c r="FO99" t="e">
        <f>AND(Bills!R266,"AAAAAGK/7Ko=")</f>
        <v>#VALUE!</v>
      </c>
      <c r="FP99" t="e">
        <f>AND(Bills!#REF!,"AAAAAGK/7Ks=")</f>
        <v>#REF!</v>
      </c>
      <c r="FQ99" t="e">
        <f>AND(Bills!S266,"AAAAAGK/7Kw=")</f>
        <v>#VALUE!</v>
      </c>
      <c r="FR99" t="e">
        <f>AND(Bills!T266,"AAAAAGK/7K0=")</f>
        <v>#VALUE!</v>
      </c>
      <c r="FS99" t="e">
        <f>AND(Bills!U266,"AAAAAGK/7K4=")</f>
        <v>#VALUE!</v>
      </c>
      <c r="FT99" t="e">
        <f>AND(Bills!#REF!,"AAAAAGK/7K8=")</f>
        <v>#REF!</v>
      </c>
      <c r="FU99" t="e">
        <f>AND(Bills!#REF!,"AAAAAGK/7LA=")</f>
        <v>#REF!</v>
      </c>
      <c r="FV99" t="e">
        <f>AND(Bills!W266,"AAAAAGK/7LE=")</f>
        <v>#VALUE!</v>
      </c>
      <c r="FW99" t="e">
        <f>AND(Bills!X266,"AAAAAGK/7LI=")</f>
        <v>#VALUE!</v>
      </c>
      <c r="FX99" t="e">
        <f>AND(Bills!#REF!,"AAAAAGK/7LM=")</f>
        <v>#REF!</v>
      </c>
      <c r="FY99" t="e">
        <f>AND(Bills!#REF!,"AAAAAGK/7LQ=")</f>
        <v>#REF!</v>
      </c>
      <c r="FZ99" t="e">
        <f>AND(Bills!#REF!,"AAAAAGK/7LU=")</f>
        <v>#REF!</v>
      </c>
      <c r="GA99" t="e">
        <f>AND(Bills!#REF!,"AAAAAGK/7LY=")</f>
        <v>#REF!</v>
      </c>
      <c r="GB99" t="e">
        <f>AND(Bills!#REF!,"AAAAAGK/7Lc=")</f>
        <v>#REF!</v>
      </c>
      <c r="GC99" t="e">
        <f>AND(Bills!#REF!,"AAAAAGK/7Lg=")</f>
        <v>#REF!</v>
      </c>
      <c r="GD99" t="e">
        <f>AND(Bills!#REF!,"AAAAAGK/7Lk=")</f>
        <v>#REF!</v>
      </c>
      <c r="GE99" t="e">
        <f>AND(Bills!#REF!,"AAAAAGK/7Lo=")</f>
        <v>#REF!</v>
      </c>
      <c r="GF99" t="e">
        <f>AND(Bills!#REF!,"AAAAAGK/7Ls=")</f>
        <v>#REF!</v>
      </c>
      <c r="GG99" t="e">
        <f>AND(Bills!Y266,"AAAAAGK/7Lw=")</f>
        <v>#VALUE!</v>
      </c>
      <c r="GH99" t="e">
        <f>AND(Bills!Z266,"AAAAAGK/7L0=")</f>
        <v>#VALUE!</v>
      </c>
      <c r="GI99" t="e">
        <f>AND(Bills!#REF!,"AAAAAGK/7L4=")</f>
        <v>#REF!</v>
      </c>
      <c r="GJ99" t="e">
        <f>AND(Bills!#REF!,"AAAAAGK/7L8=")</f>
        <v>#REF!</v>
      </c>
      <c r="GK99" t="e">
        <f>AND(Bills!#REF!,"AAAAAGK/7MA=")</f>
        <v>#REF!</v>
      </c>
      <c r="GL99" t="e">
        <f>AND(Bills!AA266,"AAAAAGK/7ME=")</f>
        <v>#VALUE!</v>
      </c>
      <c r="GM99" t="e">
        <f>AND(Bills!AB266,"AAAAAGK/7MI=")</f>
        <v>#VALUE!</v>
      </c>
      <c r="GN99" t="e">
        <f>AND(Bills!#REF!,"AAAAAGK/7MM=")</f>
        <v>#REF!</v>
      </c>
      <c r="GO99">
        <f>IF(Bills!267:267,"AAAAAGK/7MQ=",0)</f>
        <v>0</v>
      </c>
      <c r="GP99" t="e">
        <f>AND(Bills!B267,"AAAAAGK/7MU=")</f>
        <v>#VALUE!</v>
      </c>
      <c r="GQ99" t="e">
        <f>AND(Bills!#REF!,"AAAAAGK/7MY=")</f>
        <v>#REF!</v>
      </c>
      <c r="GR99" t="e">
        <f>AND(Bills!C267,"AAAAAGK/7Mc=")</f>
        <v>#VALUE!</v>
      </c>
      <c r="GS99" t="e">
        <f>AND(Bills!#REF!,"AAAAAGK/7Mg=")</f>
        <v>#REF!</v>
      </c>
      <c r="GT99" t="e">
        <f>AND(Bills!#REF!,"AAAAAGK/7Mk=")</f>
        <v>#REF!</v>
      </c>
      <c r="GU99" t="e">
        <f>AND(Bills!#REF!,"AAAAAGK/7Mo=")</f>
        <v>#REF!</v>
      </c>
      <c r="GV99" t="e">
        <f>AND(Bills!#REF!,"AAAAAGK/7Ms=")</f>
        <v>#REF!</v>
      </c>
      <c r="GW99" t="e">
        <f>AND(Bills!#REF!,"AAAAAGK/7Mw=")</f>
        <v>#REF!</v>
      </c>
      <c r="GX99" t="e">
        <f>AND(Bills!D267,"AAAAAGK/7M0=")</f>
        <v>#VALUE!</v>
      </c>
      <c r="GY99" t="e">
        <f>AND(Bills!#REF!,"AAAAAGK/7M4=")</f>
        <v>#REF!</v>
      </c>
      <c r="GZ99" t="e">
        <f>AND(Bills!E267,"AAAAAGK/7M8=")</f>
        <v>#VALUE!</v>
      </c>
      <c r="HA99" t="e">
        <f>AND(Bills!F267,"AAAAAGK/7NA=")</f>
        <v>#VALUE!</v>
      </c>
      <c r="HB99" t="e">
        <f>AND(Bills!G267,"AAAAAGK/7NE=")</f>
        <v>#VALUE!</v>
      </c>
      <c r="HC99" t="e">
        <f>AND(Bills!H267,"AAAAAGK/7NI=")</f>
        <v>#VALUE!</v>
      </c>
      <c r="HD99" t="e">
        <f>AND(Bills!I267,"AAAAAGK/7NM=")</f>
        <v>#VALUE!</v>
      </c>
      <c r="HE99" t="e">
        <f>AND(Bills!J267,"AAAAAGK/7NQ=")</f>
        <v>#VALUE!</v>
      </c>
      <c r="HF99" t="e">
        <f>AND(Bills!#REF!,"AAAAAGK/7NU=")</f>
        <v>#REF!</v>
      </c>
      <c r="HG99" t="e">
        <f>AND(Bills!K267,"AAAAAGK/7NY=")</f>
        <v>#VALUE!</v>
      </c>
      <c r="HH99" t="e">
        <f>AND(Bills!L267,"AAAAAGK/7Nc=")</f>
        <v>#VALUE!</v>
      </c>
      <c r="HI99" t="e">
        <f>AND(Bills!M267,"AAAAAGK/7Ng=")</f>
        <v>#VALUE!</v>
      </c>
      <c r="HJ99" t="e">
        <f>AND(Bills!N267,"AAAAAGK/7Nk=")</f>
        <v>#VALUE!</v>
      </c>
      <c r="HK99" t="e">
        <f>AND(Bills!O267,"AAAAAGK/7No=")</f>
        <v>#VALUE!</v>
      </c>
      <c r="HL99" t="e">
        <f>AND(Bills!P267,"AAAAAGK/7Ns=")</f>
        <v>#VALUE!</v>
      </c>
      <c r="HM99" t="e">
        <f>AND(Bills!Q267,"AAAAAGK/7Nw=")</f>
        <v>#VALUE!</v>
      </c>
      <c r="HN99" t="e">
        <f>AND(Bills!R267,"AAAAAGK/7N0=")</f>
        <v>#VALUE!</v>
      </c>
      <c r="HO99" t="e">
        <f>AND(Bills!#REF!,"AAAAAGK/7N4=")</f>
        <v>#REF!</v>
      </c>
      <c r="HP99" t="e">
        <f>AND(Bills!S267,"AAAAAGK/7N8=")</f>
        <v>#VALUE!</v>
      </c>
      <c r="HQ99" t="e">
        <f>AND(Bills!T267,"AAAAAGK/7OA=")</f>
        <v>#VALUE!</v>
      </c>
      <c r="HR99" t="e">
        <f>AND(Bills!U267,"AAAAAGK/7OE=")</f>
        <v>#VALUE!</v>
      </c>
      <c r="HS99" t="e">
        <f>AND(Bills!#REF!,"AAAAAGK/7OI=")</f>
        <v>#REF!</v>
      </c>
      <c r="HT99" t="e">
        <f>AND(Bills!#REF!,"AAAAAGK/7OM=")</f>
        <v>#REF!</v>
      </c>
      <c r="HU99" t="e">
        <f>AND(Bills!W267,"AAAAAGK/7OQ=")</f>
        <v>#VALUE!</v>
      </c>
      <c r="HV99" t="e">
        <f>AND(Bills!X267,"AAAAAGK/7OU=")</f>
        <v>#VALUE!</v>
      </c>
      <c r="HW99" t="e">
        <f>AND(Bills!#REF!,"AAAAAGK/7OY=")</f>
        <v>#REF!</v>
      </c>
      <c r="HX99" t="e">
        <f>AND(Bills!#REF!,"AAAAAGK/7Oc=")</f>
        <v>#REF!</v>
      </c>
      <c r="HY99" t="e">
        <f>AND(Bills!#REF!,"AAAAAGK/7Og=")</f>
        <v>#REF!</v>
      </c>
      <c r="HZ99" t="e">
        <f>AND(Bills!#REF!,"AAAAAGK/7Ok=")</f>
        <v>#REF!</v>
      </c>
      <c r="IA99" t="e">
        <f>AND(Bills!#REF!,"AAAAAGK/7Oo=")</f>
        <v>#REF!</v>
      </c>
      <c r="IB99" t="e">
        <f>AND(Bills!#REF!,"AAAAAGK/7Os=")</f>
        <v>#REF!</v>
      </c>
      <c r="IC99" t="e">
        <f>AND(Bills!#REF!,"AAAAAGK/7Ow=")</f>
        <v>#REF!</v>
      </c>
      <c r="ID99" t="e">
        <f>AND(Bills!#REF!,"AAAAAGK/7O0=")</f>
        <v>#REF!</v>
      </c>
      <c r="IE99" t="e">
        <f>AND(Bills!#REF!,"AAAAAGK/7O4=")</f>
        <v>#REF!</v>
      </c>
      <c r="IF99" t="e">
        <f>AND(Bills!Y267,"AAAAAGK/7O8=")</f>
        <v>#VALUE!</v>
      </c>
      <c r="IG99" t="e">
        <f>AND(Bills!Z267,"AAAAAGK/7PA=")</f>
        <v>#VALUE!</v>
      </c>
      <c r="IH99" t="e">
        <f>AND(Bills!#REF!,"AAAAAGK/7PE=")</f>
        <v>#REF!</v>
      </c>
      <c r="II99" t="e">
        <f>AND(Bills!#REF!,"AAAAAGK/7PI=")</f>
        <v>#REF!</v>
      </c>
      <c r="IJ99" t="e">
        <f>AND(Bills!#REF!,"AAAAAGK/7PM=")</f>
        <v>#REF!</v>
      </c>
      <c r="IK99" t="e">
        <f>AND(Bills!AA267,"AAAAAGK/7PQ=")</f>
        <v>#VALUE!</v>
      </c>
      <c r="IL99" t="e">
        <f>AND(Bills!AB267,"AAAAAGK/7PU=")</f>
        <v>#VALUE!</v>
      </c>
      <c r="IM99" t="e">
        <f>AND(Bills!#REF!,"AAAAAGK/7PY=")</f>
        <v>#REF!</v>
      </c>
      <c r="IN99">
        <f>IF(Bills!268:268,"AAAAAGK/7Pc=",0)</f>
        <v>0</v>
      </c>
      <c r="IO99" t="e">
        <f>AND(Bills!B268,"AAAAAGK/7Pg=")</f>
        <v>#VALUE!</v>
      </c>
      <c r="IP99" t="e">
        <f>AND(Bills!#REF!,"AAAAAGK/7Pk=")</f>
        <v>#REF!</v>
      </c>
      <c r="IQ99" t="e">
        <f>AND(Bills!C268,"AAAAAGK/7Po=")</f>
        <v>#VALUE!</v>
      </c>
      <c r="IR99" t="e">
        <f>AND(Bills!#REF!,"AAAAAGK/7Ps=")</f>
        <v>#REF!</v>
      </c>
      <c r="IS99" t="e">
        <f>AND(Bills!#REF!,"AAAAAGK/7Pw=")</f>
        <v>#REF!</v>
      </c>
      <c r="IT99" t="e">
        <f>AND(Bills!#REF!,"AAAAAGK/7P0=")</f>
        <v>#REF!</v>
      </c>
      <c r="IU99" t="e">
        <f>AND(Bills!#REF!,"AAAAAGK/7P4=")</f>
        <v>#REF!</v>
      </c>
      <c r="IV99" t="e">
        <f>AND(Bills!#REF!,"AAAAAGK/7P8=")</f>
        <v>#REF!</v>
      </c>
    </row>
    <row r="100" spans="1:256">
      <c r="A100" t="e">
        <f>AND(Bills!D268,"AAAAAD/06wA=")</f>
        <v>#VALUE!</v>
      </c>
      <c r="B100" t="e">
        <f>AND(Bills!#REF!,"AAAAAD/06wE=")</f>
        <v>#REF!</v>
      </c>
      <c r="C100" t="e">
        <f>AND(Bills!E268,"AAAAAD/06wI=")</f>
        <v>#VALUE!</v>
      </c>
      <c r="D100" t="e">
        <f>AND(Bills!F268,"AAAAAD/06wM=")</f>
        <v>#VALUE!</v>
      </c>
      <c r="E100" t="e">
        <f>AND(Bills!G268,"AAAAAD/06wQ=")</f>
        <v>#VALUE!</v>
      </c>
      <c r="F100" t="e">
        <f>AND(Bills!H268,"AAAAAD/06wU=")</f>
        <v>#VALUE!</v>
      </c>
      <c r="G100" t="e">
        <f>AND(Bills!I268,"AAAAAD/06wY=")</f>
        <v>#VALUE!</v>
      </c>
      <c r="H100" t="e">
        <f>AND(Bills!J268,"AAAAAD/06wc=")</f>
        <v>#VALUE!</v>
      </c>
      <c r="I100" t="e">
        <f>AND(Bills!#REF!,"AAAAAD/06wg=")</f>
        <v>#REF!</v>
      </c>
      <c r="J100" t="e">
        <f>AND(Bills!K268,"AAAAAD/06wk=")</f>
        <v>#VALUE!</v>
      </c>
      <c r="K100" t="e">
        <f>AND(Bills!L268,"AAAAAD/06wo=")</f>
        <v>#VALUE!</v>
      </c>
      <c r="L100" t="e">
        <f>AND(Bills!M268,"AAAAAD/06ws=")</f>
        <v>#VALUE!</v>
      </c>
      <c r="M100" t="e">
        <f>AND(Bills!N268,"AAAAAD/06ww=")</f>
        <v>#VALUE!</v>
      </c>
      <c r="N100" t="e">
        <f>AND(Bills!O268,"AAAAAD/06w0=")</f>
        <v>#VALUE!</v>
      </c>
      <c r="O100" t="e">
        <f>AND(Bills!P268,"AAAAAD/06w4=")</f>
        <v>#VALUE!</v>
      </c>
      <c r="P100" t="e">
        <f>AND(Bills!Q268,"AAAAAD/06w8=")</f>
        <v>#VALUE!</v>
      </c>
      <c r="Q100" t="e">
        <f>AND(Bills!R268,"AAAAAD/06xA=")</f>
        <v>#VALUE!</v>
      </c>
      <c r="R100" t="e">
        <f>AND(Bills!#REF!,"AAAAAD/06xE=")</f>
        <v>#REF!</v>
      </c>
      <c r="S100" t="e">
        <f>AND(Bills!S268,"AAAAAD/06xI=")</f>
        <v>#VALUE!</v>
      </c>
      <c r="T100" t="e">
        <f>AND(Bills!T268,"AAAAAD/06xM=")</f>
        <v>#VALUE!</v>
      </c>
      <c r="U100" t="e">
        <f>AND(Bills!U268,"AAAAAD/06xQ=")</f>
        <v>#VALUE!</v>
      </c>
      <c r="V100" t="e">
        <f>AND(Bills!#REF!,"AAAAAD/06xU=")</f>
        <v>#REF!</v>
      </c>
      <c r="W100" t="e">
        <f>AND(Bills!#REF!,"AAAAAD/06xY=")</f>
        <v>#REF!</v>
      </c>
      <c r="X100" t="e">
        <f>AND(Bills!W268,"AAAAAD/06xc=")</f>
        <v>#VALUE!</v>
      </c>
      <c r="Y100" t="e">
        <f>AND(Bills!X268,"AAAAAD/06xg=")</f>
        <v>#VALUE!</v>
      </c>
      <c r="Z100" t="e">
        <f>AND(Bills!#REF!,"AAAAAD/06xk=")</f>
        <v>#REF!</v>
      </c>
      <c r="AA100" t="e">
        <f>AND(Bills!#REF!,"AAAAAD/06xo=")</f>
        <v>#REF!</v>
      </c>
      <c r="AB100" t="e">
        <f>AND(Bills!#REF!,"AAAAAD/06xs=")</f>
        <v>#REF!</v>
      </c>
      <c r="AC100" t="e">
        <f>AND(Bills!#REF!,"AAAAAD/06xw=")</f>
        <v>#REF!</v>
      </c>
      <c r="AD100" t="e">
        <f>AND(Bills!#REF!,"AAAAAD/06x0=")</f>
        <v>#REF!</v>
      </c>
      <c r="AE100" t="e">
        <f>AND(Bills!#REF!,"AAAAAD/06x4=")</f>
        <v>#REF!</v>
      </c>
      <c r="AF100" t="e">
        <f>AND(Bills!#REF!,"AAAAAD/06x8=")</f>
        <v>#REF!</v>
      </c>
      <c r="AG100" t="e">
        <f>AND(Bills!#REF!,"AAAAAD/06yA=")</f>
        <v>#REF!</v>
      </c>
      <c r="AH100" t="e">
        <f>AND(Bills!#REF!,"AAAAAD/06yE=")</f>
        <v>#REF!</v>
      </c>
      <c r="AI100" t="e">
        <f>AND(Bills!Y268,"AAAAAD/06yI=")</f>
        <v>#VALUE!</v>
      </c>
      <c r="AJ100" t="e">
        <f>AND(Bills!Z268,"AAAAAD/06yM=")</f>
        <v>#VALUE!</v>
      </c>
      <c r="AK100" t="e">
        <f>AND(Bills!#REF!,"AAAAAD/06yQ=")</f>
        <v>#REF!</v>
      </c>
      <c r="AL100" t="e">
        <f>AND(Bills!#REF!,"AAAAAD/06yU=")</f>
        <v>#REF!</v>
      </c>
      <c r="AM100" t="e">
        <f>AND(Bills!#REF!,"AAAAAD/06yY=")</f>
        <v>#REF!</v>
      </c>
      <c r="AN100" t="e">
        <f>AND(Bills!AA268,"AAAAAD/06yc=")</f>
        <v>#VALUE!</v>
      </c>
      <c r="AO100" t="e">
        <f>AND(Bills!AB268,"AAAAAD/06yg=")</f>
        <v>#VALUE!</v>
      </c>
      <c r="AP100" t="e">
        <f>AND(Bills!#REF!,"AAAAAD/06yk=")</f>
        <v>#REF!</v>
      </c>
      <c r="AQ100">
        <f>IF(Bills!269:269,"AAAAAD/06yo=",0)</f>
        <v>0</v>
      </c>
      <c r="AR100" t="e">
        <f>AND(Bills!B269,"AAAAAD/06ys=")</f>
        <v>#VALUE!</v>
      </c>
      <c r="AS100" t="e">
        <f>AND(Bills!#REF!,"AAAAAD/06yw=")</f>
        <v>#REF!</v>
      </c>
      <c r="AT100" t="e">
        <f>AND(Bills!C269,"AAAAAD/06y0=")</f>
        <v>#VALUE!</v>
      </c>
      <c r="AU100" t="e">
        <f>AND(Bills!#REF!,"AAAAAD/06y4=")</f>
        <v>#REF!</v>
      </c>
      <c r="AV100" t="e">
        <f>AND(Bills!#REF!,"AAAAAD/06y8=")</f>
        <v>#REF!</v>
      </c>
      <c r="AW100" t="e">
        <f>AND(Bills!#REF!,"AAAAAD/06zA=")</f>
        <v>#REF!</v>
      </c>
      <c r="AX100" t="e">
        <f>AND(Bills!#REF!,"AAAAAD/06zE=")</f>
        <v>#REF!</v>
      </c>
      <c r="AY100" t="e">
        <f>AND(Bills!#REF!,"AAAAAD/06zI=")</f>
        <v>#REF!</v>
      </c>
      <c r="AZ100" t="e">
        <f>AND(Bills!D269,"AAAAAD/06zM=")</f>
        <v>#VALUE!</v>
      </c>
      <c r="BA100" t="e">
        <f>AND(Bills!#REF!,"AAAAAD/06zQ=")</f>
        <v>#REF!</v>
      </c>
      <c r="BB100" t="e">
        <f>AND(Bills!E269,"AAAAAD/06zU=")</f>
        <v>#VALUE!</v>
      </c>
      <c r="BC100" t="e">
        <f>AND(Bills!F269,"AAAAAD/06zY=")</f>
        <v>#VALUE!</v>
      </c>
      <c r="BD100" t="e">
        <f>AND(Bills!G269,"AAAAAD/06zc=")</f>
        <v>#VALUE!</v>
      </c>
      <c r="BE100" t="e">
        <f>AND(Bills!H269,"AAAAAD/06zg=")</f>
        <v>#VALUE!</v>
      </c>
      <c r="BF100" t="e">
        <f>AND(Bills!I269,"AAAAAD/06zk=")</f>
        <v>#VALUE!</v>
      </c>
      <c r="BG100" t="e">
        <f>AND(Bills!J269,"AAAAAD/06zo=")</f>
        <v>#VALUE!</v>
      </c>
      <c r="BH100" t="e">
        <f>AND(Bills!#REF!,"AAAAAD/06zs=")</f>
        <v>#REF!</v>
      </c>
      <c r="BI100" t="e">
        <f>AND(Bills!K269,"AAAAAD/06zw=")</f>
        <v>#VALUE!</v>
      </c>
      <c r="BJ100" t="e">
        <f>AND(Bills!L269,"AAAAAD/06z0=")</f>
        <v>#VALUE!</v>
      </c>
      <c r="BK100" t="e">
        <f>AND(Bills!M269,"AAAAAD/06z4=")</f>
        <v>#VALUE!</v>
      </c>
      <c r="BL100" t="e">
        <f>AND(Bills!N269,"AAAAAD/06z8=")</f>
        <v>#VALUE!</v>
      </c>
      <c r="BM100" t="e">
        <f>AND(Bills!O269,"AAAAAD/060A=")</f>
        <v>#VALUE!</v>
      </c>
      <c r="BN100" t="e">
        <f>AND(Bills!P269,"AAAAAD/060E=")</f>
        <v>#VALUE!</v>
      </c>
      <c r="BO100" t="e">
        <f>AND(Bills!Q269,"AAAAAD/060I=")</f>
        <v>#VALUE!</v>
      </c>
      <c r="BP100" t="e">
        <f>AND(Bills!R269,"AAAAAD/060M=")</f>
        <v>#VALUE!</v>
      </c>
      <c r="BQ100" t="e">
        <f>AND(Bills!#REF!,"AAAAAD/060Q=")</f>
        <v>#REF!</v>
      </c>
      <c r="BR100" t="e">
        <f>AND(Bills!S269,"AAAAAD/060U=")</f>
        <v>#VALUE!</v>
      </c>
      <c r="BS100" t="e">
        <f>AND(Bills!T269,"AAAAAD/060Y=")</f>
        <v>#VALUE!</v>
      </c>
      <c r="BT100" t="e">
        <f>AND(Bills!U269,"AAAAAD/060c=")</f>
        <v>#VALUE!</v>
      </c>
      <c r="BU100" t="e">
        <f>AND(Bills!#REF!,"AAAAAD/060g=")</f>
        <v>#REF!</v>
      </c>
      <c r="BV100" t="e">
        <f>AND(Bills!#REF!,"AAAAAD/060k=")</f>
        <v>#REF!</v>
      </c>
      <c r="BW100" t="e">
        <f>AND(Bills!W269,"AAAAAD/060o=")</f>
        <v>#VALUE!</v>
      </c>
      <c r="BX100" t="e">
        <f>AND(Bills!X269,"AAAAAD/060s=")</f>
        <v>#VALUE!</v>
      </c>
      <c r="BY100" t="e">
        <f>AND(Bills!#REF!,"AAAAAD/060w=")</f>
        <v>#REF!</v>
      </c>
      <c r="BZ100" t="e">
        <f>AND(Bills!#REF!,"AAAAAD/0600=")</f>
        <v>#REF!</v>
      </c>
      <c r="CA100" t="e">
        <f>AND(Bills!#REF!,"AAAAAD/0604=")</f>
        <v>#REF!</v>
      </c>
      <c r="CB100" t="e">
        <f>AND(Bills!#REF!,"AAAAAD/0608=")</f>
        <v>#REF!</v>
      </c>
      <c r="CC100" t="e">
        <f>AND(Bills!#REF!,"AAAAAD/061A=")</f>
        <v>#REF!</v>
      </c>
      <c r="CD100" t="e">
        <f>AND(Bills!#REF!,"AAAAAD/061E=")</f>
        <v>#REF!</v>
      </c>
      <c r="CE100" t="e">
        <f>AND(Bills!#REF!,"AAAAAD/061I=")</f>
        <v>#REF!</v>
      </c>
      <c r="CF100" t="e">
        <f>AND(Bills!#REF!,"AAAAAD/061M=")</f>
        <v>#REF!</v>
      </c>
      <c r="CG100" t="e">
        <f>AND(Bills!#REF!,"AAAAAD/061Q=")</f>
        <v>#REF!</v>
      </c>
      <c r="CH100" t="e">
        <f>AND(Bills!Y269,"AAAAAD/061U=")</f>
        <v>#VALUE!</v>
      </c>
      <c r="CI100" t="e">
        <f>AND(Bills!Z269,"AAAAAD/061Y=")</f>
        <v>#VALUE!</v>
      </c>
      <c r="CJ100" t="e">
        <f>AND(Bills!#REF!,"AAAAAD/061c=")</f>
        <v>#REF!</v>
      </c>
      <c r="CK100" t="e">
        <f>AND(Bills!#REF!,"AAAAAD/061g=")</f>
        <v>#REF!</v>
      </c>
      <c r="CL100" t="e">
        <f>AND(Bills!#REF!,"AAAAAD/061k=")</f>
        <v>#REF!</v>
      </c>
      <c r="CM100" t="e">
        <f>AND(Bills!AA269,"AAAAAD/061o=")</f>
        <v>#VALUE!</v>
      </c>
      <c r="CN100" t="e">
        <f>AND(Bills!AB269,"AAAAAD/061s=")</f>
        <v>#VALUE!</v>
      </c>
      <c r="CO100" t="e">
        <f>AND(Bills!#REF!,"AAAAAD/061w=")</f>
        <v>#REF!</v>
      </c>
      <c r="CP100">
        <f>IF(Bills!270:270,"AAAAAD/0610=",0)</f>
        <v>0</v>
      </c>
      <c r="CQ100" t="e">
        <f>AND(Bills!B270,"AAAAAD/0614=")</f>
        <v>#VALUE!</v>
      </c>
      <c r="CR100" t="e">
        <f>AND(Bills!#REF!,"AAAAAD/0618=")</f>
        <v>#REF!</v>
      </c>
      <c r="CS100" t="e">
        <f>AND(Bills!C270,"AAAAAD/062A=")</f>
        <v>#VALUE!</v>
      </c>
      <c r="CT100" t="e">
        <f>AND(Bills!#REF!,"AAAAAD/062E=")</f>
        <v>#REF!</v>
      </c>
      <c r="CU100" t="e">
        <f>AND(Bills!#REF!,"AAAAAD/062I=")</f>
        <v>#REF!</v>
      </c>
      <c r="CV100" t="e">
        <f>AND(Bills!#REF!,"AAAAAD/062M=")</f>
        <v>#REF!</v>
      </c>
      <c r="CW100" t="e">
        <f>AND(Bills!#REF!,"AAAAAD/062Q=")</f>
        <v>#REF!</v>
      </c>
      <c r="CX100" t="e">
        <f>AND(Bills!#REF!,"AAAAAD/062U=")</f>
        <v>#REF!</v>
      </c>
      <c r="CY100" t="e">
        <f>AND(Bills!D270,"AAAAAD/062Y=")</f>
        <v>#VALUE!</v>
      </c>
      <c r="CZ100" t="e">
        <f>AND(Bills!#REF!,"AAAAAD/062c=")</f>
        <v>#REF!</v>
      </c>
      <c r="DA100" t="e">
        <f>AND(Bills!E270,"AAAAAD/062g=")</f>
        <v>#VALUE!</v>
      </c>
      <c r="DB100" t="e">
        <f>AND(Bills!F270,"AAAAAD/062k=")</f>
        <v>#VALUE!</v>
      </c>
      <c r="DC100" t="e">
        <f>AND(Bills!G270,"AAAAAD/062o=")</f>
        <v>#VALUE!</v>
      </c>
      <c r="DD100" t="e">
        <f>AND(Bills!H270,"AAAAAD/062s=")</f>
        <v>#VALUE!</v>
      </c>
      <c r="DE100" t="e">
        <f>AND(Bills!I270,"AAAAAD/062w=")</f>
        <v>#VALUE!</v>
      </c>
      <c r="DF100" t="e">
        <f>AND(Bills!J270,"AAAAAD/0620=")</f>
        <v>#VALUE!</v>
      </c>
      <c r="DG100" t="e">
        <f>AND(Bills!#REF!,"AAAAAD/0624=")</f>
        <v>#REF!</v>
      </c>
      <c r="DH100" t="e">
        <f>AND(Bills!K270,"AAAAAD/0628=")</f>
        <v>#VALUE!</v>
      </c>
      <c r="DI100" t="e">
        <f>AND(Bills!L270,"AAAAAD/063A=")</f>
        <v>#VALUE!</v>
      </c>
      <c r="DJ100" t="e">
        <f>AND(Bills!M270,"AAAAAD/063E=")</f>
        <v>#VALUE!</v>
      </c>
      <c r="DK100" t="e">
        <f>AND(Bills!N270,"AAAAAD/063I=")</f>
        <v>#VALUE!</v>
      </c>
      <c r="DL100" t="e">
        <f>AND(Bills!O270,"AAAAAD/063M=")</f>
        <v>#VALUE!</v>
      </c>
      <c r="DM100" t="e">
        <f>AND(Bills!P270,"AAAAAD/063Q=")</f>
        <v>#VALUE!</v>
      </c>
      <c r="DN100" t="e">
        <f>AND(Bills!Q270,"AAAAAD/063U=")</f>
        <v>#VALUE!</v>
      </c>
      <c r="DO100" t="e">
        <f>AND(Bills!R270,"AAAAAD/063Y=")</f>
        <v>#VALUE!</v>
      </c>
      <c r="DP100" t="e">
        <f>AND(Bills!#REF!,"AAAAAD/063c=")</f>
        <v>#REF!</v>
      </c>
      <c r="DQ100" t="e">
        <f>AND(Bills!S270,"AAAAAD/063g=")</f>
        <v>#VALUE!</v>
      </c>
      <c r="DR100" t="e">
        <f>AND(Bills!T270,"AAAAAD/063k=")</f>
        <v>#VALUE!</v>
      </c>
      <c r="DS100" t="e">
        <f>AND(Bills!U270,"AAAAAD/063o=")</f>
        <v>#VALUE!</v>
      </c>
      <c r="DT100" t="e">
        <f>AND(Bills!#REF!,"AAAAAD/063s=")</f>
        <v>#REF!</v>
      </c>
      <c r="DU100" t="e">
        <f>AND(Bills!#REF!,"AAAAAD/063w=")</f>
        <v>#REF!</v>
      </c>
      <c r="DV100" t="e">
        <f>AND(Bills!W270,"AAAAAD/0630=")</f>
        <v>#VALUE!</v>
      </c>
      <c r="DW100" t="e">
        <f>AND(Bills!X270,"AAAAAD/0634=")</f>
        <v>#VALUE!</v>
      </c>
      <c r="DX100" t="e">
        <f>AND(Bills!#REF!,"AAAAAD/0638=")</f>
        <v>#REF!</v>
      </c>
      <c r="DY100" t="e">
        <f>AND(Bills!#REF!,"AAAAAD/064A=")</f>
        <v>#REF!</v>
      </c>
      <c r="DZ100" t="e">
        <f>AND(Bills!#REF!,"AAAAAD/064E=")</f>
        <v>#REF!</v>
      </c>
      <c r="EA100" t="e">
        <f>AND(Bills!#REF!,"AAAAAD/064I=")</f>
        <v>#REF!</v>
      </c>
      <c r="EB100" t="e">
        <f>AND(Bills!#REF!,"AAAAAD/064M=")</f>
        <v>#REF!</v>
      </c>
      <c r="EC100" t="e">
        <f>AND(Bills!#REF!,"AAAAAD/064Q=")</f>
        <v>#REF!</v>
      </c>
      <c r="ED100" t="e">
        <f>AND(Bills!#REF!,"AAAAAD/064U=")</f>
        <v>#REF!</v>
      </c>
      <c r="EE100" t="e">
        <f>AND(Bills!#REF!,"AAAAAD/064Y=")</f>
        <v>#REF!</v>
      </c>
      <c r="EF100" t="e">
        <f>AND(Bills!#REF!,"AAAAAD/064c=")</f>
        <v>#REF!</v>
      </c>
      <c r="EG100" t="e">
        <f>AND(Bills!Y270,"AAAAAD/064g=")</f>
        <v>#VALUE!</v>
      </c>
      <c r="EH100" t="e">
        <f>AND(Bills!Z270,"AAAAAD/064k=")</f>
        <v>#VALUE!</v>
      </c>
      <c r="EI100" t="e">
        <f>AND(Bills!#REF!,"AAAAAD/064o=")</f>
        <v>#REF!</v>
      </c>
      <c r="EJ100" t="e">
        <f>AND(Bills!#REF!,"AAAAAD/064s=")</f>
        <v>#REF!</v>
      </c>
      <c r="EK100" t="e">
        <f>AND(Bills!#REF!,"AAAAAD/064w=")</f>
        <v>#REF!</v>
      </c>
      <c r="EL100" t="e">
        <f>AND(Bills!AA270,"AAAAAD/0640=")</f>
        <v>#VALUE!</v>
      </c>
      <c r="EM100" t="e">
        <f>AND(Bills!AB270,"AAAAAD/0644=")</f>
        <v>#VALUE!</v>
      </c>
      <c r="EN100" t="e">
        <f>AND(Bills!#REF!,"AAAAAD/0648=")</f>
        <v>#REF!</v>
      </c>
      <c r="EO100">
        <f>IF(Bills!271:271,"AAAAAD/065A=",0)</f>
        <v>0</v>
      </c>
      <c r="EP100" t="e">
        <f>AND(Bills!B271,"AAAAAD/065E=")</f>
        <v>#VALUE!</v>
      </c>
      <c r="EQ100" t="e">
        <f>AND(Bills!#REF!,"AAAAAD/065I=")</f>
        <v>#REF!</v>
      </c>
      <c r="ER100" t="e">
        <f>AND(Bills!C271,"AAAAAD/065M=")</f>
        <v>#VALUE!</v>
      </c>
      <c r="ES100" t="e">
        <f>AND(Bills!#REF!,"AAAAAD/065Q=")</f>
        <v>#REF!</v>
      </c>
      <c r="ET100" t="e">
        <f>AND(Bills!#REF!,"AAAAAD/065U=")</f>
        <v>#REF!</v>
      </c>
      <c r="EU100" t="e">
        <f>AND(Bills!#REF!,"AAAAAD/065Y=")</f>
        <v>#REF!</v>
      </c>
      <c r="EV100" t="e">
        <f>AND(Bills!#REF!,"AAAAAD/065c=")</f>
        <v>#REF!</v>
      </c>
      <c r="EW100" t="e">
        <f>AND(Bills!#REF!,"AAAAAD/065g=")</f>
        <v>#REF!</v>
      </c>
      <c r="EX100" t="e">
        <f>AND(Bills!D271,"AAAAAD/065k=")</f>
        <v>#VALUE!</v>
      </c>
      <c r="EY100" t="e">
        <f>AND(Bills!#REF!,"AAAAAD/065o=")</f>
        <v>#REF!</v>
      </c>
      <c r="EZ100" t="e">
        <f>AND(Bills!E271,"AAAAAD/065s=")</f>
        <v>#VALUE!</v>
      </c>
      <c r="FA100" t="e">
        <f>AND(Bills!F271,"AAAAAD/065w=")</f>
        <v>#VALUE!</v>
      </c>
      <c r="FB100" t="e">
        <f>AND(Bills!G271,"AAAAAD/0650=")</f>
        <v>#VALUE!</v>
      </c>
      <c r="FC100" t="e">
        <f>AND(Bills!H271,"AAAAAD/0654=")</f>
        <v>#VALUE!</v>
      </c>
      <c r="FD100" t="e">
        <f>AND(Bills!I271,"AAAAAD/0658=")</f>
        <v>#VALUE!</v>
      </c>
      <c r="FE100" t="e">
        <f>AND(Bills!J271,"AAAAAD/066A=")</f>
        <v>#VALUE!</v>
      </c>
      <c r="FF100" t="e">
        <f>AND(Bills!#REF!,"AAAAAD/066E=")</f>
        <v>#REF!</v>
      </c>
      <c r="FG100" t="e">
        <f>AND(Bills!K271,"AAAAAD/066I=")</f>
        <v>#VALUE!</v>
      </c>
      <c r="FH100" t="e">
        <f>AND(Bills!L271,"AAAAAD/066M=")</f>
        <v>#VALUE!</v>
      </c>
      <c r="FI100" t="e">
        <f>AND(Bills!M271,"AAAAAD/066Q=")</f>
        <v>#VALUE!</v>
      </c>
      <c r="FJ100" t="e">
        <f>AND(Bills!N271,"AAAAAD/066U=")</f>
        <v>#VALUE!</v>
      </c>
      <c r="FK100" t="e">
        <f>AND(Bills!O271,"AAAAAD/066Y=")</f>
        <v>#VALUE!</v>
      </c>
      <c r="FL100" t="e">
        <f>AND(Bills!P271,"AAAAAD/066c=")</f>
        <v>#VALUE!</v>
      </c>
      <c r="FM100" t="e">
        <f>AND(Bills!Q271,"AAAAAD/066g=")</f>
        <v>#VALUE!</v>
      </c>
      <c r="FN100" t="e">
        <f>AND(Bills!R271,"AAAAAD/066k=")</f>
        <v>#VALUE!</v>
      </c>
      <c r="FO100" t="e">
        <f>AND(Bills!#REF!,"AAAAAD/066o=")</f>
        <v>#REF!</v>
      </c>
      <c r="FP100" t="e">
        <f>AND(Bills!S271,"AAAAAD/066s=")</f>
        <v>#VALUE!</v>
      </c>
      <c r="FQ100" t="e">
        <f>AND(Bills!T271,"AAAAAD/066w=")</f>
        <v>#VALUE!</v>
      </c>
      <c r="FR100" t="e">
        <f>AND(Bills!U271,"AAAAAD/0660=")</f>
        <v>#VALUE!</v>
      </c>
      <c r="FS100" t="e">
        <f>AND(Bills!#REF!,"AAAAAD/0664=")</f>
        <v>#REF!</v>
      </c>
      <c r="FT100" t="e">
        <f>AND(Bills!#REF!,"AAAAAD/0668=")</f>
        <v>#REF!</v>
      </c>
      <c r="FU100" t="e">
        <f>AND(Bills!W271,"AAAAAD/067A=")</f>
        <v>#VALUE!</v>
      </c>
      <c r="FV100" t="e">
        <f>AND(Bills!X271,"AAAAAD/067E=")</f>
        <v>#VALUE!</v>
      </c>
      <c r="FW100" t="e">
        <f>AND(Bills!#REF!,"AAAAAD/067I=")</f>
        <v>#REF!</v>
      </c>
      <c r="FX100" t="e">
        <f>AND(Bills!#REF!,"AAAAAD/067M=")</f>
        <v>#REF!</v>
      </c>
      <c r="FY100" t="e">
        <f>AND(Bills!#REF!,"AAAAAD/067Q=")</f>
        <v>#REF!</v>
      </c>
      <c r="FZ100" t="e">
        <f>AND(Bills!#REF!,"AAAAAD/067U=")</f>
        <v>#REF!</v>
      </c>
      <c r="GA100" t="e">
        <f>AND(Bills!#REF!,"AAAAAD/067Y=")</f>
        <v>#REF!</v>
      </c>
      <c r="GB100" t="e">
        <f>AND(Bills!#REF!,"AAAAAD/067c=")</f>
        <v>#REF!</v>
      </c>
      <c r="GC100" t="e">
        <f>AND(Bills!#REF!,"AAAAAD/067g=")</f>
        <v>#REF!</v>
      </c>
      <c r="GD100" t="e">
        <f>AND(Bills!#REF!,"AAAAAD/067k=")</f>
        <v>#REF!</v>
      </c>
      <c r="GE100" t="e">
        <f>AND(Bills!#REF!,"AAAAAD/067o=")</f>
        <v>#REF!</v>
      </c>
      <c r="GF100" t="e">
        <f>AND(Bills!Y271,"AAAAAD/067s=")</f>
        <v>#VALUE!</v>
      </c>
      <c r="GG100" t="e">
        <f>AND(Bills!Z271,"AAAAAD/067w=")</f>
        <v>#VALUE!</v>
      </c>
      <c r="GH100" t="e">
        <f>AND(Bills!#REF!,"AAAAAD/0670=")</f>
        <v>#REF!</v>
      </c>
      <c r="GI100" t="e">
        <f>AND(Bills!#REF!,"AAAAAD/0674=")</f>
        <v>#REF!</v>
      </c>
      <c r="GJ100" t="e">
        <f>AND(Bills!#REF!,"AAAAAD/0678=")</f>
        <v>#REF!</v>
      </c>
      <c r="GK100" t="e">
        <f>AND(Bills!AA271,"AAAAAD/068A=")</f>
        <v>#VALUE!</v>
      </c>
      <c r="GL100" t="e">
        <f>AND(Bills!AB271,"AAAAAD/068E=")</f>
        <v>#VALUE!</v>
      </c>
      <c r="GM100" t="e">
        <f>AND(Bills!#REF!,"AAAAAD/068I=")</f>
        <v>#REF!</v>
      </c>
      <c r="GN100">
        <f>IF(Bills!272:272,"AAAAAD/068M=",0)</f>
        <v>0</v>
      </c>
      <c r="GO100" t="e">
        <f>AND(Bills!B272,"AAAAAD/068Q=")</f>
        <v>#VALUE!</v>
      </c>
      <c r="GP100" t="e">
        <f>AND(Bills!#REF!,"AAAAAD/068U=")</f>
        <v>#REF!</v>
      </c>
      <c r="GQ100" t="e">
        <f>AND(Bills!C272,"AAAAAD/068Y=")</f>
        <v>#VALUE!</v>
      </c>
      <c r="GR100" t="e">
        <f>AND(Bills!#REF!,"AAAAAD/068c=")</f>
        <v>#REF!</v>
      </c>
      <c r="GS100" t="e">
        <f>AND(Bills!#REF!,"AAAAAD/068g=")</f>
        <v>#REF!</v>
      </c>
      <c r="GT100" t="e">
        <f>AND(Bills!#REF!,"AAAAAD/068k=")</f>
        <v>#REF!</v>
      </c>
      <c r="GU100" t="e">
        <f>AND(Bills!#REF!,"AAAAAD/068o=")</f>
        <v>#REF!</v>
      </c>
      <c r="GV100" t="e">
        <f>AND(Bills!#REF!,"AAAAAD/068s=")</f>
        <v>#REF!</v>
      </c>
      <c r="GW100" t="e">
        <f>AND(Bills!D272,"AAAAAD/068w=")</f>
        <v>#VALUE!</v>
      </c>
      <c r="GX100" t="e">
        <f>AND(Bills!#REF!,"AAAAAD/0680=")</f>
        <v>#REF!</v>
      </c>
      <c r="GY100" t="e">
        <f>AND(Bills!E272,"AAAAAD/0684=")</f>
        <v>#VALUE!</v>
      </c>
      <c r="GZ100" t="e">
        <f>AND(Bills!F272,"AAAAAD/0688=")</f>
        <v>#VALUE!</v>
      </c>
      <c r="HA100" t="e">
        <f>AND(Bills!G272,"AAAAAD/069A=")</f>
        <v>#VALUE!</v>
      </c>
      <c r="HB100" t="e">
        <f>AND(Bills!H272,"AAAAAD/069E=")</f>
        <v>#VALUE!</v>
      </c>
      <c r="HC100" t="e">
        <f>AND(Bills!I272,"AAAAAD/069I=")</f>
        <v>#VALUE!</v>
      </c>
      <c r="HD100" t="e">
        <f>AND(Bills!J272,"AAAAAD/069M=")</f>
        <v>#VALUE!</v>
      </c>
      <c r="HE100" t="e">
        <f>AND(Bills!#REF!,"AAAAAD/069Q=")</f>
        <v>#REF!</v>
      </c>
      <c r="HF100" t="e">
        <f>AND(Bills!K272,"AAAAAD/069U=")</f>
        <v>#VALUE!</v>
      </c>
      <c r="HG100" t="e">
        <f>AND(Bills!L272,"AAAAAD/069Y=")</f>
        <v>#VALUE!</v>
      </c>
      <c r="HH100" t="e">
        <f>AND(Bills!M272,"AAAAAD/069c=")</f>
        <v>#VALUE!</v>
      </c>
      <c r="HI100" t="e">
        <f>AND(Bills!N272,"AAAAAD/069g=")</f>
        <v>#VALUE!</v>
      </c>
      <c r="HJ100" t="e">
        <f>AND(Bills!O272,"AAAAAD/069k=")</f>
        <v>#VALUE!</v>
      </c>
      <c r="HK100" t="e">
        <f>AND(Bills!P272,"AAAAAD/069o=")</f>
        <v>#VALUE!</v>
      </c>
      <c r="HL100" t="e">
        <f>AND(Bills!Q272,"AAAAAD/069s=")</f>
        <v>#VALUE!</v>
      </c>
      <c r="HM100" t="e">
        <f>AND(Bills!R272,"AAAAAD/069w=")</f>
        <v>#VALUE!</v>
      </c>
      <c r="HN100" t="e">
        <f>AND(Bills!#REF!,"AAAAAD/0690=")</f>
        <v>#REF!</v>
      </c>
      <c r="HO100" t="e">
        <f>AND(Bills!S272,"AAAAAD/0694=")</f>
        <v>#VALUE!</v>
      </c>
      <c r="HP100" t="e">
        <f>AND(Bills!T272,"AAAAAD/0698=")</f>
        <v>#VALUE!</v>
      </c>
      <c r="HQ100" t="e">
        <f>AND(Bills!U272,"AAAAAD/06+A=")</f>
        <v>#VALUE!</v>
      </c>
      <c r="HR100" t="e">
        <f>AND(Bills!#REF!,"AAAAAD/06+E=")</f>
        <v>#REF!</v>
      </c>
      <c r="HS100" t="e">
        <f>AND(Bills!#REF!,"AAAAAD/06+I=")</f>
        <v>#REF!</v>
      </c>
      <c r="HT100" t="e">
        <f>AND(Bills!W272,"AAAAAD/06+M=")</f>
        <v>#VALUE!</v>
      </c>
      <c r="HU100" t="e">
        <f>AND(Bills!X272,"AAAAAD/06+Q=")</f>
        <v>#VALUE!</v>
      </c>
      <c r="HV100" t="e">
        <f>AND(Bills!#REF!,"AAAAAD/06+U=")</f>
        <v>#REF!</v>
      </c>
      <c r="HW100" t="e">
        <f>AND(Bills!#REF!,"AAAAAD/06+Y=")</f>
        <v>#REF!</v>
      </c>
      <c r="HX100" t="e">
        <f>AND(Bills!#REF!,"AAAAAD/06+c=")</f>
        <v>#REF!</v>
      </c>
      <c r="HY100" t="e">
        <f>AND(Bills!#REF!,"AAAAAD/06+g=")</f>
        <v>#REF!</v>
      </c>
      <c r="HZ100" t="e">
        <f>AND(Bills!#REF!,"AAAAAD/06+k=")</f>
        <v>#REF!</v>
      </c>
      <c r="IA100" t="e">
        <f>AND(Bills!#REF!,"AAAAAD/06+o=")</f>
        <v>#REF!</v>
      </c>
      <c r="IB100" t="e">
        <f>AND(Bills!#REF!,"AAAAAD/06+s=")</f>
        <v>#REF!</v>
      </c>
      <c r="IC100" t="e">
        <f>AND(Bills!#REF!,"AAAAAD/06+w=")</f>
        <v>#REF!</v>
      </c>
      <c r="ID100" t="e">
        <f>AND(Bills!#REF!,"AAAAAD/06+0=")</f>
        <v>#REF!</v>
      </c>
      <c r="IE100" t="e">
        <f>AND(Bills!Y272,"AAAAAD/06+4=")</f>
        <v>#VALUE!</v>
      </c>
      <c r="IF100" t="e">
        <f>AND(Bills!Z272,"AAAAAD/06+8=")</f>
        <v>#VALUE!</v>
      </c>
      <c r="IG100" t="e">
        <f>AND(Bills!#REF!,"AAAAAD/06/A=")</f>
        <v>#REF!</v>
      </c>
      <c r="IH100" t="e">
        <f>AND(Bills!#REF!,"AAAAAD/06/E=")</f>
        <v>#REF!</v>
      </c>
      <c r="II100" t="e">
        <f>AND(Bills!#REF!,"AAAAAD/06/I=")</f>
        <v>#REF!</v>
      </c>
      <c r="IJ100" t="e">
        <f>AND(Bills!AA272,"AAAAAD/06/M=")</f>
        <v>#VALUE!</v>
      </c>
      <c r="IK100" t="e">
        <f>AND(Bills!AB272,"AAAAAD/06/Q=")</f>
        <v>#VALUE!</v>
      </c>
      <c r="IL100" t="e">
        <f>AND(Bills!#REF!,"AAAAAD/06/U=")</f>
        <v>#REF!</v>
      </c>
      <c r="IM100">
        <f>IF(Bills!273:273,"AAAAAD/06/Y=",0)</f>
        <v>0</v>
      </c>
      <c r="IN100" t="e">
        <f>AND(Bills!B273,"AAAAAD/06/c=")</f>
        <v>#VALUE!</v>
      </c>
      <c r="IO100" t="e">
        <f>AND(Bills!#REF!,"AAAAAD/06/g=")</f>
        <v>#REF!</v>
      </c>
      <c r="IP100" t="e">
        <f>AND(Bills!C273,"AAAAAD/06/k=")</f>
        <v>#VALUE!</v>
      </c>
      <c r="IQ100" t="e">
        <f>AND(Bills!#REF!,"AAAAAD/06/o=")</f>
        <v>#REF!</v>
      </c>
      <c r="IR100" t="e">
        <f>AND(Bills!#REF!,"AAAAAD/06/s=")</f>
        <v>#REF!</v>
      </c>
      <c r="IS100" t="e">
        <f>AND(Bills!#REF!,"AAAAAD/06/w=")</f>
        <v>#REF!</v>
      </c>
      <c r="IT100" t="e">
        <f>AND(Bills!#REF!,"AAAAAD/06/0=")</f>
        <v>#REF!</v>
      </c>
      <c r="IU100" t="e">
        <f>AND(Bills!#REF!,"AAAAAD/06/4=")</f>
        <v>#REF!</v>
      </c>
      <c r="IV100" t="e">
        <f>AND(Bills!D273,"AAAAAD/06/8=")</f>
        <v>#VALUE!</v>
      </c>
    </row>
    <row r="101" spans="1:256">
      <c r="A101" t="e">
        <f>AND(Bills!#REF!,"AAAAAHbv/AA=")</f>
        <v>#REF!</v>
      </c>
      <c r="B101" t="e">
        <f>AND(Bills!E273,"AAAAAHbv/AE=")</f>
        <v>#VALUE!</v>
      </c>
      <c r="C101" t="e">
        <f>AND(Bills!F273,"AAAAAHbv/AI=")</f>
        <v>#VALUE!</v>
      </c>
      <c r="D101" t="e">
        <f>AND(Bills!G273,"AAAAAHbv/AM=")</f>
        <v>#VALUE!</v>
      </c>
      <c r="E101" t="e">
        <f>AND(Bills!H273,"AAAAAHbv/AQ=")</f>
        <v>#VALUE!</v>
      </c>
      <c r="F101" t="e">
        <f>AND(Bills!I273,"AAAAAHbv/AU=")</f>
        <v>#VALUE!</v>
      </c>
      <c r="G101" t="e">
        <f>AND(Bills!J273,"AAAAAHbv/AY=")</f>
        <v>#VALUE!</v>
      </c>
      <c r="H101" t="e">
        <f>AND(Bills!#REF!,"AAAAAHbv/Ac=")</f>
        <v>#REF!</v>
      </c>
      <c r="I101" t="e">
        <f>AND(Bills!K273,"AAAAAHbv/Ag=")</f>
        <v>#VALUE!</v>
      </c>
      <c r="J101" t="e">
        <f>AND(Bills!L273,"AAAAAHbv/Ak=")</f>
        <v>#VALUE!</v>
      </c>
      <c r="K101" t="e">
        <f>AND(Bills!M273,"AAAAAHbv/Ao=")</f>
        <v>#VALUE!</v>
      </c>
      <c r="L101" t="e">
        <f>AND(Bills!N273,"AAAAAHbv/As=")</f>
        <v>#VALUE!</v>
      </c>
      <c r="M101" t="e">
        <f>AND(Bills!O273,"AAAAAHbv/Aw=")</f>
        <v>#VALUE!</v>
      </c>
      <c r="N101" t="e">
        <f>AND(Bills!P273,"AAAAAHbv/A0=")</f>
        <v>#VALUE!</v>
      </c>
      <c r="O101" t="e">
        <f>AND(Bills!Q273,"AAAAAHbv/A4=")</f>
        <v>#VALUE!</v>
      </c>
      <c r="P101" t="e">
        <f>AND(Bills!R273,"AAAAAHbv/A8=")</f>
        <v>#VALUE!</v>
      </c>
      <c r="Q101" t="e">
        <f>AND(Bills!#REF!,"AAAAAHbv/BA=")</f>
        <v>#REF!</v>
      </c>
      <c r="R101" t="e">
        <f>AND(Bills!S273,"AAAAAHbv/BE=")</f>
        <v>#VALUE!</v>
      </c>
      <c r="S101" t="e">
        <f>AND(Bills!T273,"AAAAAHbv/BI=")</f>
        <v>#VALUE!</v>
      </c>
      <c r="T101" t="e">
        <f>AND(Bills!U273,"AAAAAHbv/BM=")</f>
        <v>#VALUE!</v>
      </c>
      <c r="U101" t="e">
        <f>AND(Bills!#REF!,"AAAAAHbv/BQ=")</f>
        <v>#REF!</v>
      </c>
      <c r="V101" t="e">
        <f>AND(Bills!#REF!,"AAAAAHbv/BU=")</f>
        <v>#REF!</v>
      </c>
      <c r="W101" t="e">
        <f>AND(Bills!W273,"AAAAAHbv/BY=")</f>
        <v>#VALUE!</v>
      </c>
      <c r="X101" t="e">
        <f>AND(Bills!X273,"AAAAAHbv/Bc=")</f>
        <v>#VALUE!</v>
      </c>
      <c r="Y101" t="e">
        <f>AND(Bills!#REF!,"AAAAAHbv/Bg=")</f>
        <v>#REF!</v>
      </c>
      <c r="Z101" t="e">
        <f>AND(Bills!#REF!,"AAAAAHbv/Bk=")</f>
        <v>#REF!</v>
      </c>
      <c r="AA101" t="e">
        <f>AND(Bills!#REF!,"AAAAAHbv/Bo=")</f>
        <v>#REF!</v>
      </c>
      <c r="AB101" t="e">
        <f>AND(Bills!#REF!,"AAAAAHbv/Bs=")</f>
        <v>#REF!</v>
      </c>
      <c r="AC101" t="e">
        <f>AND(Bills!#REF!,"AAAAAHbv/Bw=")</f>
        <v>#REF!</v>
      </c>
      <c r="AD101" t="e">
        <f>AND(Bills!#REF!,"AAAAAHbv/B0=")</f>
        <v>#REF!</v>
      </c>
      <c r="AE101" t="e">
        <f>AND(Bills!#REF!,"AAAAAHbv/B4=")</f>
        <v>#REF!</v>
      </c>
      <c r="AF101" t="e">
        <f>AND(Bills!#REF!,"AAAAAHbv/B8=")</f>
        <v>#REF!</v>
      </c>
      <c r="AG101" t="e">
        <f>AND(Bills!#REF!,"AAAAAHbv/CA=")</f>
        <v>#REF!</v>
      </c>
      <c r="AH101" t="e">
        <f>AND(Bills!Y273,"AAAAAHbv/CE=")</f>
        <v>#VALUE!</v>
      </c>
      <c r="AI101" t="e">
        <f>AND(Bills!Z273,"AAAAAHbv/CI=")</f>
        <v>#VALUE!</v>
      </c>
      <c r="AJ101" t="e">
        <f>AND(Bills!#REF!,"AAAAAHbv/CM=")</f>
        <v>#REF!</v>
      </c>
      <c r="AK101" t="e">
        <f>AND(Bills!#REF!,"AAAAAHbv/CQ=")</f>
        <v>#REF!</v>
      </c>
      <c r="AL101" t="e">
        <f>AND(Bills!#REF!,"AAAAAHbv/CU=")</f>
        <v>#REF!</v>
      </c>
      <c r="AM101" t="e">
        <f>AND(Bills!AA273,"AAAAAHbv/CY=")</f>
        <v>#VALUE!</v>
      </c>
      <c r="AN101" t="e">
        <f>AND(Bills!AB273,"AAAAAHbv/Cc=")</f>
        <v>#VALUE!</v>
      </c>
      <c r="AO101" t="e">
        <f>AND(Bills!#REF!,"AAAAAHbv/Cg=")</f>
        <v>#REF!</v>
      </c>
      <c r="AP101">
        <f>IF(Bills!274:274,"AAAAAHbv/Ck=",0)</f>
        <v>0</v>
      </c>
      <c r="AQ101" t="e">
        <f>AND(Bills!B274,"AAAAAHbv/Co=")</f>
        <v>#VALUE!</v>
      </c>
      <c r="AR101" t="e">
        <f>AND(Bills!#REF!,"AAAAAHbv/Cs=")</f>
        <v>#REF!</v>
      </c>
      <c r="AS101" t="e">
        <f>AND(Bills!C274,"AAAAAHbv/Cw=")</f>
        <v>#VALUE!</v>
      </c>
      <c r="AT101" t="e">
        <f>AND(Bills!#REF!,"AAAAAHbv/C0=")</f>
        <v>#REF!</v>
      </c>
      <c r="AU101" t="e">
        <f>AND(Bills!#REF!,"AAAAAHbv/C4=")</f>
        <v>#REF!</v>
      </c>
      <c r="AV101" t="e">
        <f>AND(Bills!#REF!,"AAAAAHbv/C8=")</f>
        <v>#REF!</v>
      </c>
      <c r="AW101" t="e">
        <f>AND(Bills!#REF!,"AAAAAHbv/DA=")</f>
        <v>#REF!</v>
      </c>
      <c r="AX101" t="e">
        <f>AND(Bills!#REF!,"AAAAAHbv/DE=")</f>
        <v>#REF!</v>
      </c>
      <c r="AY101" t="e">
        <f>AND(Bills!D274,"AAAAAHbv/DI=")</f>
        <v>#VALUE!</v>
      </c>
      <c r="AZ101" t="e">
        <f>AND(Bills!#REF!,"AAAAAHbv/DM=")</f>
        <v>#REF!</v>
      </c>
      <c r="BA101" t="e">
        <f>AND(Bills!E274,"AAAAAHbv/DQ=")</f>
        <v>#VALUE!</v>
      </c>
      <c r="BB101" t="e">
        <f>AND(Bills!F274,"AAAAAHbv/DU=")</f>
        <v>#VALUE!</v>
      </c>
      <c r="BC101" t="e">
        <f>AND(Bills!G274,"AAAAAHbv/DY=")</f>
        <v>#VALUE!</v>
      </c>
      <c r="BD101" t="e">
        <f>AND(Bills!H274,"AAAAAHbv/Dc=")</f>
        <v>#VALUE!</v>
      </c>
      <c r="BE101" t="e">
        <f>AND(Bills!I274,"AAAAAHbv/Dg=")</f>
        <v>#VALUE!</v>
      </c>
      <c r="BF101" t="e">
        <f>AND(Bills!J274,"AAAAAHbv/Dk=")</f>
        <v>#VALUE!</v>
      </c>
      <c r="BG101" t="e">
        <f>AND(Bills!#REF!,"AAAAAHbv/Do=")</f>
        <v>#REF!</v>
      </c>
      <c r="BH101" t="e">
        <f>AND(Bills!K274,"AAAAAHbv/Ds=")</f>
        <v>#VALUE!</v>
      </c>
      <c r="BI101" t="e">
        <f>AND(Bills!L274,"AAAAAHbv/Dw=")</f>
        <v>#VALUE!</v>
      </c>
      <c r="BJ101" t="e">
        <f>AND(Bills!M274,"AAAAAHbv/D0=")</f>
        <v>#VALUE!</v>
      </c>
      <c r="BK101" t="e">
        <f>AND(Bills!N274,"AAAAAHbv/D4=")</f>
        <v>#VALUE!</v>
      </c>
      <c r="BL101" t="e">
        <f>AND(Bills!O274,"AAAAAHbv/D8=")</f>
        <v>#VALUE!</v>
      </c>
      <c r="BM101" t="e">
        <f>AND(Bills!P274,"AAAAAHbv/EA=")</f>
        <v>#VALUE!</v>
      </c>
      <c r="BN101" t="e">
        <f>AND(Bills!Q274,"AAAAAHbv/EE=")</f>
        <v>#VALUE!</v>
      </c>
      <c r="BO101" t="e">
        <f>AND(Bills!R274,"AAAAAHbv/EI=")</f>
        <v>#VALUE!</v>
      </c>
      <c r="BP101" t="e">
        <f>AND(Bills!#REF!,"AAAAAHbv/EM=")</f>
        <v>#REF!</v>
      </c>
      <c r="BQ101" t="e">
        <f>AND(Bills!S274,"AAAAAHbv/EQ=")</f>
        <v>#VALUE!</v>
      </c>
      <c r="BR101" t="e">
        <f>AND(Bills!T274,"AAAAAHbv/EU=")</f>
        <v>#VALUE!</v>
      </c>
      <c r="BS101" t="e">
        <f>AND(Bills!U274,"AAAAAHbv/EY=")</f>
        <v>#VALUE!</v>
      </c>
      <c r="BT101" t="e">
        <f>AND(Bills!#REF!,"AAAAAHbv/Ec=")</f>
        <v>#REF!</v>
      </c>
      <c r="BU101" t="e">
        <f>AND(Bills!#REF!,"AAAAAHbv/Eg=")</f>
        <v>#REF!</v>
      </c>
      <c r="BV101" t="e">
        <f>AND(Bills!W274,"AAAAAHbv/Ek=")</f>
        <v>#VALUE!</v>
      </c>
      <c r="BW101" t="e">
        <f>AND(Bills!X274,"AAAAAHbv/Eo=")</f>
        <v>#VALUE!</v>
      </c>
      <c r="BX101" t="e">
        <f>AND(Bills!#REF!,"AAAAAHbv/Es=")</f>
        <v>#REF!</v>
      </c>
      <c r="BY101" t="e">
        <f>AND(Bills!#REF!,"AAAAAHbv/Ew=")</f>
        <v>#REF!</v>
      </c>
      <c r="BZ101" t="e">
        <f>AND(Bills!#REF!,"AAAAAHbv/E0=")</f>
        <v>#REF!</v>
      </c>
      <c r="CA101" t="e">
        <f>AND(Bills!#REF!,"AAAAAHbv/E4=")</f>
        <v>#REF!</v>
      </c>
      <c r="CB101" t="e">
        <f>AND(Bills!#REF!,"AAAAAHbv/E8=")</f>
        <v>#REF!</v>
      </c>
      <c r="CC101" t="e">
        <f>AND(Bills!#REF!,"AAAAAHbv/FA=")</f>
        <v>#REF!</v>
      </c>
      <c r="CD101" t="e">
        <f>AND(Bills!#REF!,"AAAAAHbv/FE=")</f>
        <v>#REF!</v>
      </c>
      <c r="CE101" t="e">
        <f>AND(Bills!#REF!,"AAAAAHbv/FI=")</f>
        <v>#REF!</v>
      </c>
      <c r="CF101" t="e">
        <f>AND(Bills!#REF!,"AAAAAHbv/FM=")</f>
        <v>#REF!</v>
      </c>
      <c r="CG101" t="e">
        <f>AND(Bills!Y274,"AAAAAHbv/FQ=")</f>
        <v>#VALUE!</v>
      </c>
      <c r="CH101" t="e">
        <f>AND(Bills!Z274,"AAAAAHbv/FU=")</f>
        <v>#VALUE!</v>
      </c>
      <c r="CI101" t="e">
        <f>AND(Bills!#REF!,"AAAAAHbv/FY=")</f>
        <v>#REF!</v>
      </c>
      <c r="CJ101" t="e">
        <f>AND(Bills!#REF!,"AAAAAHbv/Fc=")</f>
        <v>#REF!</v>
      </c>
      <c r="CK101" t="e">
        <f>AND(Bills!#REF!,"AAAAAHbv/Fg=")</f>
        <v>#REF!</v>
      </c>
      <c r="CL101" t="e">
        <f>AND(Bills!AA274,"AAAAAHbv/Fk=")</f>
        <v>#VALUE!</v>
      </c>
      <c r="CM101" t="e">
        <f>AND(Bills!AB274,"AAAAAHbv/Fo=")</f>
        <v>#VALUE!</v>
      </c>
      <c r="CN101" t="e">
        <f>AND(Bills!#REF!,"AAAAAHbv/Fs=")</f>
        <v>#REF!</v>
      </c>
      <c r="CO101">
        <f>IF(Bills!275:275,"AAAAAHbv/Fw=",0)</f>
        <v>0</v>
      </c>
      <c r="CP101" t="e">
        <f>AND(Bills!B275,"AAAAAHbv/F0=")</f>
        <v>#VALUE!</v>
      </c>
      <c r="CQ101" t="e">
        <f>AND(Bills!#REF!,"AAAAAHbv/F4=")</f>
        <v>#REF!</v>
      </c>
      <c r="CR101" t="e">
        <f>AND(Bills!C275,"AAAAAHbv/F8=")</f>
        <v>#VALUE!</v>
      </c>
      <c r="CS101" t="e">
        <f>AND(Bills!#REF!,"AAAAAHbv/GA=")</f>
        <v>#REF!</v>
      </c>
      <c r="CT101" t="e">
        <f>AND(Bills!#REF!,"AAAAAHbv/GE=")</f>
        <v>#REF!</v>
      </c>
      <c r="CU101" t="e">
        <f>AND(Bills!#REF!,"AAAAAHbv/GI=")</f>
        <v>#REF!</v>
      </c>
      <c r="CV101" t="e">
        <f>AND(Bills!#REF!,"AAAAAHbv/GM=")</f>
        <v>#REF!</v>
      </c>
      <c r="CW101" t="e">
        <f>AND(Bills!#REF!,"AAAAAHbv/GQ=")</f>
        <v>#REF!</v>
      </c>
      <c r="CX101" t="e">
        <f>AND(Bills!D275,"AAAAAHbv/GU=")</f>
        <v>#VALUE!</v>
      </c>
      <c r="CY101" t="e">
        <f>AND(Bills!#REF!,"AAAAAHbv/GY=")</f>
        <v>#REF!</v>
      </c>
      <c r="CZ101" t="e">
        <f>AND(Bills!E275,"AAAAAHbv/Gc=")</f>
        <v>#VALUE!</v>
      </c>
      <c r="DA101" t="e">
        <f>AND(Bills!F275,"AAAAAHbv/Gg=")</f>
        <v>#VALUE!</v>
      </c>
      <c r="DB101" t="e">
        <f>AND(Bills!G275,"AAAAAHbv/Gk=")</f>
        <v>#VALUE!</v>
      </c>
      <c r="DC101" t="e">
        <f>AND(Bills!H275,"AAAAAHbv/Go=")</f>
        <v>#VALUE!</v>
      </c>
      <c r="DD101" t="e">
        <f>AND(Bills!I275,"AAAAAHbv/Gs=")</f>
        <v>#VALUE!</v>
      </c>
      <c r="DE101" t="e">
        <f>AND(Bills!J275,"AAAAAHbv/Gw=")</f>
        <v>#VALUE!</v>
      </c>
      <c r="DF101" t="e">
        <f>AND(Bills!#REF!,"AAAAAHbv/G0=")</f>
        <v>#REF!</v>
      </c>
      <c r="DG101" t="e">
        <f>AND(Bills!K275,"AAAAAHbv/G4=")</f>
        <v>#VALUE!</v>
      </c>
      <c r="DH101" t="e">
        <f>AND(Bills!L275,"AAAAAHbv/G8=")</f>
        <v>#VALUE!</v>
      </c>
      <c r="DI101" t="e">
        <f>AND(Bills!M275,"AAAAAHbv/HA=")</f>
        <v>#VALUE!</v>
      </c>
      <c r="DJ101" t="e">
        <f>AND(Bills!N275,"AAAAAHbv/HE=")</f>
        <v>#VALUE!</v>
      </c>
      <c r="DK101" t="e">
        <f>AND(Bills!O275,"AAAAAHbv/HI=")</f>
        <v>#VALUE!</v>
      </c>
      <c r="DL101" t="e">
        <f>AND(Bills!P275,"AAAAAHbv/HM=")</f>
        <v>#VALUE!</v>
      </c>
      <c r="DM101" t="e">
        <f>AND(Bills!Q275,"AAAAAHbv/HQ=")</f>
        <v>#VALUE!</v>
      </c>
      <c r="DN101" t="e">
        <f>AND(Bills!R275,"AAAAAHbv/HU=")</f>
        <v>#VALUE!</v>
      </c>
      <c r="DO101" t="e">
        <f>AND(Bills!#REF!,"AAAAAHbv/HY=")</f>
        <v>#REF!</v>
      </c>
      <c r="DP101" t="e">
        <f>AND(Bills!S275,"AAAAAHbv/Hc=")</f>
        <v>#VALUE!</v>
      </c>
      <c r="DQ101" t="e">
        <f>AND(Bills!T275,"AAAAAHbv/Hg=")</f>
        <v>#VALUE!</v>
      </c>
      <c r="DR101" t="e">
        <f>AND(Bills!U275,"AAAAAHbv/Hk=")</f>
        <v>#VALUE!</v>
      </c>
      <c r="DS101" t="e">
        <f>AND(Bills!#REF!,"AAAAAHbv/Ho=")</f>
        <v>#REF!</v>
      </c>
      <c r="DT101" t="e">
        <f>AND(Bills!#REF!,"AAAAAHbv/Hs=")</f>
        <v>#REF!</v>
      </c>
      <c r="DU101" t="e">
        <f>AND(Bills!W275,"AAAAAHbv/Hw=")</f>
        <v>#VALUE!</v>
      </c>
      <c r="DV101" t="e">
        <f>AND(Bills!X275,"AAAAAHbv/H0=")</f>
        <v>#VALUE!</v>
      </c>
      <c r="DW101" t="e">
        <f>AND(Bills!#REF!,"AAAAAHbv/H4=")</f>
        <v>#REF!</v>
      </c>
      <c r="DX101" t="e">
        <f>AND(Bills!#REF!,"AAAAAHbv/H8=")</f>
        <v>#REF!</v>
      </c>
      <c r="DY101" t="e">
        <f>AND(Bills!#REF!,"AAAAAHbv/IA=")</f>
        <v>#REF!</v>
      </c>
      <c r="DZ101" t="e">
        <f>AND(Bills!#REF!,"AAAAAHbv/IE=")</f>
        <v>#REF!</v>
      </c>
      <c r="EA101" t="e">
        <f>AND(Bills!#REF!,"AAAAAHbv/II=")</f>
        <v>#REF!</v>
      </c>
      <c r="EB101" t="e">
        <f>AND(Bills!#REF!,"AAAAAHbv/IM=")</f>
        <v>#REF!</v>
      </c>
      <c r="EC101" t="e">
        <f>AND(Bills!#REF!,"AAAAAHbv/IQ=")</f>
        <v>#REF!</v>
      </c>
      <c r="ED101" t="e">
        <f>AND(Bills!#REF!,"AAAAAHbv/IU=")</f>
        <v>#REF!</v>
      </c>
      <c r="EE101" t="e">
        <f>AND(Bills!#REF!,"AAAAAHbv/IY=")</f>
        <v>#REF!</v>
      </c>
      <c r="EF101" t="e">
        <f>AND(Bills!Y275,"AAAAAHbv/Ic=")</f>
        <v>#VALUE!</v>
      </c>
      <c r="EG101" t="e">
        <f>AND(Bills!Z275,"AAAAAHbv/Ig=")</f>
        <v>#VALUE!</v>
      </c>
      <c r="EH101" t="e">
        <f>AND(Bills!#REF!,"AAAAAHbv/Ik=")</f>
        <v>#REF!</v>
      </c>
      <c r="EI101" t="e">
        <f>AND(Bills!#REF!,"AAAAAHbv/Io=")</f>
        <v>#REF!</v>
      </c>
      <c r="EJ101" t="e">
        <f>AND(Bills!#REF!,"AAAAAHbv/Is=")</f>
        <v>#REF!</v>
      </c>
      <c r="EK101" t="e">
        <f>AND(Bills!AA275,"AAAAAHbv/Iw=")</f>
        <v>#VALUE!</v>
      </c>
      <c r="EL101" t="e">
        <f>AND(Bills!AB275,"AAAAAHbv/I0=")</f>
        <v>#VALUE!</v>
      </c>
      <c r="EM101" t="e">
        <f>AND(Bills!#REF!,"AAAAAHbv/I4=")</f>
        <v>#REF!</v>
      </c>
      <c r="EN101">
        <f>IF(Bills!276:276,"AAAAAHbv/I8=",0)</f>
        <v>0</v>
      </c>
      <c r="EO101" t="e">
        <f>AND(Bills!B276,"AAAAAHbv/JA=")</f>
        <v>#VALUE!</v>
      </c>
      <c r="EP101" t="e">
        <f>AND(Bills!#REF!,"AAAAAHbv/JE=")</f>
        <v>#REF!</v>
      </c>
      <c r="EQ101" t="e">
        <f>AND(Bills!C276,"AAAAAHbv/JI=")</f>
        <v>#VALUE!</v>
      </c>
      <c r="ER101" t="e">
        <f>AND(Bills!#REF!,"AAAAAHbv/JM=")</f>
        <v>#REF!</v>
      </c>
      <c r="ES101" t="e">
        <f>AND(Bills!#REF!,"AAAAAHbv/JQ=")</f>
        <v>#REF!</v>
      </c>
      <c r="ET101" t="e">
        <f>AND(Bills!#REF!,"AAAAAHbv/JU=")</f>
        <v>#REF!</v>
      </c>
      <c r="EU101" t="e">
        <f>AND(Bills!#REF!,"AAAAAHbv/JY=")</f>
        <v>#REF!</v>
      </c>
      <c r="EV101" t="e">
        <f>AND(Bills!#REF!,"AAAAAHbv/Jc=")</f>
        <v>#REF!</v>
      </c>
      <c r="EW101" t="e">
        <f>AND(Bills!D276,"AAAAAHbv/Jg=")</f>
        <v>#VALUE!</v>
      </c>
      <c r="EX101" t="e">
        <f>AND(Bills!#REF!,"AAAAAHbv/Jk=")</f>
        <v>#REF!</v>
      </c>
      <c r="EY101" t="e">
        <f>AND(Bills!E276,"AAAAAHbv/Jo=")</f>
        <v>#VALUE!</v>
      </c>
      <c r="EZ101" t="e">
        <f>AND(Bills!F276,"AAAAAHbv/Js=")</f>
        <v>#VALUE!</v>
      </c>
      <c r="FA101" t="e">
        <f>AND(Bills!G276,"AAAAAHbv/Jw=")</f>
        <v>#VALUE!</v>
      </c>
      <c r="FB101" t="e">
        <f>AND(Bills!H276,"AAAAAHbv/J0=")</f>
        <v>#VALUE!</v>
      </c>
      <c r="FC101" t="e">
        <f>AND(Bills!I276,"AAAAAHbv/J4=")</f>
        <v>#VALUE!</v>
      </c>
      <c r="FD101" t="e">
        <f>AND(Bills!J276,"AAAAAHbv/J8=")</f>
        <v>#VALUE!</v>
      </c>
      <c r="FE101" t="e">
        <f>AND(Bills!#REF!,"AAAAAHbv/KA=")</f>
        <v>#REF!</v>
      </c>
      <c r="FF101" t="e">
        <f>AND(Bills!K276,"AAAAAHbv/KE=")</f>
        <v>#VALUE!</v>
      </c>
      <c r="FG101" t="e">
        <f>AND(Bills!L276,"AAAAAHbv/KI=")</f>
        <v>#VALUE!</v>
      </c>
      <c r="FH101" t="e">
        <f>AND(Bills!M276,"AAAAAHbv/KM=")</f>
        <v>#VALUE!</v>
      </c>
      <c r="FI101" t="e">
        <f>AND(Bills!N276,"AAAAAHbv/KQ=")</f>
        <v>#VALUE!</v>
      </c>
      <c r="FJ101" t="e">
        <f>AND(Bills!O276,"AAAAAHbv/KU=")</f>
        <v>#VALUE!</v>
      </c>
      <c r="FK101" t="e">
        <f>AND(Bills!P276,"AAAAAHbv/KY=")</f>
        <v>#VALUE!</v>
      </c>
      <c r="FL101" t="e">
        <f>AND(Bills!Q276,"AAAAAHbv/Kc=")</f>
        <v>#VALUE!</v>
      </c>
      <c r="FM101" t="e">
        <f>AND(Bills!R276,"AAAAAHbv/Kg=")</f>
        <v>#VALUE!</v>
      </c>
      <c r="FN101" t="e">
        <f>AND(Bills!#REF!,"AAAAAHbv/Kk=")</f>
        <v>#REF!</v>
      </c>
      <c r="FO101" t="e">
        <f>AND(Bills!S276,"AAAAAHbv/Ko=")</f>
        <v>#VALUE!</v>
      </c>
      <c r="FP101" t="e">
        <f>AND(Bills!T276,"AAAAAHbv/Ks=")</f>
        <v>#VALUE!</v>
      </c>
      <c r="FQ101" t="e">
        <f>AND(Bills!U276,"AAAAAHbv/Kw=")</f>
        <v>#VALUE!</v>
      </c>
      <c r="FR101" t="e">
        <f>AND(Bills!#REF!,"AAAAAHbv/K0=")</f>
        <v>#REF!</v>
      </c>
      <c r="FS101" t="e">
        <f>AND(Bills!#REF!,"AAAAAHbv/K4=")</f>
        <v>#REF!</v>
      </c>
      <c r="FT101" t="e">
        <f>AND(Bills!W276,"AAAAAHbv/K8=")</f>
        <v>#VALUE!</v>
      </c>
      <c r="FU101" t="e">
        <f>AND(Bills!X276,"AAAAAHbv/LA=")</f>
        <v>#VALUE!</v>
      </c>
      <c r="FV101" t="e">
        <f>AND(Bills!#REF!,"AAAAAHbv/LE=")</f>
        <v>#REF!</v>
      </c>
      <c r="FW101" t="e">
        <f>AND(Bills!#REF!,"AAAAAHbv/LI=")</f>
        <v>#REF!</v>
      </c>
      <c r="FX101" t="e">
        <f>AND(Bills!#REF!,"AAAAAHbv/LM=")</f>
        <v>#REF!</v>
      </c>
      <c r="FY101" t="e">
        <f>AND(Bills!#REF!,"AAAAAHbv/LQ=")</f>
        <v>#REF!</v>
      </c>
      <c r="FZ101" t="e">
        <f>AND(Bills!#REF!,"AAAAAHbv/LU=")</f>
        <v>#REF!</v>
      </c>
      <c r="GA101" t="e">
        <f>AND(Bills!#REF!,"AAAAAHbv/LY=")</f>
        <v>#REF!</v>
      </c>
      <c r="GB101" t="e">
        <f>AND(Bills!#REF!,"AAAAAHbv/Lc=")</f>
        <v>#REF!</v>
      </c>
      <c r="GC101" t="e">
        <f>AND(Bills!#REF!,"AAAAAHbv/Lg=")</f>
        <v>#REF!</v>
      </c>
      <c r="GD101" t="e">
        <f>AND(Bills!#REF!,"AAAAAHbv/Lk=")</f>
        <v>#REF!</v>
      </c>
      <c r="GE101" t="e">
        <f>AND(Bills!Y276,"AAAAAHbv/Lo=")</f>
        <v>#VALUE!</v>
      </c>
      <c r="GF101" t="e">
        <f>AND(Bills!Z276,"AAAAAHbv/Ls=")</f>
        <v>#VALUE!</v>
      </c>
      <c r="GG101" t="e">
        <f>AND(Bills!#REF!,"AAAAAHbv/Lw=")</f>
        <v>#REF!</v>
      </c>
      <c r="GH101" t="e">
        <f>AND(Bills!#REF!,"AAAAAHbv/L0=")</f>
        <v>#REF!</v>
      </c>
      <c r="GI101" t="e">
        <f>AND(Bills!#REF!,"AAAAAHbv/L4=")</f>
        <v>#REF!</v>
      </c>
      <c r="GJ101" t="e">
        <f>AND(Bills!AA276,"AAAAAHbv/L8=")</f>
        <v>#VALUE!</v>
      </c>
      <c r="GK101" t="e">
        <f>AND(Bills!AB276,"AAAAAHbv/MA=")</f>
        <v>#VALUE!</v>
      </c>
      <c r="GL101" t="e">
        <f>AND(Bills!#REF!,"AAAAAHbv/ME=")</f>
        <v>#REF!</v>
      </c>
      <c r="GM101">
        <f>IF(Bills!277:277,"AAAAAHbv/MI=",0)</f>
        <v>0</v>
      </c>
      <c r="GN101" t="e">
        <f>AND(Bills!B277,"AAAAAHbv/MM=")</f>
        <v>#VALUE!</v>
      </c>
      <c r="GO101" t="e">
        <f>AND(Bills!#REF!,"AAAAAHbv/MQ=")</f>
        <v>#REF!</v>
      </c>
      <c r="GP101" t="e">
        <f>AND(Bills!C277,"AAAAAHbv/MU=")</f>
        <v>#VALUE!</v>
      </c>
      <c r="GQ101" t="e">
        <f>AND(Bills!#REF!,"AAAAAHbv/MY=")</f>
        <v>#REF!</v>
      </c>
      <c r="GR101" t="e">
        <f>AND(Bills!#REF!,"AAAAAHbv/Mc=")</f>
        <v>#REF!</v>
      </c>
      <c r="GS101" t="e">
        <f>AND(Bills!#REF!,"AAAAAHbv/Mg=")</f>
        <v>#REF!</v>
      </c>
      <c r="GT101" t="e">
        <f>AND(Bills!#REF!,"AAAAAHbv/Mk=")</f>
        <v>#REF!</v>
      </c>
      <c r="GU101" t="e">
        <f>AND(Bills!#REF!,"AAAAAHbv/Mo=")</f>
        <v>#REF!</v>
      </c>
      <c r="GV101" t="e">
        <f>AND(Bills!D277,"AAAAAHbv/Ms=")</f>
        <v>#VALUE!</v>
      </c>
      <c r="GW101" t="e">
        <f>AND(Bills!#REF!,"AAAAAHbv/Mw=")</f>
        <v>#REF!</v>
      </c>
      <c r="GX101" t="e">
        <f>AND(Bills!E277,"AAAAAHbv/M0=")</f>
        <v>#VALUE!</v>
      </c>
      <c r="GY101" t="e">
        <f>AND(Bills!F277,"AAAAAHbv/M4=")</f>
        <v>#VALUE!</v>
      </c>
      <c r="GZ101" t="e">
        <f>AND(Bills!G277,"AAAAAHbv/M8=")</f>
        <v>#VALUE!</v>
      </c>
      <c r="HA101" t="e">
        <f>AND(Bills!H277,"AAAAAHbv/NA=")</f>
        <v>#VALUE!</v>
      </c>
      <c r="HB101" t="e">
        <f>AND(Bills!I277,"AAAAAHbv/NE=")</f>
        <v>#VALUE!</v>
      </c>
      <c r="HC101" t="e">
        <f>AND(Bills!J277,"AAAAAHbv/NI=")</f>
        <v>#VALUE!</v>
      </c>
      <c r="HD101" t="e">
        <f>AND(Bills!#REF!,"AAAAAHbv/NM=")</f>
        <v>#REF!</v>
      </c>
      <c r="HE101" t="e">
        <f>AND(Bills!K277,"AAAAAHbv/NQ=")</f>
        <v>#VALUE!</v>
      </c>
      <c r="HF101" t="e">
        <f>AND(Bills!L277,"AAAAAHbv/NU=")</f>
        <v>#VALUE!</v>
      </c>
      <c r="HG101" t="e">
        <f>AND(Bills!M277,"AAAAAHbv/NY=")</f>
        <v>#VALUE!</v>
      </c>
      <c r="HH101" t="e">
        <f>AND(Bills!N277,"AAAAAHbv/Nc=")</f>
        <v>#VALUE!</v>
      </c>
      <c r="HI101" t="e">
        <f>AND(Bills!O277,"AAAAAHbv/Ng=")</f>
        <v>#VALUE!</v>
      </c>
      <c r="HJ101" t="e">
        <f>AND(Bills!P277,"AAAAAHbv/Nk=")</f>
        <v>#VALUE!</v>
      </c>
      <c r="HK101" t="e">
        <f>AND(Bills!Q277,"AAAAAHbv/No=")</f>
        <v>#VALUE!</v>
      </c>
      <c r="HL101" t="e">
        <f>AND(Bills!R277,"AAAAAHbv/Ns=")</f>
        <v>#VALUE!</v>
      </c>
      <c r="HM101" t="e">
        <f>AND(Bills!#REF!,"AAAAAHbv/Nw=")</f>
        <v>#REF!</v>
      </c>
      <c r="HN101" t="e">
        <f>AND(Bills!S277,"AAAAAHbv/N0=")</f>
        <v>#VALUE!</v>
      </c>
      <c r="HO101" t="e">
        <f>AND(Bills!T277,"AAAAAHbv/N4=")</f>
        <v>#VALUE!</v>
      </c>
      <c r="HP101" t="e">
        <f>AND(Bills!U277,"AAAAAHbv/N8=")</f>
        <v>#VALUE!</v>
      </c>
      <c r="HQ101" t="e">
        <f>AND(Bills!#REF!,"AAAAAHbv/OA=")</f>
        <v>#REF!</v>
      </c>
      <c r="HR101" t="e">
        <f>AND(Bills!#REF!,"AAAAAHbv/OE=")</f>
        <v>#REF!</v>
      </c>
      <c r="HS101" t="e">
        <f>AND(Bills!W277,"AAAAAHbv/OI=")</f>
        <v>#VALUE!</v>
      </c>
      <c r="HT101" t="e">
        <f>AND(Bills!X277,"AAAAAHbv/OM=")</f>
        <v>#VALUE!</v>
      </c>
      <c r="HU101" t="e">
        <f>AND(Bills!#REF!,"AAAAAHbv/OQ=")</f>
        <v>#REF!</v>
      </c>
      <c r="HV101" t="e">
        <f>AND(Bills!#REF!,"AAAAAHbv/OU=")</f>
        <v>#REF!</v>
      </c>
      <c r="HW101" t="e">
        <f>AND(Bills!#REF!,"AAAAAHbv/OY=")</f>
        <v>#REF!</v>
      </c>
      <c r="HX101" t="e">
        <f>AND(Bills!#REF!,"AAAAAHbv/Oc=")</f>
        <v>#REF!</v>
      </c>
      <c r="HY101" t="e">
        <f>AND(Bills!#REF!,"AAAAAHbv/Og=")</f>
        <v>#REF!</v>
      </c>
      <c r="HZ101" t="e">
        <f>AND(Bills!#REF!,"AAAAAHbv/Ok=")</f>
        <v>#REF!</v>
      </c>
      <c r="IA101" t="e">
        <f>AND(Bills!#REF!,"AAAAAHbv/Oo=")</f>
        <v>#REF!</v>
      </c>
      <c r="IB101" t="e">
        <f>AND(Bills!#REF!,"AAAAAHbv/Os=")</f>
        <v>#REF!</v>
      </c>
      <c r="IC101" t="e">
        <f>AND(Bills!#REF!,"AAAAAHbv/Ow=")</f>
        <v>#REF!</v>
      </c>
      <c r="ID101" t="e">
        <f>AND(Bills!Y277,"AAAAAHbv/O0=")</f>
        <v>#VALUE!</v>
      </c>
      <c r="IE101" t="e">
        <f>AND(Bills!Z277,"AAAAAHbv/O4=")</f>
        <v>#VALUE!</v>
      </c>
      <c r="IF101" t="e">
        <f>AND(Bills!#REF!,"AAAAAHbv/O8=")</f>
        <v>#REF!</v>
      </c>
      <c r="IG101" t="e">
        <f>AND(Bills!#REF!,"AAAAAHbv/PA=")</f>
        <v>#REF!</v>
      </c>
      <c r="IH101" t="e">
        <f>AND(Bills!#REF!,"AAAAAHbv/PE=")</f>
        <v>#REF!</v>
      </c>
      <c r="II101" t="e">
        <f>AND(Bills!AA277,"AAAAAHbv/PI=")</f>
        <v>#VALUE!</v>
      </c>
      <c r="IJ101" t="e">
        <f>AND(Bills!AB277,"AAAAAHbv/PM=")</f>
        <v>#VALUE!</v>
      </c>
      <c r="IK101" t="e">
        <f>AND(Bills!#REF!,"AAAAAHbv/PQ=")</f>
        <v>#REF!</v>
      </c>
      <c r="IL101">
        <f>IF(Bills!278:278,"AAAAAHbv/PU=",0)</f>
        <v>0</v>
      </c>
      <c r="IM101" t="e">
        <f>AND(Bills!B278,"AAAAAHbv/PY=")</f>
        <v>#VALUE!</v>
      </c>
      <c r="IN101" t="e">
        <f>AND(Bills!#REF!,"AAAAAHbv/Pc=")</f>
        <v>#REF!</v>
      </c>
      <c r="IO101" t="e">
        <f>AND(Bills!C278,"AAAAAHbv/Pg=")</f>
        <v>#VALUE!</v>
      </c>
      <c r="IP101" t="e">
        <f>AND(Bills!#REF!,"AAAAAHbv/Pk=")</f>
        <v>#REF!</v>
      </c>
      <c r="IQ101" t="e">
        <f>AND(Bills!#REF!,"AAAAAHbv/Po=")</f>
        <v>#REF!</v>
      </c>
      <c r="IR101" t="e">
        <f>AND(Bills!#REF!,"AAAAAHbv/Ps=")</f>
        <v>#REF!</v>
      </c>
      <c r="IS101" t="e">
        <f>AND(Bills!#REF!,"AAAAAHbv/Pw=")</f>
        <v>#REF!</v>
      </c>
      <c r="IT101" t="e">
        <f>AND(Bills!#REF!,"AAAAAHbv/P0=")</f>
        <v>#REF!</v>
      </c>
      <c r="IU101" t="e">
        <f>AND(Bills!D278,"AAAAAHbv/P4=")</f>
        <v>#VALUE!</v>
      </c>
      <c r="IV101" t="e">
        <f>AND(Bills!#REF!,"AAAAAHbv/P8=")</f>
        <v>#REF!</v>
      </c>
    </row>
    <row r="102" spans="1:256">
      <c r="A102" t="e">
        <f>AND(Bills!E278,"AAAAAH9vjQA=")</f>
        <v>#VALUE!</v>
      </c>
      <c r="B102" t="e">
        <f>AND(Bills!F278,"AAAAAH9vjQE=")</f>
        <v>#VALUE!</v>
      </c>
      <c r="C102" t="e">
        <f>AND(Bills!G278,"AAAAAH9vjQI=")</f>
        <v>#VALUE!</v>
      </c>
      <c r="D102" t="e">
        <f>AND(Bills!H278,"AAAAAH9vjQM=")</f>
        <v>#VALUE!</v>
      </c>
      <c r="E102" t="e">
        <f>AND(Bills!I278,"AAAAAH9vjQQ=")</f>
        <v>#VALUE!</v>
      </c>
      <c r="F102" t="e">
        <f>AND(Bills!J278,"AAAAAH9vjQU=")</f>
        <v>#VALUE!</v>
      </c>
      <c r="G102" t="e">
        <f>AND(Bills!#REF!,"AAAAAH9vjQY=")</f>
        <v>#REF!</v>
      </c>
      <c r="H102" t="e">
        <f>AND(Bills!K278,"AAAAAH9vjQc=")</f>
        <v>#VALUE!</v>
      </c>
      <c r="I102" t="e">
        <f>AND(Bills!L278,"AAAAAH9vjQg=")</f>
        <v>#VALUE!</v>
      </c>
      <c r="J102" t="e">
        <f>AND(Bills!M278,"AAAAAH9vjQk=")</f>
        <v>#VALUE!</v>
      </c>
      <c r="K102" t="e">
        <f>AND(Bills!N278,"AAAAAH9vjQo=")</f>
        <v>#VALUE!</v>
      </c>
      <c r="L102" t="e">
        <f>AND(Bills!O278,"AAAAAH9vjQs=")</f>
        <v>#VALUE!</v>
      </c>
      <c r="M102" t="e">
        <f>AND(Bills!P278,"AAAAAH9vjQw=")</f>
        <v>#VALUE!</v>
      </c>
      <c r="N102" t="e">
        <f>AND(Bills!Q278,"AAAAAH9vjQ0=")</f>
        <v>#VALUE!</v>
      </c>
      <c r="O102" t="e">
        <f>AND(Bills!R278,"AAAAAH9vjQ4=")</f>
        <v>#VALUE!</v>
      </c>
      <c r="P102" t="e">
        <f>AND(Bills!#REF!,"AAAAAH9vjQ8=")</f>
        <v>#REF!</v>
      </c>
      <c r="Q102" t="e">
        <f>AND(Bills!S278,"AAAAAH9vjRA=")</f>
        <v>#VALUE!</v>
      </c>
      <c r="R102" t="e">
        <f>AND(Bills!T278,"AAAAAH9vjRE=")</f>
        <v>#VALUE!</v>
      </c>
      <c r="S102" t="e">
        <f>AND(Bills!U278,"AAAAAH9vjRI=")</f>
        <v>#VALUE!</v>
      </c>
      <c r="T102" t="e">
        <f>AND(Bills!#REF!,"AAAAAH9vjRM=")</f>
        <v>#REF!</v>
      </c>
      <c r="U102" t="e">
        <f>AND(Bills!#REF!,"AAAAAH9vjRQ=")</f>
        <v>#REF!</v>
      </c>
      <c r="V102" t="e">
        <f>AND(Bills!W278,"AAAAAH9vjRU=")</f>
        <v>#VALUE!</v>
      </c>
      <c r="W102" t="e">
        <f>AND(Bills!X278,"AAAAAH9vjRY=")</f>
        <v>#VALUE!</v>
      </c>
      <c r="X102" t="e">
        <f>AND(Bills!#REF!,"AAAAAH9vjRc=")</f>
        <v>#REF!</v>
      </c>
      <c r="Y102" t="e">
        <f>AND(Bills!#REF!,"AAAAAH9vjRg=")</f>
        <v>#REF!</v>
      </c>
      <c r="Z102" t="e">
        <f>AND(Bills!#REF!,"AAAAAH9vjRk=")</f>
        <v>#REF!</v>
      </c>
      <c r="AA102" t="e">
        <f>AND(Bills!#REF!,"AAAAAH9vjRo=")</f>
        <v>#REF!</v>
      </c>
      <c r="AB102" t="e">
        <f>AND(Bills!#REF!,"AAAAAH9vjRs=")</f>
        <v>#REF!</v>
      </c>
      <c r="AC102" t="e">
        <f>AND(Bills!#REF!,"AAAAAH9vjRw=")</f>
        <v>#REF!</v>
      </c>
      <c r="AD102" t="e">
        <f>AND(Bills!#REF!,"AAAAAH9vjR0=")</f>
        <v>#REF!</v>
      </c>
      <c r="AE102" t="e">
        <f>AND(Bills!#REF!,"AAAAAH9vjR4=")</f>
        <v>#REF!</v>
      </c>
      <c r="AF102" t="e">
        <f>AND(Bills!#REF!,"AAAAAH9vjR8=")</f>
        <v>#REF!</v>
      </c>
      <c r="AG102" t="e">
        <f>AND(Bills!Y278,"AAAAAH9vjSA=")</f>
        <v>#VALUE!</v>
      </c>
      <c r="AH102" t="e">
        <f>AND(Bills!Z278,"AAAAAH9vjSE=")</f>
        <v>#VALUE!</v>
      </c>
      <c r="AI102" t="e">
        <f>AND(Bills!#REF!,"AAAAAH9vjSI=")</f>
        <v>#REF!</v>
      </c>
      <c r="AJ102" t="e">
        <f>AND(Bills!#REF!,"AAAAAH9vjSM=")</f>
        <v>#REF!</v>
      </c>
      <c r="AK102" t="e">
        <f>AND(Bills!#REF!,"AAAAAH9vjSQ=")</f>
        <v>#REF!</v>
      </c>
      <c r="AL102" t="e">
        <f>AND(Bills!AA278,"AAAAAH9vjSU=")</f>
        <v>#VALUE!</v>
      </c>
      <c r="AM102" t="e">
        <f>AND(Bills!AB278,"AAAAAH9vjSY=")</f>
        <v>#VALUE!</v>
      </c>
      <c r="AN102" t="e">
        <f>AND(Bills!#REF!,"AAAAAH9vjSc=")</f>
        <v>#REF!</v>
      </c>
      <c r="AO102">
        <f>IF(Bills!279:279,"AAAAAH9vjSg=",0)</f>
        <v>0</v>
      </c>
      <c r="AP102" t="e">
        <f>AND(Bills!B279,"AAAAAH9vjSk=")</f>
        <v>#VALUE!</v>
      </c>
      <c r="AQ102" t="e">
        <f>AND(Bills!#REF!,"AAAAAH9vjSo=")</f>
        <v>#REF!</v>
      </c>
      <c r="AR102" t="e">
        <f>AND(Bills!C279,"AAAAAH9vjSs=")</f>
        <v>#VALUE!</v>
      </c>
      <c r="AS102" t="e">
        <f>AND(Bills!#REF!,"AAAAAH9vjSw=")</f>
        <v>#REF!</v>
      </c>
      <c r="AT102" t="e">
        <f>AND(Bills!#REF!,"AAAAAH9vjS0=")</f>
        <v>#REF!</v>
      </c>
      <c r="AU102" t="e">
        <f>AND(Bills!#REF!,"AAAAAH9vjS4=")</f>
        <v>#REF!</v>
      </c>
      <c r="AV102" t="e">
        <f>AND(Bills!#REF!,"AAAAAH9vjS8=")</f>
        <v>#REF!</v>
      </c>
      <c r="AW102" t="e">
        <f>AND(Bills!#REF!,"AAAAAH9vjTA=")</f>
        <v>#REF!</v>
      </c>
      <c r="AX102" t="e">
        <f>AND(Bills!D279,"AAAAAH9vjTE=")</f>
        <v>#VALUE!</v>
      </c>
      <c r="AY102" t="e">
        <f>AND(Bills!#REF!,"AAAAAH9vjTI=")</f>
        <v>#REF!</v>
      </c>
      <c r="AZ102" t="e">
        <f>AND(Bills!E279,"AAAAAH9vjTM=")</f>
        <v>#VALUE!</v>
      </c>
      <c r="BA102" t="e">
        <f>AND(Bills!F279,"AAAAAH9vjTQ=")</f>
        <v>#VALUE!</v>
      </c>
      <c r="BB102" t="e">
        <f>AND(Bills!G279,"AAAAAH9vjTU=")</f>
        <v>#VALUE!</v>
      </c>
      <c r="BC102" t="e">
        <f>AND(Bills!H279,"AAAAAH9vjTY=")</f>
        <v>#VALUE!</v>
      </c>
      <c r="BD102" t="e">
        <f>AND(Bills!I279,"AAAAAH9vjTc=")</f>
        <v>#VALUE!</v>
      </c>
      <c r="BE102" t="e">
        <f>AND(Bills!J279,"AAAAAH9vjTg=")</f>
        <v>#VALUE!</v>
      </c>
      <c r="BF102" t="e">
        <f>AND(Bills!#REF!,"AAAAAH9vjTk=")</f>
        <v>#REF!</v>
      </c>
      <c r="BG102" t="e">
        <f>AND(Bills!K279,"AAAAAH9vjTo=")</f>
        <v>#VALUE!</v>
      </c>
      <c r="BH102" t="e">
        <f>AND(Bills!L279,"AAAAAH9vjTs=")</f>
        <v>#VALUE!</v>
      </c>
      <c r="BI102" t="e">
        <f>AND(Bills!M279,"AAAAAH9vjTw=")</f>
        <v>#VALUE!</v>
      </c>
      <c r="BJ102" t="e">
        <f>AND(Bills!N279,"AAAAAH9vjT0=")</f>
        <v>#VALUE!</v>
      </c>
      <c r="BK102" t="e">
        <f>AND(Bills!O279,"AAAAAH9vjT4=")</f>
        <v>#VALUE!</v>
      </c>
      <c r="BL102" t="e">
        <f>AND(Bills!P279,"AAAAAH9vjT8=")</f>
        <v>#VALUE!</v>
      </c>
      <c r="BM102" t="e">
        <f>AND(Bills!Q279,"AAAAAH9vjUA=")</f>
        <v>#VALUE!</v>
      </c>
      <c r="BN102" t="e">
        <f>AND(Bills!R279,"AAAAAH9vjUE=")</f>
        <v>#VALUE!</v>
      </c>
      <c r="BO102" t="e">
        <f>AND(Bills!#REF!,"AAAAAH9vjUI=")</f>
        <v>#REF!</v>
      </c>
      <c r="BP102" t="e">
        <f>AND(Bills!S279,"AAAAAH9vjUM=")</f>
        <v>#VALUE!</v>
      </c>
      <c r="BQ102" t="e">
        <f>AND(Bills!T279,"AAAAAH9vjUQ=")</f>
        <v>#VALUE!</v>
      </c>
      <c r="BR102" t="e">
        <f>AND(Bills!U279,"AAAAAH9vjUU=")</f>
        <v>#VALUE!</v>
      </c>
      <c r="BS102" t="e">
        <f>AND(Bills!#REF!,"AAAAAH9vjUY=")</f>
        <v>#REF!</v>
      </c>
      <c r="BT102" t="e">
        <f>AND(Bills!#REF!,"AAAAAH9vjUc=")</f>
        <v>#REF!</v>
      </c>
      <c r="BU102" t="e">
        <f>AND(Bills!W279,"AAAAAH9vjUg=")</f>
        <v>#VALUE!</v>
      </c>
      <c r="BV102" t="e">
        <f>AND(Bills!X279,"AAAAAH9vjUk=")</f>
        <v>#VALUE!</v>
      </c>
      <c r="BW102" t="e">
        <f>AND(Bills!#REF!,"AAAAAH9vjUo=")</f>
        <v>#REF!</v>
      </c>
      <c r="BX102" t="e">
        <f>AND(Bills!#REF!,"AAAAAH9vjUs=")</f>
        <v>#REF!</v>
      </c>
      <c r="BY102" t="e">
        <f>AND(Bills!#REF!,"AAAAAH9vjUw=")</f>
        <v>#REF!</v>
      </c>
      <c r="BZ102" t="e">
        <f>AND(Bills!#REF!,"AAAAAH9vjU0=")</f>
        <v>#REF!</v>
      </c>
      <c r="CA102" t="e">
        <f>AND(Bills!#REF!,"AAAAAH9vjU4=")</f>
        <v>#REF!</v>
      </c>
      <c r="CB102" t="e">
        <f>AND(Bills!#REF!,"AAAAAH9vjU8=")</f>
        <v>#REF!</v>
      </c>
      <c r="CC102" t="e">
        <f>AND(Bills!#REF!,"AAAAAH9vjVA=")</f>
        <v>#REF!</v>
      </c>
      <c r="CD102" t="e">
        <f>AND(Bills!#REF!,"AAAAAH9vjVE=")</f>
        <v>#REF!</v>
      </c>
      <c r="CE102" t="e">
        <f>AND(Bills!#REF!,"AAAAAH9vjVI=")</f>
        <v>#REF!</v>
      </c>
      <c r="CF102" t="e">
        <f>AND(Bills!Y279,"AAAAAH9vjVM=")</f>
        <v>#VALUE!</v>
      </c>
      <c r="CG102" t="e">
        <f>AND(Bills!Z279,"AAAAAH9vjVQ=")</f>
        <v>#VALUE!</v>
      </c>
      <c r="CH102" t="e">
        <f>AND(Bills!#REF!,"AAAAAH9vjVU=")</f>
        <v>#REF!</v>
      </c>
      <c r="CI102" t="e">
        <f>AND(Bills!#REF!,"AAAAAH9vjVY=")</f>
        <v>#REF!</v>
      </c>
      <c r="CJ102" t="e">
        <f>AND(Bills!#REF!,"AAAAAH9vjVc=")</f>
        <v>#REF!</v>
      </c>
      <c r="CK102" t="e">
        <f>AND(Bills!AA279,"AAAAAH9vjVg=")</f>
        <v>#VALUE!</v>
      </c>
      <c r="CL102" t="e">
        <f>AND(Bills!AB279,"AAAAAH9vjVk=")</f>
        <v>#VALUE!</v>
      </c>
      <c r="CM102" t="e">
        <f>AND(Bills!#REF!,"AAAAAH9vjVo=")</f>
        <v>#REF!</v>
      </c>
      <c r="CN102">
        <f>IF(Bills!280:280,"AAAAAH9vjVs=",0)</f>
        <v>0</v>
      </c>
      <c r="CO102" t="e">
        <f>AND(Bills!B280,"AAAAAH9vjVw=")</f>
        <v>#VALUE!</v>
      </c>
      <c r="CP102" t="e">
        <f>AND(Bills!#REF!,"AAAAAH9vjV0=")</f>
        <v>#REF!</v>
      </c>
      <c r="CQ102" t="e">
        <f>AND(Bills!C280,"AAAAAH9vjV4=")</f>
        <v>#VALUE!</v>
      </c>
      <c r="CR102" t="e">
        <f>AND(Bills!#REF!,"AAAAAH9vjV8=")</f>
        <v>#REF!</v>
      </c>
      <c r="CS102" t="e">
        <f>AND(Bills!#REF!,"AAAAAH9vjWA=")</f>
        <v>#REF!</v>
      </c>
      <c r="CT102" t="e">
        <f>AND(Bills!#REF!,"AAAAAH9vjWE=")</f>
        <v>#REF!</v>
      </c>
      <c r="CU102" t="e">
        <f>AND(Bills!#REF!,"AAAAAH9vjWI=")</f>
        <v>#REF!</v>
      </c>
      <c r="CV102" t="e">
        <f>AND(Bills!#REF!,"AAAAAH9vjWM=")</f>
        <v>#REF!</v>
      </c>
      <c r="CW102" t="e">
        <f>AND(Bills!D280,"AAAAAH9vjWQ=")</f>
        <v>#VALUE!</v>
      </c>
      <c r="CX102" t="e">
        <f>AND(Bills!#REF!,"AAAAAH9vjWU=")</f>
        <v>#REF!</v>
      </c>
      <c r="CY102" t="e">
        <f>AND(Bills!E280,"AAAAAH9vjWY=")</f>
        <v>#VALUE!</v>
      </c>
      <c r="CZ102" t="e">
        <f>AND(Bills!F280,"AAAAAH9vjWc=")</f>
        <v>#VALUE!</v>
      </c>
      <c r="DA102" t="e">
        <f>AND(Bills!G280,"AAAAAH9vjWg=")</f>
        <v>#VALUE!</v>
      </c>
      <c r="DB102" t="e">
        <f>AND(Bills!H280,"AAAAAH9vjWk=")</f>
        <v>#VALUE!</v>
      </c>
      <c r="DC102" t="e">
        <f>AND(Bills!I280,"AAAAAH9vjWo=")</f>
        <v>#VALUE!</v>
      </c>
      <c r="DD102" t="e">
        <f>AND(Bills!J280,"AAAAAH9vjWs=")</f>
        <v>#VALUE!</v>
      </c>
      <c r="DE102" t="e">
        <f>AND(Bills!#REF!,"AAAAAH9vjWw=")</f>
        <v>#REF!</v>
      </c>
      <c r="DF102" t="e">
        <f>AND(Bills!K280,"AAAAAH9vjW0=")</f>
        <v>#VALUE!</v>
      </c>
      <c r="DG102" t="e">
        <f>AND(Bills!L280,"AAAAAH9vjW4=")</f>
        <v>#VALUE!</v>
      </c>
      <c r="DH102" t="e">
        <f>AND(Bills!M280,"AAAAAH9vjW8=")</f>
        <v>#VALUE!</v>
      </c>
      <c r="DI102" t="e">
        <f>AND(Bills!N280,"AAAAAH9vjXA=")</f>
        <v>#VALUE!</v>
      </c>
      <c r="DJ102" t="e">
        <f>AND(Bills!O280,"AAAAAH9vjXE=")</f>
        <v>#VALUE!</v>
      </c>
      <c r="DK102" t="e">
        <f>AND(Bills!P280,"AAAAAH9vjXI=")</f>
        <v>#VALUE!</v>
      </c>
      <c r="DL102" t="e">
        <f>AND(Bills!Q280,"AAAAAH9vjXM=")</f>
        <v>#VALUE!</v>
      </c>
      <c r="DM102" t="e">
        <f>AND(Bills!R280,"AAAAAH9vjXQ=")</f>
        <v>#VALUE!</v>
      </c>
      <c r="DN102" t="e">
        <f>AND(Bills!#REF!,"AAAAAH9vjXU=")</f>
        <v>#REF!</v>
      </c>
      <c r="DO102" t="e">
        <f>AND(Bills!S280,"AAAAAH9vjXY=")</f>
        <v>#VALUE!</v>
      </c>
      <c r="DP102" t="e">
        <f>AND(Bills!T280,"AAAAAH9vjXc=")</f>
        <v>#VALUE!</v>
      </c>
      <c r="DQ102" t="e">
        <f>AND(Bills!U280,"AAAAAH9vjXg=")</f>
        <v>#VALUE!</v>
      </c>
      <c r="DR102" t="e">
        <f>AND(Bills!#REF!,"AAAAAH9vjXk=")</f>
        <v>#REF!</v>
      </c>
      <c r="DS102" t="e">
        <f>AND(Bills!#REF!,"AAAAAH9vjXo=")</f>
        <v>#REF!</v>
      </c>
      <c r="DT102" t="e">
        <f>AND(Bills!W280,"AAAAAH9vjXs=")</f>
        <v>#VALUE!</v>
      </c>
      <c r="DU102" t="e">
        <f>AND(Bills!X280,"AAAAAH9vjXw=")</f>
        <v>#VALUE!</v>
      </c>
      <c r="DV102" t="e">
        <f>AND(Bills!#REF!,"AAAAAH9vjX0=")</f>
        <v>#REF!</v>
      </c>
      <c r="DW102" t="e">
        <f>AND(Bills!#REF!,"AAAAAH9vjX4=")</f>
        <v>#REF!</v>
      </c>
      <c r="DX102" t="e">
        <f>AND(Bills!#REF!,"AAAAAH9vjX8=")</f>
        <v>#REF!</v>
      </c>
      <c r="DY102" t="e">
        <f>AND(Bills!#REF!,"AAAAAH9vjYA=")</f>
        <v>#REF!</v>
      </c>
      <c r="DZ102" t="e">
        <f>AND(Bills!#REF!,"AAAAAH9vjYE=")</f>
        <v>#REF!</v>
      </c>
      <c r="EA102" t="e">
        <f>AND(Bills!#REF!,"AAAAAH9vjYI=")</f>
        <v>#REF!</v>
      </c>
      <c r="EB102" t="e">
        <f>AND(Bills!#REF!,"AAAAAH9vjYM=")</f>
        <v>#REF!</v>
      </c>
      <c r="EC102" t="e">
        <f>AND(Bills!#REF!,"AAAAAH9vjYQ=")</f>
        <v>#REF!</v>
      </c>
      <c r="ED102" t="e">
        <f>AND(Bills!#REF!,"AAAAAH9vjYU=")</f>
        <v>#REF!</v>
      </c>
      <c r="EE102" t="e">
        <f>AND(Bills!Y280,"AAAAAH9vjYY=")</f>
        <v>#VALUE!</v>
      </c>
      <c r="EF102" t="e">
        <f>AND(Bills!Z280,"AAAAAH9vjYc=")</f>
        <v>#VALUE!</v>
      </c>
      <c r="EG102" t="e">
        <f>AND(Bills!#REF!,"AAAAAH9vjYg=")</f>
        <v>#REF!</v>
      </c>
      <c r="EH102" t="e">
        <f>AND(Bills!#REF!,"AAAAAH9vjYk=")</f>
        <v>#REF!</v>
      </c>
      <c r="EI102" t="e">
        <f>AND(Bills!#REF!,"AAAAAH9vjYo=")</f>
        <v>#REF!</v>
      </c>
      <c r="EJ102" t="e">
        <f>AND(Bills!AA280,"AAAAAH9vjYs=")</f>
        <v>#VALUE!</v>
      </c>
      <c r="EK102" t="e">
        <f>AND(Bills!AB280,"AAAAAH9vjYw=")</f>
        <v>#VALUE!</v>
      </c>
      <c r="EL102" t="e">
        <f>AND(Bills!#REF!,"AAAAAH9vjY0=")</f>
        <v>#REF!</v>
      </c>
      <c r="EM102">
        <f>IF(Bills!281:281,"AAAAAH9vjY4=",0)</f>
        <v>0</v>
      </c>
      <c r="EN102" t="e">
        <f>AND(Bills!B281,"AAAAAH9vjY8=")</f>
        <v>#VALUE!</v>
      </c>
      <c r="EO102" t="e">
        <f>AND(Bills!#REF!,"AAAAAH9vjZA=")</f>
        <v>#REF!</v>
      </c>
      <c r="EP102" t="e">
        <f>AND(Bills!C281,"AAAAAH9vjZE=")</f>
        <v>#VALUE!</v>
      </c>
      <c r="EQ102" t="e">
        <f>AND(Bills!#REF!,"AAAAAH9vjZI=")</f>
        <v>#REF!</v>
      </c>
      <c r="ER102" t="e">
        <f>AND(Bills!#REF!,"AAAAAH9vjZM=")</f>
        <v>#REF!</v>
      </c>
      <c r="ES102" t="e">
        <f>AND(Bills!#REF!,"AAAAAH9vjZQ=")</f>
        <v>#REF!</v>
      </c>
      <c r="ET102" t="e">
        <f>AND(Bills!#REF!,"AAAAAH9vjZU=")</f>
        <v>#REF!</v>
      </c>
      <c r="EU102" t="e">
        <f>AND(Bills!#REF!,"AAAAAH9vjZY=")</f>
        <v>#REF!</v>
      </c>
      <c r="EV102" t="e">
        <f>AND(Bills!D281,"AAAAAH9vjZc=")</f>
        <v>#VALUE!</v>
      </c>
      <c r="EW102" t="e">
        <f>AND(Bills!#REF!,"AAAAAH9vjZg=")</f>
        <v>#REF!</v>
      </c>
      <c r="EX102" t="e">
        <f>AND(Bills!E281,"AAAAAH9vjZk=")</f>
        <v>#VALUE!</v>
      </c>
      <c r="EY102" t="e">
        <f>AND(Bills!F281,"AAAAAH9vjZo=")</f>
        <v>#VALUE!</v>
      </c>
      <c r="EZ102" t="e">
        <f>AND(Bills!G281,"AAAAAH9vjZs=")</f>
        <v>#VALUE!</v>
      </c>
      <c r="FA102" t="e">
        <f>AND(Bills!H281,"AAAAAH9vjZw=")</f>
        <v>#VALUE!</v>
      </c>
      <c r="FB102" t="e">
        <f>AND(Bills!I281,"AAAAAH9vjZ0=")</f>
        <v>#VALUE!</v>
      </c>
      <c r="FC102" t="e">
        <f>AND(Bills!J281,"AAAAAH9vjZ4=")</f>
        <v>#VALUE!</v>
      </c>
      <c r="FD102" t="e">
        <f>AND(Bills!#REF!,"AAAAAH9vjZ8=")</f>
        <v>#REF!</v>
      </c>
      <c r="FE102" t="e">
        <f>AND(Bills!K281,"AAAAAH9vjaA=")</f>
        <v>#VALUE!</v>
      </c>
      <c r="FF102" t="e">
        <f>AND(Bills!L281,"AAAAAH9vjaE=")</f>
        <v>#VALUE!</v>
      </c>
      <c r="FG102" t="e">
        <f>AND(Bills!M281,"AAAAAH9vjaI=")</f>
        <v>#VALUE!</v>
      </c>
      <c r="FH102" t="e">
        <f>AND(Bills!N281,"AAAAAH9vjaM=")</f>
        <v>#VALUE!</v>
      </c>
      <c r="FI102" t="e">
        <f>AND(Bills!O281,"AAAAAH9vjaQ=")</f>
        <v>#VALUE!</v>
      </c>
      <c r="FJ102" t="e">
        <f>AND(Bills!P281,"AAAAAH9vjaU=")</f>
        <v>#VALUE!</v>
      </c>
      <c r="FK102" t="e">
        <f>AND(Bills!Q281,"AAAAAH9vjaY=")</f>
        <v>#VALUE!</v>
      </c>
      <c r="FL102" t="e">
        <f>AND(Bills!R281,"AAAAAH9vjac=")</f>
        <v>#VALUE!</v>
      </c>
      <c r="FM102" t="e">
        <f>AND(Bills!#REF!,"AAAAAH9vjag=")</f>
        <v>#REF!</v>
      </c>
      <c r="FN102" t="e">
        <f>AND(Bills!S281,"AAAAAH9vjak=")</f>
        <v>#VALUE!</v>
      </c>
      <c r="FO102" t="e">
        <f>AND(Bills!T281,"AAAAAH9vjao=")</f>
        <v>#VALUE!</v>
      </c>
      <c r="FP102" t="e">
        <f>AND(Bills!U281,"AAAAAH9vjas=")</f>
        <v>#VALUE!</v>
      </c>
      <c r="FQ102" t="e">
        <f>AND(Bills!#REF!,"AAAAAH9vjaw=")</f>
        <v>#REF!</v>
      </c>
      <c r="FR102" t="e">
        <f>AND(Bills!#REF!,"AAAAAH9vja0=")</f>
        <v>#REF!</v>
      </c>
      <c r="FS102" t="e">
        <f>AND(Bills!W281,"AAAAAH9vja4=")</f>
        <v>#VALUE!</v>
      </c>
      <c r="FT102" t="e">
        <f>AND(Bills!X281,"AAAAAH9vja8=")</f>
        <v>#VALUE!</v>
      </c>
      <c r="FU102" t="e">
        <f>AND(Bills!#REF!,"AAAAAH9vjbA=")</f>
        <v>#REF!</v>
      </c>
      <c r="FV102" t="e">
        <f>AND(Bills!#REF!,"AAAAAH9vjbE=")</f>
        <v>#REF!</v>
      </c>
      <c r="FW102" t="e">
        <f>AND(Bills!#REF!,"AAAAAH9vjbI=")</f>
        <v>#REF!</v>
      </c>
      <c r="FX102" t="e">
        <f>AND(Bills!#REF!,"AAAAAH9vjbM=")</f>
        <v>#REF!</v>
      </c>
      <c r="FY102" t="e">
        <f>AND(Bills!#REF!,"AAAAAH9vjbQ=")</f>
        <v>#REF!</v>
      </c>
      <c r="FZ102" t="e">
        <f>AND(Bills!#REF!,"AAAAAH9vjbU=")</f>
        <v>#REF!</v>
      </c>
      <c r="GA102" t="e">
        <f>AND(Bills!#REF!,"AAAAAH9vjbY=")</f>
        <v>#REF!</v>
      </c>
      <c r="GB102" t="e">
        <f>AND(Bills!#REF!,"AAAAAH9vjbc=")</f>
        <v>#REF!</v>
      </c>
      <c r="GC102" t="e">
        <f>AND(Bills!#REF!,"AAAAAH9vjbg=")</f>
        <v>#REF!</v>
      </c>
      <c r="GD102" t="e">
        <f>AND(Bills!Y281,"AAAAAH9vjbk=")</f>
        <v>#VALUE!</v>
      </c>
      <c r="GE102" t="e">
        <f>AND(Bills!Z281,"AAAAAH9vjbo=")</f>
        <v>#VALUE!</v>
      </c>
      <c r="GF102" t="e">
        <f>AND(Bills!#REF!,"AAAAAH9vjbs=")</f>
        <v>#REF!</v>
      </c>
      <c r="GG102" t="e">
        <f>AND(Bills!#REF!,"AAAAAH9vjbw=")</f>
        <v>#REF!</v>
      </c>
      <c r="GH102" t="e">
        <f>AND(Bills!#REF!,"AAAAAH9vjb0=")</f>
        <v>#REF!</v>
      </c>
      <c r="GI102" t="e">
        <f>AND(Bills!AA281,"AAAAAH9vjb4=")</f>
        <v>#VALUE!</v>
      </c>
      <c r="GJ102" t="e">
        <f>AND(Bills!AB281,"AAAAAH9vjb8=")</f>
        <v>#VALUE!</v>
      </c>
      <c r="GK102" t="e">
        <f>AND(Bills!#REF!,"AAAAAH9vjcA=")</f>
        <v>#REF!</v>
      </c>
      <c r="GL102">
        <f>IF(Bills!282:282,"AAAAAH9vjcE=",0)</f>
        <v>0</v>
      </c>
      <c r="GM102" t="e">
        <f>AND(Bills!B282,"AAAAAH9vjcI=")</f>
        <v>#VALUE!</v>
      </c>
      <c r="GN102" t="e">
        <f>AND(Bills!#REF!,"AAAAAH9vjcM=")</f>
        <v>#REF!</v>
      </c>
      <c r="GO102" t="e">
        <f>AND(Bills!C282,"AAAAAH9vjcQ=")</f>
        <v>#VALUE!</v>
      </c>
      <c r="GP102" t="e">
        <f>AND(Bills!#REF!,"AAAAAH9vjcU=")</f>
        <v>#REF!</v>
      </c>
      <c r="GQ102" t="e">
        <f>AND(Bills!#REF!,"AAAAAH9vjcY=")</f>
        <v>#REF!</v>
      </c>
      <c r="GR102" t="e">
        <f>AND(Bills!#REF!,"AAAAAH9vjcc=")</f>
        <v>#REF!</v>
      </c>
      <c r="GS102" t="e">
        <f>AND(Bills!#REF!,"AAAAAH9vjcg=")</f>
        <v>#REF!</v>
      </c>
      <c r="GT102" t="e">
        <f>AND(Bills!#REF!,"AAAAAH9vjck=")</f>
        <v>#REF!</v>
      </c>
      <c r="GU102" t="e">
        <f>AND(Bills!D282,"AAAAAH9vjco=")</f>
        <v>#VALUE!</v>
      </c>
      <c r="GV102" t="e">
        <f>AND(Bills!#REF!,"AAAAAH9vjcs=")</f>
        <v>#REF!</v>
      </c>
      <c r="GW102" t="e">
        <f>AND(Bills!E282,"AAAAAH9vjcw=")</f>
        <v>#VALUE!</v>
      </c>
      <c r="GX102" t="e">
        <f>AND(Bills!F282,"AAAAAH9vjc0=")</f>
        <v>#VALUE!</v>
      </c>
      <c r="GY102" t="e">
        <f>AND(Bills!G282,"AAAAAH9vjc4=")</f>
        <v>#VALUE!</v>
      </c>
      <c r="GZ102" t="e">
        <f>AND(Bills!H282,"AAAAAH9vjc8=")</f>
        <v>#VALUE!</v>
      </c>
      <c r="HA102" t="e">
        <f>AND(Bills!I282,"AAAAAH9vjdA=")</f>
        <v>#VALUE!</v>
      </c>
      <c r="HB102" t="e">
        <f>AND(Bills!J282,"AAAAAH9vjdE=")</f>
        <v>#VALUE!</v>
      </c>
      <c r="HC102" t="e">
        <f>AND(Bills!#REF!,"AAAAAH9vjdI=")</f>
        <v>#REF!</v>
      </c>
      <c r="HD102" t="e">
        <f>AND(Bills!K282,"AAAAAH9vjdM=")</f>
        <v>#VALUE!</v>
      </c>
      <c r="HE102" t="e">
        <f>AND(Bills!L282,"AAAAAH9vjdQ=")</f>
        <v>#VALUE!</v>
      </c>
      <c r="HF102" t="e">
        <f>AND(Bills!M282,"AAAAAH9vjdU=")</f>
        <v>#VALUE!</v>
      </c>
      <c r="HG102" t="e">
        <f>AND(Bills!N282,"AAAAAH9vjdY=")</f>
        <v>#VALUE!</v>
      </c>
      <c r="HH102" t="e">
        <f>AND(Bills!O282,"AAAAAH9vjdc=")</f>
        <v>#VALUE!</v>
      </c>
      <c r="HI102" t="e">
        <f>AND(Bills!P282,"AAAAAH9vjdg=")</f>
        <v>#VALUE!</v>
      </c>
      <c r="HJ102" t="e">
        <f>AND(Bills!Q282,"AAAAAH9vjdk=")</f>
        <v>#VALUE!</v>
      </c>
      <c r="HK102" t="e">
        <f>AND(Bills!R282,"AAAAAH9vjdo=")</f>
        <v>#VALUE!</v>
      </c>
      <c r="HL102" t="e">
        <f>AND(Bills!#REF!,"AAAAAH9vjds=")</f>
        <v>#REF!</v>
      </c>
      <c r="HM102" t="e">
        <f>AND(Bills!S282,"AAAAAH9vjdw=")</f>
        <v>#VALUE!</v>
      </c>
      <c r="HN102" t="e">
        <f>AND(Bills!T282,"AAAAAH9vjd0=")</f>
        <v>#VALUE!</v>
      </c>
      <c r="HO102" t="e">
        <f>AND(Bills!U282,"AAAAAH9vjd4=")</f>
        <v>#VALUE!</v>
      </c>
      <c r="HP102" t="e">
        <f>AND(Bills!#REF!,"AAAAAH9vjd8=")</f>
        <v>#REF!</v>
      </c>
      <c r="HQ102" t="e">
        <f>AND(Bills!#REF!,"AAAAAH9vjeA=")</f>
        <v>#REF!</v>
      </c>
      <c r="HR102" t="e">
        <f>AND(Bills!W282,"AAAAAH9vjeE=")</f>
        <v>#VALUE!</v>
      </c>
      <c r="HS102" t="e">
        <f>AND(Bills!X282,"AAAAAH9vjeI=")</f>
        <v>#VALUE!</v>
      </c>
      <c r="HT102" t="e">
        <f>AND(Bills!#REF!,"AAAAAH9vjeM=")</f>
        <v>#REF!</v>
      </c>
      <c r="HU102" t="e">
        <f>AND(Bills!#REF!,"AAAAAH9vjeQ=")</f>
        <v>#REF!</v>
      </c>
      <c r="HV102" t="e">
        <f>AND(Bills!#REF!,"AAAAAH9vjeU=")</f>
        <v>#REF!</v>
      </c>
      <c r="HW102" t="e">
        <f>AND(Bills!#REF!,"AAAAAH9vjeY=")</f>
        <v>#REF!</v>
      </c>
      <c r="HX102" t="e">
        <f>AND(Bills!#REF!,"AAAAAH9vjec=")</f>
        <v>#REF!</v>
      </c>
      <c r="HY102" t="e">
        <f>AND(Bills!#REF!,"AAAAAH9vjeg=")</f>
        <v>#REF!</v>
      </c>
      <c r="HZ102" t="e">
        <f>AND(Bills!#REF!,"AAAAAH9vjek=")</f>
        <v>#REF!</v>
      </c>
      <c r="IA102" t="e">
        <f>AND(Bills!#REF!,"AAAAAH9vjeo=")</f>
        <v>#REF!</v>
      </c>
      <c r="IB102" t="e">
        <f>AND(Bills!#REF!,"AAAAAH9vjes=")</f>
        <v>#REF!</v>
      </c>
      <c r="IC102" t="e">
        <f>AND(Bills!Y282,"AAAAAH9vjew=")</f>
        <v>#VALUE!</v>
      </c>
      <c r="ID102" t="e">
        <f>AND(Bills!Z282,"AAAAAH9vje0=")</f>
        <v>#VALUE!</v>
      </c>
      <c r="IE102" t="e">
        <f>AND(Bills!#REF!,"AAAAAH9vje4=")</f>
        <v>#REF!</v>
      </c>
      <c r="IF102" t="e">
        <f>AND(Bills!#REF!,"AAAAAH9vje8=")</f>
        <v>#REF!</v>
      </c>
      <c r="IG102" t="e">
        <f>AND(Bills!#REF!,"AAAAAH9vjfA=")</f>
        <v>#REF!</v>
      </c>
      <c r="IH102" t="e">
        <f>AND(Bills!AA282,"AAAAAH9vjfE=")</f>
        <v>#VALUE!</v>
      </c>
      <c r="II102" t="e">
        <f>AND(Bills!AB282,"AAAAAH9vjfI=")</f>
        <v>#VALUE!</v>
      </c>
      <c r="IJ102" t="e">
        <f>AND(Bills!#REF!,"AAAAAH9vjfM=")</f>
        <v>#REF!</v>
      </c>
      <c r="IK102">
        <f>IF(Bills!283:283,"AAAAAH9vjfQ=",0)</f>
        <v>0</v>
      </c>
      <c r="IL102" t="e">
        <f>AND(Bills!B283,"AAAAAH9vjfU=")</f>
        <v>#VALUE!</v>
      </c>
      <c r="IM102" t="e">
        <f>AND(Bills!#REF!,"AAAAAH9vjfY=")</f>
        <v>#REF!</v>
      </c>
      <c r="IN102" t="e">
        <f>AND(Bills!C283,"AAAAAH9vjfc=")</f>
        <v>#VALUE!</v>
      </c>
      <c r="IO102" t="e">
        <f>AND(Bills!#REF!,"AAAAAH9vjfg=")</f>
        <v>#REF!</v>
      </c>
      <c r="IP102" t="e">
        <f>AND(Bills!#REF!,"AAAAAH9vjfk=")</f>
        <v>#REF!</v>
      </c>
      <c r="IQ102" t="e">
        <f>AND(Bills!#REF!,"AAAAAH9vjfo=")</f>
        <v>#REF!</v>
      </c>
      <c r="IR102" t="e">
        <f>AND(Bills!#REF!,"AAAAAH9vjfs=")</f>
        <v>#REF!</v>
      </c>
      <c r="IS102" t="e">
        <f>AND(Bills!#REF!,"AAAAAH9vjfw=")</f>
        <v>#REF!</v>
      </c>
      <c r="IT102" t="e">
        <f>AND(Bills!D283,"AAAAAH9vjf0=")</f>
        <v>#VALUE!</v>
      </c>
      <c r="IU102" t="e">
        <f>AND(Bills!#REF!,"AAAAAH9vjf4=")</f>
        <v>#REF!</v>
      </c>
      <c r="IV102" t="e">
        <f>AND(Bills!E283,"AAAAAH9vjf8=")</f>
        <v>#VALUE!</v>
      </c>
    </row>
    <row r="103" spans="1:256">
      <c r="A103" t="e">
        <f>AND(Bills!F283,"AAAAAD/+7wA=")</f>
        <v>#VALUE!</v>
      </c>
      <c r="B103" t="e">
        <f>AND(Bills!G283,"AAAAAD/+7wE=")</f>
        <v>#VALUE!</v>
      </c>
      <c r="C103" t="e">
        <f>AND(Bills!H283,"AAAAAD/+7wI=")</f>
        <v>#VALUE!</v>
      </c>
      <c r="D103" t="e">
        <f>AND(Bills!I283,"AAAAAD/+7wM=")</f>
        <v>#VALUE!</v>
      </c>
      <c r="E103" t="e">
        <f>AND(Bills!J283,"AAAAAD/+7wQ=")</f>
        <v>#VALUE!</v>
      </c>
      <c r="F103" t="e">
        <f>AND(Bills!#REF!,"AAAAAD/+7wU=")</f>
        <v>#REF!</v>
      </c>
      <c r="G103" t="e">
        <f>AND(Bills!K283,"AAAAAD/+7wY=")</f>
        <v>#VALUE!</v>
      </c>
      <c r="H103" t="e">
        <f>AND(Bills!L283,"AAAAAD/+7wc=")</f>
        <v>#VALUE!</v>
      </c>
      <c r="I103" t="e">
        <f>AND(Bills!M283,"AAAAAD/+7wg=")</f>
        <v>#VALUE!</v>
      </c>
      <c r="J103" t="e">
        <f>AND(Bills!N283,"AAAAAD/+7wk=")</f>
        <v>#VALUE!</v>
      </c>
      <c r="K103" t="e">
        <f>AND(Bills!O283,"AAAAAD/+7wo=")</f>
        <v>#VALUE!</v>
      </c>
      <c r="L103" t="e">
        <f>AND(Bills!P283,"AAAAAD/+7ws=")</f>
        <v>#VALUE!</v>
      </c>
      <c r="M103" t="e">
        <f>AND(Bills!Q283,"AAAAAD/+7ww=")</f>
        <v>#VALUE!</v>
      </c>
      <c r="N103" t="e">
        <f>AND(Bills!R283,"AAAAAD/+7w0=")</f>
        <v>#VALUE!</v>
      </c>
      <c r="O103" t="e">
        <f>AND(Bills!#REF!,"AAAAAD/+7w4=")</f>
        <v>#REF!</v>
      </c>
      <c r="P103" t="e">
        <f>AND(Bills!S283,"AAAAAD/+7w8=")</f>
        <v>#VALUE!</v>
      </c>
      <c r="Q103" t="e">
        <f>AND(Bills!T283,"AAAAAD/+7xA=")</f>
        <v>#VALUE!</v>
      </c>
      <c r="R103" t="e">
        <f>AND(Bills!U283,"AAAAAD/+7xE=")</f>
        <v>#VALUE!</v>
      </c>
      <c r="S103" t="e">
        <f>AND(Bills!#REF!,"AAAAAD/+7xI=")</f>
        <v>#REF!</v>
      </c>
      <c r="T103" t="e">
        <f>AND(Bills!#REF!,"AAAAAD/+7xM=")</f>
        <v>#REF!</v>
      </c>
      <c r="U103" t="e">
        <f>AND(Bills!W283,"AAAAAD/+7xQ=")</f>
        <v>#VALUE!</v>
      </c>
      <c r="V103" t="e">
        <f>AND(Bills!X283,"AAAAAD/+7xU=")</f>
        <v>#VALUE!</v>
      </c>
      <c r="W103" t="e">
        <f>AND(Bills!#REF!,"AAAAAD/+7xY=")</f>
        <v>#REF!</v>
      </c>
      <c r="X103" t="e">
        <f>AND(Bills!#REF!,"AAAAAD/+7xc=")</f>
        <v>#REF!</v>
      </c>
      <c r="Y103" t="e">
        <f>AND(Bills!#REF!,"AAAAAD/+7xg=")</f>
        <v>#REF!</v>
      </c>
      <c r="Z103" t="e">
        <f>AND(Bills!#REF!,"AAAAAD/+7xk=")</f>
        <v>#REF!</v>
      </c>
      <c r="AA103" t="e">
        <f>AND(Bills!#REF!,"AAAAAD/+7xo=")</f>
        <v>#REF!</v>
      </c>
      <c r="AB103" t="e">
        <f>AND(Bills!#REF!,"AAAAAD/+7xs=")</f>
        <v>#REF!</v>
      </c>
      <c r="AC103" t="e">
        <f>AND(Bills!#REF!,"AAAAAD/+7xw=")</f>
        <v>#REF!</v>
      </c>
      <c r="AD103" t="e">
        <f>AND(Bills!#REF!,"AAAAAD/+7x0=")</f>
        <v>#REF!</v>
      </c>
      <c r="AE103" t="e">
        <f>AND(Bills!#REF!,"AAAAAD/+7x4=")</f>
        <v>#REF!</v>
      </c>
      <c r="AF103" t="e">
        <f>AND(Bills!Y283,"AAAAAD/+7x8=")</f>
        <v>#VALUE!</v>
      </c>
      <c r="AG103" t="e">
        <f>AND(Bills!Z283,"AAAAAD/+7yA=")</f>
        <v>#VALUE!</v>
      </c>
      <c r="AH103" t="e">
        <f>AND(Bills!#REF!,"AAAAAD/+7yE=")</f>
        <v>#REF!</v>
      </c>
      <c r="AI103" t="e">
        <f>AND(Bills!#REF!,"AAAAAD/+7yI=")</f>
        <v>#REF!</v>
      </c>
      <c r="AJ103" t="e">
        <f>AND(Bills!#REF!,"AAAAAD/+7yM=")</f>
        <v>#REF!</v>
      </c>
      <c r="AK103" t="e">
        <f>AND(Bills!AA283,"AAAAAD/+7yQ=")</f>
        <v>#VALUE!</v>
      </c>
      <c r="AL103" t="e">
        <f>AND(Bills!AB283,"AAAAAD/+7yU=")</f>
        <v>#VALUE!</v>
      </c>
      <c r="AM103" t="e">
        <f>AND(Bills!#REF!,"AAAAAD/+7yY=")</f>
        <v>#REF!</v>
      </c>
      <c r="AN103">
        <f>IF(Bills!284:284,"AAAAAD/+7yc=",0)</f>
        <v>0</v>
      </c>
      <c r="AO103" t="e">
        <f>AND(Bills!B284,"AAAAAD/+7yg=")</f>
        <v>#VALUE!</v>
      </c>
      <c r="AP103" t="e">
        <f>AND(Bills!#REF!,"AAAAAD/+7yk=")</f>
        <v>#REF!</v>
      </c>
      <c r="AQ103" t="e">
        <f>AND(Bills!C284,"AAAAAD/+7yo=")</f>
        <v>#VALUE!</v>
      </c>
      <c r="AR103" t="e">
        <f>AND(Bills!#REF!,"AAAAAD/+7ys=")</f>
        <v>#REF!</v>
      </c>
      <c r="AS103" t="e">
        <f>AND(Bills!#REF!,"AAAAAD/+7yw=")</f>
        <v>#REF!</v>
      </c>
      <c r="AT103" t="e">
        <f>AND(Bills!#REF!,"AAAAAD/+7y0=")</f>
        <v>#REF!</v>
      </c>
      <c r="AU103" t="e">
        <f>AND(Bills!#REF!,"AAAAAD/+7y4=")</f>
        <v>#REF!</v>
      </c>
      <c r="AV103" t="e">
        <f>AND(Bills!#REF!,"AAAAAD/+7y8=")</f>
        <v>#REF!</v>
      </c>
      <c r="AW103" t="e">
        <f>AND(Bills!D284,"AAAAAD/+7zA=")</f>
        <v>#VALUE!</v>
      </c>
      <c r="AX103" t="e">
        <f>AND(Bills!#REF!,"AAAAAD/+7zE=")</f>
        <v>#REF!</v>
      </c>
      <c r="AY103" t="e">
        <f>AND(Bills!E284,"AAAAAD/+7zI=")</f>
        <v>#VALUE!</v>
      </c>
      <c r="AZ103" t="e">
        <f>AND(Bills!F284,"AAAAAD/+7zM=")</f>
        <v>#VALUE!</v>
      </c>
      <c r="BA103" t="e">
        <f>AND(Bills!G284,"AAAAAD/+7zQ=")</f>
        <v>#VALUE!</v>
      </c>
      <c r="BB103" t="e">
        <f>AND(Bills!H284,"AAAAAD/+7zU=")</f>
        <v>#VALUE!</v>
      </c>
      <c r="BC103" t="e">
        <f>AND(Bills!I284,"AAAAAD/+7zY=")</f>
        <v>#VALUE!</v>
      </c>
      <c r="BD103" t="e">
        <f>AND(Bills!J284,"AAAAAD/+7zc=")</f>
        <v>#VALUE!</v>
      </c>
      <c r="BE103" t="e">
        <f>AND(Bills!#REF!,"AAAAAD/+7zg=")</f>
        <v>#REF!</v>
      </c>
      <c r="BF103" t="e">
        <f>AND(Bills!K284,"AAAAAD/+7zk=")</f>
        <v>#VALUE!</v>
      </c>
      <c r="BG103" t="e">
        <f>AND(Bills!L284,"AAAAAD/+7zo=")</f>
        <v>#VALUE!</v>
      </c>
      <c r="BH103" t="e">
        <f>AND(Bills!M284,"AAAAAD/+7zs=")</f>
        <v>#VALUE!</v>
      </c>
      <c r="BI103" t="e">
        <f>AND(Bills!N284,"AAAAAD/+7zw=")</f>
        <v>#VALUE!</v>
      </c>
      <c r="BJ103" t="e">
        <f>AND(Bills!O284,"AAAAAD/+7z0=")</f>
        <v>#VALUE!</v>
      </c>
      <c r="BK103" t="e">
        <f>AND(Bills!P284,"AAAAAD/+7z4=")</f>
        <v>#VALUE!</v>
      </c>
      <c r="BL103" t="e">
        <f>AND(Bills!Q284,"AAAAAD/+7z8=")</f>
        <v>#VALUE!</v>
      </c>
      <c r="BM103" t="e">
        <f>AND(Bills!R284,"AAAAAD/+70A=")</f>
        <v>#VALUE!</v>
      </c>
      <c r="BN103" t="e">
        <f>AND(Bills!#REF!,"AAAAAD/+70E=")</f>
        <v>#REF!</v>
      </c>
      <c r="BO103" t="e">
        <f>AND(Bills!S284,"AAAAAD/+70I=")</f>
        <v>#VALUE!</v>
      </c>
      <c r="BP103" t="e">
        <f>AND(Bills!T284,"AAAAAD/+70M=")</f>
        <v>#VALUE!</v>
      </c>
      <c r="BQ103" t="e">
        <f>AND(Bills!U284,"AAAAAD/+70Q=")</f>
        <v>#VALUE!</v>
      </c>
      <c r="BR103" t="e">
        <f>AND(Bills!#REF!,"AAAAAD/+70U=")</f>
        <v>#REF!</v>
      </c>
      <c r="BS103" t="e">
        <f>AND(Bills!#REF!,"AAAAAD/+70Y=")</f>
        <v>#REF!</v>
      </c>
      <c r="BT103" t="e">
        <f>AND(Bills!W284,"AAAAAD/+70c=")</f>
        <v>#VALUE!</v>
      </c>
      <c r="BU103" t="e">
        <f>AND(Bills!X284,"AAAAAD/+70g=")</f>
        <v>#VALUE!</v>
      </c>
      <c r="BV103" t="e">
        <f>AND(Bills!#REF!,"AAAAAD/+70k=")</f>
        <v>#REF!</v>
      </c>
      <c r="BW103" t="e">
        <f>AND(Bills!#REF!,"AAAAAD/+70o=")</f>
        <v>#REF!</v>
      </c>
      <c r="BX103" t="e">
        <f>AND(Bills!#REF!,"AAAAAD/+70s=")</f>
        <v>#REF!</v>
      </c>
      <c r="BY103" t="e">
        <f>AND(Bills!#REF!,"AAAAAD/+70w=")</f>
        <v>#REF!</v>
      </c>
      <c r="BZ103" t="e">
        <f>AND(Bills!#REF!,"AAAAAD/+700=")</f>
        <v>#REF!</v>
      </c>
      <c r="CA103" t="e">
        <f>AND(Bills!#REF!,"AAAAAD/+704=")</f>
        <v>#REF!</v>
      </c>
      <c r="CB103" t="e">
        <f>AND(Bills!#REF!,"AAAAAD/+708=")</f>
        <v>#REF!</v>
      </c>
      <c r="CC103" t="e">
        <f>AND(Bills!#REF!,"AAAAAD/+71A=")</f>
        <v>#REF!</v>
      </c>
      <c r="CD103" t="e">
        <f>AND(Bills!#REF!,"AAAAAD/+71E=")</f>
        <v>#REF!</v>
      </c>
      <c r="CE103" t="e">
        <f>AND(Bills!Y284,"AAAAAD/+71I=")</f>
        <v>#VALUE!</v>
      </c>
      <c r="CF103" t="e">
        <f>AND(Bills!Z284,"AAAAAD/+71M=")</f>
        <v>#VALUE!</v>
      </c>
      <c r="CG103" t="e">
        <f>AND(Bills!#REF!,"AAAAAD/+71Q=")</f>
        <v>#REF!</v>
      </c>
      <c r="CH103" t="e">
        <f>AND(Bills!#REF!,"AAAAAD/+71U=")</f>
        <v>#REF!</v>
      </c>
      <c r="CI103" t="e">
        <f>AND(Bills!#REF!,"AAAAAD/+71Y=")</f>
        <v>#REF!</v>
      </c>
      <c r="CJ103" t="e">
        <f>AND(Bills!AA284,"AAAAAD/+71c=")</f>
        <v>#VALUE!</v>
      </c>
      <c r="CK103" t="e">
        <f>AND(Bills!AB284,"AAAAAD/+71g=")</f>
        <v>#VALUE!</v>
      </c>
      <c r="CL103" t="e">
        <f>AND(Bills!#REF!,"AAAAAD/+71k=")</f>
        <v>#REF!</v>
      </c>
      <c r="CM103">
        <f>IF(Bills!285:285,"AAAAAD/+71o=",0)</f>
        <v>0</v>
      </c>
      <c r="CN103" t="e">
        <f>AND(Bills!B285,"AAAAAD/+71s=")</f>
        <v>#VALUE!</v>
      </c>
      <c r="CO103" t="e">
        <f>AND(Bills!#REF!,"AAAAAD/+71w=")</f>
        <v>#REF!</v>
      </c>
      <c r="CP103" t="e">
        <f>AND(Bills!C285,"AAAAAD/+710=")</f>
        <v>#VALUE!</v>
      </c>
      <c r="CQ103" t="e">
        <f>AND(Bills!#REF!,"AAAAAD/+714=")</f>
        <v>#REF!</v>
      </c>
      <c r="CR103" t="e">
        <f>AND(Bills!#REF!,"AAAAAD/+718=")</f>
        <v>#REF!</v>
      </c>
      <c r="CS103" t="e">
        <f>AND(Bills!#REF!,"AAAAAD/+72A=")</f>
        <v>#REF!</v>
      </c>
      <c r="CT103" t="e">
        <f>AND(Bills!#REF!,"AAAAAD/+72E=")</f>
        <v>#REF!</v>
      </c>
      <c r="CU103" t="e">
        <f>AND(Bills!#REF!,"AAAAAD/+72I=")</f>
        <v>#REF!</v>
      </c>
      <c r="CV103" t="e">
        <f>AND(Bills!D285,"AAAAAD/+72M=")</f>
        <v>#VALUE!</v>
      </c>
      <c r="CW103" t="e">
        <f>AND(Bills!#REF!,"AAAAAD/+72Q=")</f>
        <v>#REF!</v>
      </c>
      <c r="CX103" t="e">
        <f>AND(Bills!E285,"AAAAAD/+72U=")</f>
        <v>#VALUE!</v>
      </c>
      <c r="CY103" t="e">
        <f>AND(Bills!F285,"AAAAAD/+72Y=")</f>
        <v>#VALUE!</v>
      </c>
      <c r="CZ103" t="e">
        <f>AND(Bills!G285,"AAAAAD/+72c=")</f>
        <v>#VALUE!</v>
      </c>
      <c r="DA103" t="e">
        <f>AND(Bills!H285,"AAAAAD/+72g=")</f>
        <v>#VALUE!</v>
      </c>
      <c r="DB103" t="e">
        <f>AND(Bills!I285,"AAAAAD/+72k=")</f>
        <v>#VALUE!</v>
      </c>
      <c r="DC103" t="e">
        <f>AND(Bills!J285,"AAAAAD/+72o=")</f>
        <v>#VALUE!</v>
      </c>
      <c r="DD103" t="e">
        <f>AND(Bills!#REF!,"AAAAAD/+72s=")</f>
        <v>#REF!</v>
      </c>
      <c r="DE103" t="e">
        <f>AND(Bills!K285,"AAAAAD/+72w=")</f>
        <v>#VALUE!</v>
      </c>
      <c r="DF103" t="e">
        <f>AND(Bills!L285,"AAAAAD/+720=")</f>
        <v>#VALUE!</v>
      </c>
      <c r="DG103" t="e">
        <f>AND(Bills!M285,"AAAAAD/+724=")</f>
        <v>#VALUE!</v>
      </c>
      <c r="DH103" t="e">
        <f>AND(Bills!N285,"AAAAAD/+728=")</f>
        <v>#VALUE!</v>
      </c>
      <c r="DI103" t="e">
        <f>AND(Bills!O285,"AAAAAD/+73A=")</f>
        <v>#VALUE!</v>
      </c>
      <c r="DJ103" t="e">
        <f>AND(Bills!P285,"AAAAAD/+73E=")</f>
        <v>#VALUE!</v>
      </c>
      <c r="DK103" t="e">
        <f>AND(Bills!Q285,"AAAAAD/+73I=")</f>
        <v>#VALUE!</v>
      </c>
      <c r="DL103" t="e">
        <f>AND(Bills!R285,"AAAAAD/+73M=")</f>
        <v>#VALUE!</v>
      </c>
      <c r="DM103" t="e">
        <f>AND(Bills!#REF!,"AAAAAD/+73Q=")</f>
        <v>#REF!</v>
      </c>
      <c r="DN103" t="e">
        <f>AND(Bills!S285,"AAAAAD/+73U=")</f>
        <v>#VALUE!</v>
      </c>
      <c r="DO103" t="e">
        <f>AND(Bills!T285,"AAAAAD/+73Y=")</f>
        <v>#VALUE!</v>
      </c>
      <c r="DP103" t="e">
        <f>AND(Bills!U285,"AAAAAD/+73c=")</f>
        <v>#VALUE!</v>
      </c>
      <c r="DQ103" t="e">
        <f>AND(Bills!#REF!,"AAAAAD/+73g=")</f>
        <v>#REF!</v>
      </c>
      <c r="DR103" t="e">
        <f>AND(Bills!#REF!,"AAAAAD/+73k=")</f>
        <v>#REF!</v>
      </c>
      <c r="DS103" t="e">
        <f>AND(Bills!W285,"AAAAAD/+73o=")</f>
        <v>#VALUE!</v>
      </c>
      <c r="DT103" t="e">
        <f>AND(Bills!X285,"AAAAAD/+73s=")</f>
        <v>#VALUE!</v>
      </c>
      <c r="DU103" t="e">
        <f>AND(Bills!#REF!,"AAAAAD/+73w=")</f>
        <v>#REF!</v>
      </c>
      <c r="DV103" t="e">
        <f>AND(Bills!#REF!,"AAAAAD/+730=")</f>
        <v>#REF!</v>
      </c>
      <c r="DW103" t="e">
        <f>AND(Bills!#REF!,"AAAAAD/+734=")</f>
        <v>#REF!</v>
      </c>
      <c r="DX103" t="e">
        <f>AND(Bills!#REF!,"AAAAAD/+738=")</f>
        <v>#REF!</v>
      </c>
      <c r="DY103" t="e">
        <f>AND(Bills!#REF!,"AAAAAD/+74A=")</f>
        <v>#REF!</v>
      </c>
      <c r="DZ103" t="e">
        <f>AND(Bills!#REF!,"AAAAAD/+74E=")</f>
        <v>#REF!</v>
      </c>
      <c r="EA103" t="e">
        <f>AND(Bills!#REF!,"AAAAAD/+74I=")</f>
        <v>#REF!</v>
      </c>
      <c r="EB103" t="e">
        <f>AND(Bills!#REF!,"AAAAAD/+74M=")</f>
        <v>#REF!</v>
      </c>
      <c r="EC103" t="e">
        <f>AND(Bills!#REF!,"AAAAAD/+74Q=")</f>
        <v>#REF!</v>
      </c>
      <c r="ED103" t="e">
        <f>AND(Bills!Y285,"AAAAAD/+74U=")</f>
        <v>#VALUE!</v>
      </c>
      <c r="EE103" t="e">
        <f>AND(Bills!Z285,"AAAAAD/+74Y=")</f>
        <v>#VALUE!</v>
      </c>
      <c r="EF103" t="e">
        <f>AND(Bills!#REF!,"AAAAAD/+74c=")</f>
        <v>#REF!</v>
      </c>
      <c r="EG103" t="e">
        <f>AND(Bills!#REF!,"AAAAAD/+74g=")</f>
        <v>#REF!</v>
      </c>
      <c r="EH103" t="e">
        <f>AND(Bills!#REF!,"AAAAAD/+74k=")</f>
        <v>#REF!</v>
      </c>
      <c r="EI103" t="e">
        <f>AND(Bills!AA285,"AAAAAD/+74o=")</f>
        <v>#VALUE!</v>
      </c>
      <c r="EJ103" t="e">
        <f>AND(Bills!AB285,"AAAAAD/+74s=")</f>
        <v>#VALUE!</v>
      </c>
      <c r="EK103" t="e">
        <f>AND(Bills!#REF!,"AAAAAD/+74w=")</f>
        <v>#REF!</v>
      </c>
      <c r="EL103">
        <f>IF(Bills!286:286,"AAAAAD/+740=",0)</f>
        <v>0</v>
      </c>
      <c r="EM103" t="e">
        <f>AND(Bills!B286,"AAAAAD/+744=")</f>
        <v>#VALUE!</v>
      </c>
      <c r="EN103" t="e">
        <f>AND(Bills!#REF!,"AAAAAD/+748=")</f>
        <v>#REF!</v>
      </c>
      <c r="EO103" t="e">
        <f>AND(Bills!C286,"AAAAAD/+75A=")</f>
        <v>#VALUE!</v>
      </c>
      <c r="EP103" t="e">
        <f>AND(Bills!#REF!,"AAAAAD/+75E=")</f>
        <v>#REF!</v>
      </c>
      <c r="EQ103" t="e">
        <f>AND(Bills!#REF!,"AAAAAD/+75I=")</f>
        <v>#REF!</v>
      </c>
      <c r="ER103" t="e">
        <f>AND(Bills!#REF!,"AAAAAD/+75M=")</f>
        <v>#REF!</v>
      </c>
      <c r="ES103" t="e">
        <f>AND(Bills!#REF!,"AAAAAD/+75Q=")</f>
        <v>#REF!</v>
      </c>
      <c r="ET103" t="e">
        <f>AND(Bills!#REF!,"AAAAAD/+75U=")</f>
        <v>#REF!</v>
      </c>
      <c r="EU103" t="e">
        <f>AND(Bills!D286,"AAAAAD/+75Y=")</f>
        <v>#VALUE!</v>
      </c>
      <c r="EV103" t="e">
        <f>AND(Bills!#REF!,"AAAAAD/+75c=")</f>
        <v>#REF!</v>
      </c>
      <c r="EW103" t="e">
        <f>AND(Bills!E286,"AAAAAD/+75g=")</f>
        <v>#VALUE!</v>
      </c>
      <c r="EX103" t="e">
        <f>AND(Bills!F286,"AAAAAD/+75k=")</f>
        <v>#VALUE!</v>
      </c>
      <c r="EY103" t="e">
        <f>AND(Bills!G286,"AAAAAD/+75o=")</f>
        <v>#VALUE!</v>
      </c>
      <c r="EZ103" t="e">
        <f>AND(Bills!H286,"AAAAAD/+75s=")</f>
        <v>#VALUE!</v>
      </c>
      <c r="FA103" t="e">
        <f>AND(Bills!I286,"AAAAAD/+75w=")</f>
        <v>#VALUE!</v>
      </c>
      <c r="FB103" t="e">
        <f>AND(Bills!J286,"AAAAAD/+750=")</f>
        <v>#VALUE!</v>
      </c>
      <c r="FC103" t="e">
        <f>AND(Bills!#REF!,"AAAAAD/+754=")</f>
        <v>#REF!</v>
      </c>
      <c r="FD103" t="e">
        <f>AND(Bills!K286,"AAAAAD/+758=")</f>
        <v>#VALUE!</v>
      </c>
      <c r="FE103" t="e">
        <f>AND(Bills!L286,"AAAAAD/+76A=")</f>
        <v>#VALUE!</v>
      </c>
      <c r="FF103" t="e">
        <f>AND(Bills!M286,"AAAAAD/+76E=")</f>
        <v>#VALUE!</v>
      </c>
      <c r="FG103" t="e">
        <f>AND(Bills!N286,"AAAAAD/+76I=")</f>
        <v>#VALUE!</v>
      </c>
      <c r="FH103" t="e">
        <f>AND(Bills!O286,"AAAAAD/+76M=")</f>
        <v>#VALUE!</v>
      </c>
      <c r="FI103" t="e">
        <f>AND(Bills!P286,"AAAAAD/+76Q=")</f>
        <v>#VALUE!</v>
      </c>
      <c r="FJ103" t="e">
        <f>AND(Bills!Q286,"AAAAAD/+76U=")</f>
        <v>#VALUE!</v>
      </c>
      <c r="FK103" t="e">
        <f>AND(Bills!R286,"AAAAAD/+76Y=")</f>
        <v>#VALUE!</v>
      </c>
      <c r="FL103" t="e">
        <f>AND(Bills!#REF!,"AAAAAD/+76c=")</f>
        <v>#REF!</v>
      </c>
      <c r="FM103" t="e">
        <f>AND(Bills!S286,"AAAAAD/+76g=")</f>
        <v>#VALUE!</v>
      </c>
      <c r="FN103" t="e">
        <f>AND(Bills!T286,"AAAAAD/+76k=")</f>
        <v>#VALUE!</v>
      </c>
      <c r="FO103" t="e">
        <f>AND(Bills!U286,"AAAAAD/+76o=")</f>
        <v>#VALUE!</v>
      </c>
      <c r="FP103" t="e">
        <f>AND(Bills!#REF!,"AAAAAD/+76s=")</f>
        <v>#REF!</v>
      </c>
      <c r="FQ103" t="e">
        <f>AND(Bills!#REF!,"AAAAAD/+76w=")</f>
        <v>#REF!</v>
      </c>
      <c r="FR103" t="e">
        <f>AND(Bills!W286,"AAAAAD/+760=")</f>
        <v>#VALUE!</v>
      </c>
      <c r="FS103" t="e">
        <f>AND(Bills!X286,"AAAAAD/+764=")</f>
        <v>#VALUE!</v>
      </c>
      <c r="FT103" t="e">
        <f>AND(Bills!#REF!,"AAAAAD/+768=")</f>
        <v>#REF!</v>
      </c>
      <c r="FU103" t="e">
        <f>AND(Bills!#REF!,"AAAAAD/+77A=")</f>
        <v>#REF!</v>
      </c>
      <c r="FV103" t="e">
        <f>AND(Bills!#REF!,"AAAAAD/+77E=")</f>
        <v>#REF!</v>
      </c>
      <c r="FW103" t="e">
        <f>AND(Bills!#REF!,"AAAAAD/+77I=")</f>
        <v>#REF!</v>
      </c>
      <c r="FX103" t="e">
        <f>AND(Bills!#REF!,"AAAAAD/+77M=")</f>
        <v>#REF!</v>
      </c>
      <c r="FY103" t="e">
        <f>AND(Bills!#REF!,"AAAAAD/+77Q=")</f>
        <v>#REF!</v>
      </c>
      <c r="FZ103" t="e">
        <f>AND(Bills!#REF!,"AAAAAD/+77U=")</f>
        <v>#REF!</v>
      </c>
      <c r="GA103" t="e">
        <f>AND(Bills!#REF!,"AAAAAD/+77Y=")</f>
        <v>#REF!</v>
      </c>
      <c r="GB103" t="e">
        <f>AND(Bills!#REF!,"AAAAAD/+77c=")</f>
        <v>#REF!</v>
      </c>
      <c r="GC103" t="e">
        <f>AND(Bills!Y286,"AAAAAD/+77g=")</f>
        <v>#VALUE!</v>
      </c>
      <c r="GD103" t="e">
        <f>AND(Bills!Z286,"AAAAAD/+77k=")</f>
        <v>#VALUE!</v>
      </c>
      <c r="GE103" t="e">
        <f>AND(Bills!#REF!,"AAAAAD/+77o=")</f>
        <v>#REF!</v>
      </c>
      <c r="GF103" t="e">
        <f>AND(Bills!#REF!,"AAAAAD/+77s=")</f>
        <v>#REF!</v>
      </c>
      <c r="GG103" t="e">
        <f>AND(Bills!#REF!,"AAAAAD/+77w=")</f>
        <v>#REF!</v>
      </c>
      <c r="GH103" t="e">
        <f>AND(Bills!AA286,"AAAAAD/+770=")</f>
        <v>#VALUE!</v>
      </c>
      <c r="GI103" t="e">
        <f>AND(Bills!AB286,"AAAAAD/+774=")</f>
        <v>#VALUE!</v>
      </c>
      <c r="GJ103" t="e">
        <f>AND(Bills!#REF!,"AAAAAD/+778=")</f>
        <v>#REF!</v>
      </c>
      <c r="GK103">
        <f>IF(Bills!287:287,"AAAAAD/+78A=",0)</f>
        <v>0</v>
      </c>
      <c r="GL103" t="e">
        <f>AND(Bills!B287,"AAAAAD/+78E=")</f>
        <v>#VALUE!</v>
      </c>
      <c r="GM103" t="e">
        <f>AND(Bills!#REF!,"AAAAAD/+78I=")</f>
        <v>#REF!</v>
      </c>
      <c r="GN103" t="e">
        <f>AND(Bills!C287,"AAAAAD/+78M=")</f>
        <v>#VALUE!</v>
      </c>
      <c r="GO103" t="e">
        <f>AND(Bills!#REF!,"AAAAAD/+78Q=")</f>
        <v>#REF!</v>
      </c>
      <c r="GP103" t="e">
        <f>AND(Bills!#REF!,"AAAAAD/+78U=")</f>
        <v>#REF!</v>
      </c>
      <c r="GQ103" t="e">
        <f>AND(Bills!#REF!,"AAAAAD/+78Y=")</f>
        <v>#REF!</v>
      </c>
      <c r="GR103" t="e">
        <f>AND(Bills!#REF!,"AAAAAD/+78c=")</f>
        <v>#REF!</v>
      </c>
      <c r="GS103" t="e">
        <f>AND(Bills!#REF!,"AAAAAD/+78g=")</f>
        <v>#REF!</v>
      </c>
      <c r="GT103" t="e">
        <f>AND(Bills!D287,"AAAAAD/+78k=")</f>
        <v>#VALUE!</v>
      </c>
      <c r="GU103" t="e">
        <f>AND(Bills!#REF!,"AAAAAD/+78o=")</f>
        <v>#REF!</v>
      </c>
      <c r="GV103" t="e">
        <f>AND(Bills!E287,"AAAAAD/+78s=")</f>
        <v>#VALUE!</v>
      </c>
      <c r="GW103" t="e">
        <f>AND(Bills!F287,"AAAAAD/+78w=")</f>
        <v>#VALUE!</v>
      </c>
      <c r="GX103" t="e">
        <f>AND(Bills!G287,"AAAAAD/+780=")</f>
        <v>#VALUE!</v>
      </c>
      <c r="GY103" t="e">
        <f>AND(Bills!H287,"AAAAAD/+784=")</f>
        <v>#VALUE!</v>
      </c>
      <c r="GZ103" t="e">
        <f>AND(Bills!I287,"AAAAAD/+788=")</f>
        <v>#VALUE!</v>
      </c>
      <c r="HA103" t="e">
        <f>AND(Bills!J287,"AAAAAD/+79A=")</f>
        <v>#VALUE!</v>
      </c>
      <c r="HB103" t="e">
        <f>AND(Bills!#REF!,"AAAAAD/+79E=")</f>
        <v>#REF!</v>
      </c>
      <c r="HC103" t="e">
        <f>AND(Bills!K287,"AAAAAD/+79I=")</f>
        <v>#VALUE!</v>
      </c>
      <c r="HD103" t="e">
        <f>AND(Bills!L287,"AAAAAD/+79M=")</f>
        <v>#VALUE!</v>
      </c>
      <c r="HE103" t="e">
        <f>AND(Bills!M287,"AAAAAD/+79Q=")</f>
        <v>#VALUE!</v>
      </c>
      <c r="HF103" t="e">
        <f>AND(Bills!N287,"AAAAAD/+79U=")</f>
        <v>#VALUE!</v>
      </c>
      <c r="HG103" t="e">
        <f>AND(Bills!O287,"AAAAAD/+79Y=")</f>
        <v>#VALUE!</v>
      </c>
      <c r="HH103" t="e">
        <f>AND(Bills!P287,"AAAAAD/+79c=")</f>
        <v>#VALUE!</v>
      </c>
      <c r="HI103" t="e">
        <f>AND(Bills!Q287,"AAAAAD/+79g=")</f>
        <v>#VALUE!</v>
      </c>
      <c r="HJ103" t="e">
        <f>AND(Bills!R287,"AAAAAD/+79k=")</f>
        <v>#VALUE!</v>
      </c>
      <c r="HK103" t="e">
        <f>AND(Bills!#REF!,"AAAAAD/+79o=")</f>
        <v>#REF!</v>
      </c>
      <c r="HL103" t="e">
        <f>AND(Bills!S287,"AAAAAD/+79s=")</f>
        <v>#VALUE!</v>
      </c>
      <c r="HM103" t="e">
        <f>AND(Bills!T287,"AAAAAD/+79w=")</f>
        <v>#VALUE!</v>
      </c>
      <c r="HN103" t="e">
        <f>AND(Bills!U287,"AAAAAD/+790=")</f>
        <v>#VALUE!</v>
      </c>
      <c r="HO103" t="e">
        <f>AND(Bills!#REF!,"AAAAAD/+794=")</f>
        <v>#REF!</v>
      </c>
      <c r="HP103" t="e">
        <f>AND(Bills!#REF!,"AAAAAD/+798=")</f>
        <v>#REF!</v>
      </c>
      <c r="HQ103" t="e">
        <f>AND(Bills!W287,"AAAAAD/+7+A=")</f>
        <v>#VALUE!</v>
      </c>
      <c r="HR103" t="e">
        <f>AND(Bills!X287,"AAAAAD/+7+E=")</f>
        <v>#VALUE!</v>
      </c>
      <c r="HS103" t="e">
        <f>AND(Bills!#REF!,"AAAAAD/+7+I=")</f>
        <v>#REF!</v>
      </c>
      <c r="HT103" t="e">
        <f>AND(Bills!#REF!,"AAAAAD/+7+M=")</f>
        <v>#REF!</v>
      </c>
      <c r="HU103" t="e">
        <f>AND(Bills!#REF!,"AAAAAD/+7+Q=")</f>
        <v>#REF!</v>
      </c>
      <c r="HV103" t="e">
        <f>AND(Bills!#REF!,"AAAAAD/+7+U=")</f>
        <v>#REF!</v>
      </c>
      <c r="HW103" t="e">
        <f>AND(Bills!#REF!,"AAAAAD/+7+Y=")</f>
        <v>#REF!</v>
      </c>
      <c r="HX103" t="e">
        <f>AND(Bills!#REF!,"AAAAAD/+7+c=")</f>
        <v>#REF!</v>
      </c>
      <c r="HY103" t="e">
        <f>AND(Bills!#REF!,"AAAAAD/+7+g=")</f>
        <v>#REF!</v>
      </c>
      <c r="HZ103" t="e">
        <f>AND(Bills!#REF!,"AAAAAD/+7+k=")</f>
        <v>#REF!</v>
      </c>
      <c r="IA103" t="e">
        <f>AND(Bills!#REF!,"AAAAAD/+7+o=")</f>
        <v>#REF!</v>
      </c>
      <c r="IB103" t="e">
        <f>AND(Bills!Y287,"AAAAAD/+7+s=")</f>
        <v>#VALUE!</v>
      </c>
      <c r="IC103" t="e">
        <f>AND(Bills!Z287,"AAAAAD/+7+w=")</f>
        <v>#VALUE!</v>
      </c>
      <c r="ID103" t="e">
        <f>AND(Bills!#REF!,"AAAAAD/+7+0=")</f>
        <v>#REF!</v>
      </c>
      <c r="IE103" t="e">
        <f>AND(Bills!#REF!,"AAAAAD/+7+4=")</f>
        <v>#REF!</v>
      </c>
      <c r="IF103" t="e">
        <f>AND(Bills!#REF!,"AAAAAD/+7+8=")</f>
        <v>#REF!</v>
      </c>
      <c r="IG103" t="e">
        <f>AND(Bills!AA287,"AAAAAD/+7/A=")</f>
        <v>#VALUE!</v>
      </c>
      <c r="IH103" t="e">
        <f>AND(Bills!AB287,"AAAAAD/+7/E=")</f>
        <v>#VALUE!</v>
      </c>
      <c r="II103" t="e">
        <f>AND(Bills!#REF!,"AAAAAD/+7/I=")</f>
        <v>#REF!</v>
      </c>
      <c r="IJ103">
        <f>IF(Bills!288:288,"AAAAAD/+7/M=",0)</f>
        <v>0</v>
      </c>
      <c r="IK103" t="e">
        <f>AND(Bills!B288,"AAAAAD/+7/Q=")</f>
        <v>#VALUE!</v>
      </c>
      <c r="IL103" t="e">
        <f>AND(Bills!#REF!,"AAAAAD/+7/U=")</f>
        <v>#REF!</v>
      </c>
      <c r="IM103" t="e">
        <f>AND(Bills!C288,"AAAAAD/+7/Y=")</f>
        <v>#VALUE!</v>
      </c>
      <c r="IN103" t="e">
        <f>AND(Bills!#REF!,"AAAAAD/+7/c=")</f>
        <v>#REF!</v>
      </c>
      <c r="IO103" t="e">
        <f>AND(Bills!#REF!,"AAAAAD/+7/g=")</f>
        <v>#REF!</v>
      </c>
      <c r="IP103" t="e">
        <f>AND(Bills!#REF!,"AAAAAD/+7/k=")</f>
        <v>#REF!</v>
      </c>
      <c r="IQ103" t="e">
        <f>AND(Bills!#REF!,"AAAAAD/+7/o=")</f>
        <v>#REF!</v>
      </c>
      <c r="IR103" t="e">
        <f>AND(Bills!#REF!,"AAAAAD/+7/s=")</f>
        <v>#REF!</v>
      </c>
      <c r="IS103" t="e">
        <f>AND(Bills!D288,"AAAAAD/+7/w=")</f>
        <v>#VALUE!</v>
      </c>
      <c r="IT103" t="e">
        <f>AND(Bills!#REF!,"AAAAAD/+7/0=")</f>
        <v>#REF!</v>
      </c>
      <c r="IU103" t="e">
        <f>AND(Bills!E288,"AAAAAD/+7/4=")</f>
        <v>#VALUE!</v>
      </c>
      <c r="IV103" t="e">
        <f>AND(Bills!F288,"AAAAAD/+7/8=")</f>
        <v>#VALUE!</v>
      </c>
    </row>
    <row r="104" spans="1:256">
      <c r="A104" t="e">
        <f>AND(Bills!G288,"AAAAAD++vwA=")</f>
        <v>#VALUE!</v>
      </c>
      <c r="B104" t="e">
        <f>AND(Bills!H288,"AAAAAD++vwE=")</f>
        <v>#VALUE!</v>
      </c>
      <c r="C104" t="e">
        <f>AND(Bills!I288,"AAAAAD++vwI=")</f>
        <v>#VALUE!</v>
      </c>
      <c r="D104" t="e">
        <f>AND(Bills!J288,"AAAAAD++vwM=")</f>
        <v>#VALUE!</v>
      </c>
      <c r="E104" t="e">
        <f>AND(Bills!#REF!,"AAAAAD++vwQ=")</f>
        <v>#REF!</v>
      </c>
      <c r="F104" t="e">
        <f>AND(Bills!K288,"AAAAAD++vwU=")</f>
        <v>#VALUE!</v>
      </c>
      <c r="G104" t="e">
        <f>AND(Bills!L288,"AAAAAD++vwY=")</f>
        <v>#VALUE!</v>
      </c>
      <c r="H104" t="e">
        <f>AND(Bills!M288,"AAAAAD++vwc=")</f>
        <v>#VALUE!</v>
      </c>
      <c r="I104" t="e">
        <f>AND(Bills!N288,"AAAAAD++vwg=")</f>
        <v>#VALUE!</v>
      </c>
      <c r="J104" t="e">
        <f>AND(Bills!O288,"AAAAAD++vwk=")</f>
        <v>#VALUE!</v>
      </c>
      <c r="K104" t="e">
        <f>AND(Bills!P288,"AAAAAD++vwo=")</f>
        <v>#VALUE!</v>
      </c>
      <c r="L104" t="e">
        <f>AND(Bills!Q288,"AAAAAD++vws=")</f>
        <v>#VALUE!</v>
      </c>
      <c r="M104" t="e">
        <f>AND(Bills!R288,"AAAAAD++vww=")</f>
        <v>#VALUE!</v>
      </c>
      <c r="N104" t="e">
        <f>AND(Bills!#REF!,"AAAAAD++vw0=")</f>
        <v>#REF!</v>
      </c>
      <c r="O104" t="e">
        <f>AND(Bills!S288,"AAAAAD++vw4=")</f>
        <v>#VALUE!</v>
      </c>
      <c r="P104" t="e">
        <f>AND(Bills!T288,"AAAAAD++vw8=")</f>
        <v>#VALUE!</v>
      </c>
      <c r="Q104" t="e">
        <f>AND(Bills!U288,"AAAAAD++vxA=")</f>
        <v>#VALUE!</v>
      </c>
      <c r="R104" t="e">
        <f>AND(Bills!#REF!,"AAAAAD++vxE=")</f>
        <v>#REF!</v>
      </c>
      <c r="S104" t="e">
        <f>AND(Bills!#REF!,"AAAAAD++vxI=")</f>
        <v>#REF!</v>
      </c>
      <c r="T104" t="e">
        <f>AND(Bills!W288,"AAAAAD++vxM=")</f>
        <v>#VALUE!</v>
      </c>
      <c r="U104" t="e">
        <f>AND(Bills!X288,"AAAAAD++vxQ=")</f>
        <v>#VALUE!</v>
      </c>
      <c r="V104" t="e">
        <f>AND(Bills!#REF!,"AAAAAD++vxU=")</f>
        <v>#REF!</v>
      </c>
      <c r="W104" t="e">
        <f>AND(Bills!#REF!,"AAAAAD++vxY=")</f>
        <v>#REF!</v>
      </c>
      <c r="X104" t="e">
        <f>AND(Bills!#REF!,"AAAAAD++vxc=")</f>
        <v>#REF!</v>
      </c>
      <c r="Y104" t="e">
        <f>AND(Bills!#REF!,"AAAAAD++vxg=")</f>
        <v>#REF!</v>
      </c>
      <c r="Z104" t="e">
        <f>AND(Bills!#REF!,"AAAAAD++vxk=")</f>
        <v>#REF!</v>
      </c>
      <c r="AA104" t="e">
        <f>AND(Bills!#REF!,"AAAAAD++vxo=")</f>
        <v>#REF!</v>
      </c>
      <c r="AB104" t="e">
        <f>AND(Bills!#REF!,"AAAAAD++vxs=")</f>
        <v>#REF!</v>
      </c>
      <c r="AC104" t="e">
        <f>AND(Bills!#REF!,"AAAAAD++vxw=")</f>
        <v>#REF!</v>
      </c>
      <c r="AD104" t="e">
        <f>AND(Bills!#REF!,"AAAAAD++vx0=")</f>
        <v>#REF!</v>
      </c>
      <c r="AE104" t="e">
        <f>AND(Bills!Y288,"AAAAAD++vx4=")</f>
        <v>#VALUE!</v>
      </c>
      <c r="AF104" t="e">
        <f>AND(Bills!Z288,"AAAAAD++vx8=")</f>
        <v>#VALUE!</v>
      </c>
      <c r="AG104" t="e">
        <f>AND(Bills!#REF!,"AAAAAD++vyA=")</f>
        <v>#REF!</v>
      </c>
      <c r="AH104" t="e">
        <f>AND(Bills!#REF!,"AAAAAD++vyE=")</f>
        <v>#REF!</v>
      </c>
      <c r="AI104" t="e">
        <f>AND(Bills!#REF!,"AAAAAD++vyI=")</f>
        <v>#REF!</v>
      </c>
      <c r="AJ104" t="e">
        <f>AND(Bills!AA288,"AAAAAD++vyM=")</f>
        <v>#VALUE!</v>
      </c>
      <c r="AK104" t="e">
        <f>AND(Bills!AB288,"AAAAAD++vyQ=")</f>
        <v>#VALUE!</v>
      </c>
      <c r="AL104" t="e">
        <f>AND(Bills!#REF!,"AAAAAD++vyU=")</f>
        <v>#REF!</v>
      </c>
      <c r="AM104">
        <f>IF(Bills!289:289,"AAAAAD++vyY=",0)</f>
        <v>0</v>
      </c>
      <c r="AN104" t="e">
        <f>AND(Bills!B289,"AAAAAD++vyc=")</f>
        <v>#VALUE!</v>
      </c>
      <c r="AO104" t="e">
        <f>AND(Bills!#REF!,"AAAAAD++vyg=")</f>
        <v>#REF!</v>
      </c>
      <c r="AP104" t="e">
        <f>AND(Bills!C289,"AAAAAD++vyk=")</f>
        <v>#VALUE!</v>
      </c>
      <c r="AQ104" t="e">
        <f>AND(Bills!#REF!,"AAAAAD++vyo=")</f>
        <v>#REF!</v>
      </c>
      <c r="AR104" t="e">
        <f>AND(Bills!#REF!,"AAAAAD++vys=")</f>
        <v>#REF!</v>
      </c>
      <c r="AS104" t="e">
        <f>AND(Bills!#REF!,"AAAAAD++vyw=")</f>
        <v>#REF!</v>
      </c>
      <c r="AT104" t="e">
        <f>AND(Bills!#REF!,"AAAAAD++vy0=")</f>
        <v>#REF!</v>
      </c>
      <c r="AU104" t="e">
        <f>AND(Bills!#REF!,"AAAAAD++vy4=")</f>
        <v>#REF!</v>
      </c>
      <c r="AV104" t="e">
        <f>AND(Bills!D289,"AAAAAD++vy8=")</f>
        <v>#VALUE!</v>
      </c>
      <c r="AW104" t="e">
        <f>AND(Bills!#REF!,"AAAAAD++vzA=")</f>
        <v>#REF!</v>
      </c>
      <c r="AX104" t="e">
        <f>AND(Bills!E289,"AAAAAD++vzE=")</f>
        <v>#VALUE!</v>
      </c>
      <c r="AY104" t="e">
        <f>AND(Bills!F289,"AAAAAD++vzI=")</f>
        <v>#VALUE!</v>
      </c>
      <c r="AZ104" t="e">
        <f>AND(Bills!G289,"AAAAAD++vzM=")</f>
        <v>#VALUE!</v>
      </c>
      <c r="BA104" t="e">
        <f>AND(Bills!H289,"AAAAAD++vzQ=")</f>
        <v>#VALUE!</v>
      </c>
      <c r="BB104" t="e">
        <f>AND(Bills!I289,"AAAAAD++vzU=")</f>
        <v>#VALUE!</v>
      </c>
      <c r="BC104" t="e">
        <f>AND(Bills!J289,"AAAAAD++vzY=")</f>
        <v>#VALUE!</v>
      </c>
      <c r="BD104" t="e">
        <f>AND(Bills!#REF!,"AAAAAD++vzc=")</f>
        <v>#REF!</v>
      </c>
      <c r="BE104" t="e">
        <f>AND(Bills!K289,"AAAAAD++vzg=")</f>
        <v>#VALUE!</v>
      </c>
      <c r="BF104" t="e">
        <f>AND(Bills!L289,"AAAAAD++vzk=")</f>
        <v>#VALUE!</v>
      </c>
      <c r="BG104" t="e">
        <f>AND(Bills!M289,"AAAAAD++vzo=")</f>
        <v>#VALUE!</v>
      </c>
      <c r="BH104" t="e">
        <f>AND(Bills!N289,"AAAAAD++vzs=")</f>
        <v>#VALUE!</v>
      </c>
      <c r="BI104" t="e">
        <f>AND(Bills!O289,"AAAAAD++vzw=")</f>
        <v>#VALUE!</v>
      </c>
      <c r="BJ104" t="e">
        <f>AND(Bills!P289,"AAAAAD++vz0=")</f>
        <v>#VALUE!</v>
      </c>
      <c r="BK104" t="e">
        <f>AND(Bills!Q289,"AAAAAD++vz4=")</f>
        <v>#VALUE!</v>
      </c>
      <c r="BL104" t="e">
        <f>AND(Bills!R289,"AAAAAD++vz8=")</f>
        <v>#VALUE!</v>
      </c>
      <c r="BM104" t="e">
        <f>AND(Bills!#REF!,"AAAAAD++v0A=")</f>
        <v>#REF!</v>
      </c>
      <c r="BN104" t="e">
        <f>AND(Bills!S289,"AAAAAD++v0E=")</f>
        <v>#VALUE!</v>
      </c>
      <c r="BO104" t="e">
        <f>AND(Bills!T289,"AAAAAD++v0I=")</f>
        <v>#VALUE!</v>
      </c>
      <c r="BP104" t="e">
        <f>AND(Bills!U289,"AAAAAD++v0M=")</f>
        <v>#VALUE!</v>
      </c>
      <c r="BQ104" t="e">
        <f>AND(Bills!#REF!,"AAAAAD++v0Q=")</f>
        <v>#REF!</v>
      </c>
      <c r="BR104" t="e">
        <f>AND(Bills!#REF!,"AAAAAD++v0U=")</f>
        <v>#REF!</v>
      </c>
      <c r="BS104" t="e">
        <f>AND(Bills!W289,"AAAAAD++v0Y=")</f>
        <v>#VALUE!</v>
      </c>
      <c r="BT104" t="e">
        <f>AND(Bills!X289,"AAAAAD++v0c=")</f>
        <v>#VALUE!</v>
      </c>
      <c r="BU104" t="e">
        <f>AND(Bills!#REF!,"AAAAAD++v0g=")</f>
        <v>#REF!</v>
      </c>
      <c r="BV104" t="e">
        <f>AND(Bills!#REF!,"AAAAAD++v0k=")</f>
        <v>#REF!</v>
      </c>
      <c r="BW104" t="e">
        <f>AND(Bills!#REF!,"AAAAAD++v0o=")</f>
        <v>#REF!</v>
      </c>
      <c r="BX104" t="e">
        <f>AND(Bills!#REF!,"AAAAAD++v0s=")</f>
        <v>#REF!</v>
      </c>
      <c r="BY104" t="e">
        <f>AND(Bills!#REF!,"AAAAAD++v0w=")</f>
        <v>#REF!</v>
      </c>
      <c r="BZ104" t="e">
        <f>AND(Bills!#REF!,"AAAAAD++v00=")</f>
        <v>#REF!</v>
      </c>
      <c r="CA104" t="e">
        <f>AND(Bills!#REF!,"AAAAAD++v04=")</f>
        <v>#REF!</v>
      </c>
      <c r="CB104" t="e">
        <f>AND(Bills!#REF!,"AAAAAD++v08=")</f>
        <v>#REF!</v>
      </c>
      <c r="CC104" t="e">
        <f>AND(Bills!#REF!,"AAAAAD++v1A=")</f>
        <v>#REF!</v>
      </c>
      <c r="CD104" t="e">
        <f>AND(Bills!Y289,"AAAAAD++v1E=")</f>
        <v>#VALUE!</v>
      </c>
      <c r="CE104" t="e">
        <f>AND(Bills!Z289,"AAAAAD++v1I=")</f>
        <v>#VALUE!</v>
      </c>
      <c r="CF104" t="e">
        <f>AND(Bills!#REF!,"AAAAAD++v1M=")</f>
        <v>#REF!</v>
      </c>
      <c r="CG104" t="e">
        <f>AND(Bills!#REF!,"AAAAAD++v1Q=")</f>
        <v>#REF!</v>
      </c>
      <c r="CH104" t="e">
        <f>AND(Bills!#REF!,"AAAAAD++v1U=")</f>
        <v>#REF!</v>
      </c>
      <c r="CI104" t="e">
        <f>AND(Bills!AA289,"AAAAAD++v1Y=")</f>
        <v>#VALUE!</v>
      </c>
      <c r="CJ104" t="e">
        <f>AND(Bills!AB289,"AAAAAD++v1c=")</f>
        <v>#VALUE!</v>
      </c>
      <c r="CK104" t="e">
        <f>AND(Bills!#REF!,"AAAAAD++v1g=")</f>
        <v>#REF!</v>
      </c>
      <c r="CL104">
        <f>IF(Bills!290:290,"AAAAAD++v1k=",0)</f>
        <v>0</v>
      </c>
      <c r="CM104" t="e">
        <f>AND(Bills!B290,"AAAAAD++v1o=")</f>
        <v>#VALUE!</v>
      </c>
      <c r="CN104" t="e">
        <f>AND(Bills!#REF!,"AAAAAD++v1s=")</f>
        <v>#REF!</v>
      </c>
      <c r="CO104" t="e">
        <f>AND(Bills!C290,"AAAAAD++v1w=")</f>
        <v>#VALUE!</v>
      </c>
      <c r="CP104" t="e">
        <f>AND(Bills!#REF!,"AAAAAD++v10=")</f>
        <v>#REF!</v>
      </c>
      <c r="CQ104" t="e">
        <f>AND(Bills!#REF!,"AAAAAD++v14=")</f>
        <v>#REF!</v>
      </c>
      <c r="CR104" t="e">
        <f>AND(Bills!#REF!,"AAAAAD++v18=")</f>
        <v>#REF!</v>
      </c>
      <c r="CS104" t="e">
        <f>AND(Bills!#REF!,"AAAAAD++v2A=")</f>
        <v>#REF!</v>
      </c>
      <c r="CT104" t="e">
        <f>AND(Bills!#REF!,"AAAAAD++v2E=")</f>
        <v>#REF!</v>
      </c>
      <c r="CU104" t="e">
        <f>AND(Bills!D290,"AAAAAD++v2I=")</f>
        <v>#VALUE!</v>
      </c>
      <c r="CV104" t="e">
        <f>AND(Bills!#REF!,"AAAAAD++v2M=")</f>
        <v>#REF!</v>
      </c>
      <c r="CW104" t="e">
        <f>AND(Bills!E290,"AAAAAD++v2Q=")</f>
        <v>#VALUE!</v>
      </c>
      <c r="CX104" t="e">
        <f>AND(Bills!F290,"AAAAAD++v2U=")</f>
        <v>#VALUE!</v>
      </c>
      <c r="CY104" t="e">
        <f>AND(Bills!G290,"AAAAAD++v2Y=")</f>
        <v>#VALUE!</v>
      </c>
      <c r="CZ104" t="e">
        <f>AND(Bills!H290,"AAAAAD++v2c=")</f>
        <v>#VALUE!</v>
      </c>
      <c r="DA104" t="e">
        <f>AND(Bills!I290,"AAAAAD++v2g=")</f>
        <v>#VALUE!</v>
      </c>
      <c r="DB104" t="e">
        <f>AND(Bills!J290,"AAAAAD++v2k=")</f>
        <v>#VALUE!</v>
      </c>
      <c r="DC104" t="e">
        <f>AND(Bills!#REF!,"AAAAAD++v2o=")</f>
        <v>#REF!</v>
      </c>
      <c r="DD104" t="e">
        <f>AND(Bills!K290,"AAAAAD++v2s=")</f>
        <v>#VALUE!</v>
      </c>
      <c r="DE104" t="e">
        <f>AND(Bills!L290,"AAAAAD++v2w=")</f>
        <v>#VALUE!</v>
      </c>
      <c r="DF104" t="e">
        <f>AND(Bills!M290,"AAAAAD++v20=")</f>
        <v>#VALUE!</v>
      </c>
      <c r="DG104" t="e">
        <f>AND(Bills!N290,"AAAAAD++v24=")</f>
        <v>#VALUE!</v>
      </c>
      <c r="DH104" t="e">
        <f>AND(Bills!O290,"AAAAAD++v28=")</f>
        <v>#VALUE!</v>
      </c>
      <c r="DI104" t="e">
        <f>AND(Bills!P290,"AAAAAD++v3A=")</f>
        <v>#VALUE!</v>
      </c>
      <c r="DJ104" t="e">
        <f>AND(Bills!Q290,"AAAAAD++v3E=")</f>
        <v>#VALUE!</v>
      </c>
      <c r="DK104" t="e">
        <f>AND(Bills!R290,"AAAAAD++v3I=")</f>
        <v>#VALUE!</v>
      </c>
      <c r="DL104" t="e">
        <f>AND(Bills!#REF!,"AAAAAD++v3M=")</f>
        <v>#REF!</v>
      </c>
      <c r="DM104" t="e">
        <f>AND(Bills!S290,"AAAAAD++v3Q=")</f>
        <v>#VALUE!</v>
      </c>
      <c r="DN104" t="e">
        <f>AND(Bills!T290,"AAAAAD++v3U=")</f>
        <v>#VALUE!</v>
      </c>
      <c r="DO104" t="e">
        <f>AND(Bills!U290,"AAAAAD++v3Y=")</f>
        <v>#VALUE!</v>
      </c>
      <c r="DP104" t="e">
        <f>AND(Bills!#REF!,"AAAAAD++v3c=")</f>
        <v>#REF!</v>
      </c>
      <c r="DQ104" t="e">
        <f>AND(Bills!#REF!,"AAAAAD++v3g=")</f>
        <v>#REF!</v>
      </c>
      <c r="DR104" t="e">
        <f>AND(Bills!W290,"AAAAAD++v3k=")</f>
        <v>#VALUE!</v>
      </c>
      <c r="DS104" t="e">
        <f>AND(Bills!X290,"AAAAAD++v3o=")</f>
        <v>#VALUE!</v>
      </c>
      <c r="DT104" t="e">
        <f>AND(Bills!#REF!,"AAAAAD++v3s=")</f>
        <v>#REF!</v>
      </c>
      <c r="DU104" t="e">
        <f>AND(Bills!#REF!,"AAAAAD++v3w=")</f>
        <v>#REF!</v>
      </c>
      <c r="DV104" t="e">
        <f>AND(Bills!#REF!,"AAAAAD++v30=")</f>
        <v>#REF!</v>
      </c>
      <c r="DW104" t="e">
        <f>AND(Bills!#REF!,"AAAAAD++v34=")</f>
        <v>#REF!</v>
      </c>
      <c r="DX104" t="e">
        <f>AND(Bills!#REF!,"AAAAAD++v38=")</f>
        <v>#REF!</v>
      </c>
      <c r="DY104" t="e">
        <f>AND(Bills!#REF!,"AAAAAD++v4A=")</f>
        <v>#REF!</v>
      </c>
      <c r="DZ104" t="e">
        <f>AND(Bills!#REF!,"AAAAAD++v4E=")</f>
        <v>#REF!</v>
      </c>
      <c r="EA104" t="e">
        <f>AND(Bills!#REF!,"AAAAAD++v4I=")</f>
        <v>#REF!</v>
      </c>
      <c r="EB104" t="e">
        <f>AND(Bills!#REF!,"AAAAAD++v4M=")</f>
        <v>#REF!</v>
      </c>
      <c r="EC104" t="e">
        <f>AND(Bills!Y290,"AAAAAD++v4Q=")</f>
        <v>#VALUE!</v>
      </c>
      <c r="ED104" t="e">
        <f>AND(Bills!Z290,"AAAAAD++v4U=")</f>
        <v>#VALUE!</v>
      </c>
      <c r="EE104" t="e">
        <f>AND(Bills!#REF!,"AAAAAD++v4Y=")</f>
        <v>#REF!</v>
      </c>
      <c r="EF104" t="e">
        <f>AND(Bills!#REF!,"AAAAAD++v4c=")</f>
        <v>#REF!</v>
      </c>
      <c r="EG104" t="e">
        <f>AND(Bills!#REF!,"AAAAAD++v4g=")</f>
        <v>#REF!</v>
      </c>
      <c r="EH104" t="e">
        <f>AND(Bills!AA290,"AAAAAD++v4k=")</f>
        <v>#VALUE!</v>
      </c>
      <c r="EI104" t="e">
        <f>AND(Bills!AB290,"AAAAAD++v4o=")</f>
        <v>#VALUE!</v>
      </c>
      <c r="EJ104" t="e">
        <f>AND(Bills!#REF!,"AAAAAD++v4s=")</f>
        <v>#REF!</v>
      </c>
      <c r="EK104">
        <f>IF(Bills!291:291,"AAAAAD++v4w=",0)</f>
        <v>0</v>
      </c>
      <c r="EL104" t="e">
        <f>AND(Bills!B291,"AAAAAD++v40=")</f>
        <v>#VALUE!</v>
      </c>
      <c r="EM104" t="e">
        <f>AND(Bills!#REF!,"AAAAAD++v44=")</f>
        <v>#REF!</v>
      </c>
      <c r="EN104" t="e">
        <f>AND(Bills!C291,"AAAAAD++v48=")</f>
        <v>#VALUE!</v>
      </c>
      <c r="EO104" t="e">
        <f>AND(Bills!#REF!,"AAAAAD++v5A=")</f>
        <v>#REF!</v>
      </c>
      <c r="EP104" t="e">
        <f>AND(Bills!#REF!,"AAAAAD++v5E=")</f>
        <v>#REF!</v>
      </c>
      <c r="EQ104" t="e">
        <f>AND(Bills!#REF!,"AAAAAD++v5I=")</f>
        <v>#REF!</v>
      </c>
      <c r="ER104" t="e">
        <f>AND(Bills!#REF!,"AAAAAD++v5M=")</f>
        <v>#REF!</v>
      </c>
      <c r="ES104" t="e">
        <f>AND(Bills!#REF!,"AAAAAD++v5Q=")</f>
        <v>#REF!</v>
      </c>
      <c r="ET104" t="e">
        <f>AND(Bills!D291,"AAAAAD++v5U=")</f>
        <v>#VALUE!</v>
      </c>
      <c r="EU104" t="e">
        <f>AND(Bills!#REF!,"AAAAAD++v5Y=")</f>
        <v>#REF!</v>
      </c>
      <c r="EV104" t="e">
        <f>AND(Bills!E291,"AAAAAD++v5c=")</f>
        <v>#VALUE!</v>
      </c>
      <c r="EW104" t="e">
        <f>AND(Bills!F291,"AAAAAD++v5g=")</f>
        <v>#VALUE!</v>
      </c>
      <c r="EX104" t="e">
        <f>AND(Bills!G291,"AAAAAD++v5k=")</f>
        <v>#VALUE!</v>
      </c>
      <c r="EY104" t="e">
        <f>AND(Bills!H291,"AAAAAD++v5o=")</f>
        <v>#VALUE!</v>
      </c>
      <c r="EZ104" t="e">
        <f>AND(Bills!I291,"AAAAAD++v5s=")</f>
        <v>#VALUE!</v>
      </c>
      <c r="FA104" t="e">
        <f>AND(Bills!J291,"AAAAAD++v5w=")</f>
        <v>#VALUE!</v>
      </c>
      <c r="FB104" t="e">
        <f>AND(Bills!#REF!,"AAAAAD++v50=")</f>
        <v>#REF!</v>
      </c>
      <c r="FC104" t="e">
        <f>AND(Bills!K291,"AAAAAD++v54=")</f>
        <v>#VALUE!</v>
      </c>
      <c r="FD104" t="e">
        <f>AND(Bills!L291,"AAAAAD++v58=")</f>
        <v>#VALUE!</v>
      </c>
      <c r="FE104" t="e">
        <f>AND(Bills!M291,"AAAAAD++v6A=")</f>
        <v>#VALUE!</v>
      </c>
      <c r="FF104" t="e">
        <f>AND(Bills!N291,"AAAAAD++v6E=")</f>
        <v>#VALUE!</v>
      </c>
      <c r="FG104" t="e">
        <f>AND(Bills!O291,"AAAAAD++v6I=")</f>
        <v>#VALUE!</v>
      </c>
      <c r="FH104" t="e">
        <f>AND(Bills!P291,"AAAAAD++v6M=")</f>
        <v>#VALUE!</v>
      </c>
      <c r="FI104" t="e">
        <f>AND(Bills!Q291,"AAAAAD++v6Q=")</f>
        <v>#VALUE!</v>
      </c>
      <c r="FJ104" t="e">
        <f>AND(Bills!R291,"AAAAAD++v6U=")</f>
        <v>#VALUE!</v>
      </c>
      <c r="FK104" t="e">
        <f>AND(Bills!#REF!,"AAAAAD++v6Y=")</f>
        <v>#REF!</v>
      </c>
      <c r="FL104" t="e">
        <f>AND(Bills!S291,"AAAAAD++v6c=")</f>
        <v>#VALUE!</v>
      </c>
      <c r="FM104" t="e">
        <f>AND(Bills!T291,"AAAAAD++v6g=")</f>
        <v>#VALUE!</v>
      </c>
      <c r="FN104" t="e">
        <f>AND(Bills!U291,"AAAAAD++v6k=")</f>
        <v>#VALUE!</v>
      </c>
      <c r="FO104" t="e">
        <f>AND(Bills!#REF!,"AAAAAD++v6o=")</f>
        <v>#REF!</v>
      </c>
      <c r="FP104" t="e">
        <f>AND(Bills!#REF!,"AAAAAD++v6s=")</f>
        <v>#REF!</v>
      </c>
      <c r="FQ104" t="e">
        <f>AND(Bills!W291,"AAAAAD++v6w=")</f>
        <v>#VALUE!</v>
      </c>
      <c r="FR104" t="e">
        <f>AND(Bills!X291,"AAAAAD++v60=")</f>
        <v>#VALUE!</v>
      </c>
      <c r="FS104" t="e">
        <f>AND(Bills!#REF!,"AAAAAD++v64=")</f>
        <v>#REF!</v>
      </c>
      <c r="FT104" t="e">
        <f>AND(Bills!#REF!,"AAAAAD++v68=")</f>
        <v>#REF!</v>
      </c>
      <c r="FU104" t="e">
        <f>AND(Bills!#REF!,"AAAAAD++v7A=")</f>
        <v>#REF!</v>
      </c>
      <c r="FV104" t="e">
        <f>AND(Bills!#REF!,"AAAAAD++v7E=")</f>
        <v>#REF!</v>
      </c>
      <c r="FW104" t="e">
        <f>AND(Bills!#REF!,"AAAAAD++v7I=")</f>
        <v>#REF!</v>
      </c>
      <c r="FX104" t="e">
        <f>AND(Bills!#REF!,"AAAAAD++v7M=")</f>
        <v>#REF!</v>
      </c>
      <c r="FY104" t="e">
        <f>AND(Bills!#REF!,"AAAAAD++v7Q=")</f>
        <v>#REF!</v>
      </c>
      <c r="FZ104" t="e">
        <f>AND(Bills!#REF!,"AAAAAD++v7U=")</f>
        <v>#REF!</v>
      </c>
      <c r="GA104" t="e">
        <f>AND(Bills!#REF!,"AAAAAD++v7Y=")</f>
        <v>#REF!</v>
      </c>
      <c r="GB104" t="e">
        <f>AND(Bills!Y291,"AAAAAD++v7c=")</f>
        <v>#VALUE!</v>
      </c>
      <c r="GC104" t="e">
        <f>AND(Bills!Z291,"AAAAAD++v7g=")</f>
        <v>#VALUE!</v>
      </c>
      <c r="GD104" t="e">
        <f>AND(Bills!#REF!,"AAAAAD++v7k=")</f>
        <v>#REF!</v>
      </c>
      <c r="GE104" t="e">
        <f>AND(Bills!#REF!,"AAAAAD++v7o=")</f>
        <v>#REF!</v>
      </c>
      <c r="GF104" t="e">
        <f>AND(Bills!#REF!,"AAAAAD++v7s=")</f>
        <v>#REF!</v>
      </c>
      <c r="GG104" t="e">
        <f>AND(Bills!AA291,"AAAAAD++v7w=")</f>
        <v>#VALUE!</v>
      </c>
      <c r="GH104" t="e">
        <f>AND(Bills!AB291,"AAAAAD++v70=")</f>
        <v>#VALUE!</v>
      </c>
      <c r="GI104" t="e">
        <f>AND(Bills!#REF!,"AAAAAD++v74=")</f>
        <v>#REF!</v>
      </c>
      <c r="GJ104">
        <f>IF(Bills!292:292,"AAAAAD++v78=",0)</f>
        <v>0</v>
      </c>
      <c r="GK104" t="e">
        <f>AND(Bills!B292,"AAAAAD++v8A=")</f>
        <v>#VALUE!</v>
      </c>
      <c r="GL104" t="e">
        <f>AND(Bills!#REF!,"AAAAAD++v8E=")</f>
        <v>#REF!</v>
      </c>
      <c r="GM104" t="e">
        <f>AND(Bills!C292,"AAAAAD++v8I=")</f>
        <v>#VALUE!</v>
      </c>
      <c r="GN104" t="e">
        <f>AND(Bills!#REF!,"AAAAAD++v8M=")</f>
        <v>#REF!</v>
      </c>
      <c r="GO104" t="e">
        <f>AND(Bills!#REF!,"AAAAAD++v8Q=")</f>
        <v>#REF!</v>
      </c>
      <c r="GP104" t="e">
        <f>AND(Bills!#REF!,"AAAAAD++v8U=")</f>
        <v>#REF!</v>
      </c>
      <c r="GQ104" t="e">
        <f>AND(Bills!#REF!,"AAAAAD++v8Y=")</f>
        <v>#REF!</v>
      </c>
      <c r="GR104" t="e">
        <f>AND(Bills!#REF!,"AAAAAD++v8c=")</f>
        <v>#REF!</v>
      </c>
      <c r="GS104" t="e">
        <f>AND(Bills!D292,"AAAAAD++v8g=")</f>
        <v>#VALUE!</v>
      </c>
      <c r="GT104" t="e">
        <f>AND(Bills!#REF!,"AAAAAD++v8k=")</f>
        <v>#REF!</v>
      </c>
      <c r="GU104" t="e">
        <f>AND(Bills!E292,"AAAAAD++v8o=")</f>
        <v>#VALUE!</v>
      </c>
      <c r="GV104" t="e">
        <f>AND(Bills!F292,"AAAAAD++v8s=")</f>
        <v>#VALUE!</v>
      </c>
      <c r="GW104" t="e">
        <f>AND(Bills!G292,"AAAAAD++v8w=")</f>
        <v>#VALUE!</v>
      </c>
      <c r="GX104" t="e">
        <f>AND(Bills!H292,"AAAAAD++v80=")</f>
        <v>#VALUE!</v>
      </c>
      <c r="GY104" t="e">
        <f>AND(Bills!I292,"AAAAAD++v84=")</f>
        <v>#VALUE!</v>
      </c>
      <c r="GZ104" t="e">
        <f>AND(Bills!J292,"AAAAAD++v88=")</f>
        <v>#VALUE!</v>
      </c>
      <c r="HA104" t="e">
        <f>AND(Bills!#REF!,"AAAAAD++v9A=")</f>
        <v>#REF!</v>
      </c>
      <c r="HB104" t="e">
        <f>AND(Bills!K292,"AAAAAD++v9E=")</f>
        <v>#VALUE!</v>
      </c>
      <c r="HC104" t="e">
        <f>AND(Bills!L292,"AAAAAD++v9I=")</f>
        <v>#VALUE!</v>
      </c>
      <c r="HD104" t="e">
        <f>AND(Bills!M292,"AAAAAD++v9M=")</f>
        <v>#VALUE!</v>
      </c>
      <c r="HE104" t="e">
        <f>AND(Bills!N292,"AAAAAD++v9Q=")</f>
        <v>#VALUE!</v>
      </c>
      <c r="HF104" t="e">
        <f>AND(Bills!O292,"AAAAAD++v9U=")</f>
        <v>#VALUE!</v>
      </c>
      <c r="HG104" t="e">
        <f>AND(Bills!P292,"AAAAAD++v9Y=")</f>
        <v>#VALUE!</v>
      </c>
      <c r="HH104" t="e">
        <f>AND(Bills!Q292,"AAAAAD++v9c=")</f>
        <v>#VALUE!</v>
      </c>
      <c r="HI104" t="e">
        <f>AND(Bills!R292,"AAAAAD++v9g=")</f>
        <v>#VALUE!</v>
      </c>
      <c r="HJ104" t="e">
        <f>AND(Bills!#REF!,"AAAAAD++v9k=")</f>
        <v>#REF!</v>
      </c>
      <c r="HK104" t="e">
        <f>AND(Bills!S292,"AAAAAD++v9o=")</f>
        <v>#VALUE!</v>
      </c>
      <c r="HL104" t="e">
        <f>AND(Bills!T292,"AAAAAD++v9s=")</f>
        <v>#VALUE!</v>
      </c>
      <c r="HM104" t="e">
        <f>AND(Bills!U292,"AAAAAD++v9w=")</f>
        <v>#VALUE!</v>
      </c>
      <c r="HN104" t="e">
        <f>AND(Bills!#REF!,"AAAAAD++v90=")</f>
        <v>#REF!</v>
      </c>
      <c r="HO104" t="e">
        <f>AND(Bills!#REF!,"AAAAAD++v94=")</f>
        <v>#REF!</v>
      </c>
      <c r="HP104" t="e">
        <f>AND(Bills!W292,"AAAAAD++v98=")</f>
        <v>#VALUE!</v>
      </c>
      <c r="HQ104" t="e">
        <f>AND(Bills!X292,"AAAAAD++v+A=")</f>
        <v>#VALUE!</v>
      </c>
      <c r="HR104" t="e">
        <f>AND(Bills!#REF!,"AAAAAD++v+E=")</f>
        <v>#REF!</v>
      </c>
      <c r="HS104" t="e">
        <f>AND(Bills!#REF!,"AAAAAD++v+I=")</f>
        <v>#REF!</v>
      </c>
      <c r="HT104" t="e">
        <f>AND(Bills!#REF!,"AAAAAD++v+M=")</f>
        <v>#REF!</v>
      </c>
      <c r="HU104" t="e">
        <f>AND(Bills!#REF!,"AAAAAD++v+Q=")</f>
        <v>#REF!</v>
      </c>
      <c r="HV104" t="e">
        <f>AND(Bills!#REF!,"AAAAAD++v+U=")</f>
        <v>#REF!</v>
      </c>
      <c r="HW104" t="e">
        <f>AND(Bills!#REF!,"AAAAAD++v+Y=")</f>
        <v>#REF!</v>
      </c>
      <c r="HX104" t="e">
        <f>AND(Bills!#REF!,"AAAAAD++v+c=")</f>
        <v>#REF!</v>
      </c>
      <c r="HY104" t="e">
        <f>AND(Bills!#REF!,"AAAAAD++v+g=")</f>
        <v>#REF!</v>
      </c>
      <c r="HZ104" t="e">
        <f>AND(Bills!#REF!,"AAAAAD++v+k=")</f>
        <v>#REF!</v>
      </c>
      <c r="IA104" t="e">
        <f>AND(Bills!Y292,"AAAAAD++v+o=")</f>
        <v>#VALUE!</v>
      </c>
      <c r="IB104" t="e">
        <f>AND(Bills!Z292,"AAAAAD++v+s=")</f>
        <v>#VALUE!</v>
      </c>
      <c r="IC104" t="e">
        <f>AND(Bills!#REF!,"AAAAAD++v+w=")</f>
        <v>#REF!</v>
      </c>
      <c r="ID104" t="e">
        <f>AND(Bills!#REF!,"AAAAAD++v+0=")</f>
        <v>#REF!</v>
      </c>
      <c r="IE104" t="e">
        <f>AND(Bills!#REF!,"AAAAAD++v+4=")</f>
        <v>#REF!</v>
      </c>
      <c r="IF104" t="e">
        <f>AND(Bills!AA292,"AAAAAD++v+8=")</f>
        <v>#VALUE!</v>
      </c>
      <c r="IG104" t="e">
        <f>AND(Bills!AB292,"AAAAAD++v/A=")</f>
        <v>#VALUE!</v>
      </c>
      <c r="IH104" t="e">
        <f>AND(Bills!#REF!,"AAAAAD++v/E=")</f>
        <v>#REF!</v>
      </c>
      <c r="II104">
        <f>IF(Bills!293:293,"AAAAAD++v/I=",0)</f>
        <v>0</v>
      </c>
      <c r="IJ104" t="e">
        <f>AND(Bills!B293,"AAAAAD++v/M=")</f>
        <v>#VALUE!</v>
      </c>
      <c r="IK104" t="e">
        <f>AND(Bills!#REF!,"AAAAAD++v/Q=")</f>
        <v>#REF!</v>
      </c>
      <c r="IL104" t="e">
        <f>AND(Bills!C293,"AAAAAD++v/U=")</f>
        <v>#VALUE!</v>
      </c>
      <c r="IM104" t="e">
        <f>AND(Bills!#REF!,"AAAAAD++v/Y=")</f>
        <v>#REF!</v>
      </c>
      <c r="IN104" t="e">
        <f>AND(Bills!#REF!,"AAAAAD++v/c=")</f>
        <v>#REF!</v>
      </c>
      <c r="IO104" t="e">
        <f>AND(Bills!#REF!,"AAAAAD++v/g=")</f>
        <v>#REF!</v>
      </c>
      <c r="IP104" t="e">
        <f>AND(Bills!#REF!,"AAAAAD++v/k=")</f>
        <v>#REF!</v>
      </c>
      <c r="IQ104" t="e">
        <f>AND(Bills!#REF!,"AAAAAD++v/o=")</f>
        <v>#REF!</v>
      </c>
      <c r="IR104" t="e">
        <f>AND(Bills!D293,"AAAAAD++v/s=")</f>
        <v>#VALUE!</v>
      </c>
      <c r="IS104" t="e">
        <f>AND(Bills!#REF!,"AAAAAD++v/w=")</f>
        <v>#REF!</v>
      </c>
      <c r="IT104" t="e">
        <f>AND(Bills!E293,"AAAAAD++v/0=")</f>
        <v>#VALUE!</v>
      </c>
      <c r="IU104" t="e">
        <f>AND(Bills!F293,"AAAAAD++v/4=")</f>
        <v>#VALUE!</v>
      </c>
      <c r="IV104" t="e">
        <f>AND(Bills!G293,"AAAAAD++v/8=")</f>
        <v>#VALUE!</v>
      </c>
    </row>
    <row r="105" spans="1:256">
      <c r="A105" t="e">
        <f>AND(Bills!H293,"AAAAAHv/+QA=")</f>
        <v>#VALUE!</v>
      </c>
      <c r="B105" t="e">
        <f>AND(Bills!I293,"AAAAAHv/+QE=")</f>
        <v>#VALUE!</v>
      </c>
      <c r="C105" t="e">
        <f>AND(Bills!J293,"AAAAAHv/+QI=")</f>
        <v>#VALUE!</v>
      </c>
      <c r="D105" t="e">
        <f>AND(Bills!#REF!,"AAAAAHv/+QM=")</f>
        <v>#REF!</v>
      </c>
      <c r="E105" t="e">
        <f>AND(Bills!K293,"AAAAAHv/+QQ=")</f>
        <v>#VALUE!</v>
      </c>
      <c r="F105" t="e">
        <f>AND(Bills!L293,"AAAAAHv/+QU=")</f>
        <v>#VALUE!</v>
      </c>
      <c r="G105" t="e">
        <f>AND(Bills!M293,"AAAAAHv/+QY=")</f>
        <v>#VALUE!</v>
      </c>
      <c r="H105" t="e">
        <f>AND(Bills!N293,"AAAAAHv/+Qc=")</f>
        <v>#VALUE!</v>
      </c>
      <c r="I105" t="e">
        <f>AND(Bills!O293,"AAAAAHv/+Qg=")</f>
        <v>#VALUE!</v>
      </c>
      <c r="J105" t="e">
        <f>AND(Bills!P293,"AAAAAHv/+Qk=")</f>
        <v>#VALUE!</v>
      </c>
      <c r="K105" t="e">
        <f>AND(Bills!Q293,"AAAAAHv/+Qo=")</f>
        <v>#VALUE!</v>
      </c>
      <c r="L105" t="e">
        <f>AND(Bills!R293,"AAAAAHv/+Qs=")</f>
        <v>#VALUE!</v>
      </c>
      <c r="M105" t="e">
        <f>AND(Bills!#REF!,"AAAAAHv/+Qw=")</f>
        <v>#REF!</v>
      </c>
      <c r="N105" t="e">
        <f>AND(Bills!S293,"AAAAAHv/+Q0=")</f>
        <v>#VALUE!</v>
      </c>
      <c r="O105" t="e">
        <f>AND(Bills!T293,"AAAAAHv/+Q4=")</f>
        <v>#VALUE!</v>
      </c>
      <c r="P105" t="e">
        <f>AND(Bills!U293,"AAAAAHv/+Q8=")</f>
        <v>#VALUE!</v>
      </c>
      <c r="Q105" t="e">
        <f>AND(Bills!#REF!,"AAAAAHv/+RA=")</f>
        <v>#REF!</v>
      </c>
      <c r="R105" t="e">
        <f>AND(Bills!#REF!,"AAAAAHv/+RE=")</f>
        <v>#REF!</v>
      </c>
      <c r="S105" t="e">
        <f>AND(Bills!W293,"AAAAAHv/+RI=")</f>
        <v>#VALUE!</v>
      </c>
      <c r="T105" t="e">
        <f>AND(Bills!X293,"AAAAAHv/+RM=")</f>
        <v>#VALUE!</v>
      </c>
      <c r="U105" t="e">
        <f>AND(Bills!#REF!,"AAAAAHv/+RQ=")</f>
        <v>#REF!</v>
      </c>
      <c r="V105" t="e">
        <f>AND(Bills!#REF!,"AAAAAHv/+RU=")</f>
        <v>#REF!</v>
      </c>
      <c r="W105" t="e">
        <f>AND(Bills!#REF!,"AAAAAHv/+RY=")</f>
        <v>#REF!</v>
      </c>
      <c r="X105" t="e">
        <f>AND(Bills!#REF!,"AAAAAHv/+Rc=")</f>
        <v>#REF!</v>
      </c>
      <c r="Y105" t="e">
        <f>AND(Bills!#REF!,"AAAAAHv/+Rg=")</f>
        <v>#REF!</v>
      </c>
      <c r="Z105" t="e">
        <f>AND(Bills!#REF!,"AAAAAHv/+Rk=")</f>
        <v>#REF!</v>
      </c>
      <c r="AA105" t="e">
        <f>AND(Bills!#REF!,"AAAAAHv/+Ro=")</f>
        <v>#REF!</v>
      </c>
      <c r="AB105" t="e">
        <f>AND(Bills!#REF!,"AAAAAHv/+Rs=")</f>
        <v>#REF!</v>
      </c>
      <c r="AC105" t="e">
        <f>AND(Bills!#REF!,"AAAAAHv/+Rw=")</f>
        <v>#REF!</v>
      </c>
      <c r="AD105" t="e">
        <f>AND(Bills!Y293,"AAAAAHv/+R0=")</f>
        <v>#VALUE!</v>
      </c>
      <c r="AE105" t="e">
        <f>AND(Bills!Z293,"AAAAAHv/+R4=")</f>
        <v>#VALUE!</v>
      </c>
      <c r="AF105" t="e">
        <f>AND(Bills!#REF!,"AAAAAHv/+R8=")</f>
        <v>#REF!</v>
      </c>
      <c r="AG105" t="e">
        <f>AND(Bills!#REF!,"AAAAAHv/+SA=")</f>
        <v>#REF!</v>
      </c>
      <c r="AH105" t="e">
        <f>AND(Bills!#REF!,"AAAAAHv/+SE=")</f>
        <v>#REF!</v>
      </c>
      <c r="AI105" t="e">
        <f>AND(Bills!AA293,"AAAAAHv/+SI=")</f>
        <v>#VALUE!</v>
      </c>
      <c r="AJ105" t="e">
        <f>AND(Bills!AB293,"AAAAAHv/+SM=")</f>
        <v>#VALUE!</v>
      </c>
      <c r="AK105" t="e">
        <f>AND(Bills!#REF!,"AAAAAHv/+SQ=")</f>
        <v>#REF!</v>
      </c>
      <c r="AL105">
        <f>IF(Bills!294:294,"AAAAAHv/+SU=",0)</f>
        <v>0</v>
      </c>
      <c r="AM105" t="e">
        <f>AND(Bills!B294,"AAAAAHv/+SY=")</f>
        <v>#VALUE!</v>
      </c>
      <c r="AN105" t="e">
        <f>AND(Bills!#REF!,"AAAAAHv/+Sc=")</f>
        <v>#REF!</v>
      </c>
      <c r="AO105" t="e">
        <f>AND(Bills!C294,"AAAAAHv/+Sg=")</f>
        <v>#VALUE!</v>
      </c>
      <c r="AP105" t="e">
        <f>AND(Bills!#REF!,"AAAAAHv/+Sk=")</f>
        <v>#REF!</v>
      </c>
      <c r="AQ105" t="e">
        <f>AND(Bills!#REF!,"AAAAAHv/+So=")</f>
        <v>#REF!</v>
      </c>
      <c r="AR105" t="e">
        <f>AND(Bills!#REF!,"AAAAAHv/+Ss=")</f>
        <v>#REF!</v>
      </c>
      <c r="AS105" t="e">
        <f>AND(Bills!#REF!,"AAAAAHv/+Sw=")</f>
        <v>#REF!</v>
      </c>
      <c r="AT105" t="e">
        <f>AND(Bills!#REF!,"AAAAAHv/+S0=")</f>
        <v>#REF!</v>
      </c>
      <c r="AU105" t="e">
        <f>AND(Bills!D294,"AAAAAHv/+S4=")</f>
        <v>#VALUE!</v>
      </c>
      <c r="AV105" t="e">
        <f>AND(Bills!#REF!,"AAAAAHv/+S8=")</f>
        <v>#REF!</v>
      </c>
      <c r="AW105" t="e">
        <f>AND(Bills!E294,"AAAAAHv/+TA=")</f>
        <v>#VALUE!</v>
      </c>
      <c r="AX105" t="e">
        <f>AND(Bills!F294,"AAAAAHv/+TE=")</f>
        <v>#VALUE!</v>
      </c>
      <c r="AY105" t="e">
        <f>AND(Bills!G294,"AAAAAHv/+TI=")</f>
        <v>#VALUE!</v>
      </c>
      <c r="AZ105" t="e">
        <f>AND(Bills!H294,"AAAAAHv/+TM=")</f>
        <v>#VALUE!</v>
      </c>
      <c r="BA105" t="e">
        <f>AND(Bills!I294,"AAAAAHv/+TQ=")</f>
        <v>#VALUE!</v>
      </c>
      <c r="BB105" t="e">
        <f>AND(Bills!J294,"AAAAAHv/+TU=")</f>
        <v>#VALUE!</v>
      </c>
      <c r="BC105" t="e">
        <f>AND(Bills!#REF!,"AAAAAHv/+TY=")</f>
        <v>#REF!</v>
      </c>
      <c r="BD105" t="e">
        <f>AND(Bills!K294,"AAAAAHv/+Tc=")</f>
        <v>#VALUE!</v>
      </c>
      <c r="BE105" t="e">
        <f>AND(Bills!L294,"AAAAAHv/+Tg=")</f>
        <v>#VALUE!</v>
      </c>
      <c r="BF105" t="e">
        <f>AND(Bills!M294,"AAAAAHv/+Tk=")</f>
        <v>#VALUE!</v>
      </c>
      <c r="BG105" t="e">
        <f>AND(Bills!N294,"AAAAAHv/+To=")</f>
        <v>#VALUE!</v>
      </c>
      <c r="BH105" t="e">
        <f>AND(Bills!O294,"AAAAAHv/+Ts=")</f>
        <v>#VALUE!</v>
      </c>
      <c r="BI105" t="e">
        <f>AND(Bills!P294,"AAAAAHv/+Tw=")</f>
        <v>#VALUE!</v>
      </c>
      <c r="BJ105" t="e">
        <f>AND(Bills!Q294,"AAAAAHv/+T0=")</f>
        <v>#VALUE!</v>
      </c>
      <c r="BK105" t="e">
        <f>AND(Bills!R294,"AAAAAHv/+T4=")</f>
        <v>#VALUE!</v>
      </c>
      <c r="BL105" t="e">
        <f>AND(Bills!#REF!,"AAAAAHv/+T8=")</f>
        <v>#REF!</v>
      </c>
      <c r="BM105" t="e">
        <f>AND(Bills!S294,"AAAAAHv/+UA=")</f>
        <v>#VALUE!</v>
      </c>
      <c r="BN105" t="e">
        <f>AND(Bills!T294,"AAAAAHv/+UE=")</f>
        <v>#VALUE!</v>
      </c>
      <c r="BO105" t="e">
        <f>AND(Bills!U294,"AAAAAHv/+UI=")</f>
        <v>#VALUE!</v>
      </c>
      <c r="BP105" t="e">
        <f>AND(Bills!#REF!,"AAAAAHv/+UM=")</f>
        <v>#REF!</v>
      </c>
      <c r="BQ105" t="e">
        <f>AND(Bills!#REF!,"AAAAAHv/+UQ=")</f>
        <v>#REF!</v>
      </c>
      <c r="BR105" t="e">
        <f>AND(Bills!W294,"AAAAAHv/+UU=")</f>
        <v>#VALUE!</v>
      </c>
      <c r="BS105" t="e">
        <f>AND(Bills!X294,"AAAAAHv/+UY=")</f>
        <v>#VALUE!</v>
      </c>
      <c r="BT105" t="e">
        <f>AND(Bills!#REF!,"AAAAAHv/+Uc=")</f>
        <v>#REF!</v>
      </c>
      <c r="BU105" t="e">
        <f>AND(Bills!#REF!,"AAAAAHv/+Ug=")</f>
        <v>#REF!</v>
      </c>
      <c r="BV105" t="e">
        <f>AND(Bills!#REF!,"AAAAAHv/+Uk=")</f>
        <v>#REF!</v>
      </c>
      <c r="BW105" t="e">
        <f>AND(Bills!#REF!,"AAAAAHv/+Uo=")</f>
        <v>#REF!</v>
      </c>
      <c r="BX105" t="e">
        <f>AND(Bills!#REF!,"AAAAAHv/+Us=")</f>
        <v>#REF!</v>
      </c>
      <c r="BY105" t="e">
        <f>AND(Bills!#REF!,"AAAAAHv/+Uw=")</f>
        <v>#REF!</v>
      </c>
      <c r="BZ105" t="e">
        <f>AND(Bills!#REF!,"AAAAAHv/+U0=")</f>
        <v>#REF!</v>
      </c>
      <c r="CA105" t="e">
        <f>AND(Bills!#REF!,"AAAAAHv/+U4=")</f>
        <v>#REF!</v>
      </c>
      <c r="CB105" t="e">
        <f>AND(Bills!#REF!,"AAAAAHv/+U8=")</f>
        <v>#REF!</v>
      </c>
      <c r="CC105" t="e">
        <f>AND(Bills!Y294,"AAAAAHv/+VA=")</f>
        <v>#VALUE!</v>
      </c>
      <c r="CD105" t="e">
        <f>AND(Bills!Z294,"AAAAAHv/+VE=")</f>
        <v>#VALUE!</v>
      </c>
      <c r="CE105" t="e">
        <f>AND(Bills!#REF!,"AAAAAHv/+VI=")</f>
        <v>#REF!</v>
      </c>
      <c r="CF105" t="e">
        <f>AND(Bills!#REF!,"AAAAAHv/+VM=")</f>
        <v>#REF!</v>
      </c>
      <c r="CG105" t="e">
        <f>AND(Bills!#REF!,"AAAAAHv/+VQ=")</f>
        <v>#REF!</v>
      </c>
      <c r="CH105" t="e">
        <f>AND(Bills!AA294,"AAAAAHv/+VU=")</f>
        <v>#VALUE!</v>
      </c>
      <c r="CI105" t="e">
        <f>AND(Bills!AB294,"AAAAAHv/+VY=")</f>
        <v>#VALUE!</v>
      </c>
      <c r="CJ105" t="e">
        <f>AND(Bills!#REF!,"AAAAAHv/+Vc=")</f>
        <v>#REF!</v>
      </c>
      <c r="CK105">
        <f>IF(Bills!295:295,"AAAAAHv/+Vg=",0)</f>
        <v>0</v>
      </c>
      <c r="CL105" t="e">
        <f>AND(Bills!B295,"AAAAAHv/+Vk=")</f>
        <v>#VALUE!</v>
      </c>
      <c r="CM105" t="e">
        <f>AND(Bills!#REF!,"AAAAAHv/+Vo=")</f>
        <v>#REF!</v>
      </c>
      <c r="CN105" t="e">
        <f>AND(Bills!C295,"AAAAAHv/+Vs=")</f>
        <v>#VALUE!</v>
      </c>
      <c r="CO105" t="e">
        <f>AND(Bills!#REF!,"AAAAAHv/+Vw=")</f>
        <v>#REF!</v>
      </c>
      <c r="CP105" t="e">
        <f>AND(Bills!#REF!,"AAAAAHv/+V0=")</f>
        <v>#REF!</v>
      </c>
      <c r="CQ105" t="e">
        <f>AND(Bills!#REF!,"AAAAAHv/+V4=")</f>
        <v>#REF!</v>
      </c>
      <c r="CR105" t="e">
        <f>AND(Bills!#REF!,"AAAAAHv/+V8=")</f>
        <v>#REF!</v>
      </c>
      <c r="CS105" t="e">
        <f>AND(Bills!#REF!,"AAAAAHv/+WA=")</f>
        <v>#REF!</v>
      </c>
      <c r="CT105" t="e">
        <f>AND(Bills!D295,"AAAAAHv/+WE=")</f>
        <v>#VALUE!</v>
      </c>
      <c r="CU105" t="e">
        <f>AND(Bills!#REF!,"AAAAAHv/+WI=")</f>
        <v>#REF!</v>
      </c>
      <c r="CV105" t="e">
        <f>AND(Bills!E295,"AAAAAHv/+WM=")</f>
        <v>#VALUE!</v>
      </c>
      <c r="CW105" t="e">
        <f>AND(Bills!F295,"AAAAAHv/+WQ=")</f>
        <v>#VALUE!</v>
      </c>
      <c r="CX105" t="e">
        <f>AND(Bills!G295,"AAAAAHv/+WU=")</f>
        <v>#VALUE!</v>
      </c>
      <c r="CY105" t="e">
        <f>AND(Bills!H295,"AAAAAHv/+WY=")</f>
        <v>#VALUE!</v>
      </c>
      <c r="CZ105" t="e">
        <f>AND(Bills!I295,"AAAAAHv/+Wc=")</f>
        <v>#VALUE!</v>
      </c>
      <c r="DA105" t="e">
        <f>AND(Bills!J295,"AAAAAHv/+Wg=")</f>
        <v>#VALUE!</v>
      </c>
      <c r="DB105" t="e">
        <f>AND(Bills!#REF!,"AAAAAHv/+Wk=")</f>
        <v>#REF!</v>
      </c>
      <c r="DC105" t="e">
        <f>AND(Bills!K295,"AAAAAHv/+Wo=")</f>
        <v>#VALUE!</v>
      </c>
      <c r="DD105" t="e">
        <f>AND(Bills!L295,"AAAAAHv/+Ws=")</f>
        <v>#VALUE!</v>
      </c>
      <c r="DE105" t="e">
        <f>AND(Bills!M295,"AAAAAHv/+Ww=")</f>
        <v>#VALUE!</v>
      </c>
      <c r="DF105" t="e">
        <f>AND(Bills!N295,"AAAAAHv/+W0=")</f>
        <v>#VALUE!</v>
      </c>
      <c r="DG105" t="e">
        <f>AND(Bills!O295,"AAAAAHv/+W4=")</f>
        <v>#VALUE!</v>
      </c>
      <c r="DH105" t="e">
        <f>AND(Bills!P295,"AAAAAHv/+W8=")</f>
        <v>#VALUE!</v>
      </c>
      <c r="DI105" t="e">
        <f>AND(Bills!Q295,"AAAAAHv/+XA=")</f>
        <v>#VALUE!</v>
      </c>
      <c r="DJ105" t="e">
        <f>AND(Bills!R295,"AAAAAHv/+XE=")</f>
        <v>#VALUE!</v>
      </c>
      <c r="DK105" t="e">
        <f>AND(Bills!#REF!,"AAAAAHv/+XI=")</f>
        <v>#REF!</v>
      </c>
      <c r="DL105" t="e">
        <f>AND(Bills!S295,"AAAAAHv/+XM=")</f>
        <v>#VALUE!</v>
      </c>
      <c r="DM105" t="e">
        <f>AND(Bills!T295,"AAAAAHv/+XQ=")</f>
        <v>#VALUE!</v>
      </c>
      <c r="DN105" t="e">
        <f>AND(Bills!U295,"AAAAAHv/+XU=")</f>
        <v>#VALUE!</v>
      </c>
      <c r="DO105" t="e">
        <f>AND(Bills!#REF!,"AAAAAHv/+XY=")</f>
        <v>#REF!</v>
      </c>
      <c r="DP105" t="e">
        <f>AND(Bills!#REF!,"AAAAAHv/+Xc=")</f>
        <v>#REF!</v>
      </c>
      <c r="DQ105" t="e">
        <f>AND(Bills!W295,"AAAAAHv/+Xg=")</f>
        <v>#VALUE!</v>
      </c>
      <c r="DR105" t="e">
        <f>AND(Bills!X295,"AAAAAHv/+Xk=")</f>
        <v>#VALUE!</v>
      </c>
      <c r="DS105" t="e">
        <f>AND(Bills!#REF!,"AAAAAHv/+Xo=")</f>
        <v>#REF!</v>
      </c>
      <c r="DT105" t="e">
        <f>AND(Bills!#REF!,"AAAAAHv/+Xs=")</f>
        <v>#REF!</v>
      </c>
      <c r="DU105" t="e">
        <f>AND(Bills!#REF!,"AAAAAHv/+Xw=")</f>
        <v>#REF!</v>
      </c>
      <c r="DV105" t="e">
        <f>AND(Bills!#REF!,"AAAAAHv/+X0=")</f>
        <v>#REF!</v>
      </c>
      <c r="DW105" t="e">
        <f>AND(Bills!#REF!,"AAAAAHv/+X4=")</f>
        <v>#REF!</v>
      </c>
      <c r="DX105" t="e">
        <f>AND(Bills!#REF!,"AAAAAHv/+X8=")</f>
        <v>#REF!</v>
      </c>
      <c r="DY105" t="e">
        <f>AND(Bills!#REF!,"AAAAAHv/+YA=")</f>
        <v>#REF!</v>
      </c>
      <c r="DZ105" t="e">
        <f>AND(Bills!#REF!,"AAAAAHv/+YE=")</f>
        <v>#REF!</v>
      </c>
      <c r="EA105" t="e">
        <f>AND(Bills!#REF!,"AAAAAHv/+YI=")</f>
        <v>#REF!</v>
      </c>
      <c r="EB105" t="e">
        <f>AND(Bills!Y295,"AAAAAHv/+YM=")</f>
        <v>#VALUE!</v>
      </c>
      <c r="EC105" t="e">
        <f>AND(Bills!Z295,"AAAAAHv/+YQ=")</f>
        <v>#VALUE!</v>
      </c>
      <c r="ED105" t="e">
        <f>AND(Bills!#REF!,"AAAAAHv/+YU=")</f>
        <v>#REF!</v>
      </c>
      <c r="EE105" t="e">
        <f>AND(Bills!#REF!,"AAAAAHv/+YY=")</f>
        <v>#REF!</v>
      </c>
      <c r="EF105" t="e">
        <f>AND(Bills!#REF!,"AAAAAHv/+Yc=")</f>
        <v>#REF!</v>
      </c>
      <c r="EG105" t="e">
        <f>AND(Bills!AA295,"AAAAAHv/+Yg=")</f>
        <v>#VALUE!</v>
      </c>
      <c r="EH105" t="e">
        <f>AND(Bills!AB295,"AAAAAHv/+Yk=")</f>
        <v>#VALUE!</v>
      </c>
      <c r="EI105" t="e">
        <f>AND(Bills!#REF!,"AAAAAHv/+Yo=")</f>
        <v>#REF!</v>
      </c>
      <c r="EJ105">
        <f>IF(Bills!296:296,"AAAAAHv/+Ys=",0)</f>
        <v>0</v>
      </c>
      <c r="EK105" t="e">
        <f>AND(Bills!B296,"AAAAAHv/+Yw=")</f>
        <v>#VALUE!</v>
      </c>
      <c r="EL105" t="e">
        <f>AND(Bills!#REF!,"AAAAAHv/+Y0=")</f>
        <v>#REF!</v>
      </c>
      <c r="EM105" t="e">
        <f>AND(Bills!C296,"AAAAAHv/+Y4=")</f>
        <v>#VALUE!</v>
      </c>
      <c r="EN105" t="e">
        <f>AND(Bills!#REF!,"AAAAAHv/+Y8=")</f>
        <v>#REF!</v>
      </c>
      <c r="EO105" t="e">
        <f>AND(Bills!#REF!,"AAAAAHv/+ZA=")</f>
        <v>#REF!</v>
      </c>
      <c r="EP105" t="e">
        <f>AND(Bills!#REF!,"AAAAAHv/+ZE=")</f>
        <v>#REF!</v>
      </c>
      <c r="EQ105" t="e">
        <f>AND(Bills!#REF!,"AAAAAHv/+ZI=")</f>
        <v>#REF!</v>
      </c>
      <c r="ER105" t="e">
        <f>AND(Bills!#REF!,"AAAAAHv/+ZM=")</f>
        <v>#REF!</v>
      </c>
      <c r="ES105" t="e">
        <f>AND(Bills!D296,"AAAAAHv/+ZQ=")</f>
        <v>#VALUE!</v>
      </c>
      <c r="ET105" t="e">
        <f>AND(Bills!#REF!,"AAAAAHv/+ZU=")</f>
        <v>#REF!</v>
      </c>
      <c r="EU105" t="e">
        <f>AND(Bills!E296,"AAAAAHv/+ZY=")</f>
        <v>#VALUE!</v>
      </c>
      <c r="EV105" t="e">
        <f>AND(Bills!F296,"AAAAAHv/+Zc=")</f>
        <v>#VALUE!</v>
      </c>
      <c r="EW105" t="e">
        <f>AND(Bills!G296,"AAAAAHv/+Zg=")</f>
        <v>#VALUE!</v>
      </c>
      <c r="EX105" t="e">
        <f>AND(Bills!H296,"AAAAAHv/+Zk=")</f>
        <v>#VALUE!</v>
      </c>
      <c r="EY105" t="e">
        <f>AND(Bills!I296,"AAAAAHv/+Zo=")</f>
        <v>#VALUE!</v>
      </c>
      <c r="EZ105" t="e">
        <f>AND(Bills!J296,"AAAAAHv/+Zs=")</f>
        <v>#VALUE!</v>
      </c>
      <c r="FA105" t="e">
        <f>AND(Bills!#REF!,"AAAAAHv/+Zw=")</f>
        <v>#REF!</v>
      </c>
      <c r="FB105" t="e">
        <f>AND(Bills!K296,"AAAAAHv/+Z0=")</f>
        <v>#VALUE!</v>
      </c>
      <c r="FC105" t="e">
        <f>AND(Bills!L296,"AAAAAHv/+Z4=")</f>
        <v>#VALUE!</v>
      </c>
      <c r="FD105" t="e">
        <f>AND(Bills!M296,"AAAAAHv/+Z8=")</f>
        <v>#VALUE!</v>
      </c>
      <c r="FE105" t="e">
        <f>AND(Bills!N296,"AAAAAHv/+aA=")</f>
        <v>#VALUE!</v>
      </c>
      <c r="FF105" t="e">
        <f>AND(Bills!O296,"AAAAAHv/+aE=")</f>
        <v>#VALUE!</v>
      </c>
      <c r="FG105" t="e">
        <f>AND(Bills!P296,"AAAAAHv/+aI=")</f>
        <v>#VALUE!</v>
      </c>
      <c r="FH105" t="e">
        <f>AND(Bills!Q296,"AAAAAHv/+aM=")</f>
        <v>#VALUE!</v>
      </c>
      <c r="FI105" t="e">
        <f>AND(Bills!R296,"AAAAAHv/+aQ=")</f>
        <v>#VALUE!</v>
      </c>
      <c r="FJ105" t="e">
        <f>AND(Bills!#REF!,"AAAAAHv/+aU=")</f>
        <v>#REF!</v>
      </c>
      <c r="FK105" t="e">
        <f>AND(Bills!S296,"AAAAAHv/+aY=")</f>
        <v>#VALUE!</v>
      </c>
      <c r="FL105" t="e">
        <f>AND(Bills!T296,"AAAAAHv/+ac=")</f>
        <v>#VALUE!</v>
      </c>
      <c r="FM105" t="e">
        <f>AND(Bills!U296,"AAAAAHv/+ag=")</f>
        <v>#VALUE!</v>
      </c>
      <c r="FN105" t="e">
        <f>AND(Bills!#REF!,"AAAAAHv/+ak=")</f>
        <v>#REF!</v>
      </c>
      <c r="FO105" t="e">
        <f>AND(Bills!#REF!,"AAAAAHv/+ao=")</f>
        <v>#REF!</v>
      </c>
      <c r="FP105" t="e">
        <f>AND(Bills!W296,"AAAAAHv/+as=")</f>
        <v>#VALUE!</v>
      </c>
      <c r="FQ105" t="e">
        <f>AND(Bills!X296,"AAAAAHv/+aw=")</f>
        <v>#VALUE!</v>
      </c>
      <c r="FR105" t="e">
        <f>AND(Bills!#REF!,"AAAAAHv/+a0=")</f>
        <v>#REF!</v>
      </c>
      <c r="FS105" t="e">
        <f>AND(Bills!#REF!,"AAAAAHv/+a4=")</f>
        <v>#REF!</v>
      </c>
      <c r="FT105" t="e">
        <f>AND(Bills!#REF!,"AAAAAHv/+a8=")</f>
        <v>#REF!</v>
      </c>
      <c r="FU105" t="e">
        <f>AND(Bills!#REF!,"AAAAAHv/+bA=")</f>
        <v>#REF!</v>
      </c>
      <c r="FV105" t="e">
        <f>AND(Bills!#REF!,"AAAAAHv/+bE=")</f>
        <v>#REF!</v>
      </c>
      <c r="FW105" t="e">
        <f>AND(Bills!#REF!,"AAAAAHv/+bI=")</f>
        <v>#REF!</v>
      </c>
      <c r="FX105" t="e">
        <f>AND(Bills!#REF!,"AAAAAHv/+bM=")</f>
        <v>#REF!</v>
      </c>
      <c r="FY105" t="e">
        <f>AND(Bills!#REF!,"AAAAAHv/+bQ=")</f>
        <v>#REF!</v>
      </c>
      <c r="FZ105" t="e">
        <f>AND(Bills!#REF!,"AAAAAHv/+bU=")</f>
        <v>#REF!</v>
      </c>
      <c r="GA105" t="e">
        <f>AND(Bills!Y296,"AAAAAHv/+bY=")</f>
        <v>#VALUE!</v>
      </c>
      <c r="GB105" t="e">
        <f>AND(Bills!Z296,"AAAAAHv/+bc=")</f>
        <v>#VALUE!</v>
      </c>
      <c r="GC105" t="e">
        <f>AND(Bills!#REF!,"AAAAAHv/+bg=")</f>
        <v>#REF!</v>
      </c>
      <c r="GD105" t="e">
        <f>AND(Bills!#REF!,"AAAAAHv/+bk=")</f>
        <v>#REF!</v>
      </c>
      <c r="GE105" t="e">
        <f>AND(Bills!#REF!,"AAAAAHv/+bo=")</f>
        <v>#REF!</v>
      </c>
      <c r="GF105" t="e">
        <f>AND(Bills!AA296,"AAAAAHv/+bs=")</f>
        <v>#VALUE!</v>
      </c>
      <c r="GG105" t="e">
        <f>AND(Bills!AB296,"AAAAAHv/+bw=")</f>
        <v>#VALUE!</v>
      </c>
      <c r="GH105" t="e">
        <f>AND(Bills!#REF!,"AAAAAHv/+b0=")</f>
        <v>#REF!</v>
      </c>
      <c r="GI105">
        <f>IF(Bills!297:297,"AAAAAHv/+b4=",0)</f>
        <v>0</v>
      </c>
      <c r="GJ105" t="e">
        <f>AND(Bills!B297,"AAAAAHv/+b8=")</f>
        <v>#VALUE!</v>
      </c>
      <c r="GK105" t="e">
        <f>AND(Bills!#REF!,"AAAAAHv/+cA=")</f>
        <v>#REF!</v>
      </c>
      <c r="GL105" t="e">
        <f>AND(Bills!C297,"AAAAAHv/+cE=")</f>
        <v>#VALUE!</v>
      </c>
      <c r="GM105" t="e">
        <f>AND(Bills!#REF!,"AAAAAHv/+cI=")</f>
        <v>#REF!</v>
      </c>
      <c r="GN105" t="e">
        <f>AND(Bills!#REF!,"AAAAAHv/+cM=")</f>
        <v>#REF!</v>
      </c>
      <c r="GO105" t="e">
        <f>AND(Bills!#REF!,"AAAAAHv/+cQ=")</f>
        <v>#REF!</v>
      </c>
      <c r="GP105" t="e">
        <f>AND(Bills!#REF!,"AAAAAHv/+cU=")</f>
        <v>#REF!</v>
      </c>
      <c r="GQ105" t="e">
        <f>AND(Bills!#REF!,"AAAAAHv/+cY=")</f>
        <v>#REF!</v>
      </c>
      <c r="GR105" t="e">
        <f>AND(Bills!D297,"AAAAAHv/+cc=")</f>
        <v>#VALUE!</v>
      </c>
      <c r="GS105" t="e">
        <f>AND(Bills!#REF!,"AAAAAHv/+cg=")</f>
        <v>#REF!</v>
      </c>
      <c r="GT105" t="e">
        <f>AND(Bills!E297,"AAAAAHv/+ck=")</f>
        <v>#VALUE!</v>
      </c>
      <c r="GU105" t="e">
        <f>AND(Bills!F297,"AAAAAHv/+co=")</f>
        <v>#VALUE!</v>
      </c>
      <c r="GV105" t="e">
        <f>AND(Bills!G297,"AAAAAHv/+cs=")</f>
        <v>#VALUE!</v>
      </c>
      <c r="GW105" t="e">
        <f>AND(Bills!H297,"AAAAAHv/+cw=")</f>
        <v>#VALUE!</v>
      </c>
      <c r="GX105" t="e">
        <f>AND(Bills!I297,"AAAAAHv/+c0=")</f>
        <v>#VALUE!</v>
      </c>
      <c r="GY105" t="e">
        <f>AND(Bills!J297,"AAAAAHv/+c4=")</f>
        <v>#VALUE!</v>
      </c>
      <c r="GZ105" t="e">
        <f>AND(Bills!#REF!,"AAAAAHv/+c8=")</f>
        <v>#REF!</v>
      </c>
      <c r="HA105" t="e">
        <f>AND(Bills!K297,"AAAAAHv/+dA=")</f>
        <v>#VALUE!</v>
      </c>
      <c r="HB105" t="e">
        <f>AND(Bills!L297,"AAAAAHv/+dE=")</f>
        <v>#VALUE!</v>
      </c>
      <c r="HC105" t="e">
        <f>AND(Bills!M297,"AAAAAHv/+dI=")</f>
        <v>#VALUE!</v>
      </c>
      <c r="HD105" t="e">
        <f>AND(Bills!N297,"AAAAAHv/+dM=")</f>
        <v>#VALUE!</v>
      </c>
      <c r="HE105" t="e">
        <f>AND(Bills!O297,"AAAAAHv/+dQ=")</f>
        <v>#VALUE!</v>
      </c>
      <c r="HF105" t="e">
        <f>AND(Bills!P297,"AAAAAHv/+dU=")</f>
        <v>#VALUE!</v>
      </c>
      <c r="HG105" t="e">
        <f>AND(Bills!Q297,"AAAAAHv/+dY=")</f>
        <v>#VALUE!</v>
      </c>
      <c r="HH105" t="e">
        <f>AND(Bills!R297,"AAAAAHv/+dc=")</f>
        <v>#VALUE!</v>
      </c>
      <c r="HI105" t="e">
        <f>AND(Bills!#REF!,"AAAAAHv/+dg=")</f>
        <v>#REF!</v>
      </c>
      <c r="HJ105" t="e">
        <f>AND(Bills!S297,"AAAAAHv/+dk=")</f>
        <v>#VALUE!</v>
      </c>
      <c r="HK105" t="e">
        <f>AND(Bills!T297,"AAAAAHv/+do=")</f>
        <v>#VALUE!</v>
      </c>
      <c r="HL105" t="e">
        <f>AND(Bills!U297,"AAAAAHv/+ds=")</f>
        <v>#VALUE!</v>
      </c>
      <c r="HM105" t="e">
        <f>AND(Bills!#REF!,"AAAAAHv/+dw=")</f>
        <v>#REF!</v>
      </c>
      <c r="HN105" t="e">
        <f>AND(Bills!#REF!,"AAAAAHv/+d0=")</f>
        <v>#REF!</v>
      </c>
      <c r="HO105" t="e">
        <f>AND(Bills!W297,"AAAAAHv/+d4=")</f>
        <v>#VALUE!</v>
      </c>
      <c r="HP105" t="e">
        <f>AND(Bills!X297,"AAAAAHv/+d8=")</f>
        <v>#VALUE!</v>
      </c>
      <c r="HQ105" t="e">
        <f>AND(Bills!#REF!,"AAAAAHv/+eA=")</f>
        <v>#REF!</v>
      </c>
      <c r="HR105" t="e">
        <f>AND(Bills!#REF!,"AAAAAHv/+eE=")</f>
        <v>#REF!</v>
      </c>
      <c r="HS105" t="e">
        <f>AND(Bills!#REF!,"AAAAAHv/+eI=")</f>
        <v>#REF!</v>
      </c>
      <c r="HT105" t="e">
        <f>AND(Bills!#REF!,"AAAAAHv/+eM=")</f>
        <v>#REF!</v>
      </c>
      <c r="HU105" t="e">
        <f>AND(Bills!#REF!,"AAAAAHv/+eQ=")</f>
        <v>#REF!</v>
      </c>
      <c r="HV105" t="e">
        <f>AND(Bills!#REF!,"AAAAAHv/+eU=")</f>
        <v>#REF!</v>
      </c>
      <c r="HW105" t="e">
        <f>AND(Bills!#REF!,"AAAAAHv/+eY=")</f>
        <v>#REF!</v>
      </c>
      <c r="HX105" t="e">
        <f>AND(Bills!#REF!,"AAAAAHv/+ec=")</f>
        <v>#REF!</v>
      </c>
      <c r="HY105" t="e">
        <f>AND(Bills!#REF!,"AAAAAHv/+eg=")</f>
        <v>#REF!</v>
      </c>
      <c r="HZ105" t="e">
        <f>AND(Bills!Y297,"AAAAAHv/+ek=")</f>
        <v>#VALUE!</v>
      </c>
      <c r="IA105" t="e">
        <f>AND(Bills!Z297,"AAAAAHv/+eo=")</f>
        <v>#VALUE!</v>
      </c>
      <c r="IB105" t="e">
        <f>AND(Bills!#REF!,"AAAAAHv/+es=")</f>
        <v>#REF!</v>
      </c>
      <c r="IC105" t="e">
        <f>AND(Bills!#REF!,"AAAAAHv/+ew=")</f>
        <v>#REF!</v>
      </c>
      <c r="ID105" t="e">
        <f>AND(Bills!#REF!,"AAAAAHv/+e0=")</f>
        <v>#REF!</v>
      </c>
      <c r="IE105" t="e">
        <f>AND(Bills!AA297,"AAAAAHv/+e4=")</f>
        <v>#VALUE!</v>
      </c>
      <c r="IF105" t="e">
        <f>AND(Bills!AB297,"AAAAAHv/+e8=")</f>
        <v>#VALUE!</v>
      </c>
      <c r="IG105" t="e">
        <f>AND(Bills!#REF!,"AAAAAHv/+fA=")</f>
        <v>#REF!</v>
      </c>
      <c r="IH105">
        <f>IF(Bills!298:298,"AAAAAHv/+fE=",0)</f>
        <v>0</v>
      </c>
      <c r="II105" t="e">
        <f>AND(Bills!B298,"AAAAAHv/+fI=")</f>
        <v>#VALUE!</v>
      </c>
      <c r="IJ105" t="e">
        <f>AND(Bills!#REF!,"AAAAAHv/+fM=")</f>
        <v>#REF!</v>
      </c>
      <c r="IK105" t="e">
        <f>AND(Bills!C298,"AAAAAHv/+fQ=")</f>
        <v>#VALUE!</v>
      </c>
      <c r="IL105" t="e">
        <f>AND(Bills!#REF!,"AAAAAHv/+fU=")</f>
        <v>#REF!</v>
      </c>
      <c r="IM105" t="e">
        <f>AND(Bills!#REF!,"AAAAAHv/+fY=")</f>
        <v>#REF!</v>
      </c>
      <c r="IN105" t="e">
        <f>AND(Bills!#REF!,"AAAAAHv/+fc=")</f>
        <v>#REF!</v>
      </c>
      <c r="IO105" t="e">
        <f>AND(Bills!#REF!,"AAAAAHv/+fg=")</f>
        <v>#REF!</v>
      </c>
      <c r="IP105" t="e">
        <f>AND(Bills!#REF!,"AAAAAHv/+fk=")</f>
        <v>#REF!</v>
      </c>
      <c r="IQ105" t="e">
        <f>AND(Bills!D298,"AAAAAHv/+fo=")</f>
        <v>#VALUE!</v>
      </c>
      <c r="IR105" t="e">
        <f>AND(Bills!#REF!,"AAAAAHv/+fs=")</f>
        <v>#REF!</v>
      </c>
      <c r="IS105" t="e">
        <f>AND(Bills!E298,"AAAAAHv/+fw=")</f>
        <v>#VALUE!</v>
      </c>
      <c r="IT105" t="e">
        <f>AND(Bills!F298,"AAAAAHv/+f0=")</f>
        <v>#VALUE!</v>
      </c>
      <c r="IU105" t="e">
        <f>AND(Bills!G298,"AAAAAHv/+f4=")</f>
        <v>#VALUE!</v>
      </c>
      <c r="IV105" t="e">
        <f>AND(Bills!H298,"AAAAAHv/+f8=")</f>
        <v>#VALUE!</v>
      </c>
    </row>
    <row r="106" spans="1:256">
      <c r="A106" t="e">
        <f>AND(Bills!I298,"AAAAAH793wA=")</f>
        <v>#VALUE!</v>
      </c>
      <c r="B106" t="e">
        <f>AND(Bills!J298,"AAAAAH793wE=")</f>
        <v>#VALUE!</v>
      </c>
      <c r="C106" t="e">
        <f>AND(Bills!#REF!,"AAAAAH793wI=")</f>
        <v>#REF!</v>
      </c>
      <c r="D106" t="e">
        <f>AND(Bills!K298,"AAAAAH793wM=")</f>
        <v>#VALUE!</v>
      </c>
      <c r="E106" t="e">
        <f>AND(Bills!L298,"AAAAAH793wQ=")</f>
        <v>#VALUE!</v>
      </c>
      <c r="F106" t="e">
        <f>AND(Bills!M298,"AAAAAH793wU=")</f>
        <v>#VALUE!</v>
      </c>
      <c r="G106" t="e">
        <f>AND(Bills!N298,"AAAAAH793wY=")</f>
        <v>#VALUE!</v>
      </c>
      <c r="H106" t="e">
        <f>AND(Bills!O298,"AAAAAH793wc=")</f>
        <v>#VALUE!</v>
      </c>
      <c r="I106" t="e">
        <f>AND(Bills!P298,"AAAAAH793wg=")</f>
        <v>#VALUE!</v>
      </c>
      <c r="J106" t="e">
        <f>AND(Bills!Q298,"AAAAAH793wk=")</f>
        <v>#VALUE!</v>
      </c>
      <c r="K106" t="e">
        <f>AND(Bills!R298,"AAAAAH793wo=")</f>
        <v>#VALUE!</v>
      </c>
      <c r="L106" t="e">
        <f>AND(Bills!#REF!,"AAAAAH793ws=")</f>
        <v>#REF!</v>
      </c>
      <c r="M106" t="e">
        <f>AND(Bills!S298,"AAAAAH793ww=")</f>
        <v>#VALUE!</v>
      </c>
      <c r="N106" t="e">
        <f>AND(Bills!T298,"AAAAAH793w0=")</f>
        <v>#VALUE!</v>
      </c>
      <c r="O106" t="e">
        <f>AND(Bills!U298,"AAAAAH793w4=")</f>
        <v>#VALUE!</v>
      </c>
      <c r="P106" t="e">
        <f>AND(Bills!#REF!,"AAAAAH793w8=")</f>
        <v>#REF!</v>
      </c>
      <c r="Q106" t="e">
        <f>AND(Bills!#REF!,"AAAAAH793xA=")</f>
        <v>#REF!</v>
      </c>
      <c r="R106" t="e">
        <f>AND(Bills!W298,"AAAAAH793xE=")</f>
        <v>#VALUE!</v>
      </c>
      <c r="S106" t="e">
        <f>AND(Bills!X298,"AAAAAH793xI=")</f>
        <v>#VALUE!</v>
      </c>
      <c r="T106" t="e">
        <f>AND(Bills!#REF!,"AAAAAH793xM=")</f>
        <v>#REF!</v>
      </c>
      <c r="U106" t="e">
        <f>AND(Bills!#REF!,"AAAAAH793xQ=")</f>
        <v>#REF!</v>
      </c>
      <c r="V106" t="e">
        <f>AND(Bills!#REF!,"AAAAAH793xU=")</f>
        <v>#REF!</v>
      </c>
      <c r="W106" t="e">
        <f>AND(Bills!#REF!,"AAAAAH793xY=")</f>
        <v>#REF!</v>
      </c>
      <c r="X106" t="e">
        <f>AND(Bills!#REF!,"AAAAAH793xc=")</f>
        <v>#REF!</v>
      </c>
      <c r="Y106" t="e">
        <f>AND(Bills!#REF!,"AAAAAH793xg=")</f>
        <v>#REF!</v>
      </c>
      <c r="Z106" t="e">
        <f>AND(Bills!#REF!,"AAAAAH793xk=")</f>
        <v>#REF!</v>
      </c>
      <c r="AA106" t="e">
        <f>AND(Bills!#REF!,"AAAAAH793xo=")</f>
        <v>#REF!</v>
      </c>
      <c r="AB106" t="e">
        <f>AND(Bills!#REF!,"AAAAAH793xs=")</f>
        <v>#REF!</v>
      </c>
      <c r="AC106" t="e">
        <f>AND(Bills!Y298,"AAAAAH793xw=")</f>
        <v>#VALUE!</v>
      </c>
      <c r="AD106" t="e">
        <f>AND(Bills!Z298,"AAAAAH793x0=")</f>
        <v>#VALUE!</v>
      </c>
      <c r="AE106" t="e">
        <f>AND(Bills!#REF!,"AAAAAH793x4=")</f>
        <v>#REF!</v>
      </c>
      <c r="AF106" t="e">
        <f>AND(Bills!#REF!,"AAAAAH793x8=")</f>
        <v>#REF!</v>
      </c>
      <c r="AG106" t="e">
        <f>AND(Bills!#REF!,"AAAAAH793yA=")</f>
        <v>#REF!</v>
      </c>
      <c r="AH106" t="e">
        <f>AND(Bills!AA298,"AAAAAH793yE=")</f>
        <v>#VALUE!</v>
      </c>
      <c r="AI106" t="e">
        <f>AND(Bills!AB298,"AAAAAH793yI=")</f>
        <v>#VALUE!</v>
      </c>
      <c r="AJ106" t="e">
        <f>AND(Bills!#REF!,"AAAAAH793yM=")</f>
        <v>#REF!</v>
      </c>
      <c r="AK106">
        <f>IF(Bills!299:299,"AAAAAH793yQ=",0)</f>
        <v>0</v>
      </c>
      <c r="AL106" t="e">
        <f>AND(Bills!B299,"AAAAAH793yU=")</f>
        <v>#VALUE!</v>
      </c>
      <c r="AM106" t="e">
        <f>AND(Bills!#REF!,"AAAAAH793yY=")</f>
        <v>#REF!</v>
      </c>
      <c r="AN106" t="e">
        <f>AND(Bills!C299,"AAAAAH793yc=")</f>
        <v>#VALUE!</v>
      </c>
      <c r="AO106" t="e">
        <f>AND(Bills!#REF!,"AAAAAH793yg=")</f>
        <v>#REF!</v>
      </c>
      <c r="AP106" t="e">
        <f>AND(Bills!#REF!,"AAAAAH793yk=")</f>
        <v>#REF!</v>
      </c>
      <c r="AQ106" t="e">
        <f>AND(Bills!#REF!,"AAAAAH793yo=")</f>
        <v>#REF!</v>
      </c>
      <c r="AR106" t="e">
        <f>AND(Bills!#REF!,"AAAAAH793ys=")</f>
        <v>#REF!</v>
      </c>
      <c r="AS106" t="e">
        <f>AND(Bills!#REF!,"AAAAAH793yw=")</f>
        <v>#REF!</v>
      </c>
      <c r="AT106" t="e">
        <f>AND(Bills!D299,"AAAAAH793y0=")</f>
        <v>#VALUE!</v>
      </c>
      <c r="AU106" t="e">
        <f>AND(Bills!#REF!,"AAAAAH793y4=")</f>
        <v>#REF!</v>
      </c>
      <c r="AV106" t="e">
        <f>AND(Bills!E299,"AAAAAH793y8=")</f>
        <v>#VALUE!</v>
      </c>
      <c r="AW106" t="e">
        <f>AND(Bills!F299,"AAAAAH793zA=")</f>
        <v>#VALUE!</v>
      </c>
      <c r="AX106" t="e">
        <f>AND(Bills!G299,"AAAAAH793zE=")</f>
        <v>#VALUE!</v>
      </c>
      <c r="AY106" t="e">
        <f>AND(Bills!H299,"AAAAAH793zI=")</f>
        <v>#VALUE!</v>
      </c>
      <c r="AZ106" t="e">
        <f>AND(Bills!I299,"AAAAAH793zM=")</f>
        <v>#VALUE!</v>
      </c>
      <c r="BA106" t="e">
        <f>AND(Bills!J299,"AAAAAH793zQ=")</f>
        <v>#VALUE!</v>
      </c>
      <c r="BB106" t="e">
        <f>AND(Bills!#REF!,"AAAAAH793zU=")</f>
        <v>#REF!</v>
      </c>
      <c r="BC106" t="e">
        <f>AND(Bills!K299,"AAAAAH793zY=")</f>
        <v>#VALUE!</v>
      </c>
      <c r="BD106" t="e">
        <f>AND(Bills!L299,"AAAAAH793zc=")</f>
        <v>#VALUE!</v>
      </c>
      <c r="BE106" t="e">
        <f>AND(Bills!M299,"AAAAAH793zg=")</f>
        <v>#VALUE!</v>
      </c>
      <c r="BF106" t="e">
        <f>AND(Bills!N299,"AAAAAH793zk=")</f>
        <v>#VALUE!</v>
      </c>
      <c r="BG106" t="e">
        <f>AND(Bills!O299,"AAAAAH793zo=")</f>
        <v>#VALUE!</v>
      </c>
      <c r="BH106" t="e">
        <f>AND(Bills!P299,"AAAAAH793zs=")</f>
        <v>#VALUE!</v>
      </c>
      <c r="BI106" t="e">
        <f>AND(Bills!Q299,"AAAAAH793zw=")</f>
        <v>#VALUE!</v>
      </c>
      <c r="BJ106" t="e">
        <f>AND(Bills!R299,"AAAAAH793z0=")</f>
        <v>#VALUE!</v>
      </c>
      <c r="BK106" t="e">
        <f>AND(Bills!#REF!,"AAAAAH793z4=")</f>
        <v>#REF!</v>
      </c>
      <c r="BL106" t="e">
        <f>AND(Bills!S299,"AAAAAH793z8=")</f>
        <v>#VALUE!</v>
      </c>
      <c r="BM106" t="e">
        <f>AND(Bills!T299,"AAAAAH7930A=")</f>
        <v>#VALUE!</v>
      </c>
      <c r="BN106" t="e">
        <f>AND(Bills!U299,"AAAAAH7930E=")</f>
        <v>#VALUE!</v>
      </c>
      <c r="BO106" t="e">
        <f>AND(Bills!#REF!,"AAAAAH7930I=")</f>
        <v>#REF!</v>
      </c>
      <c r="BP106" t="e">
        <f>AND(Bills!#REF!,"AAAAAH7930M=")</f>
        <v>#REF!</v>
      </c>
      <c r="BQ106" t="e">
        <f>AND(Bills!W299,"AAAAAH7930Q=")</f>
        <v>#VALUE!</v>
      </c>
      <c r="BR106" t="e">
        <f>AND(Bills!X299,"AAAAAH7930U=")</f>
        <v>#VALUE!</v>
      </c>
      <c r="BS106" t="e">
        <f>AND(Bills!#REF!,"AAAAAH7930Y=")</f>
        <v>#REF!</v>
      </c>
      <c r="BT106" t="e">
        <f>AND(Bills!#REF!,"AAAAAH7930c=")</f>
        <v>#REF!</v>
      </c>
      <c r="BU106" t="e">
        <f>AND(Bills!#REF!,"AAAAAH7930g=")</f>
        <v>#REF!</v>
      </c>
      <c r="BV106" t="e">
        <f>AND(Bills!#REF!,"AAAAAH7930k=")</f>
        <v>#REF!</v>
      </c>
      <c r="BW106" t="e">
        <f>AND(Bills!#REF!,"AAAAAH7930o=")</f>
        <v>#REF!</v>
      </c>
      <c r="BX106" t="e">
        <f>AND(Bills!#REF!,"AAAAAH7930s=")</f>
        <v>#REF!</v>
      </c>
      <c r="BY106" t="e">
        <f>AND(Bills!#REF!,"AAAAAH7930w=")</f>
        <v>#REF!</v>
      </c>
      <c r="BZ106" t="e">
        <f>AND(Bills!#REF!,"AAAAAH79300=")</f>
        <v>#REF!</v>
      </c>
      <c r="CA106" t="e">
        <f>AND(Bills!#REF!,"AAAAAH79304=")</f>
        <v>#REF!</v>
      </c>
      <c r="CB106" t="e">
        <f>AND(Bills!Y299,"AAAAAH79308=")</f>
        <v>#VALUE!</v>
      </c>
      <c r="CC106" t="e">
        <f>AND(Bills!Z299,"AAAAAH7931A=")</f>
        <v>#VALUE!</v>
      </c>
      <c r="CD106" t="e">
        <f>AND(Bills!#REF!,"AAAAAH7931E=")</f>
        <v>#REF!</v>
      </c>
      <c r="CE106" t="e">
        <f>AND(Bills!#REF!,"AAAAAH7931I=")</f>
        <v>#REF!</v>
      </c>
      <c r="CF106" t="e">
        <f>AND(Bills!#REF!,"AAAAAH7931M=")</f>
        <v>#REF!</v>
      </c>
      <c r="CG106" t="e">
        <f>AND(Bills!AA299,"AAAAAH7931Q=")</f>
        <v>#VALUE!</v>
      </c>
      <c r="CH106" t="e">
        <f>AND(Bills!AB299,"AAAAAH7931U=")</f>
        <v>#VALUE!</v>
      </c>
      <c r="CI106" t="e">
        <f>AND(Bills!#REF!,"AAAAAH7931Y=")</f>
        <v>#REF!</v>
      </c>
      <c r="CJ106">
        <f>IF(Bills!300:300,"AAAAAH7931c=",0)</f>
        <v>0</v>
      </c>
      <c r="CK106" t="e">
        <f>AND(Bills!B300,"AAAAAH7931g=")</f>
        <v>#VALUE!</v>
      </c>
      <c r="CL106" t="e">
        <f>AND(Bills!#REF!,"AAAAAH7931k=")</f>
        <v>#REF!</v>
      </c>
      <c r="CM106" t="e">
        <f>AND(Bills!C300,"AAAAAH7931o=")</f>
        <v>#VALUE!</v>
      </c>
      <c r="CN106" t="e">
        <f>AND(Bills!#REF!,"AAAAAH7931s=")</f>
        <v>#REF!</v>
      </c>
      <c r="CO106" t="e">
        <f>AND(Bills!#REF!,"AAAAAH7931w=")</f>
        <v>#REF!</v>
      </c>
      <c r="CP106" t="e">
        <f>AND(Bills!#REF!,"AAAAAH79310=")</f>
        <v>#REF!</v>
      </c>
      <c r="CQ106" t="e">
        <f>AND(Bills!#REF!,"AAAAAH79314=")</f>
        <v>#REF!</v>
      </c>
      <c r="CR106" t="e">
        <f>AND(Bills!#REF!,"AAAAAH79318=")</f>
        <v>#REF!</v>
      </c>
      <c r="CS106" t="e">
        <f>AND(Bills!D300,"AAAAAH7932A=")</f>
        <v>#VALUE!</v>
      </c>
      <c r="CT106" t="e">
        <f>AND(Bills!#REF!,"AAAAAH7932E=")</f>
        <v>#REF!</v>
      </c>
      <c r="CU106" t="e">
        <f>AND(Bills!E300,"AAAAAH7932I=")</f>
        <v>#VALUE!</v>
      </c>
      <c r="CV106" t="e">
        <f>AND(Bills!F300,"AAAAAH7932M=")</f>
        <v>#VALUE!</v>
      </c>
      <c r="CW106" t="e">
        <f>AND(Bills!G300,"AAAAAH7932Q=")</f>
        <v>#VALUE!</v>
      </c>
      <c r="CX106" t="e">
        <f>AND(Bills!H300,"AAAAAH7932U=")</f>
        <v>#VALUE!</v>
      </c>
      <c r="CY106" t="e">
        <f>AND(Bills!I300,"AAAAAH7932Y=")</f>
        <v>#VALUE!</v>
      </c>
      <c r="CZ106" t="e">
        <f>AND(Bills!J300,"AAAAAH7932c=")</f>
        <v>#VALUE!</v>
      </c>
      <c r="DA106" t="e">
        <f>AND(Bills!#REF!,"AAAAAH7932g=")</f>
        <v>#REF!</v>
      </c>
      <c r="DB106" t="e">
        <f>AND(Bills!K300,"AAAAAH7932k=")</f>
        <v>#VALUE!</v>
      </c>
      <c r="DC106" t="e">
        <f>AND(Bills!L300,"AAAAAH7932o=")</f>
        <v>#VALUE!</v>
      </c>
      <c r="DD106" t="e">
        <f>AND(Bills!M300,"AAAAAH7932s=")</f>
        <v>#VALUE!</v>
      </c>
      <c r="DE106" t="e">
        <f>AND(Bills!N300,"AAAAAH7932w=")</f>
        <v>#VALUE!</v>
      </c>
      <c r="DF106" t="e">
        <f>AND(Bills!O300,"AAAAAH79320=")</f>
        <v>#VALUE!</v>
      </c>
      <c r="DG106" t="e">
        <f>AND(Bills!P300,"AAAAAH79324=")</f>
        <v>#VALUE!</v>
      </c>
      <c r="DH106" t="e">
        <f>AND(Bills!Q300,"AAAAAH79328=")</f>
        <v>#VALUE!</v>
      </c>
      <c r="DI106" t="e">
        <f>AND(Bills!R300,"AAAAAH7933A=")</f>
        <v>#VALUE!</v>
      </c>
      <c r="DJ106" t="e">
        <f>AND(Bills!#REF!,"AAAAAH7933E=")</f>
        <v>#REF!</v>
      </c>
      <c r="DK106" t="e">
        <f>AND(Bills!S300,"AAAAAH7933I=")</f>
        <v>#VALUE!</v>
      </c>
      <c r="DL106" t="e">
        <f>AND(Bills!T300,"AAAAAH7933M=")</f>
        <v>#VALUE!</v>
      </c>
      <c r="DM106" t="e">
        <f>AND(Bills!U300,"AAAAAH7933Q=")</f>
        <v>#VALUE!</v>
      </c>
      <c r="DN106" t="e">
        <f>AND(Bills!#REF!,"AAAAAH7933U=")</f>
        <v>#REF!</v>
      </c>
      <c r="DO106" t="e">
        <f>AND(Bills!#REF!,"AAAAAH7933Y=")</f>
        <v>#REF!</v>
      </c>
      <c r="DP106" t="e">
        <f>AND(Bills!W300,"AAAAAH7933c=")</f>
        <v>#VALUE!</v>
      </c>
      <c r="DQ106" t="e">
        <f>AND(Bills!X300,"AAAAAH7933g=")</f>
        <v>#VALUE!</v>
      </c>
      <c r="DR106" t="e">
        <f>AND(Bills!#REF!,"AAAAAH7933k=")</f>
        <v>#REF!</v>
      </c>
      <c r="DS106" t="e">
        <f>AND(Bills!#REF!,"AAAAAH7933o=")</f>
        <v>#REF!</v>
      </c>
      <c r="DT106" t="e">
        <f>AND(Bills!#REF!,"AAAAAH7933s=")</f>
        <v>#REF!</v>
      </c>
      <c r="DU106" t="e">
        <f>AND(Bills!#REF!,"AAAAAH7933w=")</f>
        <v>#REF!</v>
      </c>
      <c r="DV106" t="e">
        <f>AND(Bills!#REF!,"AAAAAH79330=")</f>
        <v>#REF!</v>
      </c>
      <c r="DW106" t="e">
        <f>AND(Bills!#REF!,"AAAAAH79334=")</f>
        <v>#REF!</v>
      </c>
      <c r="DX106" t="e">
        <f>AND(Bills!#REF!,"AAAAAH79338=")</f>
        <v>#REF!</v>
      </c>
      <c r="DY106" t="e">
        <f>AND(Bills!#REF!,"AAAAAH7934A=")</f>
        <v>#REF!</v>
      </c>
      <c r="DZ106" t="e">
        <f>AND(Bills!#REF!,"AAAAAH7934E=")</f>
        <v>#REF!</v>
      </c>
      <c r="EA106" t="e">
        <f>AND(Bills!Y300,"AAAAAH7934I=")</f>
        <v>#VALUE!</v>
      </c>
      <c r="EB106" t="e">
        <f>AND(Bills!Z300,"AAAAAH7934M=")</f>
        <v>#VALUE!</v>
      </c>
      <c r="EC106" t="e">
        <f>AND(Bills!#REF!,"AAAAAH7934Q=")</f>
        <v>#REF!</v>
      </c>
      <c r="ED106" t="e">
        <f>AND(Bills!#REF!,"AAAAAH7934U=")</f>
        <v>#REF!</v>
      </c>
      <c r="EE106" t="e">
        <f>AND(Bills!#REF!,"AAAAAH7934Y=")</f>
        <v>#REF!</v>
      </c>
      <c r="EF106" t="e">
        <f>AND(Bills!AA300,"AAAAAH7934c=")</f>
        <v>#VALUE!</v>
      </c>
      <c r="EG106" t="e">
        <f>AND(Bills!AB300,"AAAAAH7934g=")</f>
        <v>#VALUE!</v>
      </c>
      <c r="EH106" t="e">
        <f>AND(Bills!#REF!,"AAAAAH7934k=")</f>
        <v>#REF!</v>
      </c>
      <c r="EI106">
        <f>IF(Bills!301:301,"AAAAAH7934o=",0)</f>
        <v>0</v>
      </c>
      <c r="EJ106" t="e">
        <f>AND(Bills!B301,"AAAAAH7934s=")</f>
        <v>#VALUE!</v>
      </c>
      <c r="EK106" t="e">
        <f>AND(Bills!#REF!,"AAAAAH7934w=")</f>
        <v>#REF!</v>
      </c>
      <c r="EL106" t="e">
        <f>AND(Bills!C301,"AAAAAH79340=")</f>
        <v>#VALUE!</v>
      </c>
      <c r="EM106" t="e">
        <f>AND(Bills!#REF!,"AAAAAH79344=")</f>
        <v>#REF!</v>
      </c>
      <c r="EN106" t="e">
        <f>AND(Bills!#REF!,"AAAAAH79348=")</f>
        <v>#REF!</v>
      </c>
      <c r="EO106" t="e">
        <f>AND(Bills!#REF!,"AAAAAH7935A=")</f>
        <v>#REF!</v>
      </c>
      <c r="EP106" t="e">
        <f>AND(Bills!#REF!,"AAAAAH7935E=")</f>
        <v>#REF!</v>
      </c>
      <c r="EQ106" t="e">
        <f>AND(Bills!#REF!,"AAAAAH7935I=")</f>
        <v>#REF!</v>
      </c>
      <c r="ER106" t="e">
        <f>AND(Bills!D301,"AAAAAH7935M=")</f>
        <v>#VALUE!</v>
      </c>
      <c r="ES106" t="e">
        <f>AND(Bills!#REF!,"AAAAAH7935Q=")</f>
        <v>#REF!</v>
      </c>
      <c r="ET106" t="e">
        <f>AND(Bills!E301,"AAAAAH7935U=")</f>
        <v>#VALUE!</v>
      </c>
      <c r="EU106" t="e">
        <f>AND(Bills!F301,"AAAAAH7935Y=")</f>
        <v>#VALUE!</v>
      </c>
      <c r="EV106" t="e">
        <f>AND(Bills!G301,"AAAAAH7935c=")</f>
        <v>#VALUE!</v>
      </c>
      <c r="EW106" t="e">
        <f>AND(Bills!H301,"AAAAAH7935g=")</f>
        <v>#VALUE!</v>
      </c>
      <c r="EX106" t="e">
        <f>AND(Bills!I301,"AAAAAH7935k=")</f>
        <v>#VALUE!</v>
      </c>
      <c r="EY106" t="e">
        <f>AND(Bills!J301,"AAAAAH7935o=")</f>
        <v>#VALUE!</v>
      </c>
      <c r="EZ106" t="e">
        <f>AND(Bills!#REF!,"AAAAAH7935s=")</f>
        <v>#REF!</v>
      </c>
      <c r="FA106" t="e">
        <f>AND(Bills!K301,"AAAAAH7935w=")</f>
        <v>#VALUE!</v>
      </c>
      <c r="FB106" t="e">
        <f>AND(Bills!L301,"AAAAAH79350=")</f>
        <v>#VALUE!</v>
      </c>
      <c r="FC106" t="e">
        <f>AND(Bills!M301,"AAAAAH79354=")</f>
        <v>#VALUE!</v>
      </c>
      <c r="FD106" t="e">
        <f>AND(Bills!N301,"AAAAAH79358=")</f>
        <v>#VALUE!</v>
      </c>
      <c r="FE106" t="e">
        <f>AND(Bills!O301,"AAAAAH7936A=")</f>
        <v>#VALUE!</v>
      </c>
      <c r="FF106" t="e">
        <f>AND(Bills!P301,"AAAAAH7936E=")</f>
        <v>#VALUE!</v>
      </c>
      <c r="FG106" t="e">
        <f>AND(Bills!Q301,"AAAAAH7936I=")</f>
        <v>#VALUE!</v>
      </c>
      <c r="FH106" t="e">
        <f>AND(Bills!R301,"AAAAAH7936M=")</f>
        <v>#VALUE!</v>
      </c>
      <c r="FI106" t="e">
        <f>AND(Bills!#REF!,"AAAAAH7936Q=")</f>
        <v>#REF!</v>
      </c>
      <c r="FJ106" t="e">
        <f>AND(Bills!S301,"AAAAAH7936U=")</f>
        <v>#VALUE!</v>
      </c>
      <c r="FK106" t="e">
        <f>AND(Bills!T301,"AAAAAH7936Y=")</f>
        <v>#VALUE!</v>
      </c>
      <c r="FL106" t="e">
        <f>AND(Bills!U301,"AAAAAH7936c=")</f>
        <v>#VALUE!</v>
      </c>
      <c r="FM106" t="e">
        <f>AND(Bills!#REF!,"AAAAAH7936g=")</f>
        <v>#REF!</v>
      </c>
      <c r="FN106" t="e">
        <f>AND(Bills!#REF!,"AAAAAH7936k=")</f>
        <v>#REF!</v>
      </c>
      <c r="FO106" t="e">
        <f>AND(Bills!W301,"AAAAAH7936o=")</f>
        <v>#VALUE!</v>
      </c>
      <c r="FP106" t="e">
        <f>AND(Bills!X301,"AAAAAH7936s=")</f>
        <v>#VALUE!</v>
      </c>
      <c r="FQ106" t="e">
        <f>AND(Bills!#REF!,"AAAAAH7936w=")</f>
        <v>#REF!</v>
      </c>
      <c r="FR106" t="e">
        <f>AND(Bills!#REF!,"AAAAAH79360=")</f>
        <v>#REF!</v>
      </c>
      <c r="FS106" t="e">
        <f>AND(Bills!#REF!,"AAAAAH79364=")</f>
        <v>#REF!</v>
      </c>
      <c r="FT106" t="e">
        <f>AND(Bills!#REF!,"AAAAAH79368=")</f>
        <v>#REF!</v>
      </c>
      <c r="FU106" t="e">
        <f>AND(Bills!#REF!,"AAAAAH7937A=")</f>
        <v>#REF!</v>
      </c>
      <c r="FV106" t="e">
        <f>AND(Bills!#REF!,"AAAAAH7937E=")</f>
        <v>#REF!</v>
      </c>
      <c r="FW106" t="e">
        <f>AND(Bills!#REF!,"AAAAAH7937I=")</f>
        <v>#REF!</v>
      </c>
      <c r="FX106" t="e">
        <f>AND(Bills!#REF!,"AAAAAH7937M=")</f>
        <v>#REF!</v>
      </c>
      <c r="FY106" t="e">
        <f>AND(Bills!#REF!,"AAAAAH7937Q=")</f>
        <v>#REF!</v>
      </c>
      <c r="FZ106" t="e">
        <f>AND(Bills!Y301,"AAAAAH7937U=")</f>
        <v>#VALUE!</v>
      </c>
      <c r="GA106" t="e">
        <f>AND(Bills!Z301,"AAAAAH7937Y=")</f>
        <v>#VALUE!</v>
      </c>
      <c r="GB106" t="e">
        <f>AND(Bills!#REF!,"AAAAAH7937c=")</f>
        <v>#REF!</v>
      </c>
      <c r="GC106" t="e">
        <f>AND(Bills!#REF!,"AAAAAH7937g=")</f>
        <v>#REF!</v>
      </c>
      <c r="GD106" t="e">
        <f>AND(Bills!#REF!,"AAAAAH7937k=")</f>
        <v>#REF!</v>
      </c>
      <c r="GE106" t="e">
        <f>AND(Bills!AA301,"AAAAAH7937o=")</f>
        <v>#VALUE!</v>
      </c>
      <c r="GF106" t="e">
        <f>AND(Bills!AB301,"AAAAAH7937s=")</f>
        <v>#VALUE!</v>
      </c>
      <c r="GG106" t="e">
        <f>AND(Bills!#REF!,"AAAAAH7937w=")</f>
        <v>#REF!</v>
      </c>
      <c r="GH106">
        <f>IF(Bills!302:302,"AAAAAH79370=",0)</f>
        <v>0</v>
      </c>
      <c r="GI106" t="e">
        <f>AND(Bills!B302,"AAAAAH79374=")</f>
        <v>#VALUE!</v>
      </c>
      <c r="GJ106" t="e">
        <f>AND(Bills!#REF!,"AAAAAH79378=")</f>
        <v>#REF!</v>
      </c>
      <c r="GK106" t="e">
        <f>AND(Bills!C302,"AAAAAH7938A=")</f>
        <v>#VALUE!</v>
      </c>
      <c r="GL106" t="e">
        <f>AND(Bills!#REF!,"AAAAAH7938E=")</f>
        <v>#REF!</v>
      </c>
      <c r="GM106" t="e">
        <f>AND(Bills!#REF!,"AAAAAH7938I=")</f>
        <v>#REF!</v>
      </c>
      <c r="GN106" t="e">
        <f>AND(Bills!#REF!,"AAAAAH7938M=")</f>
        <v>#REF!</v>
      </c>
      <c r="GO106" t="e">
        <f>AND(Bills!#REF!,"AAAAAH7938Q=")</f>
        <v>#REF!</v>
      </c>
      <c r="GP106" t="e">
        <f>AND(Bills!#REF!,"AAAAAH7938U=")</f>
        <v>#REF!</v>
      </c>
      <c r="GQ106" t="e">
        <f>AND(Bills!D302,"AAAAAH7938Y=")</f>
        <v>#VALUE!</v>
      </c>
      <c r="GR106" t="e">
        <f>AND(Bills!#REF!,"AAAAAH7938c=")</f>
        <v>#REF!</v>
      </c>
      <c r="GS106" t="e">
        <f>AND(Bills!E302,"AAAAAH7938g=")</f>
        <v>#VALUE!</v>
      </c>
      <c r="GT106" t="e">
        <f>AND(Bills!F302,"AAAAAH7938k=")</f>
        <v>#VALUE!</v>
      </c>
      <c r="GU106" t="e">
        <f>AND(Bills!G302,"AAAAAH7938o=")</f>
        <v>#VALUE!</v>
      </c>
      <c r="GV106" t="e">
        <f>AND(Bills!H302,"AAAAAH7938s=")</f>
        <v>#VALUE!</v>
      </c>
      <c r="GW106" t="e">
        <f>AND(Bills!I302,"AAAAAH7938w=")</f>
        <v>#VALUE!</v>
      </c>
      <c r="GX106" t="e">
        <f>AND(Bills!J302,"AAAAAH79380=")</f>
        <v>#VALUE!</v>
      </c>
      <c r="GY106" t="e">
        <f>AND(Bills!#REF!,"AAAAAH79384=")</f>
        <v>#REF!</v>
      </c>
      <c r="GZ106" t="e">
        <f>AND(Bills!K302,"AAAAAH79388=")</f>
        <v>#VALUE!</v>
      </c>
      <c r="HA106" t="e">
        <f>AND(Bills!L302,"AAAAAH7939A=")</f>
        <v>#VALUE!</v>
      </c>
      <c r="HB106" t="e">
        <f>AND(Bills!M302,"AAAAAH7939E=")</f>
        <v>#VALUE!</v>
      </c>
      <c r="HC106" t="e">
        <f>AND(Bills!N302,"AAAAAH7939I=")</f>
        <v>#VALUE!</v>
      </c>
      <c r="HD106" t="e">
        <f>AND(Bills!O302,"AAAAAH7939M=")</f>
        <v>#VALUE!</v>
      </c>
      <c r="HE106" t="e">
        <f>AND(Bills!P302,"AAAAAH7939Q=")</f>
        <v>#VALUE!</v>
      </c>
      <c r="HF106" t="e">
        <f>AND(Bills!Q302,"AAAAAH7939U=")</f>
        <v>#VALUE!</v>
      </c>
      <c r="HG106" t="e">
        <f>AND(Bills!R302,"AAAAAH7939Y=")</f>
        <v>#VALUE!</v>
      </c>
      <c r="HH106" t="e">
        <f>AND(Bills!#REF!,"AAAAAH7939c=")</f>
        <v>#REF!</v>
      </c>
      <c r="HI106" t="e">
        <f>AND(Bills!S302,"AAAAAH7939g=")</f>
        <v>#VALUE!</v>
      </c>
      <c r="HJ106" t="e">
        <f>AND(Bills!T302,"AAAAAH7939k=")</f>
        <v>#VALUE!</v>
      </c>
      <c r="HK106" t="e">
        <f>AND(Bills!U302,"AAAAAH7939o=")</f>
        <v>#VALUE!</v>
      </c>
      <c r="HL106" t="e">
        <f>AND(Bills!#REF!,"AAAAAH7939s=")</f>
        <v>#REF!</v>
      </c>
      <c r="HM106" t="e">
        <f>AND(Bills!#REF!,"AAAAAH7939w=")</f>
        <v>#REF!</v>
      </c>
      <c r="HN106" t="e">
        <f>AND(Bills!W302,"AAAAAH79390=")</f>
        <v>#VALUE!</v>
      </c>
      <c r="HO106" t="e">
        <f>AND(Bills!X302,"AAAAAH79394=")</f>
        <v>#VALUE!</v>
      </c>
      <c r="HP106" t="e">
        <f>AND(Bills!#REF!,"AAAAAH79398=")</f>
        <v>#REF!</v>
      </c>
      <c r="HQ106" t="e">
        <f>AND(Bills!#REF!,"AAAAAH793+A=")</f>
        <v>#REF!</v>
      </c>
      <c r="HR106" t="e">
        <f>AND(Bills!#REF!,"AAAAAH793+E=")</f>
        <v>#REF!</v>
      </c>
      <c r="HS106" t="e">
        <f>AND(Bills!#REF!,"AAAAAH793+I=")</f>
        <v>#REF!</v>
      </c>
      <c r="HT106" t="e">
        <f>AND(Bills!#REF!,"AAAAAH793+M=")</f>
        <v>#REF!</v>
      </c>
      <c r="HU106" t="e">
        <f>AND(Bills!#REF!,"AAAAAH793+Q=")</f>
        <v>#REF!</v>
      </c>
      <c r="HV106" t="e">
        <f>AND(Bills!#REF!,"AAAAAH793+U=")</f>
        <v>#REF!</v>
      </c>
      <c r="HW106" t="e">
        <f>AND(Bills!#REF!,"AAAAAH793+Y=")</f>
        <v>#REF!</v>
      </c>
      <c r="HX106" t="e">
        <f>AND(Bills!#REF!,"AAAAAH793+c=")</f>
        <v>#REF!</v>
      </c>
      <c r="HY106" t="e">
        <f>AND(Bills!Y302,"AAAAAH793+g=")</f>
        <v>#VALUE!</v>
      </c>
      <c r="HZ106" t="e">
        <f>AND(Bills!Z302,"AAAAAH793+k=")</f>
        <v>#VALUE!</v>
      </c>
      <c r="IA106" t="e">
        <f>AND(Bills!#REF!,"AAAAAH793+o=")</f>
        <v>#REF!</v>
      </c>
      <c r="IB106" t="e">
        <f>AND(Bills!#REF!,"AAAAAH793+s=")</f>
        <v>#REF!</v>
      </c>
      <c r="IC106" t="e">
        <f>AND(Bills!#REF!,"AAAAAH793+w=")</f>
        <v>#REF!</v>
      </c>
      <c r="ID106" t="e">
        <f>AND(Bills!AA302,"AAAAAH793+0=")</f>
        <v>#VALUE!</v>
      </c>
      <c r="IE106" t="e">
        <f>AND(Bills!AB302,"AAAAAH793+4=")</f>
        <v>#VALUE!</v>
      </c>
      <c r="IF106" t="e">
        <f>AND(Bills!#REF!,"AAAAAH793+8=")</f>
        <v>#REF!</v>
      </c>
      <c r="IG106">
        <f>IF(Bills!303:303,"AAAAAH793/A=",0)</f>
        <v>0</v>
      </c>
      <c r="IH106" t="e">
        <f>AND(Bills!B303,"AAAAAH793/E=")</f>
        <v>#VALUE!</v>
      </c>
      <c r="II106" t="e">
        <f>AND(Bills!#REF!,"AAAAAH793/I=")</f>
        <v>#REF!</v>
      </c>
      <c r="IJ106" t="e">
        <f>AND(Bills!C303,"AAAAAH793/M=")</f>
        <v>#VALUE!</v>
      </c>
      <c r="IK106" t="e">
        <f>AND(Bills!#REF!,"AAAAAH793/Q=")</f>
        <v>#REF!</v>
      </c>
      <c r="IL106" t="e">
        <f>AND(Bills!#REF!,"AAAAAH793/U=")</f>
        <v>#REF!</v>
      </c>
      <c r="IM106" t="e">
        <f>AND(Bills!#REF!,"AAAAAH793/Y=")</f>
        <v>#REF!</v>
      </c>
      <c r="IN106" t="e">
        <f>AND(Bills!#REF!,"AAAAAH793/c=")</f>
        <v>#REF!</v>
      </c>
      <c r="IO106" t="e">
        <f>AND(Bills!#REF!,"AAAAAH793/g=")</f>
        <v>#REF!</v>
      </c>
      <c r="IP106" t="e">
        <f>AND(Bills!D303,"AAAAAH793/k=")</f>
        <v>#VALUE!</v>
      </c>
      <c r="IQ106" t="e">
        <f>AND(Bills!#REF!,"AAAAAH793/o=")</f>
        <v>#REF!</v>
      </c>
      <c r="IR106" t="e">
        <f>AND(Bills!E303,"AAAAAH793/s=")</f>
        <v>#VALUE!</v>
      </c>
      <c r="IS106" t="e">
        <f>AND(Bills!F303,"AAAAAH793/w=")</f>
        <v>#VALUE!</v>
      </c>
      <c r="IT106" t="e">
        <f>AND(Bills!G303,"AAAAAH793/0=")</f>
        <v>#VALUE!</v>
      </c>
      <c r="IU106" t="e">
        <f>AND(Bills!H303,"AAAAAH793/4=")</f>
        <v>#VALUE!</v>
      </c>
      <c r="IV106" t="e">
        <f>AND(Bills!I303,"AAAAAH793/8=")</f>
        <v>#VALUE!</v>
      </c>
    </row>
    <row r="107" spans="1:256">
      <c r="A107" t="e">
        <f>AND(Bills!J303,"AAAAAFc3UQA=")</f>
        <v>#VALUE!</v>
      </c>
      <c r="B107" t="e">
        <f>AND(Bills!#REF!,"AAAAAFc3UQE=")</f>
        <v>#REF!</v>
      </c>
      <c r="C107" t="e">
        <f>AND(Bills!K303,"AAAAAFc3UQI=")</f>
        <v>#VALUE!</v>
      </c>
      <c r="D107" t="e">
        <f>AND(Bills!L303,"AAAAAFc3UQM=")</f>
        <v>#VALUE!</v>
      </c>
      <c r="E107" t="e">
        <f>AND(Bills!M303,"AAAAAFc3UQQ=")</f>
        <v>#VALUE!</v>
      </c>
      <c r="F107" t="e">
        <f>AND(Bills!N303,"AAAAAFc3UQU=")</f>
        <v>#VALUE!</v>
      </c>
      <c r="G107" t="e">
        <f>AND(Bills!O303,"AAAAAFc3UQY=")</f>
        <v>#VALUE!</v>
      </c>
      <c r="H107" t="e">
        <f>AND(Bills!P303,"AAAAAFc3UQc=")</f>
        <v>#VALUE!</v>
      </c>
      <c r="I107" t="e">
        <f>AND(Bills!Q303,"AAAAAFc3UQg=")</f>
        <v>#VALUE!</v>
      </c>
      <c r="J107" t="e">
        <f>AND(Bills!R303,"AAAAAFc3UQk=")</f>
        <v>#VALUE!</v>
      </c>
      <c r="K107" t="e">
        <f>AND(Bills!#REF!,"AAAAAFc3UQo=")</f>
        <v>#REF!</v>
      </c>
      <c r="L107" t="e">
        <f>AND(Bills!S303,"AAAAAFc3UQs=")</f>
        <v>#VALUE!</v>
      </c>
      <c r="M107" t="e">
        <f>AND(Bills!T303,"AAAAAFc3UQw=")</f>
        <v>#VALUE!</v>
      </c>
      <c r="N107" t="e">
        <f>AND(Bills!U303,"AAAAAFc3UQ0=")</f>
        <v>#VALUE!</v>
      </c>
      <c r="O107" t="e">
        <f>AND(Bills!#REF!,"AAAAAFc3UQ4=")</f>
        <v>#REF!</v>
      </c>
      <c r="P107" t="e">
        <f>AND(Bills!#REF!,"AAAAAFc3UQ8=")</f>
        <v>#REF!</v>
      </c>
      <c r="Q107" t="e">
        <f>AND(Bills!W303,"AAAAAFc3URA=")</f>
        <v>#VALUE!</v>
      </c>
      <c r="R107" t="e">
        <f>AND(Bills!X303,"AAAAAFc3URE=")</f>
        <v>#VALUE!</v>
      </c>
      <c r="S107" t="e">
        <f>AND(Bills!#REF!,"AAAAAFc3URI=")</f>
        <v>#REF!</v>
      </c>
      <c r="T107" t="e">
        <f>AND(Bills!#REF!,"AAAAAFc3URM=")</f>
        <v>#REF!</v>
      </c>
      <c r="U107" t="e">
        <f>AND(Bills!#REF!,"AAAAAFc3URQ=")</f>
        <v>#REF!</v>
      </c>
      <c r="V107" t="e">
        <f>AND(Bills!#REF!,"AAAAAFc3URU=")</f>
        <v>#REF!</v>
      </c>
      <c r="W107" t="e">
        <f>AND(Bills!#REF!,"AAAAAFc3URY=")</f>
        <v>#REF!</v>
      </c>
      <c r="X107" t="e">
        <f>AND(Bills!#REF!,"AAAAAFc3URc=")</f>
        <v>#REF!</v>
      </c>
      <c r="Y107" t="e">
        <f>AND(Bills!#REF!,"AAAAAFc3URg=")</f>
        <v>#REF!</v>
      </c>
      <c r="Z107" t="e">
        <f>AND(Bills!#REF!,"AAAAAFc3URk=")</f>
        <v>#REF!</v>
      </c>
      <c r="AA107" t="e">
        <f>AND(Bills!#REF!,"AAAAAFc3URo=")</f>
        <v>#REF!</v>
      </c>
      <c r="AB107" t="e">
        <f>AND(Bills!Y303,"AAAAAFc3URs=")</f>
        <v>#VALUE!</v>
      </c>
      <c r="AC107" t="e">
        <f>AND(Bills!Z303,"AAAAAFc3URw=")</f>
        <v>#VALUE!</v>
      </c>
      <c r="AD107" t="e">
        <f>AND(Bills!#REF!,"AAAAAFc3UR0=")</f>
        <v>#REF!</v>
      </c>
      <c r="AE107" t="e">
        <f>AND(Bills!#REF!,"AAAAAFc3UR4=")</f>
        <v>#REF!</v>
      </c>
      <c r="AF107" t="e">
        <f>AND(Bills!#REF!,"AAAAAFc3UR8=")</f>
        <v>#REF!</v>
      </c>
      <c r="AG107" t="e">
        <f>AND(Bills!AA303,"AAAAAFc3USA=")</f>
        <v>#VALUE!</v>
      </c>
      <c r="AH107" t="e">
        <f>AND(Bills!AB303,"AAAAAFc3USE=")</f>
        <v>#VALUE!</v>
      </c>
      <c r="AI107" t="e">
        <f>AND(Bills!#REF!,"AAAAAFc3USI=")</f>
        <v>#REF!</v>
      </c>
      <c r="AJ107">
        <f>IF(Bills!304:304,"AAAAAFc3USM=",0)</f>
        <v>0</v>
      </c>
      <c r="AK107" t="e">
        <f>AND(Bills!B304,"AAAAAFc3USQ=")</f>
        <v>#VALUE!</v>
      </c>
      <c r="AL107" t="e">
        <f>AND(Bills!#REF!,"AAAAAFc3USU=")</f>
        <v>#REF!</v>
      </c>
      <c r="AM107" t="e">
        <f>AND(Bills!C304,"AAAAAFc3USY=")</f>
        <v>#VALUE!</v>
      </c>
      <c r="AN107" t="e">
        <f>AND(Bills!#REF!,"AAAAAFc3USc=")</f>
        <v>#REF!</v>
      </c>
      <c r="AO107" t="e">
        <f>AND(Bills!#REF!,"AAAAAFc3USg=")</f>
        <v>#REF!</v>
      </c>
      <c r="AP107" t="e">
        <f>AND(Bills!#REF!,"AAAAAFc3USk=")</f>
        <v>#REF!</v>
      </c>
      <c r="AQ107" t="e">
        <f>AND(Bills!#REF!,"AAAAAFc3USo=")</f>
        <v>#REF!</v>
      </c>
      <c r="AR107" t="e">
        <f>AND(Bills!#REF!,"AAAAAFc3USs=")</f>
        <v>#REF!</v>
      </c>
      <c r="AS107" t="e">
        <f>AND(Bills!D304,"AAAAAFc3USw=")</f>
        <v>#VALUE!</v>
      </c>
      <c r="AT107" t="e">
        <f>AND(Bills!#REF!,"AAAAAFc3US0=")</f>
        <v>#REF!</v>
      </c>
      <c r="AU107" t="e">
        <f>AND(Bills!E304,"AAAAAFc3US4=")</f>
        <v>#VALUE!</v>
      </c>
      <c r="AV107" t="e">
        <f>AND(Bills!F304,"AAAAAFc3US8=")</f>
        <v>#VALUE!</v>
      </c>
      <c r="AW107" t="e">
        <f>AND(Bills!G304,"AAAAAFc3UTA=")</f>
        <v>#VALUE!</v>
      </c>
      <c r="AX107" t="e">
        <f>AND(Bills!H304,"AAAAAFc3UTE=")</f>
        <v>#VALUE!</v>
      </c>
      <c r="AY107" t="e">
        <f>AND(Bills!I304,"AAAAAFc3UTI=")</f>
        <v>#VALUE!</v>
      </c>
      <c r="AZ107" t="e">
        <f>AND(Bills!J304,"AAAAAFc3UTM=")</f>
        <v>#VALUE!</v>
      </c>
      <c r="BA107" t="e">
        <f>AND(Bills!#REF!,"AAAAAFc3UTQ=")</f>
        <v>#REF!</v>
      </c>
      <c r="BB107" t="e">
        <f>AND(Bills!K304,"AAAAAFc3UTU=")</f>
        <v>#VALUE!</v>
      </c>
      <c r="BC107" t="e">
        <f>AND(Bills!L304,"AAAAAFc3UTY=")</f>
        <v>#VALUE!</v>
      </c>
      <c r="BD107" t="e">
        <f>AND(Bills!M304,"AAAAAFc3UTc=")</f>
        <v>#VALUE!</v>
      </c>
      <c r="BE107" t="e">
        <f>AND(Bills!N304,"AAAAAFc3UTg=")</f>
        <v>#VALUE!</v>
      </c>
      <c r="BF107" t="e">
        <f>AND(Bills!O304,"AAAAAFc3UTk=")</f>
        <v>#VALUE!</v>
      </c>
      <c r="BG107" t="e">
        <f>AND(Bills!P304,"AAAAAFc3UTo=")</f>
        <v>#VALUE!</v>
      </c>
      <c r="BH107" t="e">
        <f>AND(Bills!Q304,"AAAAAFc3UTs=")</f>
        <v>#VALUE!</v>
      </c>
      <c r="BI107" t="e">
        <f>AND(Bills!R304,"AAAAAFc3UTw=")</f>
        <v>#VALUE!</v>
      </c>
      <c r="BJ107" t="e">
        <f>AND(Bills!#REF!,"AAAAAFc3UT0=")</f>
        <v>#REF!</v>
      </c>
      <c r="BK107" t="e">
        <f>AND(Bills!S304,"AAAAAFc3UT4=")</f>
        <v>#VALUE!</v>
      </c>
      <c r="BL107" t="e">
        <f>AND(Bills!T304,"AAAAAFc3UT8=")</f>
        <v>#VALUE!</v>
      </c>
      <c r="BM107" t="e">
        <f>AND(Bills!U304,"AAAAAFc3UUA=")</f>
        <v>#VALUE!</v>
      </c>
      <c r="BN107" t="e">
        <f>AND(Bills!#REF!,"AAAAAFc3UUE=")</f>
        <v>#REF!</v>
      </c>
      <c r="BO107" t="e">
        <f>AND(Bills!#REF!,"AAAAAFc3UUI=")</f>
        <v>#REF!</v>
      </c>
      <c r="BP107" t="e">
        <f>AND(Bills!W304,"AAAAAFc3UUM=")</f>
        <v>#VALUE!</v>
      </c>
      <c r="BQ107" t="e">
        <f>AND(Bills!X304,"AAAAAFc3UUQ=")</f>
        <v>#VALUE!</v>
      </c>
      <c r="BR107" t="e">
        <f>AND(Bills!#REF!,"AAAAAFc3UUU=")</f>
        <v>#REF!</v>
      </c>
      <c r="BS107" t="e">
        <f>AND(Bills!#REF!,"AAAAAFc3UUY=")</f>
        <v>#REF!</v>
      </c>
      <c r="BT107" t="e">
        <f>AND(Bills!#REF!,"AAAAAFc3UUc=")</f>
        <v>#REF!</v>
      </c>
      <c r="BU107" t="e">
        <f>AND(Bills!#REF!,"AAAAAFc3UUg=")</f>
        <v>#REF!</v>
      </c>
      <c r="BV107" t="e">
        <f>AND(Bills!#REF!,"AAAAAFc3UUk=")</f>
        <v>#REF!</v>
      </c>
      <c r="BW107" t="e">
        <f>AND(Bills!#REF!,"AAAAAFc3UUo=")</f>
        <v>#REF!</v>
      </c>
      <c r="BX107" t="e">
        <f>AND(Bills!#REF!,"AAAAAFc3UUs=")</f>
        <v>#REF!</v>
      </c>
      <c r="BY107" t="e">
        <f>AND(Bills!#REF!,"AAAAAFc3UUw=")</f>
        <v>#REF!</v>
      </c>
      <c r="BZ107" t="e">
        <f>AND(Bills!#REF!,"AAAAAFc3UU0=")</f>
        <v>#REF!</v>
      </c>
      <c r="CA107" t="e">
        <f>AND(Bills!Y304,"AAAAAFc3UU4=")</f>
        <v>#VALUE!</v>
      </c>
      <c r="CB107" t="e">
        <f>AND(Bills!Z304,"AAAAAFc3UU8=")</f>
        <v>#VALUE!</v>
      </c>
      <c r="CC107" t="e">
        <f>AND(Bills!#REF!,"AAAAAFc3UVA=")</f>
        <v>#REF!</v>
      </c>
      <c r="CD107" t="e">
        <f>AND(Bills!#REF!,"AAAAAFc3UVE=")</f>
        <v>#REF!</v>
      </c>
      <c r="CE107" t="e">
        <f>AND(Bills!#REF!,"AAAAAFc3UVI=")</f>
        <v>#REF!</v>
      </c>
      <c r="CF107" t="e">
        <f>AND(Bills!AA304,"AAAAAFc3UVM=")</f>
        <v>#VALUE!</v>
      </c>
      <c r="CG107" t="e">
        <f>AND(Bills!AB304,"AAAAAFc3UVQ=")</f>
        <v>#VALUE!</v>
      </c>
      <c r="CH107" t="e">
        <f>AND(Bills!#REF!,"AAAAAFc3UVU=")</f>
        <v>#REF!</v>
      </c>
      <c r="CI107">
        <f>IF(Bills!305:305,"AAAAAFc3UVY=",0)</f>
        <v>0</v>
      </c>
      <c r="CJ107" t="e">
        <f>AND(Bills!B305,"AAAAAFc3UVc=")</f>
        <v>#VALUE!</v>
      </c>
      <c r="CK107" t="e">
        <f>AND(Bills!#REF!,"AAAAAFc3UVg=")</f>
        <v>#REF!</v>
      </c>
      <c r="CL107" t="e">
        <f>AND(Bills!C305,"AAAAAFc3UVk=")</f>
        <v>#VALUE!</v>
      </c>
      <c r="CM107" t="e">
        <f>AND(Bills!#REF!,"AAAAAFc3UVo=")</f>
        <v>#REF!</v>
      </c>
      <c r="CN107" t="e">
        <f>AND(Bills!#REF!,"AAAAAFc3UVs=")</f>
        <v>#REF!</v>
      </c>
      <c r="CO107" t="e">
        <f>AND(Bills!#REF!,"AAAAAFc3UVw=")</f>
        <v>#REF!</v>
      </c>
      <c r="CP107" t="e">
        <f>AND(Bills!#REF!,"AAAAAFc3UV0=")</f>
        <v>#REF!</v>
      </c>
      <c r="CQ107" t="e">
        <f>AND(Bills!#REF!,"AAAAAFc3UV4=")</f>
        <v>#REF!</v>
      </c>
      <c r="CR107" t="e">
        <f>AND(Bills!D305,"AAAAAFc3UV8=")</f>
        <v>#VALUE!</v>
      </c>
      <c r="CS107" t="e">
        <f>AND(Bills!#REF!,"AAAAAFc3UWA=")</f>
        <v>#REF!</v>
      </c>
      <c r="CT107" t="e">
        <f>AND(Bills!E305,"AAAAAFc3UWE=")</f>
        <v>#VALUE!</v>
      </c>
      <c r="CU107" t="e">
        <f>AND(Bills!F305,"AAAAAFc3UWI=")</f>
        <v>#VALUE!</v>
      </c>
      <c r="CV107" t="e">
        <f>AND(Bills!G305,"AAAAAFc3UWM=")</f>
        <v>#VALUE!</v>
      </c>
      <c r="CW107" t="e">
        <f>AND(Bills!H305,"AAAAAFc3UWQ=")</f>
        <v>#VALUE!</v>
      </c>
      <c r="CX107" t="e">
        <f>AND(Bills!I305,"AAAAAFc3UWU=")</f>
        <v>#VALUE!</v>
      </c>
      <c r="CY107" t="e">
        <f>AND(Bills!J305,"AAAAAFc3UWY=")</f>
        <v>#VALUE!</v>
      </c>
      <c r="CZ107" t="e">
        <f>AND(Bills!#REF!,"AAAAAFc3UWc=")</f>
        <v>#REF!</v>
      </c>
      <c r="DA107" t="e">
        <f>AND(Bills!K305,"AAAAAFc3UWg=")</f>
        <v>#VALUE!</v>
      </c>
      <c r="DB107" t="e">
        <f>AND(Bills!L305,"AAAAAFc3UWk=")</f>
        <v>#VALUE!</v>
      </c>
      <c r="DC107" t="e">
        <f>AND(Bills!M305,"AAAAAFc3UWo=")</f>
        <v>#VALUE!</v>
      </c>
      <c r="DD107" t="e">
        <f>AND(Bills!N305,"AAAAAFc3UWs=")</f>
        <v>#VALUE!</v>
      </c>
      <c r="DE107" t="e">
        <f>AND(Bills!O305,"AAAAAFc3UWw=")</f>
        <v>#VALUE!</v>
      </c>
      <c r="DF107" t="e">
        <f>AND(Bills!P305,"AAAAAFc3UW0=")</f>
        <v>#VALUE!</v>
      </c>
      <c r="DG107" t="e">
        <f>AND(Bills!Q305,"AAAAAFc3UW4=")</f>
        <v>#VALUE!</v>
      </c>
      <c r="DH107" t="e">
        <f>AND(Bills!R305,"AAAAAFc3UW8=")</f>
        <v>#VALUE!</v>
      </c>
      <c r="DI107" t="e">
        <f>AND(Bills!#REF!,"AAAAAFc3UXA=")</f>
        <v>#REF!</v>
      </c>
      <c r="DJ107" t="e">
        <f>AND(Bills!S305,"AAAAAFc3UXE=")</f>
        <v>#VALUE!</v>
      </c>
      <c r="DK107" t="e">
        <f>AND(Bills!T305,"AAAAAFc3UXI=")</f>
        <v>#VALUE!</v>
      </c>
      <c r="DL107" t="e">
        <f>AND(Bills!U305,"AAAAAFc3UXM=")</f>
        <v>#VALUE!</v>
      </c>
      <c r="DM107" t="e">
        <f>AND(Bills!#REF!,"AAAAAFc3UXQ=")</f>
        <v>#REF!</v>
      </c>
      <c r="DN107" t="e">
        <f>AND(Bills!#REF!,"AAAAAFc3UXU=")</f>
        <v>#REF!</v>
      </c>
      <c r="DO107" t="e">
        <f>AND(Bills!W305,"AAAAAFc3UXY=")</f>
        <v>#VALUE!</v>
      </c>
      <c r="DP107" t="e">
        <f>AND(Bills!X305,"AAAAAFc3UXc=")</f>
        <v>#VALUE!</v>
      </c>
      <c r="DQ107" t="e">
        <f>AND(Bills!#REF!,"AAAAAFc3UXg=")</f>
        <v>#REF!</v>
      </c>
      <c r="DR107" t="e">
        <f>AND(Bills!#REF!,"AAAAAFc3UXk=")</f>
        <v>#REF!</v>
      </c>
      <c r="DS107" t="e">
        <f>AND(Bills!#REF!,"AAAAAFc3UXo=")</f>
        <v>#REF!</v>
      </c>
      <c r="DT107" t="e">
        <f>AND(Bills!#REF!,"AAAAAFc3UXs=")</f>
        <v>#REF!</v>
      </c>
      <c r="DU107" t="e">
        <f>AND(Bills!#REF!,"AAAAAFc3UXw=")</f>
        <v>#REF!</v>
      </c>
      <c r="DV107" t="e">
        <f>AND(Bills!#REF!,"AAAAAFc3UX0=")</f>
        <v>#REF!</v>
      </c>
      <c r="DW107" t="e">
        <f>AND(Bills!#REF!,"AAAAAFc3UX4=")</f>
        <v>#REF!</v>
      </c>
      <c r="DX107" t="e">
        <f>AND(Bills!#REF!,"AAAAAFc3UX8=")</f>
        <v>#REF!</v>
      </c>
      <c r="DY107" t="e">
        <f>AND(Bills!#REF!,"AAAAAFc3UYA=")</f>
        <v>#REF!</v>
      </c>
      <c r="DZ107" t="e">
        <f>AND(Bills!Y305,"AAAAAFc3UYE=")</f>
        <v>#VALUE!</v>
      </c>
      <c r="EA107" t="e">
        <f>AND(Bills!Z305,"AAAAAFc3UYI=")</f>
        <v>#VALUE!</v>
      </c>
      <c r="EB107" t="e">
        <f>AND(Bills!#REF!,"AAAAAFc3UYM=")</f>
        <v>#REF!</v>
      </c>
      <c r="EC107" t="e">
        <f>AND(Bills!#REF!,"AAAAAFc3UYQ=")</f>
        <v>#REF!</v>
      </c>
      <c r="ED107" t="e">
        <f>AND(Bills!#REF!,"AAAAAFc3UYU=")</f>
        <v>#REF!</v>
      </c>
      <c r="EE107" t="e">
        <f>AND(Bills!AA305,"AAAAAFc3UYY=")</f>
        <v>#VALUE!</v>
      </c>
      <c r="EF107" t="e">
        <f>AND(Bills!AB305,"AAAAAFc3UYc=")</f>
        <v>#VALUE!</v>
      </c>
      <c r="EG107" t="e">
        <f>AND(Bills!#REF!,"AAAAAFc3UYg=")</f>
        <v>#REF!</v>
      </c>
      <c r="EH107">
        <f>IF(Bills!306:306,"AAAAAFc3UYk=",0)</f>
        <v>0</v>
      </c>
      <c r="EI107" t="e">
        <f>AND(Bills!B306,"AAAAAFc3UYo=")</f>
        <v>#VALUE!</v>
      </c>
      <c r="EJ107" t="e">
        <f>AND(Bills!#REF!,"AAAAAFc3UYs=")</f>
        <v>#REF!</v>
      </c>
      <c r="EK107" t="e">
        <f>AND(Bills!C306,"AAAAAFc3UYw=")</f>
        <v>#VALUE!</v>
      </c>
      <c r="EL107" t="e">
        <f>AND(Bills!#REF!,"AAAAAFc3UY0=")</f>
        <v>#REF!</v>
      </c>
      <c r="EM107" t="e">
        <f>AND(Bills!#REF!,"AAAAAFc3UY4=")</f>
        <v>#REF!</v>
      </c>
      <c r="EN107" t="e">
        <f>AND(Bills!#REF!,"AAAAAFc3UY8=")</f>
        <v>#REF!</v>
      </c>
      <c r="EO107" t="e">
        <f>AND(Bills!#REF!,"AAAAAFc3UZA=")</f>
        <v>#REF!</v>
      </c>
      <c r="EP107" t="e">
        <f>AND(Bills!#REF!,"AAAAAFc3UZE=")</f>
        <v>#REF!</v>
      </c>
      <c r="EQ107" t="e">
        <f>AND(Bills!D306,"AAAAAFc3UZI=")</f>
        <v>#VALUE!</v>
      </c>
      <c r="ER107" t="e">
        <f>AND(Bills!#REF!,"AAAAAFc3UZM=")</f>
        <v>#REF!</v>
      </c>
      <c r="ES107" t="e">
        <f>AND(Bills!E306,"AAAAAFc3UZQ=")</f>
        <v>#VALUE!</v>
      </c>
      <c r="ET107" t="e">
        <f>AND(Bills!F306,"AAAAAFc3UZU=")</f>
        <v>#VALUE!</v>
      </c>
      <c r="EU107" t="e">
        <f>AND(Bills!G306,"AAAAAFc3UZY=")</f>
        <v>#VALUE!</v>
      </c>
      <c r="EV107" t="e">
        <f>AND(Bills!H306,"AAAAAFc3UZc=")</f>
        <v>#VALUE!</v>
      </c>
      <c r="EW107" t="e">
        <f>AND(Bills!I306,"AAAAAFc3UZg=")</f>
        <v>#VALUE!</v>
      </c>
      <c r="EX107" t="e">
        <f>AND(Bills!J306,"AAAAAFc3UZk=")</f>
        <v>#VALUE!</v>
      </c>
      <c r="EY107" t="e">
        <f>AND(Bills!#REF!,"AAAAAFc3UZo=")</f>
        <v>#REF!</v>
      </c>
      <c r="EZ107" t="e">
        <f>AND(Bills!K306,"AAAAAFc3UZs=")</f>
        <v>#VALUE!</v>
      </c>
      <c r="FA107" t="e">
        <f>AND(Bills!L306,"AAAAAFc3UZw=")</f>
        <v>#VALUE!</v>
      </c>
      <c r="FB107" t="e">
        <f>AND(Bills!M306,"AAAAAFc3UZ0=")</f>
        <v>#VALUE!</v>
      </c>
      <c r="FC107" t="e">
        <f>AND(Bills!N306,"AAAAAFc3UZ4=")</f>
        <v>#VALUE!</v>
      </c>
      <c r="FD107" t="e">
        <f>AND(Bills!O306,"AAAAAFc3UZ8=")</f>
        <v>#VALUE!</v>
      </c>
      <c r="FE107" t="e">
        <f>AND(Bills!P306,"AAAAAFc3UaA=")</f>
        <v>#VALUE!</v>
      </c>
      <c r="FF107" t="e">
        <f>AND(Bills!Q306,"AAAAAFc3UaE=")</f>
        <v>#VALUE!</v>
      </c>
      <c r="FG107" t="e">
        <f>AND(Bills!R306,"AAAAAFc3UaI=")</f>
        <v>#VALUE!</v>
      </c>
      <c r="FH107" t="e">
        <f>AND(Bills!#REF!,"AAAAAFc3UaM=")</f>
        <v>#REF!</v>
      </c>
      <c r="FI107" t="e">
        <f>AND(Bills!S306,"AAAAAFc3UaQ=")</f>
        <v>#VALUE!</v>
      </c>
      <c r="FJ107" t="e">
        <f>AND(Bills!T306,"AAAAAFc3UaU=")</f>
        <v>#VALUE!</v>
      </c>
      <c r="FK107" t="e">
        <f>AND(Bills!U306,"AAAAAFc3UaY=")</f>
        <v>#VALUE!</v>
      </c>
      <c r="FL107" t="e">
        <f>AND(Bills!#REF!,"AAAAAFc3Uac=")</f>
        <v>#REF!</v>
      </c>
      <c r="FM107" t="e">
        <f>AND(Bills!#REF!,"AAAAAFc3Uag=")</f>
        <v>#REF!</v>
      </c>
      <c r="FN107" t="e">
        <f>AND(Bills!W306,"AAAAAFc3Uak=")</f>
        <v>#VALUE!</v>
      </c>
      <c r="FO107" t="e">
        <f>AND(Bills!X306,"AAAAAFc3Uao=")</f>
        <v>#VALUE!</v>
      </c>
      <c r="FP107" t="e">
        <f>AND(Bills!#REF!,"AAAAAFc3Uas=")</f>
        <v>#REF!</v>
      </c>
      <c r="FQ107" t="e">
        <f>AND(Bills!#REF!,"AAAAAFc3Uaw=")</f>
        <v>#REF!</v>
      </c>
      <c r="FR107" t="e">
        <f>AND(Bills!#REF!,"AAAAAFc3Ua0=")</f>
        <v>#REF!</v>
      </c>
      <c r="FS107" t="e">
        <f>AND(Bills!#REF!,"AAAAAFc3Ua4=")</f>
        <v>#REF!</v>
      </c>
      <c r="FT107" t="e">
        <f>AND(Bills!#REF!,"AAAAAFc3Ua8=")</f>
        <v>#REF!</v>
      </c>
      <c r="FU107" t="e">
        <f>AND(Bills!#REF!,"AAAAAFc3UbA=")</f>
        <v>#REF!</v>
      </c>
      <c r="FV107" t="e">
        <f>AND(Bills!#REF!,"AAAAAFc3UbE=")</f>
        <v>#REF!</v>
      </c>
      <c r="FW107" t="e">
        <f>AND(Bills!#REF!,"AAAAAFc3UbI=")</f>
        <v>#REF!</v>
      </c>
      <c r="FX107" t="e">
        <f>AND(Bills!#REF!,"AAAAAFc3UbM=")</f>
        <v>#REF!</v>
      </c>
      <c r="FY107" t="e">
        <f>AND(Bills!Y306,"AAAAAFc3UbQ=")</f>
        <v>#VALUE!</v>
      </c>
      <c r="FZ107" t="e">
        <f>AND(Bills!Z306,"AAAAAFc3UbU=")</f>
        <v>#VALUE!</v>
      </c>
      <c r="GA107" t="e">
        <f>AND(Bills!#REF!,"AAAAAFc3UbY=")</f>
        <v>#REF!</v>
      </c>
      <c r="GB107" t="e">
        <f>AND(Bills!#REF!,"AAAAAFc3Ubc=")</f>
        <v>#REF!</v>
      </c>
      <c r="GC107" t="e">
        <f>AND(Bills!#REF!,"AAAAAFc3Ubg=")</f>
        <v>#REF!</v>
      </c>
      <c r="GD107" t="e">
        <f>AND(Bills!AA306,"AAAAAFc3Ubk=")</f>
        <v>#VALUE!</v>
      </c>
      <c r="GE107" t="e">
        <f>AND(Bills!AB306,"AAAAAFc3Ubo=")</f>
        <v>#VALUE!</v>
      </c>
      <c r="GF107" t="e">
        <f>AND(Bills!#REF!,"AAAAAFc3Ubs=")</f>
        <v>#REF!</v>
      </c>
      <c r="GG107">
        <f>IF(Bills!307:307,"AAAAAFc3Ubw=",0)</f>
        <v>0</v>
      </c>
      <c r="GH107" t="e">
        <f>AND(Bills!B307,"AAAAAFc3Ub0=")</f>
        <v>#VALUE!</v>
      </c>
      <c r="GI107" t="e">
        <f>AND(Bills!#REF!,"AAAAAFc3Ub4=")</f>
        <v>#REF!</v>
      </c>
      <c r="GJ107" t="e">
        <f>AND(Bills!C307,"AAAAAFc3Ub8=")</f>
        <v>#VALUE!</v>
      </c>
      <c r="GK107" t="e">
        <f>AND(Bills!#REF!,"AAAAAFc3UcA=")</f>
        <v>#REF!</v>
      </c>
      <c r="GL107" t="e">
        <f>AND(Bills!#REF!,"AAAAAFc3UcE=")</f>
        <v>#REF!</v>
      </c>
      <c r="GM107" t="e">
        <f>AND(Bills!#REF!,"AAAAAFc3UcI=")</f>
        <v>#REF!</v>
      </c>
      <c r="GN107" t="e">
        <f>AND(Bills!#REF!,"AAAAAFc3UcM=")</f>
        <v>#REF!</v>
      </c>
      <c r="GO107" t="e">
        <f>AND(Bills!#REF!,"AAAAAFc3UcQ=")</f>
        <v>#REF!</v>
      </c>
      <c r="GP107" t="e">
        <f>AND(Bills!D307,"AAAAAFc3UcU=")</f>
        <v>#VALUE!</v>
      </c>
      <c r="GQ107" t="e">
        <f>AND(Bills!#REF!,"AAAAAFc3UcY=")</f>
        <v>#REF!</v>
      </c>
      <c r="GR107" t="e">
        <f>AND(Bills!E307,"AAAAAFc3Ucc=")</f>
        <v>#VALUE!</v>
      </c>
      <c r="GS107" t="e">
        <f>AND(Bills!F307,"AAAAAFc3Ucg=")</f>
        <v>#VALUE!</v>
      </c>
      <c r="GT107" t="e">
        <f>AND(Bills!G307,"AAAAAFc3Uck=")</f>
        <v>#VALUE!</v>
      </c>
      <c r="GU107" t="e">
        <f>AND(Bills!H307,"AAAAAFc3Uco=")</f>
        <v>#VALUE!</v>
      </c>
      <c r="GV107" t="e">
        <f>AND(Bills!I307,"AAAAAFc3Ucs=")</f>
        <v>#VALUE!</v>
      </c>
      <c r="GW107" t="e">
        <f>AND(Bills!J307,"AAAAAFc3Ucw=")</f>
        <v>#VALUE!</v>
      </c>
      <c r="GX107" t="e">
        <f>AND(Bills!#REF!,"AAAAAFc3Uc0=")</f>
        <v>#REF!</v>
      </c>
      <c r="GY107" t="e">
        <f>AND(Bills!K307,"AAAAAFc3Uc4=")</f>
        <v>#VALUE!</v>
      </c>
      <c r="GZ107" t="e">
        <f>AND(Bills!L307,"AAAAAFc3Uc8=")</f>
        <v>#VALUE!</v>
      </c>
      <c r="HA107" t="e">
        <f>AND(Bills!M307,"AAAAAFc3UdA=")</f>
        <v>#VALUE!</v>
      </c>
      <c r="HB107" t="e">
        <f>AND(Bills!N307,"AAAAAFc3UdE=")</f>
        <v>#VALUE!</v>
      </c>
      <c r="HC107" t="e">
        <f>AND(Bills!O307,"AAAAAFc3UdI=")</f>
        <v>#VALUE!</v>
      </c>
      <c r="HD107" t="e">
        <f>AND(Bills!P307,"AAAAAFc3UdM=")</f>
        <v>#VALUE!</v>
      </c>
      <c r="HE107" t="e">
        <f>AND(Bills!Q307,"AAAAAFc3UdQ=")</f>
        <v>#VALUE!</v>
      </c>
      <c r="HF107" t="e">
        <f>AND(Bills!R307,"AAAAAFc3UdU=")</f>
        <v>#VALUE!</v>
      </c>
      <c r="HG107" t="e">
        <f>AND(Bills!#REF!,"AAAAAFc3UdY=")</f>
        <v>#REF!</v>
      </c>
      <c r="HH107" t="e">
        <f>AND(Bills!S307,"AAAAAFc3Udc=")</f>
        <v>#VALUE!</v>
      </c>
      <c r="HI107" t="e">
        <f>AND(Bills!T307,"AAAAAFc3Udg=")</f>
        <v>#VALUE!</v>
      </c>
      <c r="HJ107" t="e">
        <f>AND(Bills!U307,"AAAAAFc3Udk=")</f>
        <v>#VALUE!</v>
      </c>
      <c r="HK107" t="e">
        <f>AND(Bills!#REF!,"AAAAAFc3Udo=")</f>
        <v>#REF!</v>
      </c>
      <c r="HL107" t="e">
        <f>AND(Bills!#REF!,"AAAAAFc3Uds=")</f>
        <v>#REF!</v>
      </c>
      <c r="HM107" t="e">
        <f>AND(Bills!W307,"AAAAAFc3Udw=")</f>
        <v>#VALUE!</v>
      </c>
      <c r="HN107" t="e">
        <f>AND(Bills!X307,"AAAAAFc3Ud0=")</f>
        <v>#VALUE!</v>
      </c>
      <c r="HO107" t="e">
        <f>AND(Bills!#REF!,"AAAAAFc3Ud4=")</f>
        <v>#REF!</v>
      </c>
      <c r="HP107" t="e">
        <f>AND(Bills!#REF!,"AAAAAFc3Ud8=")</f>
        <v>#REF!</v>
      </c>
      <c r="HQ107" t="e">
        <f>AND(Bills!#REF!,"AAAAAFc3UeA=")</f>
        <v>#REF!</v>
      </c>
      <c r="HR107" t="e">
        <f>AND(Bills!#REF!,"AAAAAFc3UeE=")</f>
        <v>#REF!</v>
      </c>
      <c r="HS107" t="e">
        <f>AND(Bills!#REF!,"AAAAAFc3UeI=")</f>
        <v>#REF!</v>
      </c>
      <c r="HT107" t="e">
        <f>AND(Bills!#REF!,"AAAAAFc3UeM=")</f>
        <v>#REF!</v>
      </c>
      <c r="HU107" t="e">
        <f>AND(Bills!#REF!,"AAAAAFc3UeQ=")</f>
        <v>#REF!</v>
      </c>
      <c r="HV107" t="e">
        <f>AND(Bills!#REF!,"AAAAAFc3UeU=")</f>
        <v>#REF!</v>
      </c>
      <c r="HW107" t="e">
        <f>AND(Bills!#REF!,"AAAAAFc3UeY=")</f>
        <v>#REF!</v>
      </c>
      <c r="HX107" t="e">
        <f>AND(Bills!Y307,"AAAAAFc3Uec=")</f>
        <v>#VALUE!</v>
      </c>
      <c r="HY107" t="e">
        <f>AND(Bills!Z307,"AAAAAFc3Ueg=")</f>
        <v>#VALUE!</v>
      </c>
      <c r="HZ107" t="e">
        <f>AND(Bills!#REF!,"AAAAAFc3Uek=")</f>
        <v>#REF!</v>
      </c>
      <c r="IA107" t="e">
        <f>AND(Bills!#REF!,"AAAAAFc3Ueo=")</f>
        <v>#REF!</v>
      </c>
      <c r="IB107" t="e">
        <f>AND(Bills!#REF!,"AAAAAFc3Ues=")</f>
        <v>#REF!</v>
      </c>
      <c r="IC107" t="e">
        <f>AND(Bills!AA307,"AAAAAFc3Uew=")</f>
        <v>#VALUE!</v>
      </c>
      <c r="ID107" t="e">
        <f>AND(Bills!AB307,"AAAAAFc3Ue0=")</f>
        <v>#VALUE!</v>
      </c>
      <c r="IE107" t="e">
        <f>AND(Bills!#REF!,"AAAAAFc3Ue4=")</f>
        <v>#REF!</v>
      </c>
      <c r="IF107">
        <f>IF(Bills!308:308,"AAAAAFc3Ue8=",0)</f>
        <v>0</v>
      </c>
      <c r="IG107" t="e">
        <f>AND(Bills!B308,"AAAAAFc3UfA=")</f>
        <v>#VALUE!</v>
      </c>
      <c r="IH107" t="e">
        <f>AND(Bills!#REF!,"AAAAAFc3UfE=")</f>
        <v>#REF!</v>
      </c>
      <c r="II107" t="e">
        <f>AND(Bills!C308,"AAAAAFc3UfI=")</f>
        <v>#VALUE!</v>
      </c>
      <c r="IJ107" t="e">
        <f>AND(Bills!#REF!,"AAAAAFc3UfM=")</f>
        <v>#REF!</v>
      </c>
      <c r="IK107" t="e">
        <f>AND(Bills!#REF!,"AAAAAFc3UfQ=")</f>
        <v>#REF!</v>
      </c>
      <c r="IL107" t="e">
        <f>AND(Bills!#REF!,"AAAAAFc3UfU=")</f>
        <v>#REF!</v>
      </c>
      <c r="IM107" t="e">
        <f>AND(Bills!#REF!,"AAAAAFc3UfY=")</f>
        <v>#REF!</v>
      </c>
      <c r="IN107" t="e">
        <f>AND(Bills!#REF!,"AAAAAFc3Ufc=")</f>
        <v>#REF!</v>
      </c>
      <c r="IO107" t="e">
        <f>AND(Bills!D308,"AAAAAFc3Ufg=")</f>
        <v>#VALUE!</v>
      </c>
      <c r="IP107" t="e">
        <f>AND(Bills!#REF!,"AAAAAFc3Ufk=")</f>
        <v>#REF!</v>
      </c>
      <c r="IQ107" t="e">
        <f>AND(Bills!E308,"AAAAAFc3Ufo=")</f>
        <v>#VALUE!</v>
      </c>
      <c r="IR107" t="e">
        <f>AND(Bills!F308,"AAAAAFc3Ufs=")</f>
        <v>#VALUE!</v>
      </c>
      <c r="IS107" t="e">
        <f>AND(Bills!G308,"AAAAAFc3Ufw=")</f>
        <v>#VALUE!</v>
      </c>
      <c r="IT107" t="e">
        <f>AND(Bills!H308,"AAAAAFc3Uf0=")</f>
        <v>#VALUE!</v>
      </c>
      <c r="IU107" t="e">
        <f>AND(Bills!I308,"AAAAAFc3Uf4=")</f>
        <v>#VALUE!</v>
      </c>
      <c r="IV107" t="e">
        <f>AND(Bills!J308,"AAAAAFc3Uf8=")</f>
        <v>#VALUE!</v>
      </c>
    </row>
    <row r="108" spans="1:256">
      <c r="A108" t="e">
        <f>AND(Bills!#REF!,"AAAAAHP3/QA=")</f>
        <v>#REF!</v>
      </c>
      <c r="B108" t="e">
        <f>AND(Bills!K308,"AAAAAHP3/QE=")</f>
        <v>#VALUE!</v>
      </c>
      <c r="C108" t="e">
        <f>AND(Bills!L308,"AAAAAHP3/QI=")</f>
        <v>#VALUE!</v>
      </c>
      <c r="D108" t="e">
        <f>AND(Bills!M308,"AAAAAHP3/QM=")</f>
        <v>#VALUE!</v>
      </c>
      <c r="E108" t="e">
        <f>AND(Bills!N308,"AAAAAHP3/QQ=")</f>
        <v>#VALUE!</v>
      </c>
      <c r="F108" t="e">
        <f>AND(Bills!O308,"AAAAAHP3/QU=")</f>
        <v>#VALUE!</v>
      </c>
      <c r="G108" t="e">
        <f>AND(Bills!P308,"AAAAAHP3/QY=")</f>
        <v>#VALUE!</v>
      </c>
      <c r="H108" t="e">
        <f>AND(Bills!Q308,"AAAAAHP3/Qc=")</f>
        <v>#VALUE!</v>
      </c>
      <c r="I108" t="e">
        <f>AND(Bills!R308,"AAAAAHP3/Qg=")</f>
        <v>#VALUE!</v>
      </c>
      <c r="J108" t="e">
        <f>AND(Bills!#REF!,"AAAAAHP3/Qk=")</f>
        <v>#REF!</v>
      </c>
      <c r="K108" t="e">
        <f>AND(Bills!S308,"AAAAAHP3/Qo=")</f>
        <v>#VALUE!</v>
      </c>
      <c r="L108" t="e">
        <f>AND(Bills!T308,"AAAAAHP3/Qs=")</f>
        <v>#VALUE!</v>
      </c>
      <c r="M108" t="e">
        <f>AND(Bills!U308,"AAAAAHP3/Qw=")</f>
        <v>#VALUE!</v>
      </c>
      <c r="N108" t="e">
        <f>AND(Bills!#REF!,"AAAAAHP3/Q0=")</f>
        <v>#REF!</v>
      </c>
      <c r="O108" t="e">
        <f>AND(Bills!#REF!,"AAAAAHP3/Q4=")</f>
        <v>#REF!</v>
      </c>
      <c r="P108" t="e">
        <f>AND(Bills!W308,"AAAAAHP3/Q8=")</f>
        <v>#VALUE!</v>
      </c>
      <c r="Q108" t="e">
        <f>AND(Bills!X308,"AAAAAHP3/RA=")</f>
        <v>#VALUE!</v>
      </c>
      <c r="R108" t="e">
        <f>AND(Bills!#REF!,"AAAAAHP3/RE=")</f>
        <v>#REF!</v>
      </c>
      <c r="S108" t="e">
        <f>AND(Bills!#REF!,"AAAAAHP3/RI=")</f>
        <v>#REF!</v>
      </c>
      <c r="T108" t="e">
        <f>AND(Bills!#REF!,"AAAAAHP3/RM=")</f>
        <v>#REF!</v>
      </c>
      <c r="U108" t="e">
        <f>AND(Bills!#REF!,"AAAAAHP3/RQ=")</f>
        <v>#REF!</v>
      </c>
      <c r="V108" t="e">
        <f>AND(Bills!#REF!,"AAAAAHP3/RU=")</f>
        <v>#REF!</v>
      </c>
      <c r="W108" t="e">
        <f>AND(Bills!#REF!,"AAAAAHP3/RY=")</f>
        <v>#REF!</v>
      </c>
      <c r="X108" t="e">
        <f>AND(Bills!#REF!,"AAAAAHP3/Rc=")</f>
        <v>#REF!</v>
      </c>
      <c r="Y108" t="e">
        <f>AND(Bills!#REF!,"AAAAAHP3/Rg=")</f>
        <v>#REF!</v>
      </c>
      <c r="Z108" t="e">
        <f>AND(Bills!#REF!,"AAAAAHP3/Rk=")</f>
        <v>#REF!</v>
      </c>
      <c r="AA108" t="e">
        <f>AND(Bills!Y308,"AAAAAHP3/Ro=")</f>
        <v>#VALUE!</v>
      </c>
      <c r="AB108" t="e">
        <f>AND(Bills!Z308,"AAAAAHP3/Rs=")</f>
        <v>#VALUE!</v>
      </c>
      <c r="AC108" t="e">
        <f>AND(Bills!#REF!,"AAAAAHP3/Rw=")</f>
        <v>#REF!</v>
      </c>
      <c r="AD108" t="e">
        <f>AND(Bills!#REF!,"AAAAAHP3/R0=")</f>
        <v>#REF!</v>
      </c>
      <c r="AE108" t="e">
        <f>AND(Bills!#REF!,"AAAAAHP3/R4=")</f>
        <v>#REF!</v>
      </c>
      <c r="AF108" t="e">
        <f>AND(Bills!AA308,"AAAAAHP3/R8=")</f>
        <v>#VALUE!</v>
      </c>
      <c r="AG108" t="e">
        <f>AND(Bills!AB308,"AAAAAHP3/SA=")</f>
        <v>#VALUE!</v>
      </c>
      <c r="AH108" t="e">
        <f>AND(Bills!#REF!,"AAAAAHP3/SE=")</f>
        <v>#REF!</v>
      </c>
      <c r="AI108">
        <f>IF(Bills!309:309,"AAAAAHP3/SI=",0)</f>
        <v>0</v>
      </c>
      <c r="AJ108" t="e">
        <f>AND(Bills!B309,"AAAAAHP3/SM=")</f>
        <v>#VALUE!</v>
      </c>
      <c r="AK108" t="e">
        <f>AND(Bills!#REF!,"AAAAAHP3/SQ=")</f>
        <v>#REF!</v>
      </c>
      <c r="AL108" t="e">
        <f>AND(Bills!C309,"AAAAAHP3/SU=")</f>
        <v>#VALUE!</v>
      </c>
      <c r="AM108" t="e">
        <f>AND(Bills!#REF!,"AAAAAHP3/SY=")</f>
        <v>#REF!</v>
      </c>
      <c r="AN108" t="e">
        <f>AND(Bills!#REF!,"AAAAAHP3/Sc=")</f>
        <v>#REF!</v>
      </c>
      <c r="AO108" t="e">
        <f>AND(Bills!#REF!,"AAAAAHP3/Sg=")</f>
        <v>#REF!</v>
      </c>
      <c r="AP108" t="e">
        <f>AND(Bills!#REF!,"AAAAAHP3/Sk=")</f>
        <v>#REF!</v>
      </c>
      <c r="AQ108" t="e">
        <f>AND(Bills!#REF!,"AAAAAHP3/So=")</f>
        <v>#REF!</v>
      </c>
      <c r="AR108" t="e">
        <f>AND(Bills!D309,"AAAAAHP3/Ss=")</f>
        <v>#VALUE!</v>
      </c>
      <c r="AS108" t="e">
        <f>AND(Bills!#REF!,"AAAAAHP3/Sw=")</f>
        <v>#REF!</v>
      </c>
      <c r="AT108" t="e">
        <f>AND(Bills!E309,"AAAAAHP3/S0=")</f>
        <v>#VALUE!</v>
      </c>
      <c r="AU108" t="e">
        <f>AND(Bills!F309,"AAAAAHP3/S4=")</f>
        <v>#VALUE!</v>
      </c>
      <c r="AV108" t="e">
        <f>AND(Bills!G309,"AAAAAHP3/S8=")</f>
        <v>#VALUE!</v>
      </c>
      <c r="AW108" t="e">
        <f>AND(Bills!H309,"AAAAAHP3/TA=")</f>
        <v>#VALUE!</v>
      </c>
      <c r="AX108" t="e">
        <f>AND(Bills!I309,"AAAAAHP3/TE=")</f>
        <v>#VALUE!</v>
      </c>
      <c r="AY108" t="e">
        <f>AND(Bills!J309,"AAAAAHP3/TI=")</f>
        <v>#VALUE!</v>
      </c>
      <c r="AZ108" t="e">
        <f>AND(Bills!#REF!,"AAAAAHP3/TM=")</f>
        <v>#REF!</v>
      </c>
      <c r="BA108" t="e">
        <f>AND(Bills!K309,"AAAAAHP3/TQ=")</f>
        <v>#VALUE!</v>
      </c>
      <c r="BB108" t="e">
        <f>AND(Bills!L309,"AAAAAHP3/TU=")</f>
        <v>#VALUE!</v>
      </c>
      <c r="BC108" t="e">
        <f>AND(Bills!M309,"AAAAAHP3/TY=")</f>
        <v>#VALUE!</v>
      </c>
      <c r="BD108" t="e">
        <f>AND(Bills!N309,"AAAAAHP3/Tc=")</f>
        <v>#VALUE!</v>
      </c>
      <c r="BE108" t="e">
        <f>AND(Bills!O309,"AAAAAHP3/Tg=")</f>
        <v>#VALUE!</v>
      </c>
      <c r="BF108" t="e">
        <f>AND(Bills!P309,"AAAAAHP3/Tk=")</f>
        <v>#VALUE!</v>
      </c>
      <c r="BG108" t="e">
        <f>AND(Bills!Q309,"AAAAAHP3/To=")</f>
        <v>#VALUE!</v>
      </c>
      <c r="BH108" t="e">
        <f>AND(Bills!R309,"AAAAAHP3/Ts=")</f>
        <v>#VALUE!</v>
      </c>
      <c r="BI108" t="e">
        <f>AND(Bills!#REF!,"AAAAAHP3/Tw=")</f>
        <v>#REF!</v>
      </c>
      <c r="BJ108" t="e">
        <f>AND(Bills!S309,"AAAAAHP3/T0=")</f>
        <v>#VALUE!</v>
      </c>
      <c r="BK108" t="e">
        <f>AND(Bills!T309,"AAAAAHP3/T4=")</f>
        <v>#VALUE!</v>
      </c>
      <c r="BL108" t="e">
        <f>AND(Bills!U309,"AAAAAHP3/T8=")</f>
        <v>#VALUE!</v>
      </c>
      <c r="BM108" t="e">
        <f>AND(Bills!#REF!,"AAAAAHP3/UA=")</f>
        <v>#REF!</v>
      </c>
      <c r="BN108" t="e">
        <f>AND(Bills!#REF!,"AAAAAHP3/UE=")</f>
        <v>#REF!</v>
      </c>
      <c r="BO108" t="e">
        <f>AND(Bills!W309,"AAAAAHP3/UI=")</f>
        <v>#VALUE!</v>
      </c>
      <c r="BP108" t="e">
        <f>AND(Bills!X309,"AAAAAHP3/UM=")</f>
        <v>#VALUE!</v>
      </c>
      <c r="BQ108" t="e">
        <f>AND(Bills!#REF!,"AAAAAHP3/UQ=")</f>
        <v>#REF!</v>
      </c>
      <c r="BR108" t="e">
        <f>AND(Bills!#REF!,"AAAAAHP3/UU=")</f>
        <v>#REF!</v>
      </c>
      <c r="BS108" t="e">
        <f>AND(Bills!#REF!,"AAAAAHP3/UY=")</f>
        <v>#REF!</v>
      </c>
      <c r="BT108" t="e">
        <f>AND(Bills!#REF!,"AAAAAHP3/Uc=")</f>
        <v>#REF!</v>
      </c>
      <c r="BU108" t="e">
        <f>AND(Bills!#REF!,"AAAAAHP3/Ug=")</f>
        <v>#REF!</v>
      </c>
      <c r="BV108" t="e">
        <f>AND(Bills!#REF!,"AAAAAHP3/Uk=")</f>
        <v>#REF!</v>
      </c>
      <c r="BW108" t="e">
        <f>AND(Bills!#REF!,"AAAAAHP3/Uo=")</f>
        <v>#REF!</v>
      </c>
      <c r="BX108" t="e">
        <f>AND(Bills!#REF!,"AAAAAHP3/Us=")</f>
        <v>#REF!</v>
      </c>
      <c r="BY108" t="e">
        <f>AND(Bills!#REF!,"AAAAAHP3/Uw=")</f>
        <v>#REF!</v>
      </c>
      <c r="BZ108" t="e">
        <f>AND(Bills!Y309,"AAAAAHP3/U0=")</f>
        <v>#VALUE!</v>
      </c>
      <c r="CA108" t="e">
        <f>AND(Bills!Z309,"AAAAAHP3/U4=")</f>
        <v>#VALUE!</v>
      </c>
      <c r="CB108" t="e">
        <f>AND(Bills!#REF!,"AAAAAHP3/U8=")</f>
        <v>#REF!</v>
      </c>
      <c r="CC108" t="e">
        <f>AND(Bills!#REF!,"AAAAAHP3/VA=")</f>
        <v>#REF!</v>
      </c>
      <c r="CD108" t="e">
        <f>AND(Bills!#REF!,"AAAAAHP3/VE=")</f>
        <v>#REF!</v>
      </c>
      <c r="CE108" t="e">
        <f>AND(Bills!AA309,"AAAAAHP3/VI=")</f>
        <v>#VALUE!</v>
      </c>
      <c r="CF108" t="e">
        <f>AND(Bills!AB309,"AAAAAHP3/VM=")</f>
        <v>#VALUE!</v>
      </c>
      <c r="CG108" t="e">
        <f>AND(Bills!#REF!,"AAAAAHP3/VQ=")</f>
        <v>#REF!</v>
      </c>
      <c r="CH108">
        <f>IF(Bills!310:310,"AAAAAHP3/VU=",0)</f>
        <v>0</v>
      </c>
      <c r="CI108" t="e">
        <f>AND(Bills!B310,"AAAAAHP3/VY=")</f>
        <v>#VALUE!</v>
      </c>
      <c r="CJ108" t="e">
        <f>AND(Bills!#REF!,"AAAAAHP3/Vc=")</f>
        <v>#REF!</v>
      </c>
      <c r="CK108" t="e">
        <f>AND(Bills!C310,"AAAAAHP3/Vg=")</f>
        <v>#VALUE!</v>
      </c>
      <c r="CL108" t="e">
        <f>AND(Bills!#REF!,"AAAAAHP3/Vk=")</f>
        <v>#REF!</v>
      </c>
      <c r="CM108" t="e">
        <f>AND(Bills!#REF!,"AAAAAHP3/Vo=")</f>
        <v>#REF!</v>
      </c>
      <c r="CN108" t="e">
        <f>AND(Bills!#REF!,"AAAAAHP3/Vs=")</f>
        <v>#REF!</v>
      </c>
      <c r="CO108" t="e">
        <f>AND(Bills!#REF!,"AAAAAHP3/Vw=")</f>
        <v>#REF!</v>
      </c>
      <c r="CP108" t="e">
        <f>AND(Bills!#REF!,"AAAAAHP3/V0=")</f>
        <v>#REF!</v>
      </c>
      <c r="CQ108" t="e">
        <f>AND(Bills!D310,"AAAAAHP3/V4=")</f>
        <v>#VALUE!</v>
      </c>
      <c r="CR108" t="e">
        <f>AND(Bills!#REF!,"AAAAAHP3/V8=")</f>
        <v>#REF!</v>
      </c>
      <c r="CS108" t="e">
        <f>AND(Bills!E310,"AAAAAHP3/WA=")</f>
        <v>#VALUE!</v>
      </c>
      <c r="CT108" t="e">
        <f>AND(Bills!F310,"AAAAAHP3/WE=")</f>
        <v>#VALUE!</v>
      </c>
      <c r="CU108" t="e">
        <f>AND(Bills!G310,"AAAAAHP3/WI=")</f>
        <v>#VALUE!</v>
      </c>
      <c r="CV108" t="e">
        <f>AND(Bills!H310,"AAAAAHP3/WM=")</f>
        <v>#VALUE!</v>
      </c>
      <c r="CW108" t="e">
        <f>AND(Bills!I310,"AAAAAHP3/WQ=")</f>
        <v>#VALUE!</v>
      </c>
      <c r="CX108" t="e">
        <f>AND(Bills!J310,"AAAAAHP3/WU=")</f>
        <v>#VALUE!</v>
      </c>
      <c r="CY108" t="e">
        <f>AND(Bills!#REF!,"AAAAAHP3/WY=")</f>
        <v>#REF!</v>
      </c>
      <c r="CZ108" t="e">
        <f>AND(Bills!K310,"AAAAAHP3/Wc=")</f>
        <v>#VALUE!</v>
      </c>
      <c r="DA108" t="e">
        <f>AND(Bills!L310,"AAAAAHP3/Wg=")</f>
        <v>#VALUE!</v>
      </c>
      <c r="DB108" t="e">
        <f>AND(Bills!M310,"AAAAAHP3/Wk=")</f>
        <v>#VALUE!</v>
      </c>
      <c r="DC108" t="e">
        <f>AND(Bills!N310,"AAAAAHP3/Wo=")</f>
        <v>#VALUE!</v>
      </c>
      <c r="DD108" t="e">
        <f>AND(Bills!O310,"AAAAAHP3/Ws=")</f>
        <v>#VALUE!</v>
      </c>
      <c r="DE108" t="e">
        <f>AND(Bills!P310,"AAAAAHP3/Ww=")</f>
        <v>#VALUE!</v>
      </c>
      <c r="DF108" t="e">
        <f>AND(Bills!Q310,"AAAAAHP3/W0=")</f>
        <v>#VALUE!</v>
      </c>
      <c r="DG108" t="e">
        <f>AND(Bills!R310,"AAAAAHP3/W4=")</f>
        <v>#VALUE!</v>
      </c>
      <c r="DH108" t="e">
        <f>AND(Bills!#REF!,"AAAAAHP3/W8=")</f>
        <v>#REF!</v>
      </c>
      <c r="DI108" t="e">
        <f>AND(Bills!S310,"AAAAAHP3/XA=")</f>
        <v>#VALUE!</v>
      </c>
      <c r="DJ108" t="e">
        <f>AND(Bills!T310,"AAAAAHP3/XE=")</f>
        <v>#VALUE!</v>
      </c>
      <c r="DK108" t="e">
        <f>AND(Bills!U310,"AAAAAHP3/XI=")</f>
        <v>#VALUE!</v>
      </c>
      <c r="DL108" t="e">
        <f>AND(Bills!#REF!,"AAAAAHP3/XM=")</f>
        <v>#REF!</v>
      </c>
      <c r="DM108" t="e">
        <f>AND(Bills!#REF!,"AAAAAHP3/XQ=")</f>
        <v>#REF!</v>
      </c>
      <c r="DN108" t="e">
        <f>AND(Bills!W310,"AAAAAHP3/XU=")</f>
        <v>#VALUE!</v>
      </c>
      <c r="DO108" t="e">
        <f>AND(Bills!X310,"AAAAAHP3/XY=")</f>
        <v>#VALUE!</v>
      </c>
      <c r="DP108" t="e">
        <f>AND(Bills!#REF!,"AAAAAHP3/Xc=")</f>
        <v>#REF!</v>
      </c>
      <c r="DQ108" t="e">
        <f>AND(Bills!#REF!,"AAAAAHP3/Xg=")</f>
        <v>#REF!</v>
      </c>
      <c r="DR108" t="e">
        <f>AND(Bills!#REF!,"AAAAAHP3/Xk=")</f>
        <v>#REF!</v>
      </c>
      <c r="DS108" t="e">
        <f>AND(Bills!#REF!,"AAAAAHP3/Xo=")</f>
        <v>#REF!</v>
      </c>
      <c r="DT108" t="e">
        <f>AND(Bills!#REF!,"AAAAAHP3/Xs=")</f>
        <v>#REF!</v>
      </c>
      <c r="DU108" t="e">
        <f>AND(Bills!#REF!,"AAAAAHP3/Xw=")</f>
        <v>#REF!</v>
      </c>
      <c r="DV108" t="e">
        <f>AND(Bills!#REF!,"AAAAAHP3/X0=")</f>
        <v>#REF!</v>
      </c>
      <c r="DW108" t="e">
        <f>AND(Bills!#REF!,"AAAAAHP3/X4=")</f>
        <v>#REF!</v>
      </c>
      <c r="DX108" t="e">
        <f>AND(Bills!#REF!,"AAAAAHP3/X8=")</f>
        <v>#REF!</v>
      </c>
      <c r="DY108" t="e">
        <f>AND(Bills!Y310,"AAAAAHP3/YA=")</f>
        <v>#VALUE!</v>
      </c>
      <c r="DZ108" t="e">
        <f>AND(Bills!Z310,"AAAAAHP3/YE=")</f>
        <v>#VALUE!</v>
      </c>
      <c r="EA108" t="e">
        <f>AND(Bills!#REF!,"AAAAAHP3/YI=")</f>
        <v>#REF!</v>
      </c>
      <c r="EB108" t="e">
        <f>AND(Bills!#REF!,"AAAAAHP3/YM=")</f>
        <v>#REF!</v>
      </c>
      <c r="EC108" t="e">
        <f>AND(Bills!#REF!,"AAAAAHP3/YQ=")</f>
        <v>#REF!</v>
      </c>
      <c r="ED108" t="e">
        <f>AND(Bills!AA310,"AAAAAHP3/YU=")</f>
        <v>#VALUE!</v>
      </c>
      <c r="EE108" t="e">
        <f>AND(Bills!AB310,"AAAAAHP3/YY=")</f>
        <v>#VALUE!</v>
      </c>
      <c r="EF108" t="e">
        <f>AND(Bills!#REF!,"AAAAAHP3/Yc=")</f>
        <v>#REF!</v>
      </c>
      <c r="EG108">
        <f>IF(Bills!311:311,"AAAAAHP3/Yg=",0)</f>
        <v>0</v>
      </c>
      <c r="EH108" t="e">
        <f>AND(Bills!B311,"AAAAAHP3/Yk=")</f>
        <v>#VALUE!</v>
      </c>
      <c r="EI108" t="e">
        <f>AND(Bills!#REF!,"AAAAAHP3/Yo=")</f>
        <v>#REF!</v>
      </c>
      <c r="EJ108" t="e">
        <f>AND(Bills!C311,"AAAAAHP3/Ys=")</f>
        <v>#VALUE!</v>
      </c>
      <c r="EK108" t="e">
        <f>AND(Bills!#REF!,"AAAAAHP3/Yw=")</f>
        <v>#REF!</v>
      </c>
      <c r="EL108" t="e">
        <f>AND(Bills!#REF!,"AAAAAHP3/Y0=")</f>
        <v>#REF!</v>
      </c>
      <c r="EM108" t="e">
        <f>AND(Bills!#REF!,"AAAAAHP3/Y4=")</f>
        <v>#REF!</v>
      </c>
      <c r="EN108" t="e">
        <f>AND(Bills!#REF!,"AAAAAHP3/Y8=")</f>
        <v>#REF!</v>
      </c>
      <c r="EO108" t="e">
        <f>AND(Bills!#REF!,"AAAAAHP3/ZA=")</f>
        <v>#REF!</v>
      </c>
      <c r="EP108" t="e">
        <f>AND(Bills!D311,"AAAAAHP3/ZE=")</f>
        <v>#VALUE!</v>
      </c>
      <c r="EQ108" t="e">
        <f>AND(Bills!#REF!,"AAAAAHP3/ZI=")</f>
        <v>#REF!</v>
      </c>
      <c r="ER108" t="e">
        <f>AND(Bills!E311,"AAAAAHP3/ZM=")</f>
        <v>#VALUE!</v>
      </c>
      <c r="ES108" t="e">
        <f>AND(Bills!F311,"AAAAAHP3/ZQ=")</f>
        <v>#VALUE!</v>
      </c>
      <c r="ET108" t="e">
        <f>AND(Bills!G311,"AAAAAHP3/ZU=")</f>
        <v>#VALUE!</v>
      </c>
      <c r="EU108" t="e">
        <f>AND(Bills!H311,"AAAAAHP3/ZY=")</f>
        <v>#VALUE!</v>
      </c>
      <c r="EV108" t="e">
        <f>AND(Bills!I311,"AAAAAHP3/Zc=")</f>
        <v>#VALUE!</v>
      </c>
      <c r="EW108" t="e">
        <f>AND(Bills!J311,"AAAAAHP3/Zg=")</f>
        <v>#VALUE!</v>
      </c>
      <c r="EX108" t="e">
        <f>AND(Bills!#REF!,"AAAAAHP3/Zk=")</f>
        <v>#REF!</v>
      </c>
      <c r="EY108" t="e">
        <f>AND(Bills!K311,"AAAAAHP3/Zo=")</f>
        <v>#VALUE!</v>
      </c>
      <c r="EZ108" t="e">
        <f>AND(Bills!L311,"AAAAAHP3/Zs=")</f>
        <v>#VALUE!</v>
      </c>
      <c r="FA108" t="e">
        <f>AND(Bills!M311,"AAAAAHP3/Zw=")</f>
        <v>#VALUE!</v>
      </c>
      <c r="FB108" t="e">
        <f>AND(Bills!N311,"AAAAAHP3/Z0=")</f>
        <v>#VALUE!</v>
      </c>
      <c r="FC108" t="e">
        <f>AND(Bills!O311,"AAAAAHP3/Z4=")</f>
        <v>#VALUE!</v>
      </c>
      <c r="FD108" t="e">
        <f>AND(Bills!P311,"AAAAAHP3/Z8=")</f>
        <v>#VALUE!</v>
      </c>
      <c r="FE108" t="e">
        <f>AND(Bills!Q311,"AAAAAHP3/aA=")</f>
        <v>#VALUE!</v>
      </c>
      <c r="FF108" t="e">
        <f>AND(Bills!R311,"AAAAAHP3/aE=")</f>
        <v>#VALUE!</v>
      </c>
      <c r="FG108" t="e">
        <f>AND(Bills!#REF!,"AAAAAHP3/aI=")</f>
        <v>#REF!</v>
      </c>
      <c r="FH108" t="e">
        <f>AND(Bills!S311,"AAAAAHP3/aM=")</f>
        <v>#VALUE!</v>
      </c>
      <c r="FI108" t="e">
        <f>AND(Bills!T311,"AAAAAHP3/aQ=")</f>
        <v>#VALUE!</v>
      </c>
      <c r="FJ108" t="e">
        <f>AND(Bills!U311,"AAAAAHP3/aU=")</f>
        <v>#VALUE!</v>
      </c>
      <c r="FK108" t="e">
        <f>AND(Bills!#REF!,"AAAAAHP3/aY=")</f>
        <v>#REF!</v>
      </c>
      <c r="FL108" t="e">
        <f>AND(Bills!#REF!,"AAAAAHP3/ac=")</f>
        <v>#REF!</v>
      </c>
      <c r="FM108" t="e">
        <f>AND(Bills!W311,"AAAAAHP3/ag=")</f>
        <v>#VALUE!</v>
      </c>
      <c r="FN108" t="e">
        <f>AND(Bills!X311,"AAAAAHP3/ak=")</f>
        <v>#VALUE!</v>
      </c>
      <c r="FO108" t="e">
        <f>AND(Bills!#REF!,"AAAAAHP3/ao=")</f>
        <v>#REF!</v>
      </c>
      <c r="FP108" t="e">
        <f>AND(Bills!#REF!,"AAAAAHP3/as=")</f>
        <v>#REF!</v>
      </c>
      <c r="FQ108" t="e">
        <f>AND(Bills!#REF!,"AAAAAHP3/aw=")</f>
        <v>#REF!</v>
      </c>
      <c r="FR108" t="e">
        <f>AND(Bills!#REF!,"AAAAAHP3/a0=")</f>
        <v>#REF!</v>
      </c>
      <c r="FS108" t="e">
        <f>AND(Bills!#REF!,"AAAAAHP3/a4=")</f>
        <v>#REF!</v>
      </c>
      <c r="FT108" t="e">
        <f>AND(Bills!#REF!,"AAAAAHP3/a8=")</f>
        <v>#REF!</v>
      </c>
      <c r="FU108" t="e">
        <f>AND(Bills!#REF!,"AAAAAHP3/bA=")</f>
        <v>#REF!</v>
      </c>
      <c r="FV108" t="e">
        <f>AND(Bills!#REF!,"AAAAAHP3/bE=")</f>
        <v>#REF!</v>
      </c>
      <c r="FW108" t="e">
        <f>AND(Bills!#REF!,"AAAAAHP3/bI=")</f>
        <v>#REF!</v>
      </c>
      <c r="FX108" t="e">
        <f>AND(Bills!Y311,"AAAAAHP3/bM=")</f>
        <v>#VALUE!</v>
      </c>
      <c r="FY108" t="e">
        <f>AND(Bills!Z311,"AAAAAHP3/bQ=")</f>
        <v>#VALUE!</v>
      </c>
      <c r="FZ108" t="e">
        <f>AND(Bills!#REF!,"AAAAAHP3/bU=")</f>
        <v>#REF!</v>
      </c>
      <c r="GA108" t="e">
        <f>AND(Bills!#REF!,"AAAAAHP3/bY=")</f>
        <v>#REF!</v>
      </c>
      <c r="GB108" t="e">
        <f>AND(Bills!#REF!,"AAAAAHP3/bc=")</f>
        <v>#REF!</v>
      </c>
      <c r="GC108" t="e">
        <f>AND(Bills!AA311,"AAAAAHP3/bg=")</f>
        <v>#VALUE!</v>
      </c>
      <c r="GD108" t="e">
        <f>AND(Bills!AB311,"AAAAAHP3/bk=")</f>
        <v>#VALUE!</v>
      </c>
      <c r="GE108" t="e">
        <f>AND(Bills!#REF!,"AAAAAHP3/bo=")</f>
        <v>#REF!</v>
      </c>
      <c r="GF108">
        <f>IF(Bills!312:312,"AAAAAHP3/bs=",0)</f>
        <v>0</v>
      </c>
      <c r="GG108" t="e">
        <f>AND(Bills!B312,"AAAAAHP3/bw=")</f>
        <v>#VALUE!</v>
      </c>
      <c r="GH108" t="e">
        <f>AND(Bills!#REF!,"AAAAAHP3/b0=")</f>
        <v>#REF!</v>
      </c>
      <c r="GI108" t="e">
        <f>AND(Bills!C312,"AAAAAHP3/b4=")</f>
        <v>#VALUE!</v>
      </c>
      <c r="GJ108" t="e">
        <f>AND(Bills!#REF!,"AAAAAHP3/b8=")</f>
        <v>#REF!</v>
      </c>
      <c r="GK108" t="e">
        <f>AND(Bills!#REF!,"AAAAAHP3/cA=")</f>
        <v>#REF!</v>
      </c>
      <c r="GL108" t="e">
        <f>AND(Bills!#REF!,"AAAAAHP3/cE=")</f>
        <v>#REF!</v>
      </c>
      <c r="GM108" t="e">
        <f>AND(Bills!#REF!,"AAAAAHP3/cI=")</f>
        <v>#REF!</v>
      </c>
      <c r="GN108" t="e">
        <f>AND(Bills!#REF!,"AAAAAHP3/cM=")</f>
        <v>#REF!</v>
      </c>
      <c r="GO108" t="e">
        <f>AND(Bills!D312,"AAAAAHP3/cQ=")</f>
        <v>#VALUE!</v>
      </c>
      <c r="GP108" t="e">
        <f>AND(Bills!#REF!,"AAAAAHP3/cU=")</f>
        <v>#REF!</v>
      </c>
      <c r="GQ108" t="e">
        <f>AND(Bills!E312,"AAAAAHP3/cY=")</f>
        <v>#VALUE!</v>
      </c>
      <c r="GR108" t="e">
        <f>AND(Bills!F312,"AAAAAHP3/cc=")</f>
        <v>#VALUE!</v>
      </c>
      <c r="GS108" t="e">
        <f>AND(Bills!G312,"AAAAAHP3/cg=")</f>
        <v>#VALUE!</v>
      </c>
      <c r="GT108" t="e">
        <f>AND(Bills!H312,"AAAAAHP3/ck=")</f>
        <v>#VALUE!</v>
      </c>
      <c r="GU108" t="e">
        <f>AND(Bills!I312,"AAAAAHP3/co=")</f>
        <v>#VALUE!</v>
      </c>
      <c r="GV108" t="e">
        <f>AND(Bills!J312,"AAAAAHP3/cs=")</f>
        <v>#VALUE!</v>
      </c>
      <c r="GW108" t="e">
        <f>AND(Bills!#REF!,"AAAAAHP3/cw=")</f>
        <v>#REF!</v>
      </c>
      <c r="GX108" t="e">
        <f>AND(Bills!K312,"AAAAAHP3/c0=")</f>
        <v>#VALUE!</v>
      </c>
      <c r="GY108" t="e">
        <f>AND(Bills!L312,"AAAAAHP3/c4=")</f>
        <v>#VALUE!</v>
      </c>
      <c r="GZ108" t="e">
        <f>AND(Bills!M312,"AAAAAHP3/c8=")</f>
        <v>#VALUE!</v>
      </c>
      <c r="HA108" t="e">
        <f>AND(Bills!N312,"AAAAAHP3/dA=")</f>
        <v>#VALUE!</v>
      </c>
      <c r="HB108" t="e">
        <f>AND(Bills!O312,"AAAAAHP3/dE=")</f>
        <v>#VALUE!</v>
      </c>
      <c r="HC108" t="e">
        <f>AND(Bills!P312,"AAAAAHP3/dI=")</f>
        <v>#VALUE!</v>
      </c>
      <c r="HD108" t="e">
        <f>AND(Bills!Q312,"AAAAAHP3/dM=")</f>
        <v>#VALUE!</v>
      </c>
      <c r="HE108" t="e">
        <f>AND(Bills!R312,"AAAAAHP3/dQ=")</f>
        <v>#VALUE!</v>
      </c>
      <c r="HF108" t="e">
        <f>AND(Bills!#REF!,"AAAAAHP3/dU=")</f>
        <v>#REF!</v>
      </c>
      <c r="HG108" t="e">
        <f>AND(Bills!S312,"AAAAAHP3/dY=")</f>
        <v>#VALUE!</v>
      </c>
      <c r="HH108" t="e">
        <f>AND(Bills!T312,"AAAAAHP3/dc=")</f>
        <v>#VALUE!</v>
      </c>
      <c r="HI108" t="e">
        <f>AND(Bills!U312,"AAAAAHP3/dg=")</f>
        <v>#VALUE!</v>
      </c>
      <c r="HJ108" t="e">
        <f>AND(Bills!#REF!,"AAAAAHP3/dk=")</f>
        <v>#REF!</v>
      </c>
      <c r="HK108" t="e">
        <f>AND(Bills!#REF!,"AAAAAHP3/do=")</f>
        <v>#REF!</v>
      </c>
      <c r="HL108" t="e">
        <f>AND(Bills!W312,"AAAAAHP3/ds=")</f>
        <v>#VALUE!</v>
      </c>
      <c r="HM108" t="e">
        <f>AND(Bills!X312,"AAAAAHP3/dw=")</f>
        <v>#VALUE!</v>
      </c>
      <c r="HN108" t="e">
        <f>AND(Bills!#REF!,"AAAAAHP3/d0=")</f>
        <v>#REF!</v>
      </c>
      <c r="HO108" t="e">
        <f>AND(Bills!#REF!,"AAAAAHP3/d4=")</f>
        <v>#REF!</v>
      </c>
      <c r="HP108" t="e">
        <f>AND(Bills!#REF!,"AAAAAHP3/d8=")</f>
        <v>#REF!</v>
      </c>
      <c r="HQ108" t="e">
        <f>AND(Bills!#REF!,"AAAAAHP3/eA=")</f>
        <v>#REF!</v>
      </c>
      <c r="HR108" t="e">
        <f>AND(Bills!#REF!,"AAAAAHP3/eE=")</f>
        <v>#REF!</v>
      </c>
      <c r="HS108" t="e">
        <f>AND(Bills!#REF!,"AAAAAHP3/eI=")</f>
        <v>#REF!</v>
      </c>
      <c r="HT108" t="e">
        <f>AND(Bills!#REF!,"AAAAAHP3/eM=")</f>
        <v>#REF!</v>
      </c>
      <c r="HU108" t="e">
        <f>AND(Bills!#REF!,"AAAAAHP3/eQ=")</f>
        <v>#REF!</v>
      </c>
      <c r="HV108" t="e">
        <f>AND(Bills!#REF!,"AAAAAHP3/eU=")</f>
        <v>#REF!</v>
      </c>
      <c r="HW108" t="e">
        <f>AND(Bills!Y312,"AAAAAHP3/eY=")</f>
        <v>#VALUE!</v>
      </c>
      <c r="HX108" t="e">
        <f>AND(Bills!Z312,"AAAAAHP3/ec=")</f>
        <v>#VALUE!</v>
      </c>
      <c r="HY108" t="e">
        <f>AND(Bills!#REF!,"AAAAAHP3/eg=")</f>
        <v>#REF!</v>
      </c>
      <c r="HZ108" t="e">
        <f>AND(Bills!#REF!,"AAAAAHP3/ek=")</f>
        <v>#REF!</v>
      </c>
      <c r="IA108" t="e">
        <f>AND(Bills!#REF!,"AAAAAHP3/eo=")</f>
        <v>#REF!</v>
      </c>
      <c r="IB108" t="e">
        <f>AND(Bills!AA312,"AAAAAHP3/es=")</f>
        <v>#VALUE!</v>
      </c>
      <c r="IC108" t="e">
        <f>AND(Bills!AB312,"AAAAAHP3/ew=")</f>
        <v>#VALUE!</v>
      </c>
      <c r="ID108" t="e">
        <f>AND(Bills!#REF!,"AAAAAHP3/e0=")</f>
        <v>#REF!</v>
      </c>
      <c r="IE108">
        <f>IF(Bills!313:313,"AAAAAHP3/e4=",0)</f>
        <v>0</v>
      </c>
      <c r="IF108" t="e">
        <f>AND(Bills!B313,"AAAAAHP3/e8=")</f>
        <v>#VALUE!</v>
      </c>
      <c r="IG108" t="e">
        <f>AND(Bills!#REF!,"AAAAAHP3/fA=")</f>
        <v>#REF!</v>
      </c>
      <c r="IH108" t="e">
        <f>AND(Bills!C313,"AAAAAHP3/fE=")</f>
        <v>#VALUE!</v>
      </c>
      <c r="II108" t="e">
        <f>AND(Bills!#REF!,"AAAAAHP3/fI=")</f>
        <v>#REF!</v>
      </c>
      <c r="IJ108" t="e">
        <f>AND(Bills!#REF!,"AAAAAHP3/fM=")</f>
        <v>#REF!</v>
      </c>
      <c r="IK108" t="e">
        <f>AND(Bills!#REF!,"AAAAAHP3/fQ=")</f>
        <v>#REF!</v>
      </c>
      <c r="IL108" t="e">
        <f>AND(Bills!#REF!,"AAAAAHP3/fU=")</f>
        <v>#REF!</v>
      </c>
      <c r="IM108" t="e">
        <f>AND(Bills!#REF!,"AAAAAHP3/fY=")</f>
        <v>#REF!</v>
      </c>
      <c r="IN108" t="e">
        <f>AND(Bills!D313,"AAAAAHP3/fc=")</f>
        <v>#VALUE!</v>
      </c>
      <c r="IO108" t="e">
        <f>AND(Bills!#REF!,"AAAAAHP3/fg=")</f>
        <v>#REF!</v>
      </c>
      <c r="IP108" t="e">
        <f>AND(Bills!E313,"AAAAAHP3/fk=")</f>
        <v>#VALUE!</v>
      </c>
      <c r="IQ108" t="e">
        <f>AND(Bills!F313,"AAAAAHP3/fo=")</f>
        <v>#VALUE!</v>
      </c>
      <c r="IR108" t="e">
        <f>AND(Bills!G313,"AAAAAHP3/fs=")</f>
        <v>#VALUE!</v>
      </c>
      <c r="IS108" t="e">
        <f>AND(Bills!H313,"AAAAAHP3/fw=")</f>
        <v>#VALUE!</v>
      </c>
      <c r="IT108" t="e">
        <f>AND(Bills!I313,"AAAAAHP3/f0=")</f>
        <v>#VALUE!</v>
      </c>
      <c r="IU108" t="e">
        <f>AND(Bills!J313,"AAAAAHP3/f4=")</f>
        <v>#VALUE!</v>
      </c>
      <c r="IV108" t="e">
        <f>AND(Bills!#REF!,"AAAAAHP3/f8=")</f>
        <v>#REF!</v>
      </c>
    </row>
    <row r="109" spans="1:256">
      <c r="A109" t="e">
        <f>AND(Bills!K313,"AAAAAFv9pwA=")</f>
        <v>#VALUE!</v>
      </c>
      <c r="B109" t="e">
        <f>AND(Bills!L313,"AAAAAFv9pwE=")</f>
        <v>#VALUE!</v>
      </c>
      <c r="C109" t="e">
        <f>AND(Bills!M313,"AAAAAFv9pwI=")</f>
        <v>#VALUE!</v>
      </c>
      <c r="D109" t="e">
        <f>AND(Bills!N313,"AAAAAFv9pwM=")</f>
        <v>#VALUE!</v>
      </c>
      <c r="E109" t="e">
        <f>AND(Bills!O313,"AAAAAFv9pwQ=")</f>
        <v>#VALUE!</v>
      </c>
      <c r="F109" t="e">
        <f>AND(Bills!P313,"AAAAAFv9pwU=")</f>
        <v>#VALUE!</v>
      </c>
      <c r="G109" t="e">
        <f>AND(Bills!Q313,"AAAAAFv9pwY=")</f>
        <v>#VALUE!</v>
      </c>
      <c r="H109" t="e">
        <f>AND(Bills!R313,"AAAAAFv9pwc=")</f>
        <v>#VALUE!</v>
      </c>
      <c r="I109" t="e">
        <f>AND(Bills!#REF!,"AAAAAFv9pwg=")</f>
        <v>#REF!</v>
      </c>
      <c r="J109" t="e">
        <f>AND(Bills!S313,"AAAAAFv9pwk=")</f>
        <v>#VALUE!</v>
      </c>
      <c r="K109" t="e">
        <f>AND(Bills!T313,"AAAAAFv9pwo=")</f>
        <v>#VALUE!</v>
      </c>
      <c r="L109" t="e">
        <f>AND(Bills!U313,"AAAAAFv9pws=")</f>
        <v>#VALUE!</v>
      </c>
      <c r="M109" t="e">
        <f>AND(Bills!#REF!,"AAAAAFv9pww=")</f>
        <v>#REF!</v>
      </c>
      <c r="N109" t="e">
        <f>AND(Bills!#REF!,"AAAAAFv9pw0=")</f>
        <v>#REF!</v>
      </c>
      <c r="O109" t="e">
        <f>AND(Bills!W313,"AAAAAFv9pw4=")</f>
        <v>#VALUE!</v>
      </c>
      <c r="P109" t="e">
        <f>AND(Bills!X313,"AAAAAFv9pw8=")</f>
        <v>#VALUE!</v>
      </c>
      <c r="Q109" t="e">
        <f>AND(Bills!#REF!,"AAAAAFv9pxA=")</f>
        <v>#REF!</v>
      </c>
      <c r="R109" t="e">
        <f>AND(Bills!#REF!,"AAAAAFv9pxE=")</f>
        <v>#REF!</v>
      </c>
      <c r="S109" t="e">
        <f>AND(Bills!#REF!,"AAAAAFv9pxI=")</f>
        <v>#REF!</v>
      </c>
      <c r="T109" t="e">
        <f>AND(Bills!#REF!,"AAAAAFv9pxM=")</f>
        <v>#REF!</v>
      </c>
      <c r="U109" t="e">
        <f>AND(Bills!#REF!,"AAAAAFv9pxQ=")</f>
        <v>#REF!</v>
      </c>
      <c r="V109" t="e">
        <f>AND(Bills!#REF!,"AAAAAFv9pxU=")</f>
        <v>#REF!</v>
      </c>
      <c r="W109" t="e">
        <f>AND(Bills!#REF!,"AAAAAFv9pxY=")</f>
        <v>#REF!</v>
      </c>
      <c r="X109" t="e">
        <f>AND(Bills!#REF!,"AAAAAFv9pxc=")</f>
        <v>#REF!</v>
      </c>
      <c r="Y109" t="e">
        <f>AND(Bills!#REF!,"AAAAAFv9pxg=")</f>
        <v>#REF!</v>
      </c>
      <c r="Z109" t="e">
        <f>AND(Bills!Y313,"AAAAAFv9pxk=")</f>
        <v>#VALUE!</v>
      </c>
      <c r="AA109" t="e">
        <f>AND(Bills!Z313,"AAAAAFv9pxo=")</f>
        <v>#VALUE!</v>
      </c>
      <c r="AB109" t="e">
        <f>AND(Bills!#REF!,"AAAAAFv9pxs=")</f>
        <v>#REF!</v>
      </c>
      <c r="AC109" t="e">
        <f>AND(Bills!#REF!,"AAAAAFv9pxw=")</f>
        <v>#REF!</v>
      </c>
      <c r="AD109" t="e">
        <f>AND(Bills!#REF!,"AAAAAFv9px0=")</f>
        <v>#REF!</v>
      </c>
      <c r="AE109" t="e">
        <f>AND(Bills!AA313,"AAAAAFv9px4=")</f>
        <v>#VALUE!</v>
      </c>
      <c r="AF109" t="e">
        <f>AND(Bills!AB313,"AAAAAFv9px8=")</f>
        <v>#VALUE!</v>
      </c>
      <c r="AG109" t="e">
        <f>AND(Bills!#REF!,"AAAAAFv9pyA=")</f>
        <v>#REF!</v>
      </c>
      <c r="AH109">
        <f>IF(Bills!314:314,"AAAAAFv9pyE=",0)</f>
        <v>0</v>
      </c>
      <c r="AI109" t="e">
        <f>AND(Bills!B314,"AAAAAFv9pyI=")</f>
        <v>#VALUE!</v>
      </c>
      <c r="AJ109" t="e">
        <f>AND(Bills!#REF!,"AAAAAFv9pyM=")</f>
        <v>#REF!</v>
      </c>
      <c r="AK109" t="e">
        <f>AND(Bills!C314,"AAAAAFv9pyQ=")</f>
        <v>#VALUE!</v>
      </c>
      <c r="AL109" t="e">
        <f>AND(Bills!#REF!,"AAAAAFv9pyU=")</f>
        <v>#REF!</v>
      </c>
      <c r="AM109" t="e">
        <f>AND(Bills!#REF!,"AAAAAFv9pyY=")</f>
        <v>#REF!</v>
      </c>
      <c r="AN109" t="e">
        <f>AND(Bills!#REF!,"AAAAAFv9pyc=")</f>
        <v>#REF!</v>
      </c>
      <c r="AO109" t="e">
        <f>AND(Bills!#REF!,"AAAAAFv9pyg=")</f>
        <v>#REF!</v>
      </c>
      <c r="AP109" t="e">
        <f>AND(Bills!#REF!,"AAAAAFv9pyk=")</f>
        <v>#REF!</v>
      </c>
      <c r="AQ109" t="e">
        <f>AND(Bills!D314,"AAAAAFv9pyo=")</f>
        <v>#VALUE!</v>
      </c>
      <c r="AR109" t="e">
        <f>AND(Bills!#REF!,"AAAAAFv9pys=")</f>
        <v>#REF!</v>
      </c>
      <c r="AS109" t="e">
        <f>AND(Bills!E314,"AAAAAFv9pyw=")</f>
        <v>#VALUE!</v>
      </c>
      <c r="AT109" t="e">
        <f>AND(Bills!F314,"AAAAAFv9py0=")</f>
        <v>#VALUE!</v>
      </c>
      <c r="AU109" t="e">
        <f>AND(Bills!G314,"AAAAAFv9py4=")</f>
        <v>#VALUE!</v>
      </c>
      <c r="AV109" t="e">
        <f>AND(Bills!H314,"AAAAAFv9py8=")</f>
        <v>#VALUE!</v>
      </c>
      <c r="AW109" t="e">
        <f>AND(Bills!I314,"AAAAAFv9pzA=")</f>
        <v>#VALUE!</v>
      </c>
      <c r="AX109" t="e">
        <f>AND(Bills!J314,"AAAAAFv9pzE=")</f>
        <v>#VALUE!</v>
      </c>
      <c r="AY109" t="e">
        <f>AND(Bills!#REF!,"AAAAAFv9pzI=")</f>
        <v>#REF!</v>
      </c>
      <c r="AZ109" t="e">
        <f>AND(Bills!K314,"AAAAAFv9pzM=")</f>
        <v>#VALUE!</v>
      </c>
      <c r="BA109" t="e">
        <f>AND(Bills!L314,"AAAAAFv9pzQ=")</f>
        <v>#VALUE!</v>
      </c>
      <c r="BB109" t="e">
        <f>AND(Bills!M314,"AAAAAFv9pzU=")</f>
        <v>#VALUE!</v>
      </c>
      <c r="BC109" t="e">
        <f>AND(Bills!N314,"AAAAAFv9pzY=")</f>
        <v>#VALUE!</v>
      </c>
      <c r="BD109" t="e">
        <f>AND(Bills!O314,"AAAAAFv9pzc=")</f>
        <v>#VALUE!</v>
      </c>
      <c r="BE109" t="e">
        <f>AND(Bills!P314,"AAAAAFv9pzg=")</f>
        <v>#VALUE!</v>
      </c>
      <c r="BF109" t="e">
        <f>AND(Bills!Q314,"AAAAAFv9pzk=")</f>
        <v>#VALUE!</v>
      </c>
      <c r="BG109" t="e">
        <f>AND(Bills!R314,"AAAAAFv9pzo=")</f>
        <v>#VALUE!</v>
      </c>
      <c r="BH109" t="e">
        <f>AND(Bills!#REF!,"AAAAAFv9pzs=")</f>
        <v>#REF!</v>
      </c>
      <c r="BI109" t="e">
        <f>AND(Bills!S314,"AAAAAFv9pzw=")</f>
        <v>#VALUE!</v>
      </c>
      <c r="BJ109" t="e">
        <f>AND(Bills!T314,"AAAAAFv9pz0=")</f>
        <v>#VALUE!</v>
      </c>
      <c r="BK109" t="e">
        <f>AND(Bills!U314,"AAAAAFv9pz4=")</f>
        <v>#VALUE!</v>
      </c>
      <c r="BL109" t="e">
        <f>AND(Bills!#REF!,"AAAAAFv9pz8=")</f>
        <v>#REF!</v>
      </c>
      <c r="BM109" t="e">
        <f>AND(Bills!#REF!,"AAAAAFv9p0A=")</f>
        <v>#REF!</v>
      </c>
      <c r="BN109" t="e">
        <f>AND(Bills!W314,"AAAAAFv9p0E=")</f>
        <v>#VALUE!</v>
      </c>
      <c r="BO109" t="e">
        <f>AND(Bills!X314,"AAAAAFv9p0I=")</f>
        <v>#VALUE!</v>
      </c>
      <c r="BP109" t="e">
        <f>AND(Bills!#REF!,"AAAAAFv9p0M=")</f>
        <v>#REF!</v>
      </c>
      <c r="BQ109" t="e">
        <f>AND(Bills!#REF!,"AAAAAFv9p0Q=")</f>
        <v>#REF!</v>
      </c>
      <c r="BR109" t="e">
        <f>AND(Bills!#REF!,"AAAAAFv9p0U=")</f>
        <v>#REF!</v>
      </c>
      <c r="BS109" t="e">
        <f>AND(Bills!#REF!,"AAAAAFv9p0Y=")</f>
        <v>#REF!</v>
      </c>
      <c r="BT109" t="e">
        <f>AND(Bills!#REF!,"AAAAAFv9p0c=")</f>
        <v>#REF!</v>
      </c>
      <c r="BU109" t="e">
        <f>AND(Bills!#REF!,"AAAAAFv9p0g=")</f>
        <v>#REF!</v>
      </c>
      <c r="BV109" t="e">
        <f>AND(Bills!#REF!,"AAAAAFv9p0k=")</f>
        <v>#REF!</v>
      </c>
      <c r="BW109" t="e">
        <f>AND(Bills!#REF!,"AAAAAFv9p0o=")</f>
        <v>#REF!</v>
      </c>
      <c r="BX109" t="e">
        <f>AND(Bills!#REF!,"AAAAAFv9p0s=")</f>
        <v>#REF!</v>
      </c>
      <c r="BY109" t="e">
        <f>AND(Bills!Y314,"AAAAAFv9p0w=")</f>
        <v>#VALUE!</v>
      </c>
      <c r="BZ109" t="e">
        <f>AND(Bills!Z314,"AAAAAFv9p00=")</f>
        <v>#VALUE!</v>
      </c>
      <c r="CA109" t="e">
        <f>AND(Bills!#REF!,"AAAAAFv9p04=")</f>
        <v>#REF!</v>
      </c>
      <c r="CB109" t="e">
        <f>AND(Bills!#REF!,"AAAAAFv9p08=")</f>
        <v>#REF!</v>
      </c>
      <c r="CC109" t="e">
        <f>AND(Bills!#REF!,"AAAAAFv9p1A=")</f>
        <v>#REF!</v>
      </c>
      <c r="CD109" t="e">
        <f>AND(Bills!AA314,"AAAAAFv9p1E=")</f>
        <v>#VALUE!</v>
      </c>
      <c r="CE109" t="e">
        <f>AND(Bills!AB314,"AAAAAFv9p1I=")</f>
        <v>#VALUE!</v>
      </c>
      <c r="CF109" t="e">
        <f>AND(Bills!#REF!,"AAAAAFv9p1M=")</f>
        <v>#REF!</v>
      </c>
      <c r="CG109">
        <f>IF(Bills!315:315,"AAAAAFv9p1Q=",0)</f>
        <v>0</v>
      </c>
      <c r="CH109" t="e">
        <f>AND(Bills!B315,"AAAAAFv9p1U=")</f>
        <v>#VALUE!</v>
      </c>
      <c r="CI109" t="e">
        <f>AND(Bills!#REF!,"AAAAAFv9p1Y=")</f>
        <v>#REF!</v>
      </c>
      <c r="CJ109" t="e">
        <f>AND(Bills!C315,"AAAAAFv9p1c=")</f>
        <v>#VALUE!</v>
      </c>
      <c r="CK109" t="e">
        <f>AND(Bills!#REF!,"AAAAAFv9p1g=")</f>
        <v>#REF!</v>
      </c>
      <c r="CL109" t="e">
        <f>AND(Bills!#REF!,"AAAAAFv9p1k=")</f>
        <v>#REF!</v>
      </c>
      <c r="CM109" t="e">
        <f>AND(Bills!#REF!,"AAAAAFv9p1o=")</f>
        <v>#REF!</v>
      </c>
      <c r="CN109" t="e">
        <f>AND(Bills!#REF!,"AAAAAFv9p1s=")</f>
        <v>#REF!</v>
      </c>
      <c r="CO109" t="e">
        <f>AND(Bills!#REF!,"AAAAAFv9p1w=")</f>
        <v>#REF!</v>
      </c>
      <c r="CP109" t="e">
        <f>AND(Bills!D315,"AAAAAFv9p10=")</f>
        <v>#VALUE!</v>
      </c>
      <c r="CQ109" t="e">
        <f>AND(Bills!#REF!,"AAAAAFv9p14=")</f>
        <v>#REF!</v>
      </c>
      <c r="CR109" t="e">
        <f>AND(Bills!E315,"AAAAAFv9p18=")</f>
        <v>#VALUE!</v>
      </c>
      <c r="CS109" t="e">
        <f>AND(Bills!F315,"AAAAAFv9p2A=")</f>
        <v>#VALUE!</v>
      </c>
      <c r="CT109" t="e">
        <f>AND(Bills!G315,"AAAAAFv9p2E=")</f>
        <v>#VALUE!</v>
      </c>
      <c r="CU109" t="e">
        <f>AND(Bills!H315,"AAAAAFv9p2I=")</f>
        <v>#VALUE!</v>
      </c>
      <c r="CV109" t="e">
        <f>AND(Bills!I315,"AAAAAFv9p2M=")</f>
        <v>#VALUE!</v>
      </c>
      <c r="CW109" t="e">
        <f>AND(Bills!J315,"AAAAAFv9p2Q=")</f>
        <v>#VALUE!</v>
      </c>
      <c r="CX109" t="e">
        <f>AND(Bills!#REF!,"AAAAAFv9p2U=")</f>
        <v>#REF!</v>
      </c>
      <c r="CY109" t="e">
        <f>AND(Bills!K315,"AAAAAFv9p2Y=")</f>
        <v>#VALUE!</v>
      </c>
      <c r="CZ109" t="e">
        <f>AND(Bills!L315,"AAAAAFv9p2c=")</f>
        <v>#VALUE!</v>
      </c>
      <c r="DA109" t="e">
        <f>AND(Bills!M315,"AAAAAFv9p2g=")</f>
        <v>#VALUE!</v>
      </c>
      <c r="DB109" t="e">
        <f>AND(Bills!N315,"AAAAAFv9p2k=")</f>
        <v>#VALUE!</v>
      </c>
      <c r="DC109" t="e">
        <f>AND(Bills!O315,"AAAAAFv9p2o=")</f>
        <v>#VALUE!</v>
      </c>
      <c r="DD109" t="e">
        <f>AND(Bills!P315,"AAAAAFv9p2s=")</f>
        <v>#VALUE!</v>
      </c>
      <c r="DE109" t="e">
        <f>AND(Bills!Q315,"AAAAAFv9p2w=")</f>
        <v>#VALUE!</v>
      </c>
      <c r="DF109" t="e">
        <f>AND(Bills!R315,"AAAAAFv9p20=")</f>
        <v>#VALUE!</v>
      </c>
      <c r="DG109" t="e">
        <f>AND(Bills!#REF!,"AAAAAFv9p24=")</f>
        <v>#REF!</v>
      </c>
      <c r="DH109" t="e">
        <f>AND(Bills!S315,"AAAAAFv9p28=")</f>
        <v>#VALUE!</v>
      </c>
      <c r="DI109" t="e">
        <f>AND(Bills!T315,"AAAAAFv9p3A=")</f>
        <v>#VALUE!</v>
      </c>
      <c r="DJ109" t="e">
        <f>AND(Bills!U315,"AAAAAFv9p3E=")</f>
        <v>#VALUE!</v>
      </c>
      <c r="DK109" t="e">
        <f>AND(Bills!#REF!,"AAAAAFv9p3I=")</f>
        <v>#REF!</v>
      </c>
      <c r="DL109" t="e">
        <f>AND(Bills!#REF!,"AAAAAFv9p3M=")</f>
        <v>#REF!</v>
      </c>
      <c r="DM109" t="e">
        <f>AND(Bills!W315,"AAAAAFv9p3Q=")</f>
        <v>#VALUE!</v>
      </c>
      <c r="DN109" t="e">
        <f>AND(Bills!X315,"AAAAAFv9p3U=")</f>
        <v>#VALUE!</v>
      </c>
      <c r="DO109" t="e">
        <f>AND(Bills!#REF!,"AAAAAFv9p3Y=")</f>
        <v>#REF!</v>
      </c>
      <c r="DP109" t="e">
        <f>AND(Bills!#REF!,"AAAAAFv9p3c=")</f>
        <v>#REF!</v>
      </c>
      <c r="DQ109" t="e">
        <f>AND(Bills!#REF!,"AAAAAFv9p3g=")</f>
        <v>#REF!</v>
      </c>
      <c r="DR109" t="e">
        <f>AND(Bills!#REF!,"AAAAAFv9p3k=")</f>
        <v>#REF!</v>
      </c>
      <c r="DS109" t="e">
        <f>AND(Bills!#REF!,"AAAAAFv9p3o=")</f>
        <v>#REF!</v>
      </c>
      <c r="DT109" t="e">
        <f>AND(Bills!#REF!,"AAAAAFv9p3s=")</f>
        <v>#REF!</v>
      </c>
      <c r="DU109" t="e">
        <f>AND(Bills!#REF!,"AAAAAFv9p3w=")</f>
        <v>#REF!</v>
      </c>
      <c r="DV109" t="e">
        <f>AND(Bills!#REF!,"AAAAAFv9p30=")</f>
        <v>#REF!</v>
      </c>
      <c r="DW109" t="e">
        <f>AND(Bills!#REF!,"AAAAAFv9p34=")</f>
        <v>#REF!</v>
      </c>
      <c r="DX109" t="e">
        <f>AND(Bills!Y315,"AAAAAFv9p38=")</f>
        <v>#VALUE!</v>
      </c>
      <c r="DY109" t="e">
        <f>AND(Bills!Z315,"AAAAAFv9p4A=")</f>
        <v>#VALUE!</v>
      </c>
      <c r="DZ109" t="e">
        <f>AND(Bills!#REF!,"AAAAAFv9p4E=")</f>
        <v>#REF!</v>
      </c>
      <c r="EA109" t="e">
        <f>AND(Bills!#REF!,"AAAAAFv9p4I=")</f>
        <v>#REF!</v>
      </c>
      <c r="EB109" t="e">
        <f>AND(Bills!#REF!,"AAAAAFv9p4M=")</f>
        <v>#REF!</v>
      </c>
      <c r="EC109" t="e">
        <f>AND(Bills!AA315,"AAAAAFv9p4Q=")</f>
        <v>#VALUE!</v>
      </c>
      <c r="ED109" t="e">
        <f>AND(Bills!AB315,"AAAAAFv9p4U=")</f>
        <v>#VALUE!</v>
      </c>
      <c r="EE109" t="e">
        <f>AND(Bills!#REF!,"AAAAAFv9p4Y=")</f>
        <v>#REF!</v>
      </c>
      <c r="EF109">
        <f>IF(Bills!316:316,"AAAAAFv9p4c=",0)</f>
        <v>0</v>
      </c>
      <c r="EG109" t="e">
        <f>AND(Bills!B316,"AAAAAFv9p4g=")</f>
        <v>#VALUE!</v>
      </c>
      <c r="EH109" t="e">
        <f>AND(Bills!#REF!,"AAAAAFv9p4k=")</f>
        <v>#REF!</v>
      </c>
      <c r="EI109" t="e">
        <f>AND(Bills!C316,"AAAAAFv9p4o=")</f>
        <v>#VALUE!</v>
      </c>
      <c r="EJ109" t="e">
        <f>AND(Bills!#REF!,"AAAAAFv9p4s=")</f>
        <v>#REF!</v>
      </c>
      <c r="EK109" t="e">
        <f>AND(Bills!#REF!,"AAAAAFv9p4w=")</f>
        <v>#REF!</v>
      </c>
      <c r="EL109" t="e">
        <f>AND(Bills!#REF!,"AAAAAFv9p40=")</f>
        <v>#REF!</v>
      </c>
      <c r="EM109" t="e">
        <f>AND(Bills!#REF!,"AAAAAFv9p44=")</f>
        <v>#REF!</v>
      </c>
      <c r="EN109" t="e">
        <f>AND(Bills!#REF!,"AAAAAFv9p48=")</f>
        <v>#REF!</v>
      </c>
      <c r="EO109" t="e">
        <f>AND(Bills!D316,"AAAAAFv9p5A=")</f>
        <v>#VALUE!</v>
      </c>
      <c r="EP109" t="e">
        <f>AND(Bills!#REF!,"AAAAAFv9p5E=")</f>
        <v>#REF!</v>
      </c>
      <c r="EQ109" t="e">
        <f>AND(Bills!E316,"AAAAAFv9p5I=")</f>
        <v>#VALUE!</v>
      </c>
      <c r="ER109" t="e">
        <f>AND(Bills!F316,"AAAAAFv9p5M=")</f>
        <v>#VALUE!</v>
      </c>
      <c r="ES109" t="e">
        <f>AND(Bills!G316,"AAAAAFv9p5Q=")</f>
        <v>#VALUE!</v>
      </c>
      <c r="ET109" t="e">
        <f>AND(Bills!H316,"AAAAAFv9p5U=")</f>
        <v>#VALUE!</v>
      </c>
      <c r="EU109" t="e">
        <f>AND(Bills!I316,"AAAAAFv9p5Y=")</f>
        <v>#VALUE!</v>
      </c>
      <c r="EV109" t="e">
        <f>AND(Bills!J316,"AAAAAFv9p5c=")</f>
        <v>#VALUE!</v>
      </c>
      <c r="EW109" t="e">
        <f>AND(Bills!#REF!,"AAAAAFv9p5g=")</f>
        <v>#REF!</v>
      </c>
      <c r="EX109" t="e">
        <f>AND(Bills!K316,"AAAAAFv9p5k=")</f>
        <v>#VALUE!</v>
      </c>
      <c r="EY109" t="e">
        <f>AND(Bills!L316,"AAAAAFv9p5o=")</f>
        <v>#VALUE!</v>
      </c>
      <c r="EZ109" t="e">
        <f>AND(Bills!M316,"AAAAAFv9p5s=")</f>
        <v>#VALUE!</v>
      </c>
      <c r="FA109" t="e">
        <f>AND(Bills!N316,"AAAAAFv9p5w=")</f>
        <v>#VALUE!</v>
      </c>
      <c r="FB109" t="e">
        <f>AND(Bills!O316,"AAAAAFv9p50=")</f>
        <v>#VALUE!</v>
      </c>
      <c r="FC109" t="e">
        <f>AND(Bills!P316,"AAAAAFv9p54=")</f>
        <v>#VALUE!</v>
      </c>
      <c r="FD109" t="e">
        <f>AND(Bills!Q316,"AAAAAFv9p58=")</f>
        <v>#VALUE!</v>
      </c>
      <c r="FE109" t="e">
        <f>AND(Bills!R316,"AAAAAFv9p6A=")</f>
        <v>#VALUE!</v>
      </c>
      <c r="FF109" t="e">
        <f>AND(Bills!#REF!,"AAAAAFv9p6E=")</f>
        <v>#REF!</v>
      </c>
      <c r="FG109" t="e">
        <f>AND(Bills!S316,"AAAAAFv9p6I=")</f>
        <v>#VALUE!</v>
      </c>
      <c r="FH109" t="e">
        <f>AND(Bills!T316,"AAAAAFv9p6M=")</f>
        <v>#VALUE!</v>
      </c>
      <c r="FI109" t="e">
        <f>AND(Bills!U316,"AAAAAFv9p6Q=")</f>
        <v>#VALUE!</v>
      </c>
      <c r="FJ109" t="e">
        <f>AND(Bills!#REF!,"AAAAAFv9p6U=")</f>
        <v>#REF!</v>
      </c>
      <c r="FK109" t="e">
        <f>AND(Bills!#REF!,"AAAAAFv9p6Y=")</f>
        <v>#REF!</v>
      </c>
      <c r="FL109" t="e">
        <f>AND(Bills!W316,"AAAAAFv9p6c=")</f>
        <v>#VALUE!</v>
      </c>
      <c r="FM109" t="e">
        <f>AND(Bills!X316,"AAAAAFv9p6g=")</f>
        <v>#VALUE!</v>
      </c>
      <c r="FN109" t="e">
        <f>AND(Bills!#REF!,"AAAAAFv9p6k=")</f>
        <v>#REF!</v>
      </c>
      <c r="FO109" t="e">
        <f>AND(Bills!#REF!,"AAAAAFv9p6o=")</f>
        <v>#REF!</v>
      </c>
      <c r="FP109" t="e">
        <f>AND(Bills!#REF!,"AAAAAFv9p6s=")</f>
        <v>#REF!</v>
      </c>
      <c r="FQ109" t="e">
        <f>AND(Bills!#REF!,"AAAAAFv9p6w=")</f>
        <v>#REF!</v>
      </c>
      <c r="FR109" t="e">
        <f>AND(Bills!#REF!,"AAAAAFv9p60=")</f>
        <v>#REF!</v>
      </c>
      <c r="FS109" t="e">
        <f>AND(Bills!#REF!,"AAAAAFv9p64=")</f>
        <v>#REF!</v>
      </c>
      <c r="FT109" t="e">
        <f>AND(Bills!#REF!,"AAAAAFv9p68=")</f>
        <v>#REF!</v>
      </c>
      <c r="FU109" t="e">
        <f>AND(Bills!#REF!,"AAAAAFv9p7A=")</f>
        <v>#REF!</v>
      </c>
      <c r="FV109" t="e">
        <f>AND(Bills!#REF!,"AAAAAFv9p7E=")</f>
        <v>#REF!</v>
      </c>
      <c r="FW109" t="e">
        <f>AND(Bills!Y316,"AAAAAFv9p7I=")</f>
        <v>#VALUE!</v>
      </c>
      <c r="FX109" t="e">
        <f>AND(Bills!Z316,"AAAAAFv9p7M=")</f>
        <v>#VALUE!</v>
      </c>
      <c r="FY109" t="e">
        <f>AND(Bills!#REF!,"AAAAAFv9p7Q=")</f>
        <v>#REF!</v>
      </c>
      <c r="FZ109" t="e">
        <f>AND(Bills!#REF!,"AAAAAFv9p7U=")</f>
        <v>#REF!</v>
      </c>
      <c r="GA109" t="e">
        <f>AND(Bills!#REF!,"AAAAAFv9p7Y=")</f>
        <v>#REF!</v>
      </c>
      <c r="GB109" t="e">
        <f>AND(Bills!AA316,"AAAAAFv9p7c=")</f>
        <v>#VALUE!</v>
      </c>
      <c r="GC109" t="e">
        <f>AND(Bills!AB316,"AAAAAFv9p7g=")</f>
        <v>#VALUE!</v>
      </c>
      <c r="GD109" t="e">
        <f>AND(Bills!#REF!,"AAAAAFv9p7k=")</f>
        <v>#REF!</v>
      </c>
      <c r="GE109">
        <f>IF(Bills!317:317,"AAAAAFv9p7o=",0)</f>
        <v>0</v>
      </c>
      <c r="GF109" t="e">
        <f>AND(Bills!B317,"AAAAAFv9p7s=")</f>
        <v>#VALUE!</v>
      </c>
      <c r="GG109" t="e">
        <f>AND(Bills!#REF!,"AAAAAFv9p7w=")</f>
        <v>#REF!</v>
      </c>
      <c r="GH109" t="e">
        <f>AND(Bills!C317,"AAAAAFv9p70=")</f>
        <v>#VALUE!</v>
      </c>
      <c r="GI109" t="e">
        <f>AND(Bills!#REF!,"AAAAAFv9p74=")</f>
        <v>#REF!</v>
      </c>
      <c r="GJ109" t="e">
        <f>AND(Bills!#REF!,"AAAAAFv9p78=")</f>
        <v>#REF!</v>
      </c>
      <c r="GK109" t="e">
        <f>AND(Bills!#REF!,"AAAAAFv9p8A=")</f>
        <v>#REF!</v>
      </c>
      <c r="GL109" t="e">
        <f>AND(Bills!#REF!,"AAAAAFv9p8E=")</f>
        <v>#REF!</v>
      </c>
      <c r="GM109" t="e">
        <f>AND(Bills!#REF!,"AAAAAFv9p8I=")</f>
        <v>#REF!</v>
      </c>
      <c r="GN109" t="e">
        <f>AND(Bills!D317,"AAAAAFv9p8M=")</f>
        <v>#VALUE!</v>
      </c>
      <c r="GO109" t="e">
        <f>AND(Bills!#REF!,"AAAAAFv9p8Q=")</f>
        <v>#REF!</v>
      </c>
      <c r="GP109" t="e">
        <f>AND(Bills!E317,"AAAAAFv9p8U=")</f>
        <v>#VALUE!</v>
      </c>
      <c r="GQ109" t="e">
        <f>AND(Bills!F317,"AAAAAFv9p8Y=")</f>
        <v>#VALUE!</v>
      </c>
      <c r="GR109" t="e">
        <f>AND(Bills!G317,"AAAAAFv9p8c=")</f>
        <v>#VALUE!</v>
      </c>
      <c r="GS109" t="e">
        <f>AND(Bills!H317,"AAAAAFv9p8g=")</f>
        <v>#VALUE!</v>
      </c>
      <c r="GT109" t="e">
        <f>AND(Bills!I317,"AAAAAFv9p8k=")</f>
        <v>#VALUE!</v>
      </c>
      <c r="GU109" t="e">
        <f>AND(Bills!J317,"AAAAAFv9p8o=")</f>
        <v>#VALUE!</v>
      </c>
      <c r="GV109" t="e">
        <f>AND(Bills!#REF!,"AAAAAFv9p8s=")</f>
        <v>#REF!</v>
      </c>
      <c r="GW109" t="e">
        <f>AND(Bills!K317,"AAAAAFv9p8w=")</f>
        <v>#VALUE!</v>
      </c>
      <c r="GX109" t="e">
        <f>AND(Bills!L317,"AAAAAFv9p80=")</f>
        <v>#VALUE!</v>
      </c>
      <c r="GY109" t="e">
        <f>AND(Bills!M317,"AAAAAFv9p84=")</f>
        <v>#VALUE!</v>
      </c>
      <c r="GZ109" t="e">
        <f>AND(Bills!N317,"AAAAAFv9p88=")</f>
        <v>#VALUE!</v>
      </c>
      <c r="HA109" t="e">
        <f>AND(Bills!O317,"AAAAAFv9p9A=")</f>
        <v>#VALUE!</v>
      </c>
      <c r="HB109" t="e">
        <f>AND(Bills!P317,"AAAAAFv9p9E=")</f>
        <v>#VALUE!</v>
      </c>
      <c r="HC109" t="e">
        <f>AND(Bills!Q317,"AAAAAFv9p9I=")</f>
        <v>#VALUE!</v>
      </c>
      <c r="HD109" t="e">
        <f>AND(Bills!R317,"AAAAAFv9p9M=")</f>
        <v>#VALUE!</v>
      </c>
      <c r="HE109" t="e">
        <f>AND(Bills!#REF!,"AAAAAFv9p9Q=")</f>
        <v>#REF!</v>
      </c>
      <c r="HF109" t="e">
        <f>AND(Bills!S317,"AAAAAFv9p9U=")</f>
        <v>#VALUE!</v>
      </c>
      <c r="HG109" t="e">
        <f>AND(Bills!T317,"AAAAAFv9p9Y=")</f>
        <v>#VALUE!</v>
      </c>
      <c r="HH109" t="e">
        <f>AND(Bills!U317,"AAAAAFv9p9c=")</f>
        <v>#VALUE!</v>
      </c>
      <c r="HI109" t="e">
        <f>AND(Bills!#REF!,"AAAAAFv9p9g=")</f>
        <v>#REF!</v>
      </c>
      <c r="HJ109" t="e">
        <f>AND(Bills!#REF!,"AAAAAFv9p9k=")</f>
        <v>#REF!</v>
      </c>
      <c r="HK109" t="e">
        <f>AND(Bills!W317,"AAAAAFv9p9o=")</f>
        <v>#VALUE!</v>
      </c>
      <c r="HL109" t="e">
        <f>AND(Bills!X317,"AAAAAFv9p9s=")</f>
        <v>#VALUE!</v>
      </c>
      <c r="HM109" t="e">
        <f>AND(Bills!#REF!,"AAAAAFv9p9w=")</f>
        <v>#REF!</v>
      </c>
      <c r="HN109" t="e">
        <f>AND(Bills!#REF!,"AAAAAFv9p90=")</f>
        <v>#REF!</v>
      </c>
      <c r="HO109" t="e">
        <f>AND(Bills!#REF!,"AAAAAFv9p94=")</f>
        <v>#REF!</v>
      </c>
      <c r="HP109" t="e">
        <f>AND(Bills!#REF!,"AAAAAFv9p98=")</f>
        <v>#REF!</v>
      </c>
      <c r="HQ109" t="e">
        <f>AND(Bills!#REF!,"AAAAAFv9p+A=")</f>
        <v>#REF!</v>
      </c>
      <c r="HR109" t="e">
        <f>AND(Bills!#REF!,"AAAAAFv9p+E=")</f>
        <v>#REF!</v>
      </c>
      <c r="HS109" t="e">
        <f>AND(Bills!#REF!,"AAAAAFv9p+I=")</f>
        <v>#REF!</v>
      </c>
      <c r="HT109" t="e">
        <f>AND(Bills!#REF!,"AAAAAFv9p+M=")</f>
        <v>#REF!</v>
      </c>
      <c r="HU109" t="e">
        <f>AND(Bills!#REF!,"AAAAAFv9p+Q=")</f>
        <v>#REF!</v>
      </c>
      <c r="HV109" t="e">
        <f>AND(Bills!Y317,"AAAAAFv9p+U=")</f>
        <v>#VALUE!</v>
      </c>
      <c r="HW109" t="e">
        <f>AND(Bills!Z317,"AAAAAFv9p+Y=")</f>
        <v>#VALUE!</v>
      </c>
      <c r="HX109" t="e">
        <f>AND(Bills!#REF!,"AAAAAFv9p+c=")</f>
        <v>#REF!</v>
      </c>
      <c r="HY109" t="e">
        <f>AND(Bills!#REF!,"AAAAAFv9p+g=")</f>
        <v>#REF!</v>
      </c>
      <c r="HZ109" t="e">
        <f>AND(Bills!#REF!,"AAAAAFv9p+k=")</f>
        <v>#REF!</v>
      </c>
      <c r="IA109" t="e">
        <f>AND(Bills!AA317,"AAAAAFv9p+o=")</f>
        <v>#VALUE!</v>
      </c>
      <c r="IB109" t="e">
        <f>AND(Bills!AB317,"AAAAAFv9p+s=")</f>
        <v>#VALUE!</v>
      </c>
      <c r="IC109" t="e">
        <f>AND(Bills!#REF!,"AAAAAFv9p+w=")</f>
        <v>#REF!</v>
      </c>
      <c r="ID109">
        <f>IF(Bills!318:318,"AAAAAFv9p+0=",0)</f>
        <v>0</v>
      </c>
      <c r="IE109" t="e">
        <f>AND(Bills!B318,"AAAAAFv9p+4=")</f>
        <v>#VALUE!</v>
      </c>
      <c r="IF109" t="e">
        <f>AND(Bills!#REF!,"AAAAAFv9p+8=")</f>
        <v>#REF!</v>
      </c>
      <c r="IG109" t="e">
        <f>AND(Bills!C318,"AAAAAFv9p/A=")</f>
        <v>#VALUE!</v>
      </c>
      <c r="IH109" t="e">
        <f>AND(Bills!#REF!,"AAAAAFv9p/E=")</f>
        <v>#REF!</v>
      </c>
      <c r="II109" t="e">
        <f>AND(Bills!#REF!,"AAAAAFv9p/I=")</f>
        <v>#REF!</v>
      </c>
      <c r="IJ109" t="e">
        <f>AND(Bills!#REF!,"AAAAAFv9p/M=")</f>
        <v>#REF!</v>
      </c>
      <c r="IK109" t="e">
        <f>AND(Bills!#REF!,"AAAAAFv9p/Q=")</f>
        <v>#REF!</v>
      </c>
      <c r="IL109" t="e">
        <f>AND(Bills!#REF!,"AAAAAFv9p/U=")</f>
        <v>#REF!</v>
      </c>
      <c r="IM109" t="e">
        <f>AND(Bills!D318,"AAAAAFv9p/Y=")</f>
        <v>#VALUE!</v>
      </c>
      <c r="IN109" t="e">
        <f>AND(Bills!#REF!,"AAAAAFv9p/c=")</f>
        <v>#REF!</v>
      </c>
      <c r="IO109" t="e">
        <f>AND(Bills!E318,"AAAAAFv9p/g=")</f>
        <v>#VALUE!</v>
      </c>
      <c r="IP109" t="e">
        <f>AND(Bills!F318,"AAAAAFv9p/k=")</f>
        <v>#VALUE!</v>
      </c>
      <c r="IQ109" t="e">
        <f>AND(Bills!G318,"AAAAAFv9p/o=")</f>
        <v>#VALUE!</v>
      </c>
      <c r="IR109" t="e">
        <f>AND(Bills!H318,"AAAAAFv9p/s=")</f>
        <v>#VALUE!</v>
      </c>
      <c r="IS109" t="e">
        <f>AND(Bills!I318,"AAAAAFv9p/w=")</f>
        <v>#VALUE!</v>
      </c>
      <c r="IT109" t="e">
        <f>AND(Bills!J318,"AAAAAFv9p/0=")</f>
        <v>#VALUE!</v>
      </c>
      <c r="IU109" t="e">
        <f>AND(Bills!#REF!,"AAAAAFv9p/4=")</f>
        <v>#REF!</v>
      </c>
      <c r="IV109" t="e">
        <f>AND(Bills!K318,"AAAAAFv9p/8=")</f>
        <v>#VALUE!</v>
      </c>
    </row>
    <row r="110" spans="1:256">
      <c r="A110" t="e">
        <f>AND(Bills!L318,"AAAAAGL/rwA=")</f>
        <v>#VALUE!</v>
      </c>
      <c r="B110" t="e">
        <f>AND(Bills!M318,"AAAAAGL/rwE=")</f>
        <v>#VALUE!</v>
      </c>
      <c r="C110" t="e">
        <f>AND(Bills!N318,"AAAAAGL/rwI=")</f>
        <v>#VALUE!</v>
      </c>
      <c r="D110" t="e">
        <f>AND(Bills!O318,"AAAAAGL/rwM=")</f>
        <v>#VALUE!</v>
      </c>
      <c r="E110" t="e">
        <f>AND(Bills!P318,"AAAAAGL/rwQ=")</f>
        <v>#VALUE!</v>
      </c>
      <c r="F110" t="e">
        <f>AND(Bills!Q318,"AAAAAGL/rwU=")</f>
        <v>#VALUE!</v>
      </c>
      <c r="G110" t="e">
        <f>AND(Bills!R318,"AAAAAGL/rwY=")</f>
        <v>#VALUE!</v>
      </c>
      <c r="H110" t="e">
        <f>AND(Bills!#REF!,"AAAAAGL/rwc=")</f>
        <v>#REF!</v>
      </c>
      <c r="I110" t="e">
        <f>AND(Bills!S318,"AAAAAGL/rwg=")</f>
        <v>#VALUE!</v>
      </c>
      <c r="J110" t="e">
        <f>AND(Bills!T318,"AAAAAGL/rwk=")</f>
        <v>#VALUE!</v>
      </c>
      <c r="K110" t="e">
        <f>AND(Bills!U318,"AAAAAGL/rwo=")</f>
        <v>#VALUE!</v>
      </c>
      <c r="L110" t="e">
        <f>AND(Bills!#REF!,"AAAAAGL/rws=")</f>
        <v>#REF!</v>
      </c>
      <c r="M110" t="e">
        <f>AND(Bills!#REF!,"AAAAAGL/rww=")</f>
        <v>#REF!</v>
      </c>
      <c r="N110" t="e">
        <f>AND(Bills!W318,"AAAAAGL/rw0=")</f>
        <v>#VALUE!</v>
      </c>
      <c r="O110" t="e">
        <f>AND(Bills!X318,"AAAAAGL/rw4=")</f>
        <v>#VALUE!</v>
      </c>
      <c r="P110" t="e">
        <f>AND(Bills!#REF!,"AAAAAGL/rw8=")</f>
        <v>#REF!</v>
      </c>
      <c r="Q110" t="e">
        <f>AND(Bills!#REF!,"AAAAAGL/rxA=")</f>
        <v>#REF!</v>
      </c>
      <c r="R110" t="e">
        <f>AND(Bills!#REF!,"AAAAAGL/rxE=")</f>
        <v>#REF!</v>
      </c>
      <c r="S110" t="e">
        <f>AND(Bills!#REF!,"AAAAAGL/rxI=")</f>
        <v>#REF!</v>
      </c>
      <c r="T110" t="e">
        <f>AND(Bills!#REF!,"AAAAAGL/rxM=")</f>
        <v>#REF!</v>
      </c>
      <c r="U110" t="e">
        <f>AND(Bills!#REF!,"AAAAAGL/rxQ=")</f>
        <v>#REF!</v>
      </c>
      <c r="V110" t="e">
        <f>AND(Bills!#REF!,"AAAAAGL/rxU=")</f>
        <v>#REF!</v>
      </c>
      <c r="W110" t="e">
        <f>AND(Bills!#REF!,"AAAAAGL/rxY=")</f>
        <v>#REF!</v>
      </c>
      <c r="X110" t="e">
        <f>AND(Bills!#REF!,"AAAAAGL/rxc=")</f>
        <v>#REF!</v>
      </c>
      <c r="Y110" t="e">
        <f>AND(Bills!Y318,"AAAAAGL/rxg=")</f>
        <v>#VALUE!</v>
      </c>
      <c r="Z110" t="e">
        <f>AND(Bills!Z318,"AAAAAGL/rxk=")</f>
        <v>#VALUE!</v>
      </c>
      <c r="AA110" t="e">
        <f>AND(Bills!#REF!,"AAAAAGL/rxo=")</f>
        <v>#REF!</v>
      </c>
      <c r="AB110" t="e">
        <f>AND(Bills!#REF!,"AAAAAGL/rxs=")</f>
        <v>#REF!</v>
      </c>
      <c r="AC110" t="e">
        <f>AND(Bills!#REF!,"AAAAAGL/rxw=")</f>
        <v>#REF!</v>
      </c>
      <c r="AD110" t="e">
        <f>AND(Bills!AA318,"AAAAAGL/rx0=")</f>
        <v>#VALUE!</v>
      </c>
      <c r="AE110" t="e">
        <f>AND(Bills!AB318,"AAAAAGL/rx4=")</f>
        <v>#VALUE!</v>
      </c>
      <c r="AF110" t="e">
        <f>AND(Bills!#REF!,"AAAAAGL/rx8=")</f>
        <v>#REF!</v>
      </c>
      <c r="AG110">
        <f>IF(Bills!319:319,"AAAAAGL/ryA=",0)</f>
        <v>0</v>
      </c>
      <c r="AH110" t="e">
        <f>AND(Bills!B319,"AAAAAGL/ryE=")</f>
        <v>#VALUE!</v>
      </c>
      <c r="AI110" t="e">
        <f>AND(Bills!#REF!,"AAAAAGL/ryI=")</f>
        <v>#REF!</v>
      </c>
      <c r="AJ110" t="e">
        <f>AND(Bills!C319,"AAAAAGL/ryM=")</f>
        <v>#VALUE!</v>
      </c>
      <c r="AK110" t="e">
        <f>AND(Bills!#REF!,"AAAAAGL/ryQ=")</f>
        <v>#REF!</v>
      </c>
      <c r="AL110" t="e">
        <f>AND(Bills!#REF!,"AAAAAGL/ryU=")</f>
        <v>#REF!</v>
      </c>
      <c r="AM110" t="e">
        <f>AND(Bills!#REF!,"AAAAAGL/ryY=")</f>
        <v>#REF!</v>
      </c>
      <c r="AN110" t="e">
        <f>AND(Bills!#REF!,"AAAAAGL/ryc=")</f>
        <v>#REF!</v>
      </c>
      <c r="AO110" t="e">
        <f>AND(Bills!#REF!,"AAAAAGL/ryg=")</f>
        <v>#REF!</v>
      </c>
      <c r="AP110" t="e">
        <f>AND(Bills!D319,"AAAAAGL/ryk=")</f>
        <v>#VALUE!</v>
      </c>
      <c r="AQ110" t="e">
        <f>AND(Bills!#REF!,"AAAAAGL/ryo=")</f>
        <v>#REF!</v>
      </c>
      <c r="AR110" t="e">
        <f>AND(Bills!E319,"AAAAAGL/rys=")</f>
        <v>#VALUE!</v>
      </c>
      <c r="AS110" t="e">
        <f>AND(Bills!F319,"AAAAAGL/ryw=")</f>
        <v>#VALUE!</v>
      </c>
      <c r="AT110" t="e">
        <f>AND(Bills!G319,"AAAAAGL/ry0=")</f>
        <v>#VALUE!</v>
      </c>
      <c r="AU110" t="e">
        <f>AND(Bills!H319,"AAAAAGL/ry4=")</f>
        <v>#VALUE!</v>
      </c>
      <c r="AV110" t="e">
        <f>AND(Bills!I319,"AAAAAGL/ry8=")</f>
        <v>#VALUE!</v>
      </c>
      <c r="AW110" t="e">
        <f>AND(Bills!J319,"AAAAAGL/rzA=")</f>
        <v>#VALUE!</v>
      </c>
      <c r="AX110" t="e">
        <f>AND(Bills!#REF!,"AAAAAGL/rzE=")</f>
        <v>#REF!</v>
      </c>
      <c r="AY110" t="e">
        <f>AND(Bills!K319,"AAAAAGL/rzI=")</f>
        <v>#VALUE!</v>
      </c>
      <c r="AZ110" t="e">
        <f>AND(Bills!L319,"AAAAAGL/rzM=")</f>
        <v>#VALUE!</v>
      </c>
      <c r="BA110" t="e">
        <f>AND(Bills!M319,"AAAAAGL/rzQ=")</f>
        <v>#VALUE!</v>
      </c>
      <c r="BB110" t="e">
        <f>AND(Bills!N319,"AAAAAGL/rzU=")</f>
        <v>#VALUE!</v>
      </c>
      <c r="BC110" t="e">
        <f>AND(Bills!O319,"AAAAAGL/rzY=")</f>
        <v>#VALUE!</v>
      </c>
      <c r="BD110" t="e">
        <f>AND(Bills!P319,"AAAAAGL/rzc=")</f>
        <v>#VALUE!</v>
      </c>
      <c r="BE110" t="e">
        <f>AND(Bills!Q319,"AAAAAGL/rzg=")</f>
        <v>#VALUE!</v>
      </c>
      <c r="BF110" t="e">
        <f>AND(Bills!R319,"AAAAAGL/rzk=")</f>
        <v>#VALUE!</v>
      </c>
      <c r="BG110" t="e">
        <f>AND(Bills!#REF!,"AAAAAGL/rzo=")</f>
        <v>#REF!</v>
      </c>
      <c r="BH110" t="e">
        <f>AND(Bills!S319,"AAAAAGL/rzs=")</f>
        <v>#VALUE!</v>
      </c>
      <c r="BI110" t="e">
        <f>AND(Bills!T319,"AAAAAGL/rzw=")</f>
        <v>#VALUE!</v>
      </c>
      <c r="BJ110" t="e">
        <f>AND(Bills!U319,"AAAAAGL/rz0=")</f>
        <v>#VALUE!</v>
      </c>
      <c r="BK110" t="e">
        <f>AND(Bills!#REF!,"AAAAAGL/rz4=")</f>
        <v>#REF!</v>
      </c>
      <c r="BL110" t="e">
        <f>AND(Bills!#REF!,"AAAAAGL/rz8=")</f>
        <v>#REF!</v>
      </c>
      <c r="BM110" t="e">
        <f>AND(Bills!W319,"AAAAAGL/r0A=")</f>
        <v>#VALUE!</v>
      </c>
      <c r="BN110" t="e">
        <f>AND(Bills!X319,"AAAAAGL/r0E=")</f>
        <v>#VALUE!</v>
      </c>
      <c r="BO110" t="e">
        <f>AND(Bills!#REF!,"AAAAAGL/r0I=")</f>
        <v>#REF!</v>
      </c>
      <c r="BP110" t="e">
        <f>AND(Bills!#REF!,"AAAAAGL/r0M=")</f>
        <v>#REF!</v>
      </c>
      <c r="BQ110" t="e">
        <f>AND(Bills!#REF!,"AAAAAGL/r0Q=")</f>
        <v>#REF!</v>
      </c>
      <c r="BR110" t="e">
        <f>AND(Bills!#REF!,"AAAAAGL/r0U=")</f>
        <v>#REF!</v>
      </c>
      <c r="BS110" t="e">
        <f>AND(Bills!#REF!,"AAAAAGL/r0Y=")</f>
        <v>#REF!</v>
      </c>
      <c r="BT110" t="e">
        <f>AND(Bills!#REF!,"AAAAAGL/r0c=")</f>
        <v>#REF!</v>
      </c>
      <c r="BU110" t="e">
        <f>AND(Bills!#REF!,"AAAAAGL/r0g=")</f>
        <v>#REF!</v>
      </c>
      <c r="BV110" t="e">
        <f>AND(Bills!#REF!,"AAAAAGL/r0k=")</f>
        <v>#REF!</v>
      </c>
      <c r="BW110" t="e">
        <f>AND(Bills!#REF!,"AAAAAGL/r0o=")</f>
        <v>#REF!</v>
      </c>
      <c r="BX110" t="e">
        <f>AND(Bills!Y319,"AAAAAGL/r0s=")</f>
        <v>#VALUE!</v>
      </c>
      <c r="BY110" t="e">
        <f>AND(Bills!Z319,"AAAAAGL/r0w=")</f>
        <v>#VALUE!</v>
      </c>
      <c r="BZ110" t="e">
        <f>AND(Bills!#REF!,"AAAAAGL/r00=")</f>
        <v>#REF!</v>
      </c>
      <c r="CA110" t="e">
        <f>AND(Bills!#REF!,"AAAAAGL/r04=")</f>
        <v>#REF!</v>
      </c>
      <c r="CB110" t="e">
        <f>AND(Bills!#REF!,"AAAAAGL/r08=")</f>
        <v>#REF!</v>
      </c>
      <c r="CC110" t="e">
        <f>AND(Bills!AA319,"AAAAAGL/r1A=")</f>
        <v>#VALUE!</v>
      </c>
      <c r="CD110" t="e">
        <f>AND(Bills!AB319,"AAAAAGL/r1E=")</f>
        <v>#VALUE!</v>
      </c>
      <c r="CE110" t="e">
        <f>AND(Bills!#REF!,"AAAAAGL/r1I=")</f>
        <v>#REF!</v>
      </c>
      <c r="CF110">
        <f>IF(Bills!320:320,"AAAAAGL/r1M=",0)</f>
        <v>0</v>
      </c>
      <c r="CG110" t="e">
        <f>AND(Bills!B320,"AAAAAGL/r1Q=")</f>
        <v>#VALUE!</v>
      </c>
      <c r="CH110" t="e">
        <f>AND(Bills!#REF!,"AAAAAGL/r1U=")</f>
        <v>#REF!</v>
      </c>
      <c r="CI110" t="e">
        <f>AND(Bills!C320,"AAAAAGL/r1Y=")</f>
        <v>#VALUE!</v>
      </c>
      <c r="CJ110" t="e">
        <f>AND(Bills!#REF!,"AAAAAGL/r1c=")</f>
        <v>#REF!</v>
      </c>
      <c r="CK110" t="e">
        <f>AND(Bills!#REF!,"AAAAAGL/r1g=")</f>
        <v>#REF!</v>
      </c>
      <c r="CL110" t="e">
        <f>AND(Bills!#REF!,"AAAAAGL/r1k=")</f>
        <v>#REF!</v>
      </c>
      <c r="CM110" t="e">
        <f>AND(Bills!#REF!,"AAAAAGL/r1o=")</f>
        <v>#REF!</v>
      </c>
      <c r="CN110" t="e">
        <f>AND(Bills!#REF!,"AAAAAGL/r1s=")</f>
        <v>#REF!</v>
      </c>
      <c r="CO110" t="e">
        <f>AND(Bills!D320,"AAAAAGL/r1w=")</f>
        <v>#VALUE!</v>
      </c>
      <c r="CP110" t="e">
        <f>AND(Bills!#REF!,"AAAAAGL/r10=")</f>
        <v>#REF!</v>
      </c>
      <c r="CQ110" t="e">
        <f>AND(Bills!E320,"AAAAAGL/r14=")</f>
        <v>#VALUE!</v>
      </c>
      <c r="CR110" t="e">
        <f>AND(Bills!F320,"AAAAAGL/r18=")</f>
        <v>#VALUE!</v>
      </c>
      <c r="CS110" t="e">
        <f>AND(Bills!G320,"AAAAAGL/r2A=")</f>
        <v>#VALUE!</v>
      </c>
      <c r="CT110" t="e">
        <f>AND(Bills!H320,"AAAAAGL/r2E=")</f>
        <v>#VALUE!</v>
      </c>
      <c r="CU110" t="e">
        <f>AND(Bills!I320,"AAAAAGL/r2I=")</f>
        <v>#VALUE!</v>
      </c>
      <c r="CV110" t="e">
        <f>AND(Bills!J320,"AAAAAGL/r2M=")</f>
        <v>#VALUE!</v>
      </c>
      <c r="CW110" t="e">
        <f>AND(Bills!#REF!,"AAAAAGL/r2Q=")</f>
        <v>#REF!</v>
      </c>
      <c r="CX110" t="e">
        <f>AND(Bills!K320,"AAAAAGL/r2U=")</f>
        <v>#VALUE!</v>
      </c>
      <c r="CY110" t="e">
        <f>AND(Bills!L320,"AAAAAGL/r2Y=")</f>
        <v>#VALUE!</v>
      </c>
      <c r="CZ110" t="e">
        <f>AND(Bills!M320,"AAAAAGL/r2c=")</f>
        <v>#VALUE!</v>
      </c>
      <c r="DA110" t="e">
        <f>AND(Bills!N320,"AAAAAGL/r2g=")</f>
        <v>#VALUE!</v>
      </c>
      <c r="DB110" t="e">
        <f>AND(Bills!O320,"AAAAAGL/r2k=")</f>
        <v>#VALUE!</v>
      </c>
      <c r="DC110" t="e">
        <f>AND(Bills!P320,"AAAAAGL/r2o=")</f>
        <v>#VALUE!</v>
      </c>
      <c r="DD110" t="e">
        <f>AND(Bills!Q320,"AAAAAGL/r2s=")</f>
        <v>#VALUE!</v>
      </c>
      <c r="DE110" t="e">
        <f>AND(Bills!R320,"AAAAAGL/r2w=")</f>
        <v>#VALUE!</v>
      </c>
      <c r="DF110" t="e">
        <f>AND(Bills!#REF!,"AAAAAGL/r20=")</f>
        <v>#REF!</v>
      </c>
      <c r="DG110" t="e">
        <f>AND(Bills!S320,"AAAAAGL/r24=")</f>
        <v>#VALUE!</v>
      </c>
      <c r="DH110" t="e">
        <f>AND(Bills!T320,"AAAAAGL/r28=")</f>
        <v>#VALUE!</v>
      </c>
      <c r="DI110" t="e">
        <f>AND(Bills!U320,"AAAAAGL/r3A=")</f>
        <v>#VALUE!</v>
      </c>
      <c r="DJ110" t="e">
        <f>AND(Bills!#REF!,"AAAAAGL/r3E=")</f>
        <v>#REF!</v>
      </c>
      <c r="DK110" t="e">
        <f>AND(Bills!#REF!,"AAAAAGL/r3I=")</f>
        <v>#REF!</v>
      </c>
      <c r="DL110" t="e">
        <f>AND(Bills!W320,"AAAAAGL/r3M=")</f>
        <v>#VALUE!</v>
      </c>
      <c r="DM110" t="e">
        <f>AND(Bills!X320,"AAAAAGL/r3Q=")</f>
        <v>#VALUE!</v>
      </c>
      <c r="DN110" t="e">
        <f>AND(Bills!#REF!,"AAAAAGL/r3U=")</f>
        <v>#REF!</v>
      </c>
      <c r="DO110" t="e">
        <f>AND(Bills!#REF!,"AAAAAGL/r3Y=")</f>
        <v>#REF!</v>
      </c>
      <c r="DP110" t="e">
        <f>AND(Bills!#REF!,"AAAAAGL/r3c=")</f>
        <v>#REF!</v>
      </c>
      <c r="DQ110" t="e">
        <f>AND(Bills!#REF!,"AAAAAGL/r3g=")</f>
        <v>#REF!</v>
      </c>
      <c r="DR110" t="e">
        <f>AND(Bills!#REF!,"AAAAAGL/r3k=")</f>
        <v>#REF!</v>
      </c>
      <c r="DS110" t="e">
        <f>AND(Bills!#REF!,"AAAAAGL/r3o=")</f>
        <v>#REF!</v>
      </c>
      <c r="DT110" t="e">
        <f>AND(Bills!#REF!,"AAAAAGL/r3s=")</f>
        <v>#REF!</v>
      </c>
      <c r="DU110" t="e">
        <f>AND(Bills!#REF!,"AAAAAGL/r3w=")</f>
        <v>#REF!</v>
      </c>
      <c r="DV110" t="e">
        <f>AND(Bills!#REF!,"AAAAAGL/r30=")</f>
        <v>#REF!</v>
      </c>
      <c r="DW110" t="e">
        <f>AND(Bills!Y320,"AAAAAGL/r34=")</f>
        <v>#VALUE!</v>
      </c>
      <c r="DX110" t="e">
        <f>AND(Bills!Z320,"AAAAAGL/r38=")</f>
        <v>#VALUE!</v>
      </c>
      <c r="DY110" t="e">
        <f>AND(Bills!#REF!,"AAAAAGL/r4A=")</f>
        <v>#REF!</v>
      </c>
      <c r="DZ110" t="e">
        <f>AND(Bills!#REF!,"AAAAAGL/r4E=")</f>
        <v>#REF!</v>
      </c>
      <c r="EA110" t="e">
        <f>AND(Bills!#REF!,"AAAAAGL/r4I=")</f>
        <v>#REF!</v>
      </c>
      <c r="EB110" t="e">
        <f>AND(Bills!AA320,"AAAAAGL/r4M=")</f>
        <v>#VALUE!</v>
      </c>
      <c r="EC110" t="e">
        <f>AND(Bills!AB320,"AAAAAGL/r4Q=")</f>
        <v>#VALUE!</v>
      </c>
      <c r="ED110" t="e">
        <f>AND(Bills!#REF!,"AAAAAGL/r4U=")</f>
        <v>#REF!</v>
      </c>
      <c r="EE110">
        <f>IF(Bills!321:321,"AAAAAGL/r4Y=",0)</f>
        <v>0</v>
      </c>
      <c r="EF110" t="e">
        <f>AND(Bills!B321,"AAAAAGL/r4c=")</f>
        <v>#VALUE!</v>
      </c>
      <c r="EG110" t="e">
        <f>AND(Bills!#REF!,"AAAAAGL/r4g=")</f>
        <v>#REF!</v>
      </c>
      <c r="EH110" t="e">
        <f>AND(Bills!C321,"AAAAAGL/r4k=")</f>
        <v>#VALUE!</v>
      </c>
      <c r="EI110" t="e">
        <f>AND(Bills!#REF!,"AAAAAGL/r4o=")</f>
        <v>#REF!</v>
      </c>
      <c r="EJ110" t="e">
        <f>AND(Bills!#REF!,"AAAAAGL/r4s=")</f>
        <v>#REF!</v>
      </c>
      <c r="EK110" t="e">
        <f>AND(Bills!#REF!,"AAAAAGL/r4w=")</f>
        <v>#REF!</v>
      </c>
      <c r="EL110" t="e">
        <f>AND(Bills!#REF!,"AAAAAGL/r40=")</f>
        <v>#REF!</v>
      </c>
      <c r="EM110" t="e">
        <f>AND(Bills!#REF!,"AAAAAGL/r44=")</f>
        <v>#REF!</v>
      </c>
      <c r="EN110" t="e">
        <f>AND(Bills!D321,"AAAAAGL/r48=")</f>
        <v>#VALUE!</v>
      </c>
      <c r="EO110" t="e">
        <f>AND(Bills!#REF!,"AAAAAGL/r5A=")</f>
        <v>#REF!</v>
      </c>
      <c r="EP110" t="e">
        <f>AND(Bills!E321,"AAAAAGL/r5E=")</f>
        <v>#VALUE!</v>
      </c>
      <c r="EQ110" t="e">
        <f>AND(Bills!F321,"AAAAAGL/r5I=")</f>
        <v>#VALUE!</v>
      </c>
      <c r="ER110" t="e">
        <f>AND(Bills!G321,"AAAAAGL/r5M=")</f>
        <v>#VALUE!</v>
      </c>
      <c r="ES110" t="e">
        <f>AND(Bills!H321,"AAAAAGL/r5Q=")</f>
        <v>#VALUE!</v>
      </c>
      <c r="ET110" t="e">
        <f>AND(Bills!I321,"AAAAAGL/r5U=")</f>
        <v>#VALUE!</v>
      </c>
      <c r="EU110" t="e">
        <f>AND(Bills!J321,"AAAAAGL/r5Y=")</f>
        <v>#VALUE!</v>
      </c>
      <c r="EV110" t="e">
        <f>AND(Bills!#REF!,"AAAAAGL/r5c=")</f>
        <v>#REF!</v>
      </c>
      <c r="EW110" t="e">
        <f>AND(Bills!K321,"AAAAAGL/r5g=")</f>
        <v>#VALUE!</v>
      </c>
      <c r="EX110" t="e">
        <f>AND(Bills!L321,"AAAAAGL/r5k=")</f>
        <v>#VALUE!</v>
      </c>
      <c r="EY110" t="e">
        <f>AND(Bills!M321,"AAAAAGL/r5o=")</f>
        <v>#VALUE!</v>
      </c>
      <c r="EZ110" t="e">
        <f>AND(Bills!N321,"AAAAAGL/r5s=")</f>
        <v>#VALUE!</v>
      </c>
      <c r="FA110" t="e">
        <f>AND(Bills!O321,"AAAAAGL/r5w=")</f>
        <v>#VALUE!</v>
      </c>
      <c r="FB110" t="e">
        <f>AND(Bills!P321,"AAAAAGL/r50=")</f>
        <v>#VALUE!</v>
      </c>
      <c r="FC110" t="e">
        <f>AND(Bills!Q321,"AAAAAGL/r54=")</f>
        <v>#VALUE!</v>
      </c>
      <c r="FD110" t="e">
        <f>AND(Bills!R321,"AAAAAGL/r58=")</f>
        <v>#VALUE!</v>
      </c>
      <c r="FE110" t="e">
        <f>AND(Bills!#REF!,"AAAAAGL/r6A=")</f>
        <v>#REF!</v>
      </c>
      <c r="FF110" t="e">
        <f>AND(Bills!S321,"AAAAAGL/r6E=")</f>
        <v>#VALUE!</v>
      </c>
      <c r="FG110" t="e">
        <f>AND(Bills!T321,"AAAAAGL/r6I=")</f>
        <v>#VALUE!</v>
      </c>
      <c r="FH110" t="e">
        <f>AND(Bills!U321,"AAAAAGL/r6M=")</f>
        <v>#VALUE!</v>
      </c>
      <c r="FI110" t="e">
        <f>AND(Bills!#REF!,"AAAAAGL/r6Q=")</f>
        <v>#REF!</v>
      </c>
      <c r="FJ110" t="e">
        <f>AND(Bills!#REF!,"AAAAAGL/r6U=")</f>
        <v>#REF!</v>
      </c>
      <c r="FK110" t="e">
        <f>AND(Bills!W321,"AAAAAGL/r6Y=")</f>
        <v>#VALUE!</v>
      </c>
      <c r="FL110" t="e">
        <f>AND(Bills!X321,"AAAAAGL/r6c=")</f>
        <v>#VALUE!</v>
      </c>
      <c r="FM110" t="e">
        <f>AND(Bills!#REF!,"AAAAAGL/r6g=")</f>
        <v>#REF!</v>
      </c>
      <c r="FN110" t="e">
        <f>AND(Bills!#REF!,"AAAAAGL/r6k=")</f>
        <v>#REF!</v>
      </c>
      <c r="FO110" t="e">
        <f>AND(Bills!#REF!,"AAAAAGL/r6o=")</f>
        <v>#REF!</v>
      </c>
      <c r="FP110" t="e">
        <f>AND(Bills!#REF!,"AAAAAGL/r6s=")</f>
        <v>#REF!</v>
      </c>
      <c r="FQ110" t="e">
        <f>AND(Bills!#REF!,"AAAAAGL/r6w=")</f>
        <v>#REF!</v>
      </c>
      <c r="FR110" t="e">
        <f>AND(Bills!#REF!,"AAAAAGL/r60=")</f>
        <v>#REF!</v>
      </c>
      <c r="FS110" t="e">
        <f>AND(Bills!#REF!,"AAAAAGL/r64=")</f>
        <v>#REF!</v>
      </c>
      <c r="FT110" t="e">
        <f>AND(Bills!#REF!,"AAAAAGL/r68=")</f>
        <v>#REF!</v>
      </c>
      <c r="FU110" t="e">
        <f>AND(Bills!#REF!,"AAAAAGL/r7A=")</f>
        <v>#REF!</v>
      </c>
      <c r="FV110" t="e">
        <f>AND(Bills!Y321,"AAAAAGL/r7E=")</f>
        <v>#VALUE!</v>
      </c>
      <c r="FW110" t="e">
        <f>AND(Bills!Z321,"AAAAAGL/r7I=")</f>
        <v>#VALUE!</v>
      </c>
      <c r="FX110" t="e">
        <f>AND(Bills!#REF!,"AAAAAGL/r7M=")</f>
        <v>#REF!</v>
      </c>
      <c r="FY110" t="e">
        <f>AND(Bills!#REF!,"AAAAAGL/r7Q=")</f>
        <v>#REF!</v>
      </c>
      <c r="FZ110" t="e">
        <f>AND(Bills!#REF!,"AAAAAGL/r7U=")</f>
        <v>#REF!</v>
      </c>
      <c r="GA110" t="e">
        <f>AND(Bills!AA321,"AAAAAGL/r7Y=")</f>
        <v>#VALUE!</v>
      </c>
      <c r="GB110" t="e">
        <f>AND(Bills!AB321,"AAAAAGL/r7c=")</f>
        <v>#VALUE!</v>
      </c>
      <c r="GC110" t="e">
        <f>AND(Bills!#REF!,"AAAAAGL/r7g=")</f>
        <v>#REF!</v>
      </c>
      <c r="GD110">
        <f>IF(Bills!322:322,"AAAAAGL/r7k=",0)</f>
        <v>0</v>
      </c>
      <c r="GE110" t="e">
        <f>AND(Bills!B322,"AAAAAGL/r7o=")</f>
        <v>#VALUE!</v>
      </c>
      <c r="GF110" t="e">
        <f>AND(Bills!#REF!,"AAAAAGL/r7s=")</f>
        <v>#REF!</v>
      </c>
      <c r="GG110" t="e">
        <f>AND(Bills!C322,"AAAAAGL/r7w=")</f>
        <v>#VALUE!</v>
      </c>
      <c r="GH110" t="e">
        <f>AND(Bills!#REF!,"AAAAAGL/r70=")</f>
        <v>#REF!</v>
      </c>
      <c r="GI110" t="e">
        <f>AND(Bills!#REF!,"AAAAAGL/r74=")</f>
        <v>#REF!</v>
      </c>
      <c r="GJ110" t="e">
        <f>AND(Bills!#REF!,"AAAAAGL/r78=")</f>
        <v>#REF!</v>
      </c>
      <c r="GK110" t="e">
        <f>AND(Bills!#REF!,"AAAAAGL/r8A=")</f>
        <v>#REF!</v>
      </c>
      <c r="GL110" t="e">
        <f>AND(Bills!#REF!,"AAAAAGL/r8E=")</f>
        <v>#REF!</v>
      </c>
      <c r="GM110" t="e">
        <f>AND(Bills!D322,"AAAAAGL/r8I=")</f>
        <v>#VALUE!</v>
      </c>
      <c r="GN110" t="e">
        <f>AND(Bills!#REF!,"AAAAAGL/r8M=")</f>
        <v>#REF!</v>
      </c>
      <c r="GO110" t="e">
        <f>AND(Bills!E322,"AAAAAGL/r8Q=")</f>
        <v>#VALUE!</v>
      </c>
      <c r="GP110" t="e">
        <f>AND(Bills!F322,"AAAAAGL/r8U=")</f>
        <v>#VALUE!</v>
      </c>
      <c r="GQ110" t="e">
        <f>AND(Bills!G322,"AAAAAGL/r8Y=")</f>
        <v>#VALUE!</v>
      </c>
      <c r="GR110" t="e">
        <f>AND(Bills!H322,"AAAAAGL/r8c=")</f>
        <v>#VALUE!</v>
      </c>
      <c r="GS110" t="e">
        <f>AND(Bills!I322,"AAAAAGL/r8g=")</f>
        <v>#VALUE!</v>
      </c>
      <c r="GT110" t="e">
        <f>AND(Bills!J322,"AAAAAGL/r8k=")</f>
        <v>#VALUE!</v>
      </c>
      <c r="GU110" t="e">
        <f>AND(Bills!#REF!,"AAAAAGL/r8o=")</f>
        <v>#REF!</v>
      </c>
      <c r="GV110" t="e">
        <f>AND(Bills!K322,"AAAAAGL/r8s=")</f>
        <v>#VALUE!</v>
      </c>
      <c r="GW110" t="e">
        <f>AND(Bills!L322,"AAAAAGL/r8w=")</f>
        <v>#VALUE!</v>
      </c>
      <c r="GX110" t="e">
        <f>AND(Bills!M322,"AAAAAGL/r80=")</f>
        <v>#VALUE!</v>
      </c>
      <c r="GY110" t="e">
        <f>AND(Bills!N322,"AAAAAGL/r84=")</f>
        <v>#VALUE!</v>
      </c>
      <c r="GZ110" t="e">
        <f>AND(Bills!O322,"AAAAAGL/r88=")</f>
        <v>#VALUE!</v>
      </c>
      <c r="HA110" t="e">
        <f>AND(Bills!P322,"AAAAAGL/r9A=")</f>
        <v>#VALUE!</v>
      </c>
      <c r="HB110" t="e">
        <f>AND(Bills!Q322,"AAAAAGL/r9E=")</f>
        <v>#VALUE!</v>
      </c>
      <c r="HC110" t="e">
        <f>AND(Bills!R322,"AAAAAGL/r9I=")</f>
        <v>#VALUE!</v>
      </c>
      <c r="HD110" t="e">
        <f>AND(Bills!#REF!,"AAAAAGL/r9M=")</f>
        <v>#REF!</v>
      </c>
      <c r="HE110" t="e">
        <f>AND(Bills!S322,"AAAAAGL/r9Q=")</f>
        <v>#VALUE!</v>
      </c>
      <c r="HF110" t="e">
        <f>AND(Bills!T322,"AAAAAGL/r9U=")</f>
        <v>#VALUE!</v>
      </c>
      <c r="HG110" t="e">
        <f>AND(Bills!U322,"AAAAAGL/r9Y=")</f>
        <v>#VALUE!</v>
      </c>
      <c r="HH110" t="e">
        <f>AND(Bills!#REF!,"AAAAAGL/r9c=")</f>
        <v>#REF!</v>
      </c>
      <c r="HI110" t="e">
        <f>AND(Bills!#REF!,"AAAAAGL/r9g=")</f>
        <v>#REF!</v>
      </c>
      <c r="HJ110" t="e">
        <f>AND(Bills!W322,"AAAAAGL/r9k=")</f>
        <v>#VALUE!</v>
      </c>
      <c r="HK110" t="e">
        <f>AND(Bills!X322,"AAAAAGL/r9o=")</f>
        <v>#VALUE!</v>
      </c>
      <c r="HL110" t="e">
        <f>AND(Bills!#REF!,"AAAAAGL/r9s=")</f>
        <v>#REF!</v>
      </c>
      <c r="HM110" t="e">
        <f>AND(Bills!#REF!,"AAAAAGL/r9w=")</f>
        <v>#REF!</v>
      </c>
      <c r="HN110" t="e">
        <f>AND(Bills!#REF!,"AAAAAGL/r90=")</f>
        <v>#REF!</v>
      </c>
      <c r="HO110" t="e">
        <f>AND(Bills!#REF!,"AAAAAGL/r94=")</f>
        <v>#REF!</v>
      </c>
      <c r="HP110" t="e">
        <f>AND(Bills!#REF!,"AAAAAGL/r98=")</f>
        <v>#REF!</v>
      </c>
      <c r="HQ110" t="e">
        <f>AND(Bills!#REF!,"AAAAAGL/r+A=")</f>
        <v>#REF!</v>
      </c>
      <c r="HR110" t="e">
        <f>AND(Bills!#REF!,"AAAAAGL/r+E=")</f>
        <v>#REF!</v>
      </c>
      <c r="HS110" t="e">
        <f>AND(Bills!#REF!,"AAAAAGL/r+I=")</f>
        <v>#REF!</v>
      </c>
      <c r="HT110" t="e">
        <f>AND(Bills!#REF!,"AAAAAGL/r+M=")</f>
        <v>#REF!</v>
      </c>
      <c r="HU110" t="e">
        <f>AND(Bills!Y322,"AAAAAGL/r+Q=")</f>
        <v>#VALUE!</v>
      </c>
      <c r="HV110" t="e">
        <f>AND(Bills!Z322,"AAAAAGL/r+U=")</f>
        <v>#VALUE!</v>
      </c>
      <c r="HW110" t="e">
        <f>AND(Bills!#REF!,"AAAAAGL/r+Y=")</f>
        <v>#REF!</v>
      </c>
      <c r="HX110" t="e">
        <f>AND(Bills!#REF!,"AAAAAGL/r+c=")</f>
        <v>#REF!</v>
      </c>
      <c r="HY110" t="e">
        <f>AND(Bills!#REF!,"AAAAAGL/r+g=")</f>
        <v>#REF!</v>
      </c>
      <c r="HZ110" t="e">
        <f>AND(Bills!AA322,"AAAAAGL/r+k=")</f>
        <v>#VALUE!</v>
      </c>
      <c r="IA110" t="e">
        <f>AND(Bills!AB322,"AAAAAGL/r+o=")</f>
        <v>#VALUE!</v>
      </c>
      <c r="IB110" t="e">
        <f>AND(Bills!#REF!,"AAAAAGL/r+s=")</f>
        <v>#REF!</v>
      </c>
      <c r="IC110">
        <f>IF(Bills!323:323,"AAAAAGL/r+w=",0)</f>
        <v>0</v>
      </c>
      <c r="ID110" t="e">
        <f>AND(Bills!B323,"AAAAAGL/r+0=")</f>
        <v>#VALUE!</v>
      </c>
      <c r="IE110" t="e">
        <f>AND(Bills!#REF!,"AAAAAGL/r+4=")</f>
        <v>#REF!</v>
      </c>
      <c r="IF110" t="e">
        <f>AND(Bills!C323,"AAAAAGL/r+8=")</f>
        <v>#VALUE!</v>
      </c>
      <c r="IG110" t="e">
        <f>AND(Bills!#REF!,"AAAAAGL/r/A=")</f>
        <v>#REF!</v>
      </c>
      <c r="IH110" t="e">
        <f>AND(Bills!#REF!,"AAAAAGL/r/E=")</f>
        <v>#REF!</v>
      </c>
      <c r="II110" t="e">
        <f>AND(Bills!#REF!,"AAAAAGL/r/I=")</f>
        <v>#REF!</v>
      </c>
      <c r="IJ110" t="e">
        <f>AND(Bills!#REF!,"AAAAAGL/r/M=")</f>
        <v>#REF!</v>
      </c>
      <c r="IK110" t="e">
        <f>AND(Bills!#REF!,"AAAAAGL/r/Q=")</f>
        <v>#REF!</v>
      </c>
      <c r="IL110" t="e">
        <f>AND(Bills!D323,"AAAAAGL/r/U=")</f>
        <v>#VALUE!</v>
      </c>
      <c r="IM110" t="e">
        <f>AND(Bills!#REF!,"AAAAAGL/r/Y=")</f>
        <v>#REF!</v>
      </c>
      <c r="IN110" t="e">
        <f>AND(Bills!E323,"AAAAAGL/r/c=")</f>
        <v>#VALUE!</v>
      </c>
      <c r="IO110" t="e">
        <f>AND(Bills!F323,"AAAAAGL/r/g=")</f>
        <v>#VALUE!</v>
      </c>
      <c r="IP110" t="e">
        <f>AND(Bills!G323,"AAAAAGL/r/k=")</f>
        <v>#VALUE!</v>
      </c>
      <c r="IQ110" t="e">
        <f>AND(Bills!H323,"AAAAAGL/r/o=")</f>
        <v>#VALUE!</v>
      </c>
      <c r="IR110" t="e">
        <f>AND(Bills!I323,"AAAAAGL/r/s=")</f>
        <v>#VALUE!</v>
      </c>
      <c r="IS110" t="e">
        <f>AND(Bills!J323,"AAAAAGL/r/w=")</f>
        <v>#VALUE!</v>
      </c>
      <c r="IT110" t="e">
        <f>AND(Bills!#REF!,"AAAAAGL/r/0=")</f>
        <v>#REF!</v>
      </c>
      <c r="IU110" t="e">
        <f>AND(Bills!K323,"AAAAAGL/r/4=")</f>
        <v>#VALUE!</v>
      </c>
      <c r="IV110" t="e">
        <f>AND(Bills!L323,"AAAAAGL/r/8=")</f>
        <v>#VALUE!</v>
      </c>
    </row>
    <row r="111" spans="1:256">
      <c r="A111" t="e">
        <f>AND(Bills!M323,"AAAAAF99WQA=")</f>
        <v>#VALUE!</v>
      </c>
      <c r="B111" t="e">
        <f>AND(Bills!N323,"AAAAAF99WQE=")</f>
        <v>#VALUE!</v>
      </c>
      <c r="C111" t="e">
        <f>AND(Bills!O323,"AAAAAF99WQI=")</f>
        <v>#VALUE!</v>
      </c>
      <c r="D111" t="e">
        <f>AND(Bills!P323,"AAAAAF99WQM=")</f>
        <v>#VALUE!</v>
      </c>
      <c r="E111" t="e">
        <f>AND(Bills!Q323,"AAAAAF99WQQ=")</f>
        <v>#VALUE!</v>
      </c>
      <c r="F111" t="e">
        <f>AND(Bills!R323,"AAAAAF99WQU=")</f>
        <v>#VALUE!</v>
      </c>
      <c r="G111" t="e">
        <f>AND(Bills!#REF!,"AAAAAF99WQY=")</f>
        <v>#REF!</v>
      </c>
      <c r="H111" t="e">
        <f>AND(Bills!S323,"AAAAAF99WQc=")</f>
        <v>#VALUE!</v>
      </c>
      <c r="I111" t="e">
        <f>AND(Bills!T323,"AAAAAF99WQg=")</f>
        <v>#VALUE!</v>
      </c>
      <c r="J111" t="e">
        <f>AND(Bills!U323,"AAAAAF99WQk=")</f>
        <v>#VALUE!</v>
      </c>
      <c r="K111" t="e">
        <f>AND(Bills!#REF!,"AAAAAF99WQo=")</f>
        <v>#REF!</v>
      </c>
      <c r="L111" t="e">
        <f>AND(Bills!#REF!,"AAAAAF99WQs=")</f>
        <v>#REF!</v>
      </c>
      <c r="M111" t="e">
        <f>AND(Bills!W323,"AAAAAF99WQw=")</f>
        <v>#VALUE!</v>
      </c>
      <c r="N111" t="e">
        <f>AND(Bills!X323,"AAAAAF99WQ0=")</f>
        <v>#VALUE!</v>
      </c>
      <c r="O111" t="e">
        <f>AND(Bills!#REF!,"AAAAAF99WQ4=")</f>
        <v>#REF!</v>
      </c>
      <c r="P111" t="e">
        <f>AND(Bills!#REF!,"AAAAAF99WQ8=")</f>
        <v>#REF!</v>
      </c>
      <c r="Q111" t="e">
        <f>AND(Bills!#REF!,"AAAAAF99WRA=")</f>
        <v>#REF!</v>
      </c>
      <c r="R111" t="e">
        <f>AND(Bills!#REF!,"AAAAAF99WRE=")</f>
        <v>#REF!</v>
      </c>
      <c r="S111" t="e">
        <f>AND(Bills!#REF!,"AAAAAF99WRI=")</f>
        <v>#REF!</v>
      </c>
      <c r="T111" t="e">
        <f>AND(Bills!#REF!,"AAAAAF99WRM=")</f>
        <v>#REF!</v>
      </c>
      <c r="U111" t="e">
        <f>AND(Bills!#REF!,"AAAAAF99WRQ=")</f>
        <v>#REF!</v>
      </c>
      <c r="V111" t="e">
        <f>AND(Bills!#REF!,"AAAAAF99WRU=")</f>
        <v>#REF!</v>
      </c>
      <c r="W111" t="e">
        <f>AND(Bills!#REF!,"AAAAAF99WRY=")</f>
        <v>#REF!</v>
      </c>
      <c r="X111" t="e">
        <f>AND(Bills!Y323,"AAAAAF99WRc=")</f>
        <v>#VALUE!</v>
      </c>
      <c r="Y111" t="e">
        <f>AND(Bills!Z323,"AAAAAF99WRg=")</f>
        <v>#VALUE!</v>
      </c>
      <c r="Z111" t="e">
        <f>AND(Bills!#REF!,"AAAAAF99WRk=")</f>
        <v>#REF!</v>
      </c>
      <c r="AA111" t="e">
        <f>AND(Bills!#REF!,"AAAAAF99WRo=")</f>
        <v>#REF!</v>
      </c>
      <c r="AB111" t="e">
        <f>AND(Bills!#REF!,"AAAAAF99WRs=")</f>
        <v>#REF!</v>
      </c>
      <c r="AC111" t="e">
        <f>AND(Bills!AA323,"AAAAAF99WRw=")</f>
        <v>#VALUE!</v>
      </c>
      <c r="AD111" t="e">
        <f>AND(Bills!AB323,"AAAAAF99WR0=")</f>
        <v>#VALUE!</v>
      </c>
      <c r="AE111" t="e">
        <f>AND(Bills!#REF!,"AAAAAF99WR4=")</f>
        <v>#REF!</v>
      </c>
      <c r="AF111">
        <f>IF(Bills!324:324,"AAAAAF99WR8=",0)</f>
        <v>0</v>
      </c>
      <c r="AG111" t="e">
        <f>AND(Bills!B324,"AAAAAF99WSA=")</f>
        <v>#VALUE!</v>
      </c>
      <c r="AH111" t="e">
        <f>AND(Bills!#REF!,"AAAAAF99WSE=")</f>
        <v>#REF!</v>
      </c>
      <c r="AI111" t="e">
        <f>AND(Bills!C324,"AAAAAF99WSI=")</f>
        <v>#VALUE!</v>
      </c>
      <c r="AJ111" t="e">
        <f>AND(Bills!#REF!,"AAAAAF99WSM=")</f>
        <v>#REF!</v>
      </c>
      <c r="AK111" t="e">
        <f>AND(Bills!#REF!,"AAAAAF99WSQ=")</f>
        <v>#REF!</v>
      </c>
      <c r="AL111" t="e">
        <f>AND(Bills!#REF!,"AAAAAF99WSU=")</f>
        <v>#REF!</v>
      </c>
      <c r="AM111" t="e">
        <f>AND(Bills!#REF!,"AAAAAF99WSY=")</f>
        <v>#REF!</v>
      </c>
      <c r="AN111" t="e">
        <f>AND(Bills!#REF!,"AAAAAF99WSc=")</f>
        <v>#REF!</v>
      </c>
      <c r="AO111" t="e">
        <f>AND(Bills!D324,"AAAAAF99WSg=")</f>
        <v>#VALUE!</v>
      </c>
      <c r="AP111" t="e">
        <f>AND(Bills!#REF!,"AAAAAF99WSk=")</f>
        <v>#REF!</v>
      </c>
      <c r="AQ111" t="e">
        <f>AND(Bills!E324,"AAAAAF99WSo=")</f>
        <v>#VALUE!</v>
      </c>
      <c r="AR111" t="e">
        <f>AND(Bills!F324,"AAAAAF99WSs=")</f>
        <v>#VALUE!</v>
      </c>
      <c r="AS111" t="e">
        <f>AND(Bills!G324,"AAAAAF99WSw=")</f>
        <v>#VALUE!</v>
      </c>
      <c r="AT111" t="e">
        <f>AND(Bills!H324,"AAAAAF99WS0=")</f>
        <v>#VALUE!</v>
      </c>
      <c r="AU111" t="e">
        <f>AND(Bills!I324,"AAAAAF99WS4=")</f>
        <v>#VALUE!</v>
      </c>
      <c r="AV111" t="e">
        <f>AND(Bills!J324,"AAAAAF99WS8=")</f>
        <v>#VALUE!</v>
      </c>
      <c r="AW111" t="e">
        <f>AND(Bills!#REF!,"AAAAAF99WTA=")</f>
        <v>#REF!</v>
      </c>
      <c r="AX111" t="e">
        <f>AND(Bills!K324,"AAAAAF99WTE=")</f>
        <v>#VALUE!</v>
      </c>
      <c r="AY111" t="e">
        <f>AND(Bills!L324,"AAAAAF99WTI=")</f>
        <v>#VALUE!</v>
      </c>
      <c r="AZ111" t="e">
        <f>AND(Bills!M324,"AAAAAF99WTM=")</f>
        <v>#VALUE!</v>
      </c>
      <c r="BA111" t="e">
        <f>AND(Bills!N324,"AAAAAF99WTQ=")</f>
        <v>#VALUE!</v>
      </c>
      <c r="BB111" t="e">
        <f>AND(Bills!O324,"AAAAAF99WTU=")</f>
        <v>#VALUE!</v>
      </c>
      <c r="BC111" t="e">
        <f>AND(Bills!P324,"AAAAAF99WTY=")</f>
        <v>#VALUE!</v>
      </c>
      <c r="BD111" t="e">
        <f>AND(Bills!Q324,"AAAAAF99WTc=")</f>
        <v>#VALUE!</v>
      </c>
      <c r="BE111" t="e">
        <f>AND(Bills!R324,"AAAAAF99WTg=")</f>
        <v>#VALUE!</v>
      </c>
      <c r="BF111" t="e">
        <f>AND(Bills!#REF!,"AAAAAF99WTk=")</f>
        <v>#REF!</v>
      </c>
      <c r="BG111" t="e">
        <f>AND(Bills!S324,"AAAAAF99WTo=")</f>
        <v>#VALUE!</v>
      </c>
      <c r="BH111" t="e">
        <f>AND(Bills!T324,"AAAAAF99WTs=")</f>
        <v>#VALUE!</v>
      </c>
      <c r="BI111" t="e">
        <f>AND(Bills!U324,"AAAAAF99WTw=")</f>
        <v>#VALUE!</v>
      </c>
      <c r="BJ111" t="e">
        <f>AND(Bills!#REF!,"AAAAAF99WT0=")</f>
        <v>#REF!</v>
      </c>
      <c r="BK111" t="e">
        <f>AND(Bills!#REF!,"AAAAAF99WT4=")</f>
        <v>#REF!</v>
      </c>
      <c r="BL111" t="e">
        <f>AND(Bills!W324,"AAAAAF99WT8=")</f>
        <v>#VALUE!</v>
      </c>
      <c r="BM111" t="e">
        <f>AND(Bills!X324,"AAAAAF99WUA=")</f>
        <v>#VALUE!</v>
      </c>
      <c r="BN111" t="e">
        <f>AND(Bills!#REF!,"AAAAAF99WUE=")</f>
        <v>#REF!</v>
      </c>
      <c r="BO111" t="e">
        <f>AND(Bills!#REF!,"AAAAAF99WUI=")</f>
        <v>#REF!</v>
      </c>
      <c r="BP111" t="e">
        <f>AND(Bills!#REF!,"AAAAAF99WUM=")</f>
        <v>#REF!</v>
      </c>
      <c r="BQ111" t="e">
        <f>AND(Bills!#REF!,"AAAAAF99WUQ=")</f>
        <v>#REF!</v>
      </c>
      <c r="BR111" t="e">
        <f>AND(Bills!#REF!,"AAAAAF99WUU=")</f>
        <v>#REF!</v>
      </c>
      <c r="BS111" t="e">
        <f>AND(Bills!#REF!,"AAAAAF99WUY=")</f>
        <v>#REF!</v>
      </c>
      <c r="BT111" t="e">
        <f>AND(Bills!#REF!,"AAAAAF99WUc=")</f>
        <v>#REF!</v>
      </c>
      <c r="BU111" t="e">
        <f>AND(Bills!#REF!,"AAAAAF99WUg=")</f>
        <v>#REF!</v>
      </c>
      <c r="BV111" t="e">
        <f>AND(Bills!#REF!,"AAAAAF99WUk=")</f>
        <v>#REF!</v>
      </c>
      <c r="BW111" t="e">
        <f>AND(Bills!Y324,"AAAAAF99WUo=")</f>
        <v>#VALUE!</v>
      </c>
      <c r="BX111" t="e">
        <f>AND(Bills!Z324,"AAAAAF99WUs=")</f>
        <v>#VALUE!</v>
      </c>
      <c r="BY111" t="e">
        <f>AND(Bills!#REF!,"AAAAAF99WUw=")</f>
        <v>#REF!</v>
      </c>
      <c r="BZ111" t="e">
        <f>AND(Bills!#REF!,"AAAAAF99WU0=")</f>
        <v>#REF!</v>
      </c>
      <c r="CA111" t="e">
        <f>AND(Bills!#REF!,"AAAAAF99WU4=")</f>
        <v>#REF!</v>
      </c>
      <c r="CB111" t="e">
        <f>AND(Bills!AA324,"AAAAAF99WU8=")</f>
        <v>#VALUE!</v>
      </c>
      <c r="CC111" t="e">
        <f>AND(Bills!AB324,"AAAAAF99WVA=")</f>
        <v>#VALUE!</v>
      </c>
      <c r="CD111" t="e">
        <f>AND(Bills!#REF!,"AAAAAF99WVE=")</f>
        <v>#REF!</v>
      </c>
      <c r="CE111">
        <f>IF(Bills!325:325,"AAAAAF99WVI=",0)</f>
        <v>0</v>
      </c>
      <c r="CF111" t="e">
        <f>AND(Bills!B325,"AAAAAF99WVM=")</f>
        <v>#VALUE!</v>
      </c>
      <c r="CG111" t="e">
        <f>AND(Bills!#REF!,"AAAAAF99WVQ=")</f>
        <v>#REF!</v>
      </c>
      <c r="CH111" t="e">
        <f>AND(Bills!C325,"AAAAAF99WVU=")</f>
        <v>#VALUE!</v>
      </c>
      <c r="CI111" t="e">
        <f>AND(Bills!#REF!,"AAAAAF99WVY=")</f>
        <v>#REF!</v>
      </c>
      <c r="CJ111" t="e">
        <f>AND(Bills!#REF!,"AAAAAF99WVc=")</f>
        <v>#REF!</v>
      </c>
      <c r="CK111" t="e">
        <f>AND(Bills!#REF!,"AAAAAF99WVg=")</f>
        <v>#REF!</v>
      </c>
      <c r="CL111" t="e">
        <f>AND(Bills!#REF!,"AAAAAF99WVk=")</f>
        <v>#REF!</v>
      </c>
      <c r="CM111" t="e">
        <f>AND(Bills!#REF!,"AAAAAF99WVo=")</f>
        <v>#REF!</v>
      </c>
      <c r="CN111" t="e">
        <f>AND(Bills!D325,"AAAAAF99WVs=")</f>
        <v>#VALUE!</v>
      </c>
      <c r="CO111" t="e">
        <f>AND(Bills!#REF!,"AAAAAF99WVw=")</f>
        <v>#REF!</v>
      </c>
      <c r="CP111" t="e">
        <f>AND(Bills!E325,"AAAAAF99WV0=")</f>
        <v>#VALUE!</v>
      </c>
      <c r="CQ111" t="e">
        <f>AND(Bills!F325,"AAAAAF99WV4=")</f>
        <v>#VALUE!</v>
      </c>
      <c r="CR111" t="e">
        <f>AND(Bills!G325,"AAAAAF99WV8=")</f>
        <v>#VALUE!</v>
      </c>
      <c r="CS111" t="e">
        <f>AND(Bills!H325,"AAAAAF99WWA=")</f>
        <v>#VALUE!</v>
      </c>
      <c r="CT111" t="e">
        <f>AND(Bills!I325,"AAAAAF99WWE=")</f>
        <v>#VALUE!</v>
      </c>
      <c r="CU111" t="e">
        <f>AND(Bills!J325,"AAAAAF99WWI=")</f>
        <v>#VALUE!</v>
      </c>
      <c r="CV111" t="e">
        <f>AND(Bills!#REF!,"AAAAAF99WWM=")</f>
        <v>#REF!</v>
      </c>
      <c r="CW111" t="e">
        <f>AND(Bills!K325,"AAAAAF99WWQ=")</f>
        <v>#VALUE!</v>
      </c>
      <c r="CX111" t="e">
        <f>AND(Bills!L325,"AAAAAF99WWU=")</f>
        <v>#VALUE!</v>
      </c>
      <c r="CY111" t="e">
        <f>AND(Bills!M325,"AAAAAF99WWY=")</f>
        <v>#VALUE!</v>
      </c>
      <c r="CZ111" t="e">
        <f>AND(Bills!N325,"AAAAAF99WWc=")</f>
        <v>#VALUE!</v>
      </c>
      <c r="DA111" t="e">
        <f>AND(Bills!O325,"AAAAAF99WWg=")</f>
        <v>#VALUE!</v>
      </c>
      <c r="DB111" t="e">
        <f>AND(Bills!P325,"AAAAAF99WWk=")</f>
        <v>#VALUE!</v>
      </c>
      <c r="DC111" t="e">
        <f>AND(Bills!Q325,"AAAAAF99WWo=")</f>
        <v>#VALUE!</v>
      </c>
      <c r="DD111" t="e">
        <f>AND(Bills!R325,"AAAAAF99WWs=")</f>
        <v>#VALUE!</v>
      </c>
      <c r="DE111" t="e">
        <f>AND(Bills!#REF!,"AAAAAF99WWw=")</f>
        <v>#REF!</v>
      </c>
      <c r="DF111" t="e">
        <f>AND(Bills!S325,"AAAAAF99WW0=")</f>
        <v>#VALUE!</v>
      </c>
      <c r="DG111" t="e">
        <f>AND(Bills!T325,"AAAAAF99WW4=")</f>
        <v>#VALUE!</v>
      </c>
      <c r="DH111" t="e">
        <f>AND(Bills!U325,"AAAAAF99WW8=")</f>
        <v>#VALUE!</v>
      </c>
      <c r="DI111" t="e">
        <f>AND(Bills!#REF!,"AAAAAF99WXA=")</f>
        <v>#REF!</v>
      </c>
      <c r="DJ111" t="e">
        <f>AND(Bills!#REF!,"AAAAAF99WXE=")</f>
        <v>#REF!</v>
      </c>
      <c r="DK111" t="e">
        <f>AND(Bills!W325,"AAAAAF99WXI=")</f>
        <v>#VALUE!</v>
      </c>
      <c r="DL111" t="e">
        <f>AND(Bills!X325,"AAAAAF99WXM=")</f>
        <v>#VALUE!</v>
      </c>
      <c r="DM111" t="e">
        <f>AND(Bills!#REF!,"AAAAAF99WXQ=")</f>
        <v>#REF!</v>
      </c>
      <c r="DN111" t="e">
        <f>AND(Bills!#REF!,"AAAAAF99WXU=")</f>
        <v>#REF!</v>
      </c>
      <c r="DO111" t="e">
        <f>AND(Bills!#REF!,"AAAAAF99WXY=")</f>
        <v>#REF!</v>
      </c>
      <c r="DP111" t="e">
        <f>AND(Bills!#REF!,"AAAAAF99WXc=")</f>
        <v>#REF!</v>
      </c>
      <c r="DQ111" t="e">
        <f>AND(Bills!#REF!,"AAAAAF99WXg=")</f>
        <v>#REF!</v>
      </c>
      <c r="DR111" t="e">
        <f>AND(Bills!#REF!,"AAAAAF99WXk=")</f>
        <v>#REF!</v>
      </c>
      <c r="DS111" t="e">
        <f>AND(Bills!#REF!,"AAAAAF99WXo=")</f>
        <v>#REF!</v>
      </c>
      <c r="DT111" t="e">
        <f>AND(Bills!#REF!,"AAAAAF99WXs=")</f>
        <v>#REF!</v>
      </c>
      <c r="DU111" t="e">
        <f>AND(Bills!#REF!,"AAAAAF99WXw=")</f>
        <v>#REF!</v>
      </c>
      <c r="DV111" t="e">
        <f>AND(Bills!Y325,"AAAAAF99WX0=")</f>
        <v>#VALUE!</v>
      </c>
      <c r="DW111" t="e">
        <f>AND(Bills!Z325,"AAAAAF99WX4=")</f>
        <v>#VALUE!</v>
      </c>
      <c r="DX111" t="e">
        <f>AND(Bills!#REF!,"AAAAAF99WX8=")</f>
        <v>#REF!</v>
      </c>
      <c r="DY111" t="e">
        <f>AND(Bills!#REF!,"AAAAAF99WYA=")</f>
        <v>#REF!</v>
      </c>
      <c r="DZ111" t="e">
        <f>AND(Bills!#REF!,"AAAAAF99WYE=")</f>
        <v>#REF!</v>
      </c>
      <c r="EA111" t="e">
        <f>AND(Bills!AA325,"AAAAAF99WYI=")</f>
        <v>#VALUE!</v>
      </c>
      <c r="EB111" t="e">
        <f>AND(Bills!AB325,"AAAAAF99WYM=")</f>
        <v>#VALUE!</v>
      </c>
      <c r="EC111" t="e">
        <f>AND(Bills!#REF!,"AAAAAF99WYQ=")</f>
        <v>#REF!</v>
      </c>
      <c r="ED111">
        <f>IF(Bills!326:326,"AAAAAF99WYU=",0)</f>
        <v>0</v>
      </c>
      <c r="EE111" t="e">
        <f>AND(Bills!B326,"AAAAAF99WYY=")</f>
        <v>#VALUE!</v>
      </c>
      <c r="EF111" t="e">
        <f>AND(Bills!#REF!,"AAAAAF99WYc=")</f>
        <v>#REF!</v>
      </c>
      <c r="EG111" t="e">
        <f>AND(Bills!C326,"AAAAAF99WYg=")</f>
        <v>#VALUE!</v>
      </c>
      <c r="EH111" t="e">
        <f>AND(Bills!#REF!,"AAAAAF99WYk=")</f>
        <v>#REF!</v>
      </c>
      <c r="EI111" t="e">
        <f>AND(Bills!#REF!,"AAAAAF99WYo=")</f>
        <v>#REF!</v>
      </c>
      <c r="EJ111" t="e">
        <f>AND(Bills!#REF!,"AAAAAF99WYs=")</f>
        <v>#REF!</v>
      </c>
      <c r="EK111" t="e">
        <f>AND(Bills!#REF!,"AAAAAF99WYw=")</f>
        <v>#REF!</v>
      </c>
      <c r="EL111" t="e">
        <f>AND(Bills!#REF!,"AAAAAF99WY0=")</f>
        <v>#REF!</v>
      </c>
      <c r="EM111" t="e">
        <f>AND(Bills!D326,"AAAAAF99WY4=")</f>
        <v>#VALUE!</v>
      </c>
      <c r="EN111" t="e">
        <f>AND(Bills!#REF!,"AAAAAF99WY8=")</f>
        <v>#REF!</v>
      </c>
      <c r="EO111" t="e">
        <f>AND(Bills!E326,"AAAAAF99WZA=")</f>
        <v>#VALUE!</v>
      </c>
      <c r="EP111" t="e">
        <f>AND(Bills!F326,"AAAAAF99WZE=")</f>
        <v>#VALUE!</v>
      </c>
      <c r="EQ111" t="e">
        <f>AND(Bills!G326,"AAAAAF99WZI=")</f>
        <v>#VALUE!</v>
      </c>
      <c r="ER111" t="e">
        <f>AND(Bills!H326,"AAAAAF99WZM=")</f>
        <v>#VALUE!</v>
      </c>
      <c r="ES111" t="e">
        <f>AND(Bills!I326,"AAAAAF99WZQ=")</f>
        <v>#VALUE!</v>
      </c>
      <c r="ET111" t="e">
        <f>AND(Bills!J326,"AAAAAF99WZU=")</f>
        <v>#VALUE!</v>
      </c>
      <c r="EU111" t="e">
        <f>AND(Bills!#REF!,"AAAAAF99WZY=")</f>
        <v>#REF!</v>
      </c>
      <c r="EV111" t="e">
        <f>AND(Bills!K326,"AAAAAF99WZc=")</f>
        <v>#VALUE!</v>
      </c>
      <c r="EW111" t="e">
        <f>AND(Bills!L326,"AAAAAF99WZg=")</f>
        <v>#VALUE!</v>
      </c>
      <c r="EX111" t="e">
        <f>AND(Bills!M326,"AAAAAF99WZk=")</f>
        <v>#VALUE!</v>
      </c>
      <c r="EY111" t="e">
        <f>AND(Bills!N326,"AAAAAF99WZo=")</f>
        <v>#VALUE!</v>
      </c>
      <c r="EZ111" t="e">
        <f>AND(Bills!O326,"AAAAAF99WZs=")</f>
        <v>#VALUE!</v>
      </c>
      <c r="FA111" t="e">
        <f>AND(Bills!P326,"AAAAAF99WZw=")</f>
        <v>#VALUE!</v>
      </c>
      <c r="FB111" t="e">
        <f>AND(Bills!Q326,"AAAAAF99WZ0=")</f>
        <v>#VALUE!</v>
      </c>
      <c r="FC111" t="e">
        <f>AND(Bills!R326,"AAAAAF99WZ4=")</f>
        <v>#VALUE!</v>
      </c>
      <c r="FD111" t="e">
        <f>AND(Bills!#REF!,"AAAAAF99WZ8=")</f>
        <v>#REF!</v>
      </c>
      <c r="FE111" t="e">
        <f>AND(Bills!S326,"AAAAAF99WaA=")</f>
        <v>#VALUE!</v>
      </c>
      <c r="FF111" t="e">
        <f>AND(Bills!T326,"AAAAAF99WaE=")</f>
        <v>#VALUE!</v>
      </c>
      <c r="FG111" t="e">
        <f>AND(Bills!U326,"AAAAAF99WaI=")</f>
        <v>#VALUE!</v>
      </c>
      <c r="FH111" t="e">
        <f>AND(Bills!#REF!,"AAAAAF99WaM=")</f>
        <v>#REF!</v>
      </c>
      <c r="FI111" t="e">
        <f>AND(Bills!#REF!,"AAAAAF99WaQ=")</f>
        <v>#REF!</v>
      </c>
      <c r="FJ111" t="e">
        <f>AND(Bills!W326,"AAAAAF99WaU=")</f>
        <v>#VALUE!</v>
      </c>
      <c r="FK111" t="e">
        <f>AND(Bills!X326,"AAAAAF99WaY=")</f>
        <v>#VALUE!</v>
      </c>
      <c r="FL111" t="e">
        <f>AND(Bills!#REF!,"AAAAAF99Wac=")</f>
        <v>#REF!</v>
      </c>
      <c r="FM111" t="e">
        <f>AND(Bills!#REF!,"AAAAAF99Wag=")</f>
        <v>#REF!</v>
      </c>
      <c r="FN111" t="e">
        <f>AND(Bills!#REF!,"AAAAAF99Wak=")</f>
        <v>#REF!</v>
      </c>
      <c r="FO111" t="e">
        <f>AND(Bills!#REF!,"AAAAAF99Wao=")</f>
        <v>#REF!</v>
      </c>
      <c r="FP111" t="e">
        <f>AND(Bills!#REF!,"AAAAAF99Was=")</f>
        <v>#REF!</v>
      </c>
      <c r="FQ111" t="e">
        <f>AND(Bills!#REF!,"AAAAAF99Waw=")</f>
        <v>#REF!</v>
      </c>
      <c r="FR111" t="e">
        <f>AND(Bills!#REF!,"AAAAAF99Wa0=")</f>
        <v>#REF!</v>
      </c>
      <c r="FS111" t="e">
        <f>AND(Bills!#REF!,"AAAAAF99Wa4=")</f>
        <v>#REF!</v>
      </c>
      <c r="FT111" t="e">
        <f>AND(Bills!#REF!,"AAAAAF99Wa8=")</f>
        <v>#REF!</v>
      </c>
      <c r="FU111" t="e">
        <f>AND(Bills!Y326,"AAAAAF99WbA=")</f>
        <v>#VALUE!</v>
      </c>
      <c r="FV111" t="e">
        <f>AND(Bills!Z326,"AAAAAF99WbE=")</f>
        <v>#VALUE!</v>
      </c>
      <c r="FW111" t="e">
        <f>AND(Bills!#REF!,"AAAAAF99WbI=")</f>
        <v>#REF!</v>
      </c>
      <c r="FX111" t="e">
        <f>AND(Bills!#REF!,"AAAAAF99WbM=")</f>
        <v>#REF!</v>
      </c>
      <c r="FY111" t="e">
        <f>AND(Bills!#REF!,"AAAAAF99WbQ=")</f>
        <v>#REF!</v>
      </c>
      <c r="FZ111" t="e">
        <f>AND(Bills!AA326,"AAAAAF99WbU=")</f>
        <v>#VALUE!</v>
      </c>
      <c r="GA111" t="e">
        <f>AND(Bills!AB326,"AAAAAF99WbY=")</f>
        <v>#VALUE!</v>
      </c>
      <c r="GB111" t="e">
        <f>AND(Bills!#REF!,"AAAAAF99Wbc=")</f>
        <v>#REF!</v>
      </c>
      <c r="GC111">
        <f>IF(Bills!327:327,"AAAAAF99Wbg=",0)</f>
        <v>0</v>
      </c>
      <c r="GD111" t="e">
        <f>AND(Bills!B327,"AAAAAF99Wbk=")</f>
        <v>#VALUE!</v>
      </c>
      <c r="GE111" t="e">
        <f>AND(Bills!#REF!,"AAAAAF99Wbo=")</f>
        <v>#REF!</v>
      </c>
      <c r="GF111" t="e">
        <f>AND(Bills!C327,"AAAAAF99Wbs=")</f>
        <v>#VALUE!</v>
      </c>
      <c r="GG111" t="e">
        <f>AND(Bills!#REF!,"AAAAAF99Wbw=")</f>
        <v>#REF!</v>
      </c>
      <c r="GH111" t="e">
        <f>AND(Bills!#REF!,"AAAAAF99Wb0=")</f>
        <v>#REF!</v>
      </c>
      <c r="GI111" t="e">
        <f>AND(Bills!#REF!,"AAAAAF99Wb4=")</f>
        <v>#REF!</v>
      </c>
      <c r="GJ111" t="e">
        <f>AND(Bills!#REF!,"AAAAAF99Wb8=")</f>
        <v>#REF!</v>
      </c>
      <c r="GK111" t="e">
        <f>AND(Bills!#REF!,"AAAAAF99WcA=")</f>
        <v>#REF!</v>
      </c>
      <c r="GL111" t="e">
        <f>AND(Bills!D327,"AAAAAF99WcE=")</f>
        <v>#VALUE!</v>
      </c>
      <c r="GM111" t="e">
        <f>AND(Bills!#REF!,"AAAAAF99WcI=")</f>
        <v>#REF!</v>
      </c>
      <c r="GN111" t="e">
        <f>AND(Bills!E327,"AAAAAF99WcM=")</f>
        <v>#VALUE!</v>
      </c>
      <c r="GO111" t="e">
        <f>AND(Bills!F327,"AAAAAF99WcQ=")</f>
        <v>#VALUE!</v>
      </c>
      <c r="GP111" t="e">
        <f>AND(Bills!G327,"AAAAAF99WcU=")</f>
        <v>#VALUE!</v>
      </c>
      <c r="GQ111" t="e">
        <f>AND(Bills!H327,"AAAAAF99WcY=")</f>
        <v>#VALUE!</v>
      </c>
      <c r="GR111" t="e">
        <f>AND(Bills!I327,"AAAAAF99Wcc=")</f>
        <v>#VALUE!</v>
      </c>
      <c r="GS111" t="e">
        <f>AND(Bills!J327,"AAAAAF99Wcg=")</f>
        <v>#VALUE!</v>
      </c>
      <c r="GT111" t="e">
        <f>AND(Bills!#REF!,"AAAAAF99Wck=")</f>
        <v>#REF!</v>
      </c>
      <c r="GU111" t="e">
        <f>AND(Bills!K327,"AAAAAF99Wco=")</f>
        <v>#VALUE!</v>
      </c>
      <c r="GV111" t="e">
        <f>AND(Bills!L327,"AAAAAF99Wcs=")</f>
        <v>#VALUE!</v>
      </c>
      <c r="GW111" t="e">
        <f>AND(Bills!M327,"AAAAAF99Wcw=")</f>
        <v>#VALUE!</v>
      </c>
      <c r="GX111" t="e">
        <f>AND(Bills!N327,"AAAAAF99Wc0=")</f>
        <v>#VALUE!</v>
      </c>
      <c r="GY111" t="e">
        <f>AND(Bills!O327,"AAAAAF99Wc4=")</f>
        <v>#VALUE!</v>
      </c>
      <c r="GZ111" t="e">
        <f>AND(Bills!P327,"AAAAAF99Wc8=")</f>
        <v>#VALUE!</v>
      </c>
      <c r="HA111" t="e">
        <f>AND(Bills!Q327,"AAAAAF99WdA=")</f>
        <v>#VALUE!</v>
      </c>
      <c r="HB111" t="e">
        <f>AND(Bills!R327,"AAAAAF99WdE=")</f>
        <v>#VALUE!</v>
      </c>
      <c r="HC111" t="e">
        <f>AND(Bills!#REF!,"AAAAAF99WdI=")</f>
        <v>#REF!</v>
      </c>
      <c r="HD111" t="e">
        <f>AND(Bills!S327,"AAAAAF99WdM=")</f>
        <v>#VALUE!</v>
      </c>
      <c r="HE111" t="e">
        <f>AND(Bills!T327,"AAAAAF99WdQ=")</f>
        <v>#VALUE!</v>
      </c>
      <c r="HF111" t="e">
        <f>AND(Bills!U327,"AAAAAF99WdU=")</f>
        <v>#VALUE!</v>
      </c>
      <c r="HG111" t="e">
        <f>AND(Bills!#REF!,"AAAAAF99WdY=")</f>
        <v>#REF!</v>
      </c>
      <c r="HH111" t="e">
        <f>AND(Bills!#REF!,"AAAAAF99Wdc=")</f>
        <v>#REF!</v>
      </c>
      <c r="HI111" t="e">
        <f>AND(Bills!W327,"AAAAAF99Wdg=")</f>
        <v>#VALUE!</v>
      </c>
      <c r="HJ111" t="e">
        <f>AND(Bills!X327,"AAAAAF99Wdk=")</f>
        <v>#VALUE!</v>
      </c>
      <c r="HK111" t="e">
        <f>AND(Bills!#REF!,"AAAAAF99Wdo=")</f>
        <v>#REF!</v>
      </c>
      <c r="HL111" t="e">
        <f>AND(Bills!#REF!,"AAAAAF99Wds=")</f>
        <v>#REF!</v>
      </c>
      <c r="HM111" t="e">
        <f>AND(Bills!#REF!,"AAAAAF99Wdw=")</f>
        <v>#REF!</v>
      </c>
      <c r="HN111" t="e">
        <f>AND(Bills!#REF!,"AAAAAF99Wd0=")</f>
        <v>#REF!</v>
      </c>
      <c r="HO111" t="e">
        <f>AND(Bills!#REF!,"AAAAAF99Wd4=")</f>
        <v>#REF!</v>
      </c>
      <c r="HP111" t="e">
        <f>AND(Bills!#REF!,"AAAAAF99Wd8=")</f>
        <v>#REF!</v>
      </c>
      <c r="HQ111" t="e">
        <f>AND(Bills!#REF!,"AAAAAF99WeA=")</f>
        <v>#REF!</v>
      </c>
      <c r="HR111" t="e">
        <f>AND(Bills!#REF!,"AAAAAF99WeE=")</f>
        <v>#REF!</v>
      </c>
      <c r="HS111" t="e">
        <f>AND(Bills!#REF!,"AAAAAF99WeI=")</f>
        <v>#REF!</v>
      </c>
      <c r="HT111" t="e">
        <f>AND(Bills!Y327,"AAAAAF99WeM=")</f>
        <v>#VALUE!</v>
      </c>
      <c r="HU111" t="e">
        <f>AND(Bills!Z327,"AAAAAF99WeQ=")</f>
        <v>#VALUE!</v>
      </c>
      <c r="HV111" t="e">
        <f>AND(Bills!#REF!,"AAAAAF99WeU=")</f>
        <v>#REF!</v>
      </c>
      <c r="HW111" t="e">
        <f>AND(Bills!#REF!,"AAAAAF99WeY=")</f>
        <v>#REF!</v>
      </c>
      <c r="HX111" t="e">
        <f>AND(Bills!#REF!,"AAAAAF99Wec=")</f>
        <v>#REF!</v>
      </c>
      <c r="HY111" t="e">
        <f>AND(Bills!AA327,"AAAAAF99Weg=")</f>
        <v>#VALUE!</v>
      </c>
      <c r="HZ111" t="e">
        <f>AND(Bills!AB327,"AAAAAF99Wek=")</f>
        <v>#VALUE!</v>
      </c>
      <c r="IA111" t="e">
        <f>AND(Bills!#REF!,"AAAAAF99Weo=")</f>
        <v>#REF!</v>
      </c>
      <c r="IB111">
        <f>IF(Bills!328:328,"AAAAAF99Wes=",0)</f>
        <v>0</v>
      </c>
      <c r="IC111" t="e">
        <f>AND(Bills!B328,"AAAAAF99Wew=")</f>
        <v>#VALUE!</v>
      </c>
      <c r="ID111" t="e">
        <f>AND(Bills!#REF!,"AAAAAF99We0=")</f>
        <v>#REF!</v>
      </c>
      <c r="IE111" t="e">
        <f>AND(Bills!C328,"AAAAAF99We4=")</f>
        <v>#VALUE!</v>
      </c>
      <c r="IF111" t="e">
        <f>AND(Bills!#REF!,"AAAAAF99We8=")</f>
        <v>#REF!</v>
      </c>
      <c r="IG111" t="e">
        <f>AND(Bills!#REF!,"AAAAAF99WfA=")</f>
        <v>#REF!</v>
      </c>
      <c r="IH111" t="e">
        <f>AND(Bills!#REF!,"AAAAAF99WfE=")</f>
        <v>#REF!</v>
      </c>
      <c r="II111" t="e">
        <f>AND(Bills!#REF!,"AAAAAF99WfI=")</f>
        <v>#REF!</v>
      </c>
      <c r="IJ111" t="e">
        <f>AND(Bills!#REF!,"AAAAAF99WfM=")</f>
        <v>#REF!</v>
      </c>
      <c r="IK111" t="e">
        <f>AND(Bills!D328,"AAAAAF99WfQ=")</f>
        <v>#VALUE!</v>
      </c>
      <c r="IL111" t="e">
        <f>AND(Bills!#REF!,"AAAAAF99WfU=")</f>
        <v>#REF!</v>
      </c>
      <c r="IM111" t="e">
        <f>AND(Bills!E328,"AAAAAF99WfY=")</f>
        <v>#VALUE!</v>
      </c>
      <c r="IN111" t="e">
        <f>AND(Bills!F328,"AAAAAF99Wfc=")</f>
        <v>#VALUE!</v>
      </c>
      <c r="IO111" t="e">
        <f>AND(Bills!G328,"AAAAAF99Wfg=")</f>
        <v>#VALUE!</v>
      </c>
      <c r="IP111" t="e">
        <f>AND(Bills!H328,"AAAAAF99Wfk=")</f>
        <v>#VALUE!</v>
      </c>
      <c r="IQ111" t="e">
        <f>AND(Bills!I328,"AAAAAF99Wfo=")</f>
        <v>#VALUE!</v>
      </c>
      <c r="IR111" t="e">
        <f>AND(Bills!J328,"AAAAAF99Wfs=")</f>
        <v>#VALUE!</v>
      </c>
      <c r="IS111" t="e">
        <f>AND(Bills!#REF!,"AAAAAF99Wfw=")</f>
        <v>#REF!</v>
      </c>
      <c r="IT111" t="e">
        <f>AND(Bills!K328,"AAAAAF99Wf0=")</f>
        <v>#VALUE!</v>
      </c>
      <c r="IU111" t="e">
        <f>AND(Bills!L328,"AAAAAF99Wf4=")</f>
        <v>#VALUE!</v>
      </c>
      <c r="IV111" t="e">
        <f>AND(Bills!M328,"AAAAAF99Wf8=")</f>
        <v>#VALUE!</v>
      </c>
    </row>
    <row r="112" spans="1:256">
      <c r="A112" t="e">
        <f>AND(Bills!N328,"AAAAAD3/swA=")</f>
        <v>#VALUE!</v>
      </c>
      <c r="B112" t="e">
        <f>AND(Bills!O328,"AAAAAD3/swE=")</f>
        <v>#VALUE!</v>
      </c>
      <c r="C112" t="e">
        <f>AND(Bills!P328,"AAAAAD3/swI=")</f>
        <v>#VALUE!</v>
      </c>
      <c r="D112" t="e">
        <f>AND(Bills!Q328,"AAAAAD3/swM=")</f>
        <v>#VALUE!</v>
      </c>
      <c r="E112" t="e">
        <f>AND(Bills!R328,"AAAAAD3/swQ=")</f>
        <v>#VALUE!</v>
      </c>
      <c r="F112" t="e">
        <f>AND(Bills!#REF!,"AAAAAD3/swU=")</f>
        <v>#REF!</v>
      </c>
      <c r="G112" t="e">
        <f>AND(Bills!S328,"AAAAAD3/swY=")</f>
        <v>#VALUE!</v>
      </c>
      <c r="H112" t="e">
        <f>AND(Bills!T328,"AAAAAD3/swc=")</f>
        <v>#VALUE!</v>
      </c>
      <c r="I112" t="e">
        <f>AND(Bills!U328,"AAAAAD3/swg=")</f>
        <v>#VALUE!</v>
      </c>
      <c r="J112" t="e">
        <f>AND(Bills!#REF!,"AAAAAD3/swk=")</f>
        <v>#REF!</v>
      </c>
      <c r="K112" t="e">
        <f>AND(Bills!#REF!,"AAAAAD3/swo=")</f>
        <v>#REF!</v>
      </c>
      <c r="L112" t="e">
        <f>AND(Bills!W328,"AAAAAD3/sws=")</f>
        <v>#VALUE!</v>
      </c>
      <c r="M112" t="e">
        <f>AND(Bills!X328,"AAAAAD3/sww=")</f>
        <v>#VALUE!</v>
      </c>
      <c r="N112" t="e">
        <f>AND(Bills!#REF!,"AAAAAD3/sw0=")</f>
        <v>#REF!</v>
      </c>
      <c r="O112" t="e">
        <f>AND(Bills!#REF!,"AAAAAD3/sw4=")</f>
        <v>#REF!</v>
      </c>
      <c r="P112" t="e">
        <f>AND(Bills!#REF!,"AAAAAD3/sw8=")</f>
        <v>#REF!</v>
      </c>
      <c r="Q112" t="e">
        <f>AND(Bills!#REF!,"AAAAAD3/sxA=")</f>
        <v>#REF!</v>
      </c>
      <c r="R112" t="e">
        <f>AND(Bills!#REF!,"AAAAAD3/sxE=")</f>
        <v>#REF!</v>
      </c>
      <c r="S112" t="e">
        <f>AND(Bills!#REF!,"AAAAAD3/sxI=")</f>
        <v>#REF!</v>
      </c>
      <c r="T112" t="e">
        <f>AND(Bills!#REF!,"AAAAAD3/sxM=")</f>
        <v>#REF!</v>
      </c>
      <c r="U112" t="e">
        <f>AND(Bills!#REF!,"AAAAAD3/sxQ=")</f>
        <v>#REF!</v>
      </c>
      <c r="V112" t="e">
        <f>AND(Bills!#REF!,"AAAAAD3/sxU=")</f>
        <v>#REF!</v>
      </c>
      <c r="W112" t="e">
        <f>AND(Bills!Y328,"AAAAAD3/sxY=")</f>
        <v>#VALUE!</v>
      </c>
      <c r="X112" t="e">
        <f>AND(Bills!Z328,"AAAAAD3/sxc=")</f>
        <v>#VALUE!</v>
      </c>
      <c r="Y112" t="e">
        <f>AND(Bills!#REF!,"AAAAAD3/sxg=")</f>
        <v>#REF!</v>
      </c>
      <c r="Z112" t="e">
        <f>AND(Bills!#REF!,"AAAAAD3/sxk=")</f>
        <v>#REF!</v>
      </c>
      <c r="AA112" t="e">
        <f>AND(Bills!#REF!,"AAAAAD3/sxo=")</f>
        <v>#REF!</v>
      </c>
      <c r="AB112" t="e">
        <f>AND(Bills!AA328,"AAAAAD3/sxs=")</f>
        <v>#VALUE!</v>
      </c>
      <c r="AC112" t="e">
        <f>AND(Bills!AB328,"AAAAAD3/sxw=")</f>
        <v>#VALUE!</v>
      </c>
      <c r="AD112" t="e">
        <f>AND(Bills!#REF!,"AAAAAD3/sx0=")</f>
        <v>#REF!</v>
      </c>
      <c r="AE112">
        <f>IF(Bills!329:329,"AAAAAD3/sx4=",0)</f>
        <v>0</v>
      </c>
      <c r="AF112" t="e">
        <f>AND(Bills!B329,"AAAAAD3/sx8=")</f>
        <v>#VALUE!</v>
      </c>
      <c r="AG112" t="e">
        <f>AND(Bills!#REF!,"AAAAAD3/syA=")</f>
        <v>#REF!</v>
      </c>
      <c r="AH112" t="e">
        <f>AND(Bills!C329,"AAAAAD3/syE=")</f>
        <v>#VALUE!</v>
      </c>
      <c r="AI112" t="e">
        <f>AND(Bills!#REF!,"AAAAAD3/syI=")</f>
        <v>#REF!</v>
      </c>
      <c r="AJ112" t="e">
        <f>AND(Bills!#REF!,"AAAAAD3/syM=")</f>
        <v>#REF!</v>
      </c>
      <c r="AK112" t="e">
        <f>AND(Bills!#REF!,"AAAAAD3/syQ=")</f>
        <v>#REF!</v>
      </c>
      <c r="AL112" t="e">
        <f>AND(Bills!#REF!,"AAAAAD3/syU=")</f>
        <v>#REF!</v>
      </c>
      <c r="AM112" t="e">
        <f>AND(Bills!#REF!,"AAAAAD3/syY=")</f>
        <v>#REF!</v>
      </c>
      <c r="AN112" t="e">
        <f>AND(Bills!D329,"AAAAAD3/syc=")</f>
        <v>#VALUE!</v>
      </c>
      <c r="AO112" t="e">
        <f>AND(Bills!#REF!,"AAAAAD3/syg=")</f>
        <v>#REF!</v>
      </c>
      <c r="AP112" t="e">
        <f>AND(Bills!E329,"AAAAAD3/syk=")</f>
        <v>#VALUE!</v>
      </c>
      <c r="AQ112" t="e">
        <f>AND(Bills!F329,"AAAAAD3/syo=")</f>
        <v>#VALUE!</v>
      </c>
      <c r="AR112" t="e">
        <f>AND(Bills!G329,"AAAAAD3/sys=")</f>
        <v>#VALUE!</v>
      </c>
      <c r="AS112" t="e">
        <f>AND(Bills!H329,"AAAAAD3/syw=")</f>
        <v>#VALUE!</v>
      </c>
      <c r="AT112" t="e">
        <f>AND(Bills!I329,"AAAAAD3/sy0=")</f>
        <v>#VALUE!</v>
      </c>
      <c r="AU112" t="e">
        <f>AND(Bills!J329,"AAAAAD3/sy4=")</f>
        <v>#VALUE!</v>
      </c>
      <c r="AV112" t="e">
        <f>AND(Bills!#REF!,"AAAAAD3/sy8=")</f>
        <v>#REF!</v>
      </c>
      <c r="AW112" t="e">
        <f>AND(Bills!K329,"AAAAAD3/szA=")</f>
        <v>#VALUE!</v>
      </c>
      <c r="AX112" t="e">
        <f>AND(Bills!L329,"AAAAAD3/szE=")</f>
        <v>#VALUE!</v>
      </c>
      <c r="AY112" t="e">
        <f>AND(Bills!M329,"AAAAAD3/szI=")</f>
        <v>#VALUE!</v>
      </c>
      <c r="AZ112" t="e">
        <f>AND(Bills!N329,"AAAAAD3/szM=")</f>
        <v>#VALUE!</v>
      </c>
      <c r="BA112" t="e">
        <f>AND(Bills!O329,"AAAAAD3/szQ=")</f>
        <v>#VALUE!</v>
      </c>
      <c r="BB112" t="e">
        <f>AND(Bills!P329,"AAAAAD3/szU=")</f>
        <v>#VALUE!</v>
      </c>
      <c r="BC112" t="e">
        <f>AND(Bills!Q329,"AAAAAD3/szY=")</f>
        <v>#VALUE!</v>
      </c>
      <c r="BD112" t="e">
        <f>AND(Bills!R329,"AAAAAD3/szc=")</f>
        <v>#VALUE!</v>
      </c>
      <c r="BE112" t="e">
        <f>AND(Bills!#REF!,"AAAAAD3/szg=")</f>
        <v>#REF!</v>
      </c>
      <c r="BF112" t="e">
        <f>AND(Bills!S329,"AAAAAD3/szk=")</f>
        <v>#VALUE!</v>
      </c>
      <c r="BG112" t="e">
        <f>AND(Bills!T329,"AAAAAD3/szo=")</f>
        <v>#VALUE!</v>
      </c>
      <c r="BH112" t="e">
        <f>AND(Bills!U329,"AAAAAD3/szs=")</f>
        <v>#VALUE!</v>
      </c>
      <c r="BI112" t="e">
        <f>AND(Bills!#REF!,"AAAAAD3/szw=")</f>
        <v>#REF!</v>
      </c>
      <c r="BJ112" t="e">
        <f>AND(Bills!#REF!,"AAAAAD3/sz0=")</f>
        <v>#REF!</v>
      </c>
      <c r="BK112" t="e">
        <f>AND(Bills!W329,"AAAAAD3/sz4=")</f>
        <v>#VALUE!</v>
      </c>
      <c r="BL112" t="e">
        <f>AND(Bills!X329,"AAAAAD3/sz8=")</f>
        <v>#VALUE!</v>
      </c>
      <c r="BM112" t="e">
        <f>AND(Bills!#REF!,"AAAAAD3/s0A=")</f>
        <v>#REF!</v>
      </c>
      <c r="BN112" t="e">
        <f>AND(Bills!#REF!,"AAAAAD3/s0E=")</f>
        <v>#REF!</v>
      </c>
      <c r="BO112" t="e">
        <f>AND(Bills!#REF!,"AAAAAD3/s0I=")</f>
        <v>#REF!</v>
      </c>
      <c r="BP112" t="e">
        <f>AND(Bills!#REF!,"AAAAAD3/s0M=")</f>
        <v>#REF!</v>
      </c>
      <c r="BQ112" t="e">
        <f>AND(Bills!#REF!,"AAAAAD3/s0Q=")</f>
        <v>#REF!</v>
      </c>
      <c r="BR112" t="e">
        <f>AND(Bills!#REF!,"AAAAAD3/s0U=")</f>
        <v>#REF!</v>
      </c>
      <c r="BS112" t="e">
        <f>AND(Bills!#REF!,"AAAAAD3/s0Y=")</f>
        <v>#REF!</v>
      </c>
      <c r="BT112" t="e">
        <f>AND(Bills!#REF!,"AAAAAD3/s0c=")</f>
        <v>#REF!</v>
      </c>
      <c r="BU112" t="e">
        <f>AND(Bills!#REF!,"AAAAAD3/s0g=")</f>
        <v>#REF!</v>
      </c>
      <c r="BV112" t="e">
        <f>AND(Bills!Y329,"AAAAAD3/s0k=")</f>
        <v>#VALUE!</v>
      </c>
      <c r="BW112" t="e">
        <f>AND(Bills!Z329,"AAAAAD3/s0o=")</f>
        <v>#VALUE!</v>
      </c>
      <c r="BX112" t="e">
        <f>AND(Bills!#REF!,"AAAAAD3/s0s=")</f>
        <v>#REF!</v>
      </c>
      <c r="BY112" t="e">
        <f>AND(Bills!#REF!,"AAAAAD3/s0w=")</f>
        <v>#REF!</v>
      </c>
      <c r="BZ112" t="e">
        <f>AND(Bills!#REF!,"AAAAAD3/s00=")</f>
        <v>#REF!</v>
      </c>
      <c r="CA112" t="e">
        <f>AND(Bills!AA329,"AAAAAD3/s04=")</f>
        <v>#VALUE!</v>
      </c>
      <c r="CB112" t="e">
        <f>AND(Bills!AB329,"AAAAAD3/s08=")</f>
        <v>#VALUE!</v>
      </c>
      <c r="CC112" t="e">
        <f>AND(Bills!#REF!,"AAAAAD3/s1A=")</f>
        <v>#REF!</v>
      </c>
      <c r="CD112">
        <f>IF(Bills!330:330,"AAAAAD3/s1E=",0)</f>
        <v>0</v>
      </c>
      <c r="CE112" t="e">
        <f>AND(Bills!B330,"AAAAAD3/s1I=")</f>
        <v>#VALUE!</v>
      </c>
      <c r="CF112" t="e">
        <f>AND(Bills!#REF!,"AAAAAD3/s1M=")</f>
        <v>#REF!</v>
      </c>
      <c r="CG112" t="e">
        <f>AND(Bills!C330,"AAAAAD3/s1Q=")</f>
        <v>#VALUE!</v>
      </c>
      <c r="CH112" t="e">
        <f>AND(Bills!#REF!,"AAAAAD3/s1U=")</f>
        <v>#REF!</v>
      </c>
      <c r="CI112" t="e">
        <f>AND(Bills!#REF!,"AAAAAD3/s1Y=")</f>
        <v>#REF!</v>
      </c>
      <c r="CJ112" t="e">
        <f>AND(Bills!#REF!,"AAAAAD3/s1c=")</f>
        <v>#REF!</v>
      </c>
      <c r="CK112" t="e">
        <f>AND(Bills!#REF!,"AAAAAD3/s1g=")</f>
        <v>#REF!</v>
      </c>
      <c r="CL112" t="e">
        <f>AND(Bills!#REF!,"AAAAAD3/s1k=")</f>
        <v>#REF!</v>
      </c>
      <c r="CM112" t="e">
        <f>AND(Bills!D330,"AAAAAD3/s1o=")</f>
        <v>#VALUE!</v>
      </c>
      <c r="CN112" t="e">
        <f>AND(Bills!#REF!,"AAAAAD3/s1s=")</f>
        <v>#REF!</v>
      </c>
      <c r="CO112" t="e">
        <f>AND(Bills!E330,"AAAAAD3/s1w=")</f>
        <v>#VALUE!</v>
      </c>
      <c r="CP112" t="e">
        <f>AND(Bills!F330,"AAAAAD3/s10=")</f>
        <v>#VALUE!</v>
      </c>
      <c r="CQ112" t="e">
        <f>AND(Bills!G330,"AAAAAD3/s14=")</f>
        <v>#VALUE!</v>
      </c>
      <c r="CR112" t="e">
        <f>AND(Bills!H330,"AAAAAD3/s18=")</f>
        <v>#VALUE!</v>
      </c>
      <c r="CS112" t="e">
        <f>AND(Bills!I330,"AAAAAD3/s2A=")</f>
        <v>#VALUE!</v>
      </c>
      <c r="CT112" t="e">
        <f>AND(Bills!J330,"AAAAAD3/s2E=")</f>
        <v>#VALUE!</v>
      </c>
      <c r="CU112" t="e">
        <f>AND(Bills!#REF!,"AAAAAD3/s2I=")</f>
        <v>#REF!</v>
      </c>
      <c r="CV112" t="e">
        <f>AND(Bills!K330,"AAAAAD3/s2M=")</f>
        <v>#VALUE!</v>
      </c>
      <c r="CW112" t="e">
        <f>AND(Bills!L330,"AAAAAD3/s2Q=")</f>
        <v>#VALUE!</v>
      </c>
      <c r="CX112" t="e">
        <f>AND(Bills!M330,"AAAAAD3/s2U=")</f>
        <v>#VALUE!</v>
      </c>
      <c r="CY112" t="e">
        <f>AND(Bills!N330,"AAAAAD3/s2Y=")</f>
        <v>#VALUE!</v>
      </c>
      <c r="CZ112" t="e">
        <f>AND(Bills!O330,"AAAAAD3/s2c=")</f>
        <v>#VALUE!</v>
      </c>
      <c r="DA112" t="e">
        <f>AND(Bills!P330,"AAAAAD3/s2g=")</f>
        <v>#VALUE!</v>
      </c>
      <c r="DB112" t="e">
        <f>AND(Bills!Q330,"AAAAAD3/s2k=")</f>
        <v>#VALUE!</v>
      </c>
      <c r="DC112" t="e">
        <f>AND(Bills!R330,"AAAAAD3/s2o=")</f>
        <v>#VALUE!</v>
      </c>
      <c r="DD112" t="e">
        <f>AND(Bills!#REF!,"AAAAAD3/s2s=")</f>
        <v>#REF!</v>
      </c>
      <c r="DE112" t="e">
        <f>AND(Bills!S330,"AAAAAD3/s2w=")</f>
        <v>#VALUE!</v>
      </c>
      <c r="DF112" t="e">
        <f>AND(Bills!T330,"AAAAAD3/s20=")</f>
        <v>#VALUE!</v>
      </c>
      <c r="DG112" t="e">
        <f>AND(Bills!U330,"AAAAAD3/s24=")</f>
        <v>#VALUE!</v>
      </c>
      <c r="DH112" t="e">
        <f>AND(Bills!#REF!,"AAAAAD3/s28=")</f>
        <v>#REF!</v>
      </c>
      <c r="DI112" t="e">
        <f>AND(Bills!#REF!,"AAAAAD3/s3A=")</f>
        <v>#REF!</v>
      </c>
      <c r="DJ112" t="e">
        <f>AND(Bills!W330,"AAAAAD3/s3E=")</f>
        <v>#VALUE!</v>
      </c>
      <c r="DK112" t="e">
        <f>AND(Bills!X330,"AAAAAD3/s3I=")</f>
        <v>#VALUE!</v>
      </c>
      <c r="DL112" t="e">
        <f>AND(Bills!#REF!,"AAAAAD3/s3M=")</f>
        <v>#REF!</v>
      </c>
      <c r="DM112" t="e">
        <f>AND(Bills!#REF!,"AAAAAD3/s3Q=")</f>
        <v>#REF!</v>
      </c>
      <c r="DN112" t="e">
        <f>AND(Bills!#REF!,"AAAAAD3/s3U=")</f>
        <v>#REF!</v>
      </c>
      <c r="DO112" t="e">
        <f>AND(Bills!#REF!,"AAAAAD3/s3Y=")</f>
        <v>#REF!</v>
      </c>
      <c r="DP112" t="e">
        <f>AND(Bills!#REF!,"AAAAAD3/s3c=")</f>
        <v>#REF!</v>
      </c>
      <c r="DQ112" t="e">
        <f>AND(Bills!#REF!,"AAAAAD3/s3g=")</f>
        <v>#REF!</v>
      </c>
      <c r="DR112" t="e">
        <f>AND(Bills!#REF!,"AAAAAD3/s3k=")</f>
        <v>#REF!</v>
      </c>
      <c r="DS112" t="e">
        <f>AND(Bills!#REF!,"AAAAAD3/s3o=")</f>
        <v>#REF!</v>
      </c>
      <c r="DT112" t="e">
        <f>AND(Bills!#REF!,"AAAAAD3/s3s=")</f>
        <v>#REF!</v>
      </c>
      <c r="DU112" t="e">
        <f>AND(Bills!Y330,"AAAAAD3/s3w=")</f>
        <v>#VALUE!</v>
      </c>
      <c r="DV112" t="e">
        <f>AND(Bills!Z330,"AAAAAD3/s30=")</f>
        <v>#VALUE!</v>
      </c>
      <c r="DW112" t="e">
        <f>AND(Bills!#REF!,"AAAAAD3/s34=")</f>
        <v>#REF!</v>
      </c>
      <c r="DX112" t="e">
        <f>AND(Bills!#REF!,"AAAAAD3/s38=")</f>
        <v>#REF!</v>
      </c>
      <c r="DY112" t="e">
        <f>AND(Bills!#REF!,"AAAAAD3/s4A=")</f>
        <v>#REF!</v>
      </c>
      <c r="DZ112" t="e">
        <f>AND(Bills!AA330,"AAAAAD3/s4E=")</f>
        <v>#VALUE!</v>
      </c>
      <c r="EA112" t="e">
        <f>AND(Bills!AB330,"AAAAAD3/s4I=")</f>
        <v>#VALUE!</v>
      </c>
      <c r="EB112" t="e">
        <f>AND(Bills!#REF!,"AAAAAD3/s4M=")</f>
        <v>#REF!</v>
      </c>
      <c r="EC112">
        <f>IF(Bills!331:331,"AAAAAD3/s4Q=",0)</f>
        <v>0</v>
      </c>
      <c r="ED112" t="e">
        <f>AND(Bills!B331,"AAAAAD3/s4U=")</f>
        <v>#VALUE!</v>
      </c>
      <c r="EE112" t="e">
        <f>AND(Bills!#REF!,"AAAAAD3/s4Y=")</f>
        <v>#REF!</v>
      </c>
      <c r="EF112" t="e">
        <f>AND(Bills!C331,"AAAAAD3/s4c=")</f>
        <v>#VALUE!</v>
      </c>
      <c r="EG112" t="e">
        <f>AND(Bills!#REF!,"AAAAAD3/s4g=")</f>
        <v>#REF!</v>
      </c>
      <c r="EH112" t="e">
        <f>AND(Bills!#REF!,"AAAAAD3/s4k=")</f>
        <v>#REF!</v>
      </c>
      <c r="EI112" t="e">
        <f>AND(Bills!#REF!,"AAAAAD3/s4o=")</f>
        <v>#REF!</v>
      </c>
      <c r="EJ112" t="e">
        <f>AND(Bills!#REF!,"AAAAAD3/s4s=")</f>
        <v>#REF!</v>
      </c>
      <c r="EK112" t="e">
        <f>AND(Bills!#REF!,"AAAAAD3/s4w=")</f>
        <v>#REF!</v>
      </c>
      <c r="EL112" t="e">
        <f>AND(Bills!D331,"AAAAAD3/s40=")</f>
        <v>#VALUE!</v>
      </c>
      <c r="EM112" t="e">
        <f>AND(Bills!#REF!,"AAAAAD3/s44=")</f>
        <v>#REF!</v>
      </c>
      <c r="EN112" t="e">
        <f>AND(Bills!E331,"AAAAAD3/s48=")</f>
        <v>#VALUE!</v>
      </c>
      <c r="EO112" t="e">
        <f>AND(Bills!F331,"AAAAAD3/s5A=")</f>
        <v>#VALUE!</v>
      </c>
      <c r="EP112" t="e">
        <f>AND(Bills!G331,"AAAAAD3/s5E=")</f>
        <v>#VALUE!</v>
      </c>
      <c r="EQ112" t="e">
        <f>AND(Bills!H331,"AAAAAD3/s5I=")</f>
        <v>#VALUE!</v>
      </c>
      <c r="ER112" t="e">
        <f>AND(Bills!I331,"AAAAAD3/s5M=")</f>
        <v>#VALUE!</v>
      </c>
      <c r="ES112" t="e">
        <f>AND(Bills!J331,"AAAAAD3/s5Q=")</f>
        <v>#VALUE!</v>
      </c>
      <c r="ET112" t="e">
        <f>AND(Bills!#REF!,"AAAAAD3/s5U=")</f>
        <v>#REF!</v>
      </c>
      <c r="EU112" t="e">
        <f>AND(Bills!K331,"AAAAAD3/s5Y=")</f>
        <v>#VALUE!</v>
      </c>
      <c r="EV112" t="e">
        <f>AND(Bills!L331,"AAAAAD3/s5c=")</f>
        <v>#VALUE!</v>
      </c>
      <c r="EW112" t="e">
        <f>AND(Bills!M331,"AAAAAD3/s5g=")</f>
        <v>#VALUE!</v>
      </c>
      <c r="EX112" t="e">
        <f>AND(Bills!N331,"AAAAAD3/s5k=")</f>
        <v>#VALUE!</v>
      </c>
      <c r="EY112" t="e">
        <f>AND(Bills!O331,"AAAAAD3/s5o=")</f>
        <v>#VALUE!</v>
      </c>
      <c r="EZ112" t="e">
        <f>AND(Bills!P331,"AAAAAD3/s5s=")</f>
        <v>#VALUE!</v>
      </c>
      <c r="FA112" t="e">
        <f>AND(Bills!Q331,"AAAAAD3/s5w=")</f>
        <v>#VALUE!</v>
      </c>
      <c r="FB112" t="e">
        <f>AND(Bills!R331,"AAAAAD3/s50=")</f>
        <v>#VALUE!</v>
      </c>
      <c r="FC112" t="e">
        <f>AND(Bills!#REF!,"AAAAAD3/s54=")</f>
        <v>#REF!</v>
      </c>
      <c r="FD112" t="e">
        <f>AND(Bills!S331,"AAAAAD3/s58=")</f>
        <v>#VALUE!</v>
      </c>
      <c r="FE112" t="e">
        <f>AND(Bills!T331,"AAAAAD3/s6A=")</f>
        <v>#VALUE!</v>
      </c>
      <c r="FF112" t="e">
        <f>AND(Bills!U331,"AAAAAD3/s6E=")</f>
        <v>#VALUE!</v>
      </c>
      <c r="FG112" t="e">
        <f>AND(Bills!#REF!,"AAAAAD3/s6I=")</f>
        <v>#REF!</v>
      </c>
      <c r="FH112" t="e">
        <f>AND(Bills!#REF!,"AAAAAD3/s6M=")</f>
        <v>#REF!</v>
      </c>
      <c r="FI112" t="e">
        <f>AND(Bills!W331,"AAAAAD3/s6Q=")</f>
        <v>#VALUE!</v>
      </c>
      <c r="FJ112" t="e">
        <f>AND(Bills!X331,"AAAAAD3/s6U=")</f>
        <v>#VALUE!</v>
      </c>
      <c r="FK112" t="e">
        <f>AND(Bills!#REF!,"AAAAAD3/s6Y=")</f>
        <v>#REF!</v>
      </c>
      <c r="FL112" t="e">
        <f>AND(Bills!#REF!,"AAAAAD3/s6c=")</f>
        <v>#REF!</v>
      </c>
      <c r="FM112" t="e">
        <f>AND(Bills!#REF!,"AAAAAD3/s6g=")</f>
        <v>#REF!</v>
      </c>
      <c r="FN112" t="e">
        <f>AND(Bills!#REF!,"AAAAAD3/s6k=")</f>
        <v>#REF!</v>
      </c>
      <c r="FO112" t="e">
        <f>AND(Bills!#REF!,"AAAAAD3/s6o=")</f>
        <v>#REF!</v>
      </c>
      <c r="FP112" t="e">
        <f>AND(Bills!#REF!,"AAAAAD3/s6s=")</f>
        <v>#REF!</v>
      </c>
      <c r="FQ112" t="e">
        <f>AND(Bills!#REF!,"AAAAAD3/s6w=")</f>
        <v>#REF!</v>
      </c>
      <c r="FR112" t="e">
        <f>AND(Bills!#REF!,"AAAAAD3/s60=")</f>
        <v>#REF!</v>
      </c>
      <c r="FS112" t="e">
        <f>AND(Bills!#REF!,"AAAAAD3/s64=")</f>
        <v>#REF!</v>
      </c>
      <c r="FT112" t="e">
        <f>AND(Bills!Y331,"AAAAAD3/s68=")</f>
        <v>#VALUE!</v>
      </c>
      <c r="FU112" t="e">
        <f>AND(Bills!Z331,"AAAAAD3/s7A=")</f>
        <v>#VALUE!</v>
      </c>
      <c r="FV112" t="e">
        <f>AND(Bills!#REF!,"AAAAAD3/s7E=")</f>
        <v>#REF!</v>
      </c>
      <c r="FW112" t="e">
        <f>AND(Bills!#REF!,"AAAAAD3/s7I=")</f>
        <v>#REF!</v>
      </c>
      <c r="FX112" t="e">
        <f>AND(Bills!#REF!,"AAAAAD3/s7M=")</f>
        <v>#REF!</v>
      </c>
      <c r="FY112" t="e">
        <f>AND(Bills!AA331,"AAAAAD3/s7Q=")</f>
        <v>#VALUE!</v>
      </c>
      <c r="FZ112" t="e">
        <f>AND(Bills!AB331,"AAAAAD3/s7U=")</f>
        <v>#VALUE!</v>
      </c>
      <c r="GA112" t="e">
        <f>AND(Bills!#REF!,"AAAAAD3/s7Y=")</f>
        <v>#REF!</v>
      </c>
      <c r="GB112">
        <f>IF(Bills!332:332,"AAAAAD3/s7c=",0)</f>
        <v>0</v>
      </c>
      <c r="GC112" t="e">
        <f>AND(Bills!B332,"AAAAAD3/s7g=")</f>
        <v>#VALUE!</v>
      </c>
      <c r="GD112" t="e">
        <f>AND(Bills!#REF!,"AAAAAD3/s7k=")</f>
        <v>#REF!</v>
      </c>
      <c r="GE112" t="e">
        <f>AND(Bills!C332,"AAAAAD3/s7o=")</f>
        <v>#VALUE!</v>
      </c>
      <c r="GF112" t="e">
        <f>AND(Bills!#REF!,"AAAAAD3/s7s=")</f>
        <v>#REF!</v>
      </c>
      <c r="GG112" t="e">
        <f>AND(Bills!#REF!,"AAAAAD3/s7w=")</f>
        <v>#REF!</v>
      </c>
      <c r="GH112" t="e">
        <f>AND(Bills!#REF!,"AAAAAD3/s70=")</f>
        <v>#REF!</v>
      </c>
      <c r="GI112" t="e">
        <f>AND(Bills!#REF!,"AAAAAD3/s74=")</f>
        <v>#REF!</v>
      </c>
      <c r="GJ112" t="e">
        <f>AND(Bills!#REF!,"AAAAAD3/s78=")</f>
        <v>#REF!</v>
      </c>
      <c r="GK112" t="e">
        <f>AND(Bills!D332,"AAAAAD3/s8A=")</f>
        <v>#VALUE!</v>
      </c>
      <c r="GL112" t="e">
        <f>AND(Bills!#REF!,"AAAAAD3/s8E=")</f>
        <v>#REF!</v>
      </c>
      <c r="GM112" t="e">
        <f>AND(Bills!E332,"AAAAAD3/s8I=")</f>
        <v>#VALUE!</v>
      </c>
      <c r="GN112" t="e">
        <f>AND(Bills!F332,"AAAAAD3/s8M=")</f>
        <v>#VALUE!</v>
      </c>
      <c r="GO112" t="e">
        <f>AND(Bills!G332,"AAAAAD3/s8Q=")</f>
        <v>#VALUE!</v>
      </c>
      <c r="GP112" t="e">
        <f>AND(Bills!H332,"AAAAAD3/s8U=")</f>
        <v>#VALUE!</v>
      </c>
      <c r="GQ112" t="e">
        <f>AND(Bills!I332,"AAAAAD3/s8Y=")</f>
        <v>#VALUE!</v>
      </c>
      <c r="GR112" t="e">
        <f>AND(Bills!J332,"AAAAAD3/s8c=")</f>
        <v>#VALUE!</v>
      </c>
      <c r="GS112" t="e">
        <f>AND(Bills!#REF!,"AAAAAD3/s8g=")</f>
        <v>#REF!</v>
      </c>
      <c r="GT112" t="e">
        <f>AND(Bills!K332,"AAAAAD3/s8k=")</f>
        <v>#VALUE!</v>
      </c>
      <c r="GU112" t="e">
        <f>AND(Bills!L332,"AAAAAD3/s8o=")</f>
        <v>#VALUE!</v>
      </c>
      <c r="GV112" t="e">
        <f>AND(Bills!M332,"AAAAAD3/s8s=")</f>
        <v>#VALUE!</v>
      </c>
      <c r="GW112" t="e">
        <f>AND(Bills!N332,"AAAAAD3/s8w=")</f>
        <v>#VALUE!</v>
      </c>
      <c r="GX112" t="e">
        <f>AND(Bills!O332,"AAAAAD3/s80=")</f>
        <v>#VALUE!</v>
      </c>
      <c r="GY112" t="e">
        <f>AND(Bills!P332,"AAAAAD3/s84=")</f>
        <v>#VALUE!</v>
      </c>
      <c r="GZ112" t="e">
        <f>AND(Bills!Q332,"AAAAAD3/s88=")</f>
        <v>#VALUE!</v>
      </c>
      <c r="HA112" t="e">
        <f>AND(Bills!R332,"AAAAAD3/s9A=")</f>
        <v>#VALUE!</v>
      </c>
      <c r="HB112" t="e">
        <f>AND(Bills!#REF!,"AAAAAD3/s9E=")</f>
        <v>#REF!</v>
      </c>
      <c r="HC112" t="e">
        <f>AND(Bills!S332,"AAAAAD3/s9I=")</f>
        <v>#VALUE!</v>
      </c>
      <c r="HD112" t="e">
        <f>AND(Bills!T332,"AAAAAD3/s9M=")</f>
        <v>#VALUE!</v>
      </c>
      <c r="HE112" t="e">
        <f>AND(Bills!U332,"AAAAAD3/s9Q=")</f>
        <v>#VALUE!</v>
      </c>
      <c r="HF112" t="e">
        <f>AND(Bills!#REF!,"AAAAAD3/s9U=")</f>
        <v>#REF!</v>
      </c>
      <c r="HG112" t="e">
        <f>AND(Bills!#REF!,"AAAAAD3/s9Y=")</f>
        <v>#REF!</v>
      </c>
      <c r="HH112" t="e">
        <f>AND(Bills!W332,"AAAAAD3/s9c=")</f>
        <v>#VALUE!</v>
      </c>
      <c r="HI112" t="e">
        <f>AND(Bills!X332,"AAAAAD3/s9g=")</f>
        <v>#VALUE!</v>
      </c>
      <c r="HJ112" t="e">
        <f>AND(Bills!#REF!,"AAAAAD3/s9k=")</f>
        <v>#REF!</v>
      </c>
      <c r="HK112" t="e">
        <f>AND(Bills!#REF!,"AAAAAD3/s9o=")</f>
        <v>#REF!</v>
      </c>
      <c r="HL112" t="e">
        <f>AND(Bills!#REF!,"AAAAAD3/s9s=")</f>
        <v>#REF!</v>
      </c>
      <c r="HM112" t="e">
        <f>AND(Bills!#REF!,"AAAAAD3/s9w=")</f>
        <v>#REF!</v>
      </c>
      <c r="HN112" t="e">
        <f>AND(Bills!#REF!,"AAAAAD3/s90=")</f>
        <v>#REF!</v>
      </c>
      <c r="HO112" t="e">
        <f>AND(Bills!#REF!,"AAAAAD3/s94=")</f>
        <v>#REF!</v>
      </c>
      <c r="HP112" t="e">
        <f>AND(Bills!#REF!,"AAAAAD3/s98=")</f>
        <v>#REF!</v>
      </c>
      <c r="HQ112" t="e">
        <f>AND(Bills!#REF!,"AAAAAD3/s+A=")</f>
        <v>#REF!</v>
      </c>
      <c r="HR112" t="e">
        <f>AND(Bills!#REF!,"AAAAAD3/s+E=")</f>
        <v>#REF!</v>
      </c>
      <c r="HS112" t="e">
        <f>AND(Bills!Y332,"AAAAAD3/s+I=")</f>
        <v>#VALUE!</v>
      </c>
      <c r="HT112" t="e">
        <f>AND(Bills!Z332,"AAAAAD3/s+M=")</f>
        <v>#VALUE!</v>
      </c>
      <c r="HU112" t="e">
        <f>AND(Bills!#REF!,"AAAAAD3/s+Q=")</f>
        <v>#REF!</v>
      </c>
      <c r="HV112" t="e">
        <f>AND(Bills!#REF!,"AAAAAD3/s+U=")</f>
        <v>#REF!</v>
      </c>
      <c r="HW112" t="e">
        <f>AND(Bills!#REF!,"AAAAAD3/s+Y=")</f>
        <v>#REF!</v>
      </c>
      <c r="HX112" t="e">
        <f>AND(Bills!AA332,"AAAAAD3/s+c=")</f>
        <v>#VALUE!</v>
      </c>
      <c r="HY112" t="e">
        <f>AND(Bills!AB332,"AAAAAD3/s+g=")</f>
        <v>#VALUE!</v>
      </c>
      <c r="HZ112" t="e">
        <f>AND(Bills!#REF!,"AAAAAD3/s+k=")</f>
        <v>#REF!</v>
      </c>
      <c r="IA112">
        <f>IF(Bills!333:333,"AAAAAD3/s+o=",0)</f>
        <v>0</v>
      </c>
      <c r="IB112" t="e">
        <f>AND(Bills!B333,"AAAAAD3/s+s=")</f>
        <v>#VALUE!</v>
      </c>
      <c r="IC112" t="e">
        <f>AND(Bills!#REF!,"AAAAAD3/s+w=")</f>
        <v>#REF!</v>
      </c>
      <c r="ID112" t="e">
        <f>AND(Bills!C333,"AAAAAD3/s+0=")</f>
        <v>#VALUE!</v>
      </c>
      <c r="IE112" t="e">
        <f>AND(Bills!#REF!,"AAAAAD3/s+4=")</f>
        <v>#REF!</v>
      </c>
      <c r="IF112" t="e">
        <f>AND(Bills!#REF!,"AAAAAD3/s+8=")</f>
        <v>#REF!</v>
      </c>
      <c r="IG112" t="e">
        <f>AND(Bills!#REF!,"AAAAAD3/s/A=")</f>
        <v>#REF!</v>
      </c>
      <c r="IH112" t="e">
        <f>AND(Bills!#REF!,"AAAAAD3/s/E=")</f>
        <v>#REF!</v>
      </c>
      <c r="II112" t="e">
        <f>AND(Bills!#REF!,"AAAAAD3/s/I=")</f>
        <v>#REF!</v>
      </c>
      <c r="IJ112" t="e">
        <f>AND(Bills!D333,"AAAAAD3/s/M=")</f>
        <v>#VALUE!</v>
      </c>
      <c r="IK112" t="e">
        <f>AND(Bills!#REF!,"AAAAAD3/s/Q=")</f>
        <v>#REF!</v>
      </c>
      <c r="IL112" t="e">
        <f>AND(Bills!E333,"AAAAAD3/s/U=")</f>
        <v>#VALUE!</v>
      </c>
      <c r="IM112" t="e">
        <f>AND(Bills!F333,"AAAAAD3/s/Y=")</f>
        <v>#VALUE!</v>
      </c>
      <c r="IN112" t="e">
        <f>AND(Bills!G333,"AAAAAD3/s/c=")</f>
        <v>#VALUE!</v>
      </c>
      <c r="IO112" t="e">
        <f>AND(Bills!H333,"AAAAAD3/s/g=")</f>
        <v>#VALUE!</v>
      </c>
      <c r="IP112" t="e">
        <f>AND(Bills!I333,"AAAAAD3/s/k=")</f>
        <v>#VALUE!</v>
      </c>
      <c r="IQ112" t="e">
        <f>AND(Bills!J333,"AAAAAD3/s/o=")</f>
        <v>#VALUE!</v>
      </c>
      <c r="IR112" t="e">
        <f>AND(Bills!#REF!,"AAAAAD3/s/s=")</f>
        <v>#REF!</v>
      </c>
      <c r="IS112" t="e">
        <f>AND(Bills!K333,"AAAAAD3/s/w=")</f>
        <v>#VALUE!</v>
      </c>
      <c r="IT112" t="e">
        <f>AND(Bills!L333,"AAAAAD3/s/0=")</f>
        <v>#VALUE!</v>
      </c>
      <c r="IU112" t="e">
        <f>AND(Bills!M333,"AAAAAD3/s/4=")</f>
        <v>#VALUE!</v>
      </c>
      <c r="IV112" t="e">
        <f>AND(Bills!N333,"AAAAAD3/s/8=")</f>
        <v>#VALUE!</v>
      </c>
    </row>
    <row r="113" spans="1:256">
      <c r="A113" t="e">
        <f>AND(Bills!O333,"AAAAAF9/7wA=")</f>
        <v>#VALUE!</v>
      </c>
      <c r="B113" t="e">
        <f>AND(Bills!P333,"AAAAAF9/7wE=")</f>
        <v>#VALUE!</v>
      </c>
      <c r="C113" t="e">
        <f>AND(Bills!Q333,"AAAAAF9/7wI=")</f>
        <v>#VALUE!</v>
      </c>
      <c r="D113" t="e">
        <f>AND(Bills!R333,"AAAAAF9/7wM=")</f>
        <v>#VALUE!</v>
      </c>
      <c r="E113" t="e">
        <f>AND(Bills!#REF!,"AAAAAF9/7wQ=")</f>
        <v>#REF!</v>
      </c>
      <c r="F113" t="e">
        <f>AND(Bills!S333,"AAAAAF9/7wU=")</f>
        <v>#VALUE!</v>
      </c>
      <c r="G113" t="e">
        <f>AND(Bills!T333,"AAAAAF9/7wY=")</f>
        <v>#VALUE!</v>
      </c>
      <c r="H113" t="e">
        <f>AND(Bills!U333,"AAAAAF9/7wc=")</f>
        <v>#VALUE!</v>
      </c>
      <c r="I113" t="e">
        <f>AND(Bills!#REF!,"AAAAAF9/7wg=")</f>
        <v>#REF!</v>
      </c>
      <c r="J113" t="e">
        <f>AND(Bills!#REF!,"AAAAAF9/7wk=")</f>
        <v>#REF!</v>
      </c>
      <c r="K113" t="e">
        <f>AND(Bills!W333,"AAAAAF9/7wo=")</f>
        <v>#VALUE!</v>
      </c>
      <c r="L113" t="e">
        <f>AND(Bills!X333,"AAAAAF9/7ws=")</f>
        <v>#VALUE!</v>
      </c>
      <c r="M113" t="e">
        <f>AND(Bills!#REF!,"AAAAAF9/7ww=")</f>
        <v>#REF!</v>
      </c>
      <c r="N113" t="e">
        <f>AND(Bills!#REF!,"AAAAAF9/7w0=")</f>
        <v>#REF!</v>
      </c>
      <c r="O113" t="e">
        <f>AND(Bills!#REF!,"AAAAAF9/7w4=")</f>
        <v>#REF!</v>
      </c>
      <c r="P113" t="e">
        <f>AND(Bills!#REF!,"AAAAAF9/7w8=")</f>
        <v>#REF!</v>
      </c>
      <c r="Q113" t="e">
        <f>AND(Bills!#REF!,"AAAAAF9/7xA=")</f>
        <v>#REF!</v>
      </c>
      <c r="R113" t="e">
        <f>AND(Bills!#REF!,"AAAAAF9/7xE=")</f>
        <v>#REF!</v>
      </c>
      <c r="S113" t="e">
        <f>AND(Bills!#REF!,"AAAAAF9/7xI=")</f>
        <v>#REF!</v>
      </c>
      <c r="T113" t="e">
        <f>AND(Bills!#REF!,"AAAAAF9/7xM=")</f>
        <v>#REF!</v>
      </c>
      <c r="U113" t="e">
        <f>AND(Bills!#REF!,"AAAAAF9/7xQ=")</f>
        <v>#REF!</v>
      </c>
      <c r="V113" t="e">
        <f>AND(Bills!Y333,"AAAAAF9/7xU=")</f>
        <v>#VALUE!</v>
      </c>
      <c r="W113" t="e">
        <f>AND(Bills!Z333,"AAAAAF9/7xY=")</f>
        <v>#VALUE!</v>
      </c>
      <c r="X113" t="e">
        <f>AND(Bills!#REF!,"AAAAAF9/7xc=")</f>
        <v>#REF!</v>
      </c>
      <c r="Y113" t="e">
        <f>AND(Bills!#REF!,"AAAAAF9/7xg=")</f>
        <v>#REF!</v>
      </c>
      <c r="Z113" t="e">
        <f>AND(Bills!#REF!,"AAAAAF9/7xk=")</f>
        <v>#REF!</v>
      </c>
      <c r="AA113" t="e">
        <f>AND(Bills!AA333,"AAAAAF9/7xo=")</f>
        <v>#VALUE!</v>
      </c>
      <c r="AB113" t="e">
        <f>AND(Bills!AB333,"AAAAAF9/7xs=")</f>
        <v>#VALUE!</v>
      </c>
      <c r="AC113" t="e">
        <f>AND(Bills!#REF!,"AAAAAF9/7xw=")</f>
        <v>#REF!</v>
      </c>
      <c r="AD113">
        <f>IF(Bills!334:334,"AAAAAF9/7x0=",0)</f>
        <v>0</v>
      </c>
      <c r="AE113" t="e">
        <f>AND(Bills!B334,"AAAAAF9/7x4=")</f>
        <v>#VALUE!</v>
      </c>
      <c r="AF113" t="e">
        <f>AND(Bills!#REF!,"AAAAAF9/7x8=")</f>
        <v>#REF!</v>
      </c>
      <c r="AG113" t="e">
        <f>AND(Bills!C334,"AAAAAF9/7yA=")</f>
        <v>#VALUE!</v>
      </c>
      <c r="AH113" t="e">
        <f>AND(Bills!#REF!,"AAAAAF9/7yE=")</f>
        <v>#REF!</v>
      </c>
      <c r="AI113" t="e">
        <f>AND(Bills!#REF!,"AAAAAF9/7yI=")</f>
        <v>#REF!</v>
      </c>
      <c r="AJ113" t="e">
        <f>AND(Bills!#REF!,"AAAAAF9/7yM=")</f>
        <v>#REF!</v>
      </c>
      <c r="AK113" t="e">
        <f>AND(Bills!#REF!,"AAAAAF9/7yQ=")</f>
        <v>#REF!</v>
      </c>
      <c r="AL113" t="e">
        <f>AND(Bills!#REF!,"AAAAAF9/7yU=")</f>
        <v>#REF!</v>
      </c>
      <c r="AM113" t="e">
        <f>AND(Bills!D334,"AAAAAF9/7yY=")</f>
        <v>#VALUE!</v>
      </c>
      <c r="AN113" t="e">
        <f>AND(Bills!#REF!,"AAAAAF9/7yc=")</f>
        <v>#REF!</v>
      </c>
      <c r="AO113" t="e">
        <f>AND(Bills!E334,"AAAAAF9/7yg=")</f>
        <v>#VALUE!</v>
      </c>
      <c r="AP113" t="e">
        <f>AND(Bills!F334,"AAAAAF9/7yk=")</f>
        <v>#VALUE!</v>
      </c>
      <c r="AQ113" t="e">
        <f>AND(Bills!G334,"AAAAAF9/7yo=")</f>
        <v>#VALUE!</v>
      </c>
      <c r="AR113" t="e">
        <f>AND(Bills!H334,"AAAAAF9/7ys=")</f>
        <v>#VALUE!</v>
      </c>
      <c r="AS113" t="e">
        <f>AND(Bills!I334,"AAAAAF9/7yw=")</f>
        <v>#VALUE!</v>
      </c>
      <c r="AT113" t="e">
        <f>AND(Bills!J334,"AAAAAF9/7y0=")</f>
        <v>#VALUE!</v>
      </c>
      <c r="AU113" t="e">
        <f>AND(Bills!#REF!,"AAAAAF9/7y4=")</f>
        <v>#REF!</v>
      </c>
      <c r="AV113" t="e">
        <f>AND(Bills!K334,"AAAAAF9/7y8=")</f>
        <v>#VALUE!</v>
      </c>
      <c r="AW113" t="e">
        <f>AND(Bills!L334,"AAAAAF9/7zA=")</f>
        <v>#VALUE!</v>
      </c>
      <c r="AX113" t="e">
        <f>AND(Bills!M334,"AAAAAF9/7zE=")</f>
        <v>#VALUE!</v>
      </c>
      <c r="AY113" t="e">
        <f>AND(Bills!N334,"AAAAAF9/7zI=")</f>
        <v>#VALUE!</v>
      </c>
      <c r="AZ113" t="e">
        <f>AND(Bills!O334,"AAAAAF9/7zM=")</f>
        <v>#VALUE!</v>
      </c>
      <c r="BA113" t="e">
        <f>AND(Bills!P334,"AAAAAF9/7zQ=")</f>
        <v>#VALUE!</v>
      </c>
      <c r="BB113" t="e">
        <f>AND(Bills!Q334,"AAAAAF9/7zU=")</f>
        <v>#VALUE!</v>
      </c>
      <c r="BC113" t="e">
        <f>AND(Bills!R334,"AAAAAF9/7zY=")</f>
        <v>#VALUE!</v>
      </c>
      <c r="BD113" t="e">
        <f>AND(Bills!#REF!,"AAAAAF9/7zc=")</f>
        <v>#REF!</v>
      </c>
      <c r="BE113" t="e">
        <f>AND(Bills!S334,"AAAAAF9/7zg=")</f>
        <v>#VALUE!</v>
      </c>
      <c r="BF113" t="e">
        <f>AND(Bills!T334,"AAAAAF9/7zk=")</f>
        <v>#VALUE!</v>
      </c>
      <c r="BG113" t="e">
        <f>AND(Bills!U334,"AAAAAF9/7zo=")</f>
        <v>#VALUE!</v>
      </c>
      <c r="BH113" t="e">
        <f>AND(Bills!#REF!,"AAAAAF9/7zs=")</f>
        <v>#REF!</v>
      </c>
      <c r="BI113" t="e">
        <f>AND(Bills!#REF!,"AAAAAF9/7zw=")</f>
        <v>#REF!</v>
      </c>
      <c r="BJ113" t="e">
        <f>AND(Bills!W334,"AAAAAF9/7z0=")</f>
        <v>#VALUE!</v>
      </c>
      <c r="BK113" t="e">
        <f>AND(Bills!X334,"AAAAAF9/7z4=")</f>
        <v>#VALUE!</v>
      </c>
      <c r="BL113" t="e">
        <f>AND(Bills!#REF!,"AAAAAF9/7z8=")</f>
        <v>#REF!</v>
      </c>
      <c r="BM113" t="e">
        <f>AND(Bills!#REF!,"AAAAAF9/70A=")</f>
        <v>#REF!</v>
      </c>
      <c r="BN113" t="e">
        <f>AND(Bills!#REF!,"AAAAAF9/70E=")</f>
        <v>#REF!</v>
      </c>
      <c r="BO113" t="e">
        <f>AND(Bills!#REF!,"AAAAAF9/70I=")</f>
        <v>#REF!</v>
      </c>
      <c r="BP113" t="e">
        <f>AND(Bills!#REF!,"AAAAAF9/70M=")</f>
        <v>#REF!</v>
      </c>
      <c r="BQ113" t="e">
        <f>AND(Bills!#REF!,"AAAAAF9/70Q=")</f>
        <v>#REF!</v>
      </c>
      <c r="BR113" t="e">
        <f>AND(Bills!#REF!,"AAAAAF9/70U=")</f>
        <v>#REF!</v>
      </c>
      <c r="BS113" t="e">
        <f>AND(Bills!#REF!,"AAAAAF9/70Y=")</f>
        <v>#REF!</v>
      </c>
      <c r="BT113" t="e">
        <f>AND(Bills!#REF!,"AAAAAF9/70c=")</f>
        <v>#REF!</v>
      </c>
      <c r="BU113" t="e">
        <f>AND(Bills!Y334,"AAAAAF9/70g=")</f>
        <v>#VALUE!</v>
      </c>
      <c r="BV113" t="e">
        <f>AND(Bills!Z334,"AAAAAF9/70k=")</f>
        <v>#VALUE!</v>
      </c>
      <c r="BW113" t="e">
        <f>AND(Bills!#REF!,"AAAAAF9/70o=")</f>
        <v>#REF!</v>
      </c>
      <c r="BX113" t="e">
        <f>AND(Bills!#REF!,"AAAAAF9/70s=")</f>
        <v>#REF!</v>
      </c>
      <c r="BY113" t="e">
        <f>AND(Bills!#REF!,"AAAAAF9/70w=")</f>
        <v>#REF!</v>
      </c>
      <c r="BZ113" t="e">
        <f>AND(Bills!AA334,"AAAAAF9/700=")</f>
        <v>#VALUE!</v>
      </c>
      <c r="CA113" t="e">
        <f>AND(Bills!AB334,"AAAAAF9/704=")</f>
        <v>#VALUE!</v>
      </c>
      <c r="CB113" t="e">
        <f>AND(Bills!#REF!,"AAAAAF9/708=")</f>
        <v>#REF!</v>
      </c>
      <c r="CC113">
        <f>IF(Bills!335:335,"AAAAAF9/71A=",0)</f>
        <v>0</v>
      </c>
      <c r="CD113" t="e">
        <f>AND(Bills!B335,"AAAAAF9/71E=")</f>
        <v>#VALUE!</v>
      </c>
      <c r="CE113" t="e">
        <f>AND(Bills!#REF!,"AAAAAF9/71I=")</f>
        <v>#REF!</v>
      </c>
      <c r="CF113" t="e">
        <f>AND(Bills!C335,"AAAAAF9/71M=")</f>
        <v>#VALUE!</v>
      </c>
      <c r="CG113" t="e">
        <f>AND(Bills!#REF!,"AAAAAF9/71Q=")</f>
        <v>#REF!</v>
      </c>
      <c r="CH113" t="e">
        <f>AND(Bills!#REF!,"AAAAAF9/71U=")</f>
        <v>#REF!</v>
      </c>
      <c r="CI113" t="e">
        <f>AND(Bills!#REF!,"AAAAAF9/71Y=")</f>
        <v>#REF!</v>
      </c>
      <c r="CJ113" t="e">
        <f>AND(Bills!#REF!,"AAAAAF9/71c=")</f>
        <v>#REF!</v>
      </c>
      <c r="CK113" t="e">
        <f>AND(Bills!#REF!,"AAAAAF9/71g=")</f>
        <v>#REF!</v>
      </c>
      <c r="CL113" t="e">
        <f>AND(Bills!D335,"AAAAAF9/71k=")</f>
        <v>#VALUE!</v>
      </c>
      <c r="CM113" t="e">
        <f>AND(Bills!#REF!,"AAAAAF9/71o=")</f>
        <v>#REF!</v>
      </c>
      <c r="CN113" t="e">
        <f>AND(Bills!E335,"AAAAAF9/71s=")</f>
        <v>#VALUE!</v>
      </c>
      <c r="CO113" t="e">
        <f>AND(Bills!F335,"AAAAAF9/71w=")</f>
        <v>#VALUE!</v>
      </c>
      <c r="CP113" t="e">
        <f>AND(Bills!G335,"AAAAAF9/710=")</f>
        <v>#VALUE!</v>
      </c>
      <c r="CQ113" t="e">
        <f>AND(Bills!H335,"AAAAAF9/714=")</f>
        <v>#VALUE!</v>
      </c>
      <c r="CR113" t="e">
        <f>AND(Bills!I335,"AAAAAF9/718=")</f>
        <v>#VALUE!</v>
      </c>
      <c r="CS113" t="e">
        <f>AND(Bills!J335,"AAAAAF9/72A=")</f>
        <v>#VALUE!</v>
      </c>
      <c r="CT113" t="e">
        <f>AND(Bills!#REF!,"AAAAAF9/72E=")</f>
        <v>#REF!</v>
      </c>
      <c r="CU113" t="e">
        <f>AND(Bills!K335,"AAAAAF9/72I=")</f>
        <v>#VALUE!</v>
      </c>
      <c r="CV113" t="e">
        <f>AND(Bills!L335,"AAAAAF9/72M=")</f>
        <v>#VALUE!</v>
      </c>
      <c r="CW113" t="e">
        <f>AND(Bills!M335,"AAAAAF9/72Q=")</f>
        <v>#VALUE!</v>
      </c>
      <c r="CX113" t="e">
        <f>AND(Bills!N335,"AAAAAF9/72U=")</f>
        <v>#VALUE!</v>
      </c>
      <c r="CY113" t="e">
        <f>AND(Bills!O335,"AAAAAF9/72Y=")</f>
        <v>#VALUE!</v>
      </c>
      <c r="CZ113" t="e">
        <f>AND(Bills!P335,"AAAAAF9/72c=")</f>
        <v>#VALUE!</v>
      </c>
      <c r="DA113" t="e">
        <f>AND(Bills!Q335,"AAAAAF9/72g=")</f>
        <v>#VALUE!</v>
      </c>
      <c r="DB113" t="e">
        <f>AND(Bills!R335,"AAAAAF9/72k=")</f>
        <v>#VALUE!</v>
      </c>
      <c r="DC113" t="e">
        <f>AND(Bills!#REF!,"AAAAAF9/72o=")</f>
        <v>#REF!</v>
      </c>
      <c r="DD113" t="e">
        <f>AND(Bills!S335,"AAAAAF9/72s=")</f>
        <v>#VALUE!</v>
      </c>
      <c r="DE113" t="e">
        <f>AND(Bills!T335,"AAAAAF9/72w=")</f>
        <v>#VALUE!</v>
      </c>
      <c r="DF113" t="e">
        <f>AND(Bills!U335,"AAAAAF9/720=")</f>
        <v>#VALUE!</v>
      </c>
      <c r="DG113" t="e">
        <f>AND(Bills!#REF!,"AAAAAF9/724=")</f>
        <v>#REF!</v>
      </c>
      <c r="DH113" t="e">
        <f>AND(Bills!#REF!,"AAAAAF9/728=")</f>
        <v>#REF!</v>
      </c>
      <c r="DI113" t="e">
        <f>AND(Bills!W335,"AAAAAF9/73A=")</f>
        <v>#VALUE!</v>
      </c>
      <c r="DJ113" t="e">
        <f>AND(Bills!X335,"AAAAAF9/73E=")</f>
        <v>#VALUE!</v>
      </c>
      <c r="DK113" t="e">
        <f>AND(Bills!#REF!,"AAAAAF9/73I=")</f>
        <v>#REF!</v>
      </c>
      <c r="DL113" t="e">
        <f>AND(Bills!#REF!,"AAAAAF9/73M=")</f>
        <v>#REF!</v>
      </c>
      <c r="DM113" t="e">
        <f>AND(Bills!#REF!,"AAAAAF9/73Q=")</f>
        <v>#REF!</v>
      </c>
      <c r="DN113" t="e">
        <f>AND(Bills!#REF!,"AAAAAF9/73U=")</f>
        <v>#REF!</v>
      </c>
      <c r="DO113" t="e">
        <f>AND(Bills!#REF!,"AAAAAF9/73Y=")</f>
        <v>#REF!</v>
      </c>
      <c r="DP113" t="e">
        <f>AND(Bills!#REF!,"AAAAAF9/73c=")</f>
        <v>#REF!</v>
      </c>
      <c r="DQ113" t="e">
        <f>AND(Bills!#REF!,"AAAAAF9/73g=")</f>
        <v>#REF!</v>
      </c>
      <c r="DR113" t="e">
        <f>AND(Bills!#REF!,"AAAAAF9/73k=")</f>
        <v>#REF!</v>
      </c>
      <c r="DS113" t="e">
        <f>AND(Bills!#REF!,"AAAAAF9/73o=")</f>
        <v>#REF!</v>
      </c>
      <c r="DT113" t="e">
        <f>AND(Bills!Y335,"AAAAAF9/73s=")</f>
        <v>#VALUE!</v>
      </c>
      <c r="DU113" t="e">
        <f>AND(Bills!Z335,"AAAAAF9/73w=")</f>
        <v>#VALUE!</v>
      </c>
      <c r="DV113" t="e">
        <f>AND(Bills!#REF!,"AAAAAF9/730=")</f>
        <v>#REF!</v>
      </c>
      <c r="DW113" t="e">
        <f>AND(Bills!#REF!,"AAAAAF9/734=")</f>
        <v>#REF!</v>
      </c>
      <c r="DX113" t="e">
        <f>AND(Bills!#REF!,"AAAAAF9/738=")</f>
        <v>#REF!</v>
      </c>
      <c r="DY113" t="e">
        <f>AND(Bills!AA335,"AAAAAF9/74A=")</f>
        <v>#VALUE!</v>
      </c>
      <c r="DZ113" t="e">
        <f>AND(Bills!AB335,"AAAAAF9/74E=")</f>
        <v>#VALUE!</v>
      </c>
      <c r="EA113" t="e">
        <f>AND(Bills!#REF!,"AAAAAF9/74I=")</f>
        <v>#REF!</v>
      </c>
      <c r="EB113">
        <f>IF(Bills!336:336,"AAAAAF9/74M=",0)</f>
        <v>0</v>
      </c>
      <c r="EC113" t="e">
        <f>AND(Bills!B336,"AAAAAF9/74Q=")</f>
        <v>#VALUE!</v>
      </c>
      <c r="ED113" t="e">
        <f>AND(Bills!#REF!,"AAAAAF9/74U=")</f>
        <v>#REF!</v>
      </c>
      <c r="EE113" t="e">
        <f>AND(Bills!C336,"AAAAAF9/74Y=")</f>
        <v>#VALUE!</v>
      </c>
      <c r="EF113" t="e">
        <f>AND(Bills!#REF!,"AAAAAF9/74c=")</f>
        <v>#REF!</v>
      </c>
      <c r="EG113" t="e">
        <f>AND(Bills!#REF!,"AAAAAF9/74g=")</f>
        <v>#REF!</v>
      </c>
      <c r="EH113" t="e">
        <f>AND(Bills!#REF!,"AAAAAF9/74k=")</f>
        <v>#REF!</v>
      </c>
      <c r="EI113" t="e">
        <f>AND(Bills!#REF!,"AAAAAF9/74o=")</f>
        <v>#REF!</v>
      </c>
      <c r="EJ113" t="e">
        <f>AND(Bills!#REF!,"AAAAAF9/74s=")</f>
        <v>#REF!</v>
      </c>
      <c r="EK113" t="e">
        <f>AND(Bills!D336,"AAAAAF9/74w=")</f>
        <v>#VALUE!</v>
      </c>
      <c r="EL113" t="e">
        <f>AND(Bills!#REF!,"AAAAAF9/740=")</f>
        <v>#REF!</v>
      </c>
      <c r="EM113" t="e">
        <f>AND(Bills!E336,"AAAAAF9/744=")</f>
        <v>#VALUE!</v>
      </c>
      <c r="EN113" t="e">
        <f>AND(Bills!F336,"AAAAAF9/748=")</f>
        <v>#VALUE!</v>
      </c>
      <c r="EO113" t="e">
        <f>AND(Bills!G336,"AAAAAF9/75A=")</f>
        <v>#VALUE!</v>
      </c>
      <c r="EP113" t="e">
        <f>AND(Bills!H336,"AAAAAF9/75E=")</f>
        <v>#VALUE!</v>
      </c>
      <c r="EQ113" t="e">
        <f>AND(Bills!I336,"AAAAAF9/75I=")</f>
        <v>#VALUE!</v>
      </c>
      <c r="ER113" t="e">
        <f>AND(Bills!J336,"AAAAAF9/75M=")</f>
        <v>#VALUE!</v>
      </c>
      <c r="ES113" t="e">
        <f>AND(Bills!#REF!,"AAAAAF9/75Q=")</f>
        <v>#REF!</v>
      </c>
      <c r="ET113" t="e">
        <f>AND(Bills!K336,"AAAAAF9/75U=")</f>
        <v>#VALUE!</v>
      </c>
      <c r="EU113" t="e">
        <f>AND(Bills!L336,"AAAAAF9/75Y=")</f>
        <v>#VALUE!</v>
      </c>
      <c r="EV113" t="e">
        <f>AND(Bills!M336,"AAAAAF9/75c=")</f>
        <v>#VALUE!</v>
      </c>
      <c r="EW113" t="e">
        <f>AND(Bills!N336,"AAAAAF9/75g=")</f>
        <v>#VALUE!</v>
      </c>
      <c r="EX113" t="e">
        <f>AND(Bills!O336,"AAAAAF9/75k=")</f>
        <v>#VALUE!</v>
      </c>
      <c r="EY113" t="e">
        <f>AND(Bills!P336,"AAAAAF9/75o=")</f>
        <v>#VALUE!</v>
      </c>
      <c r="EZ113" t="e">
        <f>AND(Bills!Q336,"AAAAAF9/75s=")</f>
        <v>#VALUE!</v>
      </c>
      <c r="FA113" t="e">
        <f>AND(Bills!R336,"AAAAAF9/75w=")</f>
        <v>#VALUE!</v>
      </c>
      <c r="FB113" t="e">
        <f>AND(Bills!#REF!,"AAAAAF9/750=")</f>
        <v>#REF!</v>
      </c>
      <c r="FC113" t="e">
        <f>AND(Bills!S336,"AAAAAF9/754=")</f>
        <v>#VALUE!</v>
      </c>
      <c r="FD113" t="e">
        <f>AND(Bills!T336,"AAAAAF9/758=")</f>
        <v>#VALUE!</v>
      </c>
      <c r="FE113" t="e">
        <f>AND(Bills!U336,"AAAAAF9/76A=")</f>
        <v>#VALUE!</v>
      </c>
      <c r="FF113" t="e">
        <f>AND(Bills!#REF!,"AAAAAF9/76E=")</f>
        <v>#REF!</v>
      </c>
      <c r="FG113" t="e">
        <f>AND(Bills!#REF!,"AAAAAF9/76I=")</f>
        <v>#REF!</v>
      </c>
      <c r="FH113" t="e">
        <f>AND(Bills!W336,"AAAAAF9/76M=")</f>
        <v>#VALUE!</v>
      </c>
      <c r="FI113" t="e">
        <f>AND(Bills!X336,"AAAAAF9/76Q=")</f>
        <v>#VALUE!</v>
      </c>
      <c r="FJ113" t="e">
        <f>AND(Bills!#REF!,"AAAAAF9/76U=")</f>
        <v>#REF!</v>
      </c>
      <c r="FK113" t="e">
        <f>AND(Bills!#REF!,"AAAAAF9/76Y=")</f>
        <v>#REF!</v>
      </c>
      <c r="FL113" t="e">
        <f>AND(Bills!#REF!,"AAAAAF9/76c=")</f>
        <v>#REF!</v>
      </c>
      <c r="FM113" t="e">
        <f>AND(Bills!#REF!,"AAAAAF9/76g=")</f>
        <v>#REF!</v>
      </c>
      <c r="FN113" t="e">
        <f>AND(Bills!#REF!,"AAAAAF9/76k=")</f>
        <v>#REF!</v>
      </c>
      <c r="FO113" t="e">
        <f>AND(Bills!#REF!,"AAAAAF9/76o=")</f>
        <v>#REF!</v>
      </c>
      <c r="FP113" t="e">
        <f>AND(Bills!#REF!,"AAAAAF9/76s=")</f>
        <v>#REF!</v>
      </c>
      <c r="FQ113" t="e">
        <f>AND(Bills!#REF!,"AAAAAF9/76w=")</f>
        <v>#REF!</v>
      </c>
      <c r="FR113" t="e">
        <f>AND(Bills!#REF!,"AAAAAF9/760=")</f>
        <v>#REF!</v>
      </c>
      <c r="FS113" t="e">
        <f>AND(Bills!Y336,"AAAAAF9/764=")</f>
        <v>#VALUE!</v>
      </c>
      <c r="FT113" t="e">
        <f>AND(Bills!Z336,"AAAAAF9/768=")</f>
        <v>#VALUE!</v>
      </c>
      <c r="FU113" t="e">
        <f>AND(Bills!#REF!,"AAAAAF9/77A=")</f>
        <v>#REF!</v>
      </c>
      <c r="FV113" t="e">
        <f>AND(Bills!#REF!,"AAAAAF9/77E=")</f>
        <v>#REF!</v>
      </c>
      <c r="FW113" t="e">
        <f>AND(Bills!#REF!,"AAAAAF9/77I=")</f>
        <v>#REF!</v>
      </c>
      <c r="FX113" t="e">
        <f>AND(Bills!AA336,"AAAAAF9/77M=")</f>
        <v>#VALUE!</v>
      </c>
      <c r="FY113" t="e">
        <f>AND(Bills!AB336,"AAAAAF9/77Q=")</f>
        <v>#VALUE!</v>
      </c>
      <c r="FZ113" t="e">
        <f>AND(Bills!#REF!,"AAAAAF9/77U=")</f>
        <v>#REF!</v>
      </c>
      <c r="GA113">
        <f>IF(Bills!337:337,"AAAAAF9/77Y=",0)</f>
        <v>0</v>
      </c>
      <c r="GB113" t="e">
        <f>AND(Bills!B337,"AAAAAF9/77c=")</f>
        <v>#VALUE!</v>
      </c>
      <c r="GC113" t="e">
        <f>AND(Bills!#REF!,"AAAAAF9/77g=")</f>
        <v>#REF!</v>
      </c>
      <c r="GD113" t="e">
        <f>AND(Bills!C337,"AAAAAF9/77k=")</f>
        <v>#VALUE!</v>
      </c>
      <c r="GE113" t="e">
        <f>AND(Bills!#REF!,"AAAAAF9/77o=")</f>
        <v>#REF!</v>
      </c>
      <c r="GF113" t="e">
        <f>AND(Bills!#REF!,"AAAAAF9/77s=")</f>
        <v>#REF!</v>
      </c>
      <c r="GG113" t="e">
        <f>AND(Bills!#REF!,"AAAAAF9/77w=")</f>
        <v>#REF!</v>
      </c>
      <c r="GH113" t="e">
        <f>AND(Bills!#REF!,"AAAAAF9/770=")</f>
        <v>#REF!</v>
      </c>
      <c r="GI113" t="e">
        <f>AND(Bills!#REF!,"AAAAAF9/774=")</f>
        <v>#REF!</v>
      </c>
      <c r="GJ113" t="e">
        <f>AND(Bills!D337,"AAAAAF9/778=")</f>
        <v>#VALUE!</v>
      </c>
      <c r="GK113" t="e">
        <f>AND(Bills!#REF!,"AAAAAF9/78A=")</f>
        <v>#REF!</v>
      </c>
      <c r="GL113" t="e">
        <f>AND(Bills!E337,"AAAAAF9/78E=")</f>
        <v>#VALUE!</v>
      </c>
      <c r="GM113" t="e">
        <f>AND(Bills!F337,"AAAAAF9/78I=")</f>
        <v>#VALUE!</v>
      </c>
      <c r="GN113" t="e">
        <f>AND(Bills!G337,"AAAAAF9/78M=")</f>
        <v>#VALUE!</v>
      </c>
      <c r="GO113" t="e">
        <f>AND(Bills!H337,"AAAAAF9/78Q=")</f>
        <v>#VALUE!</v>
      </c>
      <c r="GP113" t="e">
        <f>AND(Bills!I337,"AAAAAF9/78U=")</f>
        <v>#VALUE!</v>
      </c>
      <c r="GQ113" t="e">
        <f>AND(Bills!J337,"AAAAAF9/78Y=")</f>
        <v>#VALUE!</v>
      </c>
      <c r="GR113" t="e">
        <f>AND(Bills!#REF!,"AAAAAF9/78c=")</f>
        <v>#REF!</v>
      </c>
      <c r="GS113" t="e">
        <f>AND(Bills!K337,"AAAAAF9/78g=")</f>
        <v>#VALUE!</v>
      </c>
      <c r="GT113" t="e">
        <f>AND(Bills!L337,"AAAAAF9/78k=")</f>
        <v>#VALUE!</v>
      </c>
      <c r="GU113" t="e">
        <f>AND(Bills!M337,"AAAAAF9/78o=")</f>
        <v>#VALUE!</v>
      </c>
      <c r="GV113" t="e">
        <f>AND(Bills!N337,"AAAAAF9/78s=")</f>
        <v>#VALUE!</v>
      </c>
      <c r="GW113" t="e">
        <f>AND(Bills!O337,"AAAAAF9/78w=")</f>
        <v>#VALUE!</v>
      </c>
      <c r="GX113" t="e">
        <f>AND(Bills!P337,"AAAAAF9/780=")</f>
        <v>#VALUE!</v>
      </c>
      <c r="GY113" t="e">
        <f>AND(Bills!Q337,"AAAAAF9/784=")</f>
        <v>#VALUE!</v>
      </c>
      <c r="GZ113" t="e">
        <f>AND(Bills!R337,"AAAAAF9/788=")</f>
        <v>#VALUE!</v>
      </c>
      <c r="HA113" t="e">
        <f>AND(Bills!#REF!,"AAAAAF9/79A=")</f>
        <v>#REF!</v>
      </c>
      <c r="HB113" t="e">
        <f>AND(Bills!S337,"AAAAAF9/79E=")</f>
        <v>#VALUE!</v>
      </c>
      <c r="HC113" t="e">
        <f>AND(Bills!T337,"AAAAAF9/79I=")</f>
        <v>#VALUE!</v>
      </c>
      <c r="HD113" t="e">
        <f>AND(Bills!U337,"AAAAAF9/79M=")</f>
        <v>#VALUE!</v>
      </c>
      <c r="HE113" t="e">
        <f>AND(Bills!#REF!,"AAAAAF9/79Q=")</f>
        <v>#REF!</v>
      </c>
      <c r="HF113" t="e">
        <f>AND(Bills!#REF!,"AAAAAF9/79U=")</f>
        <v>#REF!</v>
      </c>
      <c r="HG113" t="e">
        <f>AND(Bills!W337,"AAAAAF9/79Y=")</f>
        <v>#VALUE!</v>
      </c>
      <c r="HH113" t="e">
        <f>AND(Bills!X337,"AAAAAF9/79c=")</f>
        <v>#VALUE!</v>
      </c>
      <c r="HI113" t="e">
        <f>AND(Bills!#REF!,"AAAAAF9/79g=")</f>
        <v>#REF!</v>
      </c>
      <c r="HJ113" t="e">
        <f>AND(Bills!#REF!,"AAAAAF9/79k=")</f>
        <v>#REF!</v>
      </c>
      <c r="HK113" t="e">
        <f>AND(Bills!#REF!,"AAAAAF9/79o=")</f>
        <v>#REF!</v>
      </c>
      <c r="HL113" t="e">
        <f>AND(Bills!#REF!,"AAAAAF9/79s=")</f>
        <v>#REF!</v>
      </c>
      <c r="HM113" t="e">
        <f>AND(Bills!#REF!,"AAAAAF9/79w=")</f>
        <v>#REF!</v>
      </c>
      <c r="HN113" t="e">
        <f>AND(Bills!#REF!,"AAAAAF9/790=")</f>
        <v>#REF!</v>
      </c>
      <c r="HO113" t="e">
        <f>AND(Bills!#REF!,"AAAAAF9/794=")</f>
        <v>#REF!</v>
      </c>
      <c r="HP113" t="e">
        <f>AND(Bills!#REF!,"AAAAAF9/798=")</f>
        <v>#REF!</v>
      </c>
      <c r="HQ113" t="e">
        <f>AND(Bills!#REF!,"AAAAAF9/7+A=")</f>
        <v>#REF!</v>
      </c>
      <c r="HR113" t="e">
        <f>AND(Bills!Y337,"AAAAAF9/7+E=")</f>
        <v>#VALUE!</v>
      </c>
      <c r="HS113" t="e">
        <f>AND(Bills!Z337,"AAAAAF9/7+I=")</f>
        <v>#VALUE!</v>
      </c>
      <c r="HT113" t="e">
        <f>AND(Bills!#REF!,"AAAAAF9/7+M=")</f>
        <v>#REF!</v>
      </c>
      <c r="HU113" t="e">
        <f>AND(Bills!#REF!,"AAAAAF9/7+Q=")</f>
        <v>#REF!</v>
      </c>
      <c r="HV113" t="e">
        <f>AND(Bills!#REF!,"AAAAAF9/7+U=")</f>
        <v>#REF!</v>
      </c>
      <c r="HW113" t="e">
        <f>AND(Bills!AA337,"AAAAAF9/7+Y=")</f>
        <v>#VALUE!</v>
      </c>
      <c r="HX113" t="e">
        <f>AND(Bills!AB337,"AAAAAF9/7+c=")</f>
        <v>#VALUE!</v>
      </c>
      <c r="HY113" t="e">
        <f>AND(Bills!#REF!,"AAAAAF9/7+g=")</f>
        <v>#REF!</v>
      </c>
      <c r="HZ113">
        <f>IF(Bills!338:338,"AAAAAF9/7+k=",0)</f>
        <v>0</v>
      </c>
      <c r="IA113" t="e">
        <f>AND(Bills!B338,"AAAAAF9/7+o=")</f>
        <v>#VALUE!</v>
      </c>
      <c r="IB113" t="e">
        <f>AND(Bills!#REF!,"AAAAAF9/7+s=")</f>
        <v>#REF!</v>
      </c>
      <c r="IC113" t="e">
        <f>AND(Bills!C338,"AAAAAF9/7+w=")</f>
        <v>#VALUE!</v>
      </c>
      <c r="ID113" t="e">
        <f>AND(Bills!#REF!,"AAAAAF9/7+0=")</f>
        <v>#REF!</v>
      </c>
      <c r="IE113" t="e">
        <f>AND(Bills!#REF!,"AAAAAF9/7+4=")</f>
        <v>#REF!</v>
      </c>
      <c r="IF113" t="e">
        <f>AND(Bills!#REF!,"AAAAAF9/7+8=")</f>
        <v>#REF!</v>
      </c>
      <c r="IG113" t="e">
        <f>AND(Bills!#REF!,"AAAAAF9/7/A=")</f>
        <v>#REF!</v>
      </c>
      <c r="IH113" t="e">
        <f>AND(Bills!#REF!,"AAAAAF9/7/E=")</f>
        <v>#REF!</v>
      </c>
      <c r="II113" t="e">
        <f>AND(Bills!D338,"AAAAAF9/7/I=")</f>
        <v>#VALUE!</v>
      </c>
      <c r="IJ113" t="e">
        <f>AND(Bills!#REF!,"AAAAAF9/7/M=")</f>
        <v>#REF!</v>
      </c>
      <c r="IK113" t="e">
        <f>AND(Bills!E338,"AAAAAF9/7/Q=")</f>
        <v>#VALUE!</v>
      </c>
      <c r="IL113" t="e">
        <f>AND(Bills!F338,"AAAAAF9/7/U=")</f>
        <v>#VALUE!</v>
      </c>
      <c r="IM113" t="e">
        <f>AND(Bills!G338,"AAAAAF9/7/Y=")</f>
        <v>#VALUE!</v>
      </c>
      <c r="IN113" t="e">
        <f>AND(Bills!H338,"AAAAAF9/7/c=")</f>
        <v>#VALUE!</v>
      </c>
      <c r="IO113" t="e">
        <f>AND(Bills!I338,"AAAAAF9/7/g=")</f>
        <v>#VALUE!</v>
      </c>
      <c r="IP113" t="e">
        <f>AND(Bills!J338,"AAAAAF9/7/k=")</f>
        <v>#VALUE!</v>
      </c>
      <c r="IQ113" t="e">
        <f>AND(Bills!#REF!,"AAAAAF9/7/o=")</f>
        <v>#REF!</v>
      </c>
      <c r="IR113" t="e">
        <f>AND(Bills!K338,"AAAAAF9/7/s=")</f>
        <v>#VALUE!</v>
      </c>
      <c r="IS113" t="e">
        <f>AND(Bills!L338,"AAAAAF9/7/w=")</f>
        <v>#VALUE!</v>
      </c>
      <c r="IT113" t="e">
        <f>AND(Bills!M338,"AAAAAF9/7/0=")</f>
        <v>#VALUE!</v>
      </c>
      <c r="IU113" t="e">
        <f>AND(Bills!N338,"AAAAAF9/7/4=")</f>
        <v>#VALUE!</v>
      </c>
      <c r="IV113" t="e">
        <f>AND(Bills!O338,"AAAAAF9/7/8=")</f>
        <v>#VALUE!</v>
      </c>
    </row>
    <row r="114" spans="1:256">
      <c r="A114" t="e">
        <f>AND(Bills!P338,"AAAAAH886wA=")</f>
        <v>#VALUE!</v>
      </c>
      <c r="B114" t="e">
        <f>AND(Bills!Q338,"AAAAAH886wE=")</f>
        <v>#VALUE!</v>
      </c>
      <c r="C114" t="e">
        <f>AND(Bills!R338,"AAAAAH886wI=")</f>
        <v>#VALUE!</v>
      </c>
      <c r="D114" t="e">
        <f>AND(Bills!#REF!,"AAAAAH886wM=")</f>
        <v>#REF!</v>
      </c>
      <c r="E114" t="e">
        <f>AND(Bills!S338,"AAAAAH886wQ=")</f>
        <v>#VALUE!</v>
      </c>
      <c r="F114" t="e">
        <f>AND(Bills!T338,"AAAAAH886wU=")</f>
        <v>#VALUE!</v>
      </c>
      <c r="G114" t="e">
        <f>AND(Bills!U338,"AAAAAH886wY=")</f>
        <v>#VALUE!</v>
      </c>
      <c r="H114" t="e">
        <f>AND(Bills!#REF!,"AAAAAH886wc=")</f>
        <v>#REF!</v>
      </c>
      <c r="I114" t="e">
        <f>AND(Bills!#REF!,"AAAAAH886wg=")</f>
        <v>#REF!</v>
      </c>
      <c r="J114" t="e">
        <f>AND(Bills!W338,"AAAAAH886wk=")</f>
        <v>#VALUE!</v>
      </c>
      <c r="K114" t="e">
        <f>AND(Bills!X338,"AAAAAH886wo=")</f>
        <v>#VALUE!</v>
      </c>
      <c r="L114" t="e">
        <f>AND(Bills!#REF!,"AAAAAH886ws=")</f>
        <v>#REF!</v>
      </c>
      <c r="M114" t="e">
        <f>AND(Bills!#REF!,"AAAAAH886ww=")</f>
        <v>#REF!</v>
      </c>
      <c r="N114" t="e">
        <f>AND(Bills!#REF!,"AAAAAH886w0=")</f>
        <v>#REF!</v>
      </c>
      <c r="O114" t="e">
        <f>AND(Bills!#REF!,"AAAAAH886w4=")</f>
        <v>#REF!</v>
      </c>
      <c r="P114" t="e">
        <f>AND(Bills!#REF!,"AAAAAH886w8=")</f>
        <v>#REF!</v>
      </c>
      <c r="Q114" t="e">
        <f>AND(Bills!#REF!,"AAAAAH886xA=")</f>
        <v>#REF!</v>
      </c>
      <c r="R114" t="e">
        <f>AND(Bills!#REF!,"AAAAAH886xE=")</f>
        <v>#REF!</v>
      </c>
      <c r="S114" t="e">
        <f>AND(Bills!#REF!,"AAAAAH886xI=")</f>
        <v>#REF!</v>
      </c>
      <c r="T114" t="e">
        <f>AND(Bills!#REF!,"AAAAAH886xM=")</f>
        <v>#REF!</v>
      </c>
      <c r="U114" t="e">
        <f>AND(Bills!Y338,"AAAAAH886xQ=")</f>
        <v>#VALUE!</v>
      </c>
      <c r="V114" t="e">
        <f>AND(Bills!Z338,"AAAAAH886xU=")</f>
        <v>#VALUE!</v>
      </c>
      <c r="W114" t="e">
        <f>AND(Bills!#REF!,"AAAAAH886xY=")</f>
        <v>#REF!</v>
      </c>
      <c r="X114" t="e">
        <f>AND(Bills!#REF!,"AAAAAH886xc=")</f>
        <v>#REF!</v>
      </c>
      <c r="Y114" t="e">
        <f>AND(Bills!#REF!,"AAAAAH886xg=")</f>
        <v>#REF!</v>
      </c>
      <c r="Z114" t="e">
        <f>AND(Bills!AA338,"AAAAAH886xk=")</f>
        <v>#VALUE!</v>
      </c>
      <c r="AA114" t="e">
        <f>AND(Bills!AB338,"AAAAAH886xo=")</f>
        <v>#VALUE!</v>
      </c>
      <c r="AB114" t="e">
        <f>AND(Bills!#REF!,"AAAAAH886xs=")</f>
        <v>#REF!</v>
      </c>
      <c r="AC114">
        <f>IF(Bills!339:339,"AAAAAH886xw=",0)</f>
        <v>0</v>
      </c>
      <c r="AD114" t="e">
        <f>AND(Bills!B339,"AAAAAH886x0=")</f>
        <v>#VALUE!</v>
      </c>
      <c r="AE114" t="e">
        <f>AND(Bills!#REF!,"AAAAAH886x4=")</f>
        <v>#REF!</v>
      </c>
      <c r="AF114" t="e">
        <f>AND(Bills!C339,"AAAAAH886x8=")</f>
        <v>#VALUE!</v>
      </c>
      <c r="AG114" t="e">
        <f>AND(Bills!#REF!,"AAAAAH886yA=")</f>
        <v>#REF!</v>
      </c>
      <c r="AH114" t="e">
        <f>AND(Bills!#REF!,"AAAAAH886yE=")</f>
        <v>#REF!</v>
      </c>
      <c r="AI114" t="e">
        <f>AND(Bills!#REF!,"AAAAAH886yI=")</f>
        <v>#REF!</v>
      </c>
      <c r="AJ114" t="e">
        <f>AND(Bills!#REF!,"AAAAAH886yM=")</f>
        <v>#REF!</v>
      </c>
      <c r="AK114" t="e">
        <f>AND(Bills!#REF!,"AAAAAH886yQ=")</f>
        <v>#REF!</v>
      </c>
      <c r="AL114" t="e">
        <f>AND(Bills!D339,"AAAAAH886yU=")</f>
        <v>#VALUE!</v>
      </c>
      <c r="AM114" t="e">
        <f>AND(Bills!#REF!,"AAAAAH886yY=")</f>
        <v>#REF!</v>
      </c>
      <c r="AN114" t="e">
        <f>AND(Bills!E339,"AAAAAH886yc=")</f>
        <v>#VALUE!</v>
      </c>
      <c r="AO114" t="e">
        <f>AND(Bills!F339,"AAAAAH886yg=")</f>
        <v>#VALUE!</v>
      </c>
      <c r="AP114" t="e">
        <f>AND(Bills!G339,"AAAAAH886yk=")</f>
        <v>#VALUE!</v>
      </c>
      <c r="AQ114" t="e">
        <f>AND(Bills!H339,"AAAAAH886yo=")</f>
        <v>#VALUE!</v>
      </c>
      <c r="AR114" t="e">
        <f>AND(Bills!I339,"AAAAAH886ys=")</f>
        <v>#VALUE!</v>
      </c>
      <c r="AS114" t="e">
        <f>AND(Bills!J339,"AAAAAH886yw=")</f>
        <v>#VALUE!</v>
      </c>
      <c r="AT114" t="e">
        <f>AND(Bills!#REF!,"AAAAAH886y0=")</f>
        <v>#REF!</v>
      </c>
      <c r="AU114" t="e">
        <f>AND(Bills!K339,"AAAAAH886y4=")</f>
        <v>#VALUE!</v>
      </c>
      <c r="AV114" t="e">
        <f>AND(Bills!L339,"AAAAAH886y8=")</f>
        <v>#VALUE!</v>
      </c>
      <c r="AW114" t="e">
        <f>AND(Bills!M339,"AAAAAH886zA=")</f>
        <v>#VALUE!</v>
      </c>
      <c r="AX114" t="e">
        <f>AND(Bills!N339,"AAAAAH886zE=")</f>
        <v>#VALUE!</v>
      </c>
      <c r="AY114" t="e">
        <f>AND(Bills!O339,"AAAAAH886zI=")</f>
        <v>#VALUE!</v>
      </c>
      <c r="AZ114" t="e">
        <f>AND(Bills!P339,"AAAAAH886zM=")</f>
        <v>#VALUE!</v>
      </c>
      <c r="BA114" t="e">
        <f>AND(Bills!Q339,"AAAAAH886zQ=")</f>
        <v>#VALUE!</v>
      </c>
      <c r="BB114" t="e">
        <f>AND(Bills!R339,"AAAAAH886zU=")</f>
        <v>#VALUE!</v>
      </c>
      <c r="BC114" t="e">
        <f>AND(Bills!#REF!,"AAAAAH886zY=")</f>
        <v>#REF!</v>
      </c>
      <c r="BD114" t="e">
        <f>AND(Bills!S339,"AAAAAH886zc=")</f>
        <v>#VALUE!</v>
      </c>
      <c r="BE114" t="e">
        <f>AND(Bills!T339,"AAAAAH886zg=")</f>
        <v>#VALUE!</v>
      </c>
      <c r="BF114" t="e">
        <f>AND(Bills!U339,"AAAAAH886zk=")</f>
        <v>#VALUE!</v>
      </c>
      <c r="BG114" t="e">
        <f>AND(Bills!#REF!,"AAAAAH886zo=")</f>
        <v>#REF!</v>
      </c>
      <c r="BH114" t="e">
        <f>AND(Bills!#REF!,"AAAAAH886zs=")</f>
        <v>#REF!</v>
      </c>
      <c r="BI114" t="e">
        <f>AND(Bills!W339,"AAAAAH886zw=")</f>
        <v>#VALUE!</v>
      </c>
      <c r="BJ114" t="e">
        <f>AND(Bills!X339,"AAAAAH886z0=")</f>
        <v>#VALUE!</v>
      </c>
      <c r="BK114" t="e">
        <f>AND(Bills!#REF!,"AAAAAH886z4=")</f>
        <v>#REF!</v>
      </c>
      <c r="BL114" t="e">
        <f>AND(Bills!#REF!,"AAAAAH886z8=")</f>
        <v>#REF!</v>
      </c>
      <c r="BM114" t="e">
        <f>AND(Bills!#REF!,"AAAAAH8860A=")</f>
        <v>#REF!</v>
      </c>
      <c r="BN114" t="e">
        <f>AND(Bills!#REF!,"AAAAAH8860E=")</f>
        <v>#REF!</v>
      </c>
      <c r="BO114" t="e">
        <f>AND(Bills!#REF!,"AAAAAH8860I=")</f>
        <v>#REF!</v>
      </c>
      <c r="BP114" t="e">
        <f>AND(Bills!#REF!,"AAAAAH8860M=")</f>
        <v>#REF!</v>
      </c>
      <c r="BQ114" t="e">
        <f>AND(Bills!#REF!,"AAAAAH8860Q=")</f>
        <v>#REF!</v>
      </c>
      <c r="BR114" t="e">
        <f>AND(Bills!#REF!,"AAAAAH8860U=")</f>
        <v>#REF!</v>
      </c>
      <c r="BS114" t="e">
        <f>AND(Bills!#REF!,"AAAAAH8860Y=")</f>
        <v>#REF!</v>
      </c>
      <c r="BT114" t="e">
        <f>AND(Bills!Y339,"AAAAAH8860c=")</f>
        <v>#VALUE!</v>
      </c>
      <c r="BU114" t="e">
        <f>AND(Bills!Z339,"AAAAAH8860g=")</f>
        <v>#VALUE!</v>
      </c>
      <c r="BV114" t="e">
        <f>AND(Bills!#REF!,"AAAAAH8860k=")</f>
        <v>#REF!</v>
      </c>
      <c r="BW114" t="e">
        <f>AND(Bills!#REF!,"AAAAAH8860o=")</f>
        <v>#REF!</v>
      </c>
      <c r="BX114" t="e">
        <f>AND(Bills!#REF!,"AAAAAH8860s=")</f>
        <v>#REF!</v>
      </c>
      <c r="BY114" t="e">
        <f>AND(Bills!AA339,"AAAAAH8860w=")</f>
        <v>#VALUE!</v>
      </c>
      <c r="BZ114" t="e">
        <f>AND(Bills!AB339,"AAAAAH88600=")</f>
        <v>#VALUE!</v>
      </c>
      <c r="CA114" t="e">
        <f>AND(Bills!#REF!,"AAAAAH88604=")</f>
        <v>#REF!</v>
      </c>
      <c r="CB114">
        <f>IF(Bills!340:340,"AAAAAH88608=",0)</f>
        <v>0</v>
      </c>
      <c r="CC114" t="e">
        <f>AND(Bills!B340,"AAAAAH8861A=")</f>
        <v>#VALUE!</v>
      </c>
      <c r="CD114" t="e">
        <f>AND(Bills!#REF!,"AAAAAH8861E=")</f>
        <v>#REF!</v>
      </c>
      <c r="CE114" t="e">
        <f>AND(Bills!C340,"AAAAAH8861I=")</f>
        <v>#VALUE!</v>
      </c>
      <c r="CF114" t="e">
        <f>AND(Bills!#REF!,"AAAAAH8861M=")</f>
        <v>#REF!</v>
      </c>
      <c r="CG114" t="e">
        <f>AND(Bills!#REF!,"AAAAAH8861Q=")</f>
        <v>#REF!</v>
      </c>
      <c r="CH114" t="e">
        <f>AND(Bills!#REF!,"AAAAAH8861U=")</f>
        <v>#REF!</v>
      </c>
      <c r="CI114" t="e">
        <f>AND(Bills!#REF!,"AAAAAH8861Y=")</f>
        <v>#REF!</v>
      </c>
      <c r="CJ114" t="e">
        <f>AND(Bills!#REF!,"AAAAAH8861c=")</f>
        <v>#REF!</v>
      </c>
      <c r="CK114" t="e">
        <f>AND(Bills!D340,"AAAAAH8861g=")</f>
        <v>#VALUE!</v>
      </c>
      <c r="CL114" t="e">
        <f>AND(Bills!#REF!,"AAAAAH8861k=")</f>
        <v>#REF!</v>
      </c>
      <c r="CM114" t="e">
        <f>AND(Bills!E340,"AAAAAH8861o=")</f>
        <v>#VALUE!</v>
      </c>
      <c r="CN114" t="e">
        <f>AND(Bills!F340,"AAAAAH8861s=")</f>
        <v>#VALUE!</v>
      </c>
      <c r="CO114" t="e">
        <f>AND(Bills!G340,"AAAAAH8861w=")</f>
        <v>#VALUE!</v>
      </c>
      <c r="CP114" t="e">
        <f>AND(Bills!H340,"AAAAAH88610=")</f>
        <v>#VALUE!</v>
      </c>
      <c r="CQ114" t="e">
        <f>AND(Bills!I340,"AAAAAH88614=")</f>
        <v>#VALUE!</v>
      </c>
      <c r="CR114" t="e">
        <f>AND(Bills!J340,"AAAAAH88618=")</f>
        <v>#VALUE!</v>
      </c>
      <c r="CS114" t="e">
        <f>AND(Bills!#REF!,"AAAAAH8862A=")</f>
        <v>#REF!</v>
      </c>
      <c r="CT114" t="e">
        <f>AND(Bills!K340,"AAAAAH8862E=")</f>
        <v>#VALUE!</v>
      </c>
      <c r="CU114" t="e">
        <f>AND(Bills!L340,"AAAAAH8862I=")</f>
        <v>#VALUE!</v>
      </c>
      <c r="CV114" t="e">
        <f>AND(Bills!M340,"AAAAAH8862M=")</f>
        <v>#VALUE!</v>
      </c>
      <c r="CW114" t="e">
        <f>AND(Bills!N340,"AAAAAH8862Q=")</f>
        <v>#VALUE!</v>
      </c>
      <c r="CX114" t="e">
        <f>AND(Bills!O340,"AAAAAH8862U=")</f>
        <v>#VALUE!</v>
      </c>
      <c r="CY114" t="e">
        <f>AND(Bills!P340,"AAAAAH8862Y=")</f>
        <v>#VALUE!</v>
      </c>
      <c r="CZ114" t="e">
        <f>AND(Bills!Q340,"AAAAAH8862c=")</f>
        <v>#VALUE!</v>
      </c>
      <c r="DA114" t="e">
        <f>AND(Bills!R340,"AAAAAH8862g=")</f>
        <v>#VALUE!</v>
      </c>
      <c r="DB114" t="e">
        <f>AND(Bills!#REF!,"AAAAAH8862k=")</f>
        <v>#REF!</v>
      </c>
      <c r="DC114" t="e">
        <f>AND(Bills!S340,"AAAAAH8862o=")</f>
        <v>#VALUE!</v>
      </c>
      <c r="DD114" t="e">
        <f>AND(Bills!T340,"AAAAAH8862s=")</f>
        <v>#VALUE!</v>
      </c>
      <c r="DE114" t="e">
        <f>AND(Bills!U340,"AAAAAH8862w=")</f>
        <v>#VALUE!</v>
      </c>
      <c r="DF114" t="e">
        <f>AND(Bills!#REF!,"AAAAAH88620=")</f>
        <v>#REF!</v>
      </c>
      <c r="DG114" t="e">
        <f>AND(Bills!#REF!,"AAAAAH88624=")</f>
        <v>#REF!</v>
      </c>
      <c r="DH114" t="e">
        <f>AND(Bills!W340,"AAAAAH88628=")</f>
        <v>#VALUE!</v>
      </c>
      <c r="DI114" t="e">
        <f>AND(Bills!X340,"AAAAAH8863A=")</f>
        <v>#VALUE!</v>
      </c>
      <c r="DJ114" t="e">
        <f>AND(Bills!#REF!,"AAAAAH8863E=")</f>
        <v>#REF!</v>
      </c>
      <c r="DK114" t="e">
        <f>AND(Bills!#REF!,"AAAAAH8863I=")</f>
        <v>#REF!</v>
      </c>
      <c r="DL114" t="e">
        <f>AND(Bills!#REF!,"AAAAAH8863M=")</f>
        <v>#REF!</v>
      </c>
      <c r="DM114" t="e">
        <f>AND(Bills!#REF!,"AAAAAH8863Q=")</f>
        <v>#REF!</v>
      </c>
      <c r="DN114" t="e">
        <f>AND(Bills!#REF!,"AAAAAH8863U=")</f>
        <v>#REF!</v>
      </c>
      <c r="DO114" t="e">
        <f>AND(Bills!#REF!,"AAAAAH8863Y=")</f>
        <v>#REF!</v>
      </c>
      <c r="DP114" t="e">
        <f>AND(Bills!#REF!,"AAAAAH8863c=")</f>
        <v>#REF!</v>
      </c>
      <c r="DQ114" t="e">
        <f>AND(Bills!#REF!,"AAAAAH8863g=")</f>
        <v>#REF!</v>
      </c>
      <c r="DR114" t="e">
        <f>AND(Bills!#REF!,"AAAAAH8863k=")</f>
        <v>#REF!</v>
      </c>
      <c r="DS114" t="e">
        <f>AND(Bills!Y340,"AAAAAH8863o=")</f>
        <v>#VALUE!</v>
      </c>
      <c r="DT114" t="e">
        <f>AND(Bills!Z340,"AAAAAH8863s=")</f>
        <v>#VALUE!</v>
      </c>
      <c r="DU114" t="e">
        <f>AND(Bills!#REF!,"AAAAAH8863w=")</f>
        <v>#REF!</v>
      </c>
      <c r="DV114" t="e">
        <f>AND(Bills!#REF!,"AAAAAH88630=")</f>
        <v>#REF!</v>
      </c>
      <c r="DW114" t="e">
        <f>AND(Bills!#REF!,"AAAAAH88634=")</f>
        <v>#REF!</v>
      </c>
      <c r="DX114" t="e">
        <f>AND(Bills!AA340,"AAAAAH88638=")</f>
        <v>#VALUE!</v>
      </c>
      <c r="DY114" t="e">
        <f>AND(Bills!AB340,"AAAAAH8864A=")</f>
        <v>#VALUE!</v>
      </c>
      <c r="DZ114" t="e">
        <f>AND(Bills!#REF!,"AAAAAH8864E=")</f>
        <v>#REF!</v>
      </c>
      <c r="EA114">
        <f>IF(Bills!341:341,"AAAAAH8864I=",0)</f>
        <v>0</v>
      </c>
      <c r="EB114" t="e">
        <f>AND(Bills!B341,"AAAAAH8864M=")</f>
        <v>#VALUE!</v>
      </c>
      <c r="EC114" t="e">
        <f>AND(Bills!#REF!,"AAAAAH8864Q=")</f>
        <v>#REF!</v>
      </c>
      <c r="ED114" t="e">
        <f>AND(Bills!C341,"AAAAAH8864U=")</f>
        <v>#VALUE!</v>
      </c>
      <c r="EE114" t="e">
        <f>AND(Bills!#REF!,"AAAAAH8864Y=")</f>
        <v>#REF!</v>
      </c>
      <c r="EF114" t="e">
        <f>AND(Bills!#REF!,"AAAAAH8864c=")</f>
        <v>#REF!</v>
      </c>
      <c r="EG114" t="e">
        <f>AND(Bills!#REF!,"AAAAAH8864g=")</f>
        <v>#REF!</v>
      </c>
      <c r="EH114" t="e">
        <f>AND(Bills!#REF!,"AAAAAH8864k=")</f>
        <v>#REF!</v>
      </c>
      <c r="EI114" t="e">
        <f>AND(Bills!#REF!,"AAAAAH8864o=")</f>
        <v>#REF!</v>
      </c>
      <c r="EJ114" t="e">
        <f>AND(Bills!D341,"AAAAAH8864s=")</f>
        <v>#VALUE!</v>
      </c>
      <c r="EK114" t="e">
        <f>AND(Bills!#REF!,"AAAAAH8864w=")</f>
        <v>#REF!</v>
      </c>
      <c r="EL114" t="e">
        <f>AND(Bills!E341,"AAAAAH88640=")</f>
        <v>#VALUE!</v>
      </c>
      <c r="EM114" t="e">
        <f>AND(Bills!F341,"AAAAAH88644=")</f>
        <v>#VALUE!</v>
      </c>
      <c r="EN114" t="e">
        <f>AND(Bills!G341,"AAAAAH88648=")</f>
        <v>#VALUE!</v>
      </c>
      <c r="EO114" t="e">
        <f>AND(Bills!H341,"AAAAAH8865A=")</f>
        <v>#VALUE!</v>
      </c>
      <c r="EP114" t="e">
        <f>AND(Bills!I341,"AAAAAH8865E=")</f>
        <v>#VALUE!</v>
      </c>
      <c r="EQ114" t="e">
        <f>AND(Bills!J341,"AAAAAH8865I=")</f>
        <v>#VALUE!</v>
      </c>
      <c r="ER114" t="e">
        <f>AND(Bills!#REF!,"AAAAAH8865M=")</f>
        <v>#REF!</v>
      </c>
      <c r="ES114" t="e">
        <f>AND(Bills!K341,"AAAAAH8865Q=")</f>
        <v>#VALUE!</v>
      </c>
      <c r="ET114" t="e">
        <f>AND(Bills!L341,"AAAAAH8865U=")</f>
        <v>#VALUE!</v>
      </c>
      <c r="EU114" t="e">
        <f>AND(Bills!M341,"AAAAAH8865Y=")</f>
        <v>#VALUE!</v>
      </c>
      <c r="EV114" t="e">
        <f>AND(Bills!N341,"AAAAAH8865c=")</f>
        <v>#VALUE!</v>
      </c>
      <c r="EW114" t="e">
        <f>AND(Bills!O341,"AAAAAH8865g=")</f>
        <v>#VALUE!</v>
      </c>
      <c r="EX114" t="e">
        <f>AND(Bills!P341,"AAAAAH8865k=")</f>
        <v>#VALUE!</v>
      </c>
      <c r="EY114" t="e">
        <f>AND(Bills!Q341,"AAAAAH8865o=")</f>
        <v>#VALUE!</v>
      </c>
      <c r="EZ114" t="e">
        <f>AND(Bills!R341,"AAAAAH8865s=")</f>
        <v>#VALUE!</v>
      </c>
      <c r="FA114" t="e">
        <f>AND(Bills!#REF!,"AAAAAH8865w=")</f>
        <v>#REF!</v>
      </c>
      <c r="FB114" t="e">
        <f>AND(Bills!S341,"AAAAAH88650=")</f>
        <v>#VALUE!</v>
      </c>
      <c r="FC114" t="e">
        <f>AND(Bills!T341,"AAAAAH88654=")</f>
        <v>#VALUE!</v>
      </c>
      <c r="FD114" t="e">
        <f>AND(Bills!U341,"AAAAAH88658=")</f>
        <v>#VALUE!</v>
      </c>
      <c r="FE114" t="e">
        <f>AND(Bills!#REF!,"AAAAAH8866A=")</f>
        <v>#REF!</v>
      </c>
      <c r="FF114" t="e">
        <f>AND(Bills!#REF!,"AAAAAH8866E=")</f>
        <v>#REF!</v>
      </c>
      <c r="FG114" t="e">
        <f>AND(Bills!W341,"AAAAAH8866I=")</f>
        <v>#VALUE!</v>
      </c>
      <c r="FH114" t="e">
        <f>AND(Bills!X341,"AAAAAH8866M=")</f>
        <v>#VALUE!</v>
      </c>
      <c r="FI114" t="e">
        <f>AND(Bills!#REF!,"AAAAAH8866Q=")</f>
        <v>#REF!</v>
      </c>
      <c r="FJ114" t="e">
        <f>AND(Bills!#REF!,"AAAAAH8866U=")</f>
        <v>#REF!</v>
      </c>
      <c r="FK114" t="e">
        <f>AND(Bills!#REF!,"AAAAAH8866Y=")</f>
        <v>#REF!</v>
      </c>
      <c r="FL114" t="e">
        <f>AND(Bills!#REF!,"AAAAAH8866c=")</f>
        <v>#REF!</v>
      </c>
      <c r="FM114" t="e">
        <f>AND(Bills!#REF!,"AAAAAH8866g=")</f>
        <v>#REF!</v>
      </c>
      <c r="FN114" t="e">
        <f>AND(Bills!#REF!,"AAAAAH8866k=")</f>
        <v>#REF!</v>
      </c>
      <c r="FO114" t="e">
        <f>AND(Bills!#REF!,"AAAAAH8866o=")</f>
        <v>#REF!</v>
      </c>
      <c r="FP114" t="e">
        <f>AND(Bills!#REF!,"AAAAAH8866s=")</f>
        <v>#REF!</v>
      </c>
      <c r="FQ114" t="e">
        <f>AND(Bills!#REF!,"AAAAAH8866w=")</f>
        <v>#REF!</v>
      </c>
      <c r="FR114" t="e">
        <f>AND(Bills!Y341,"AAAAAH88660=")</f>
        <v>#VALUE!</v>
      </c>
      <c r="FS114" t="e">
        <f>AND(Bills!Z341,"AAAAAH88664=")</f>
        <v>#VALUE!</v>
      </c>
      <c r="FT114" t="e">
        <f>AND(Bills!#REF!,"AAAAAH88668=")</f>
        <v>#REF!</v>
      </c>
      <c r="FU114" t="e">
        <f>AND(Bills!#REF!,"AAAAAH8867A=")</f>
        <v>#REF!</v>
      </c>
      <c r="FV114" t="e">
        <f>AND(Bills!#REF!,"AAAAAH8867E=")</f>
        <v>#REF!</v>
      </c>
      <c r="FW114" t="e">
        <f>AND(Bills!AA341,"AAAAAH8867I=")</f>
        <v>#VALUE!</v>
      </c>
      <c r="FX114" t="e">
        <f>AND(Bills!AB341,"AAAAAH8867M=")</f>
        <v>#VALUE!</v>
      </c>
      <c r="FY114" t="e">
        <f>AND(Bills!#REF!,"AAAAAH8867Q=")</f>
        <v>#REF!</v>
      </c>
      <c r="FZ114">
        <f>IF(Bills!342:342,"AAAAAH8867U=",0)</f>
        <v>0</v>
      </c>
      <c r="GA114" t="e">
        <f>AND(Bills!B342,"AAAAAH8867Y=")</f>
        <v>#VALUE!</v>
      </c>
      <c r="GB114" t="e">
        <f>AND(Bills!#REF!,"AAAAAH8867c=")</f>
        <v>#REF!</v>
      </c>
      <c r="GC114" t="e">
        <f>AND(Bills!C342,"AAAAAH8867g=")</f>
        <v>#VALUE!</v>
      </c>
      <c r="GD114" t="e">
        <f>AND(Bills!#REF!,"AAAAAH8867k=")</f>
        <v>#REF!</v>
      </c>
      <c r="GE114" t="e">
        <f>AND(Bills!#REF!,"AAAAAH8867o=")</f>
        <v>#REF!</v>
      </c>
      <c r="GF114" t="e">
        <f>AND(Bills!#REF!,"AAAAAH8867s=")</f>
        <v>#REF!</v>
      </c>
      <c r="GG114" t="e">
        <f>AND(Bills!#REF!,"AAAAAH8867w=")</f>
        <v>#REF!</v>
      </c>
      <c r="GH114" t="e">
        <f>AND(Bills!#REF!,"AAAAAH88670=")</f>
        <v>#REF!</v>
      </c>
      <c r="GI114" t="e">
        <f>AND(Bills!D342,"AAAAAH88674=")</f>
        <v>#VALUE!</v>
      </c>
      <c r="GJ114" t="e">
        <f>AND(Bills!#REF!,"AAAAAH88678=")</f>
        <v>#REF!</v>
      </c>
      <c r="GK114" t="e">
        <f>AND(Bills!E342,"AAAAAH8868A=")</f>
        <v>#VALUE!</v>
      </c>
      <c r="GL114" t="e">
        <f>AND(Bills!F342,"AAAAAH8868E=")</f>
        <v>#VALUE!</v>
      </c>
      <c r="GM114" t="e">
        <f>AND(Bills!G342,"AAAAAH8868I=")</f>
        <v>#VALUE!</v>
      </c>
      <c r="GN114" t="e">
        <f>AND(Bills!H342,"AAAAAH8868M=")</f>
        <v>#VALUE!</v>
      </c>
      <c r="GO114" t="e">
        <f>AND(Bills!I342,"AAAAAH8868Q=")</f>
        <v>#VALUE!</v>
      </c>
      <c r="GP114" t="e">
        <f>AND(Bills!J342,"AAAAAH8868U=")</f>
        <v>#VALUE!</v>
      </c>
      <c r="GQ114" t="e">
        <f>AND(Bills!#REF!,"AAAAAH8868Y=")</f>
        <v>#REF!</v>
      </c>
      <c r="GR114" t="e">
        <f>AND(Bills!K342,"AAAAAH8868c=")</f>
        <v>#VALUE!</v>
      </c>
      <c r="GS114" t="e">
        <f>AND(Bills!L342,"AAAAAH8868g=")</f>
        <v>#VALUE!</v>
      </c>
      <c r="GT114" t="e">
        <f>AND(Bills!M342,"AAAAAH8868k=")</f>
        <v>#VALUE!</v>
      </c>
      <c r="GU114" t="e">
        <f>AND(Bills!N342,"AAAAAH8868o=")</f>
        <v>#VALUE!</v>
      </c>
      <c r="GV114" t="e">
        <f>AND(Bills!O342,"AAAAAH8868s=")</f>
        <v>#VALUE!</v>
      </c>
      <c r="GW114" t="e">
        <f>AND(Bills!P342,"AAAAAH8868w=")</f>
        <v>#VALUE!</v>
      </c>
      <c r="GX114" t="e">
        <f>AND(Bills!Q342,"AAAAAH88680=")</f>
        <v>#VALUE!</v>
      </c>
      <c r="GY114" t="e">
        <f>AND(Bills!R342,"AAAAAH88684=")</f>
        <v>#VALUE!</v>
      </c>
      <c r="GZ114" t="e">
        <f>AND(Bills!#REF!,"AAAAAH88688=")</f>
        <v>#REF!</v>
      </c>
      <c r="HA114" t="e">
        <f>AND(Bills!S342,"AAAAAH8869A=")</f>
        <v>#VALUE!</v>
      </c>
      <c r="HB114" t="e">
        <f>AND(Bills!T342,"AAAAAH8869E=")</f>
        <v>#VALUE!</v>
      </c>
      <c r="HC114" t="e">
        <f>AND(Bills!U342,"AAAAAH8869I=")</f>
        <v>#VALUE!</v>
      </c>
      <c r="HD114" t="e">
        <f>AND(Bills!#REF!,"AAAAAH8869M=")</f>
        <v>#REF!</v>
      </c>
      <c r="HE114" t="e">
        <f>AND(Bills!#REF!,"AAAAAH8869Q=")</f>
        <v>#REF!</v>
      </c>
      <c r="HF114" t="e">
        <f>AND(Bills!W342,"AAAAAH8869U=")</f>
        <v>#VALUE!</v>
      </c>
      <c r="HG114" t="e">
        <f>AND(Bills!X342,"AAAAAH8869Y=")</f>
        <v>#VALUE!</v>
      </c>
      <c r="HH114" t="e">
        <f>AND(Bills!#REF!,"AAAAAH8869c=")</f>
        <v>#REF!</v>
      </c>
      <c r="HI114" t="e">
        <f>AND(Bills!#REF!,"AAAAAH8869g=")</f>
        <v>#REF!</v>
      </c>
      <c r="HJ114" t="e">
        <f>AND(Bills!#REF!,"AAAAAH8869k=")</f>
        <v>#REF!</v>
      </c>
      <c r="HK114" t="e">
        <f>AND(Bills!#REF!,"AAAAAH8869o=")</f>
        <v>#REF!</v>
      </c>
      <c r="HL114" t="e">
        <f>AND(Bills!#REF!,"AAAAAH8869s=")</f>
        <v>#REF!</v>
      </c>
      <c r="HM114" t="e">
        <f>AND(Bills!#REF!,"AAAAAH8869w=")</f>
        <v>#REF!</v>
      </c>
      <c r="HN114" t="e">
        <f>AND(Bills!#REF!,"AAAAAH88690=")</f>
        <v>#REF!</v>
      </c>
      <c r="HO114" t="e">
        <f>AND(Bills!#REF!,"AAAAAH88694=")</f>
        <v>#REF!</v>
      </c>
      <c r="HP114" t="e">
        <f>AND(Bills!#REF!,"AAAAAH88698=")</f>
        <v>#REF!</v>
      </c>
      <c r="HQ114" t="e">
        <f>AND(Bills!Y342,"AAAAAH886+A=")</f>
        <v>#VALUE!</v>
      </c>
      <c r="HR114" t="e">
        <f>AND(Bills!Z342,"AAAAAH886+E=")</f>
        <v>#VALUE!</v>
      </c>
      <c r="HS114" t="e">
        <f>AND(Bills!#REF!,"AAAAAH886+I=")</f>
        <v>#REF!</v>
      </c>
      <c r="HT114" t="e">
        <f>AND(Bills!#REF!,"AAAAAH886+M=")</f>
        <v>#REF!</v>
      </c>
      <c r="HU114" t="e">
        <f>AND(Bills!#REF!,"AAAAAH886+Q=")</f>
        <v>#REF!</v>
      </c>
      <c r="HV114" t="e">
        <f>AND(Bills!AA342,"AAAAAH886+U=")</f>
        <v>#VALUE!</v>
      </c>
      <c r="HW114" t="e">
        <f>AND(Bills!AB342,"AAAAAH886+Y=")</f>
        <v>#VALUE!</v>
      </c>
      <c r="HX114" t="e">
        <f>AND(Bills!#REF!,"AAAAAH886+c=")</f>
        <v>#REF!</v>
      </c>
      <c r="HY114">
        <f>IF(Bills!343:343,"AAAAAH886+g=",0)</f>
        <v>0</v>
      </c>
      <c r="HZ114" t="e">
        <f>AND(Bills!B343,"AAAAAH886+k=")</f>
        <v>#VALUE!</v>
      </c>
      <c r="IA114" t="e">
        <f>AND(Bills!#REF!,"AAAAAH886+o=")</f>
        <v>#REF!</v>
      </c>
      <c r="IB114" t="e">
        <f>AND(Bills!C343,"AAAAAH886+s=")</f>
        <v>#VALUE!</v>
      </c>
      <c r="IC114" t="e">
        <f>AND(Bills!#REF!,"AAAAAH886+w=")</f>
        <v>#REF!</v>
      </c>
      <c r="ID114" t="e">
        <f>AND(Bills!#REF!,"AAAAAH886+0=")</f>
        <v>#REF!</v>
      </c>
      <c r="IE114" t="e">
        <f>AND(Bills!#REF!,"AAAAAH886+4=")</f>
        <v>#REF!</v>
      </c>
      <c r="IF114" t="e">
        <f>AND(Bills!#REF!,"AAAAAH886+8=")</f>
        <v>#REF!</v>
      </c>
      <c r="IG114" t="e">
        <f>AND(Bills!#REF!,"AAAAAH886/A=")</f>
        <v>#REF!</v>
      </c>
      <c r="IH114" t="e">
        <f>AND(Bills!D343,"AAAAAH886/E=")</f>
        <v>#VALUE!</v>
      </c>
      <c r="II114" t="e">
        <f>AND(Bills!#REF!,"AAAAAH886/I=")</f>
        <v>#REF!</v>
      </c>
      <c r="IJ114" t="e">
        <f>AND(Bills!E343,"AAAAAH886/M=")</f>
        <v>#VALUE!</v>
      </c>
      <c r="IK114" t="e">
        <f>AND(Bills!F343,"AAAAAH886/Q=")</f>
        <v>#VALUE!</v>
      </c>
      <c r="IL114" t="e">
        <f>AND(Bills!G343,"AAAAAH886/U=")</f>
        <v>#VALUE!</v>
      </c>
      <c r="IM114" t="e">
        <f>AND(Bills!H343,"AAAAAH886/Y=")</f>
        <v>#VALUE!</v>
      </c>
      <c r="IN114" t="e">
        <f>AND(Bills!I343,"AAAAAH886/c=")</f>
        <v>#VALUE!</v>
      </c>
      <c r="IO114" t="e">
        <f>AND(Bills!J343,"AAAAAH886/g=")</f>
        <v>#VALUE!</v>
      </c>
      <c r="IP114" t="e">
        <f>AND(Bills!#REF!,"AAAAAH886/k=")</f>
        <v>#REF!</v>
      </c>
      <c r="IQ114" t="e">
        <f>AND(Bills!K343,"AAAAAH886/o=")</f>
        <v>#VALUE!</v>
      </c>
      <c r="IR114" t="e">
        <f>AND(Bills!L343,"AAAAAH886/s=")</f>
        <v>#VALUE!</v>
      </c>
      <c r="IS114" t="e">
        <f>AND(Bills!M343,"AAAAAH886/w=")</f>
        <v>#VALUE!</v>
      </c>
      <c r="IT114" t="e">
        <f>AND(Bills!N343,"AAAAAH886/0=")</f>
        <v>#VALUE!</v>
      </c>
      <c r="IU114" t="e">
        <f>AND(Bills!O343,"AAAAAH886/4=")</f>
        <v>#VALUE!</v>
      </c>
      <c r="IV114" t="e">
        <f>AND(Bills!P343,"AAAAAH886/8=")</f>
        <v>#VALUE!</v>
      </c>
    </row>
    <row r="115" spans="1:256">
      <c r="A115" t="e">
        <f>AND(Bills!Q343,"AAAAAF35/gA=")</f>
        <v>#VALUE!</v>
      </c>
      <c r="B115" t="e">
        <f>AND(Bills!R343,"AAAAAF35/gE=")</f>
        <v>#VALUE!</v>
      </c>
      <c r="C115" t="e">
        <f>AND(Bills!#REF!,"AAAAAF35/gI=")</f>
        <v>#REF!</v>
      </c>
      <c r="D115" t="e">
        <f>AND(Bills!S343,"AAAAAF35/gM=")</f>
        <v>#VALUE!</v>
      </c>
      <c r="E115" t="e">
        <f>AND(Bills!T343,"AAAAAF35/gQ=")</f>
        <v>#VALUE!</v>
      </c>
      <c r="F115" t="e">
        <f>AND(Bills!U343,"AAAAAF35/gU=")</f>
        <v>#VALUE!</v>
      </c>
      <c r="G115" t="e">
        <f>AND(Bills!#REF!,"AAAAAF35/gY=")</f>
        <v>#REF!</v>
      </c>
      <c r="H115" t="e">
        <f>AND(Bills!#REF!,"AAAAAF35/gc=")</f>
        <v>#REF!</v>
      </c>
      <c r="I115" t="e">
        <f>AND(Bills!W343,"AAAAAF35/gg=")</f>
        <v>#VALUE!</v>
      </c>
      <c r="J115" t="e">
        <f>AND(Bills!X343,"AAAAAF35/gk=")</f>
        <v>#VALUE!</v>
      </c>
      <c r="K115" t="e">
        <f>AND(Bills!#REF!,"AAAAAF35/go=")</f>
        <v>#REF!</v>
      </c>
      <c r="L115" t="e">
        <f>AND(Bills!#REF!,"AAAAAF35/gs=")</f>
        <v>#REF!</v>
      </c>
      <c r="M115" t="e">
        <f>AND(Bills!#REF!,"AAAAAF35/gw=")</f>
        <v>#REF!</v>
      </c>
      <c r="N115" t="e">
        <f>AND(Bills!#REF!,"AAAAAF35/g0=")</f>
        <v>#REF!</v>
      </c>
      <c r="O115" t="e">
        <f>AND(Bills!#REF!,"AAAAAF35/g4=")</f>
        <v>#REF!</v>
      </c>
      <c r="P115" t="e">
        <f>AND(Bills!#REF!,"AAAAAF35/g8=")</f>
        <v>#REF!</v>
      </c>
      <c r="Q115" t="e">
        <f>AND(Bills!#REF!,"AAAAAF35/hA=")</f>
        <v>#REF!</v>
      </c>
      <c r="R115" t="e">
        <f>AND(Bills!#REF!,"AAAAAF35/hE=")</f>
        <v>#REF!</v>
      </c>
      <c r="S115" t="e">
        <f>AND(Bills!#REF!,"AAAAAF35/hI=")</f>
        <v>#REF!</v>
      </c>
      <c r="T115" t="e">
        <f>AND(Bills!Y343,"AAAAAF35/hM=")</f>
        <v>#VALUE!</v>
      </c>
      <c r="U115" t="e">
        <f>AND(Bills!Z343,"AAAAAF35/hQ=")</f>
        <v>#VALUE!</v>
      </c>
      <c r="V115" t="e">
        <f>AND(Bills!#REF!,"AAAAAF35/hU=")</f>
        <v>#REF!</v>
      </c>
      <c r="W115" t="e">
        <f>AND(Bills!#REF!,"AAAAAF35/hY=")</f>
        <v>#REF!</v>
      </c>
      <c r="X115" t="e">
        <f>AND(Bills!#REF!,"AAAAAF35/hc=")</f>
        <v>#REF!</v>
      </c>
      <c r="Y115" t="e">
        <f>AND(Bills!AA343,"AAAAAF35/hg=")</f>
        <v>#VALUE!</v>
      </c>
      <c r="Z115" t="e">
        <f>AND(Bills!AB343,"AAAAAF35/hk=")</f>
        <v>#VALUE!</v>
      </c>
      <c r="AA115" t="e">
        <f>AND(Bills!#REF!,"AAAAAF35/ho=")</f>
        <v>#REF!</v>
      </c>
      <c r="AB115">
        <f>IF(Bills!344:344,"AAAAAF35/hs=",0)</f>
        <v>0</v>
      </c>
      <c r="AC115" t="e">
        <f>AND(Bills!B344,"AAAAAF35/hw=")</f>
        <v>#VALUE!</v>
      </c>
      <c r="AD115" t="e">
        <f>AND(Bills!#REF!,"AAAAAF35/h0=")</f>
        <v>#REF!</v>
      </c>
      <c r="AE115" t="e">
        <f>AND(Bills!C344,"AAAAAF35/h4=")</f>
        <v>#VALUE!</v>
      </c>
      <c r="AF115" t="e">
        <f>AND(Bills!#REF!,"AAAAAF35/h8=")</f>
        <v>#REF!</v>
      </c>
      <c r="AG115" t="e">
        <f>AND(Bills!#REF!,"AAAAAF35/iA=")</f>
        <v>#REF!</v>
      </c>
      <c r="AH115" t="e">
        <f>AND(Bills!#REF!,"AAAAAF35/iE=")</f>
        <v>#REF!</v>
      </c>
      <c r="AI115" t="e">
        <f>AND(Bills!#REF!,"AAAAAF35/iI=")</f>
        <v>#REF!</v>
      </c>
      <c r="AJ115" t="e">
        <f>AND(Bills!#REF!,"AAAAAF35/iM=")</f>
        <v>#REF!</v>
      </c>
      <c r="AK115" t="e">
        <f>AND(Bills!D344,"AAAAAF35/iQ=")</f>
        <v>#VALUE!</v>
      </c>
      <c r="AL115" t="e">
        <f>AND(Bills!#REF!,"AAAAAF35/iU=")</f>
        <v>#REF!</v>
      </c>
      <c r="AM115" t="e">
        <f>AND(Bills!E344,"AAAAAF35/iY=")</f>
        <v>#VALUE!</v>
      </c>
      <c r="AN115" t="e">
        <f>AND(Bills!F344,"AAAAAF35/ic=")</f>
        <v>#VALUE!</v>
      </c>
      <c r="AO115" t="e">
        <f>AND(Bills!G344,"AAAAAF35/ig=")</f>
        <v>#VALUE!</v>
      </c>
      <c r="AP115" t="e">
        <f>AND(Bills!H344,"AAAAAF35/ik=")</f>
        <v>#VALUE!</v>
      </c>
      <c r="AQ115" t="e">
        <f>AND(Bills!I344,"AAAAAF35/io=")</f>
        <v>#VALUE!</v>
      </c>
      <c r="AR115" t="e">
        <f>AND(Bills!J344,"AAAAAF35/is=")</f>
        <v>#VALUE!</v>
      </c>
      <c r="AS115" t="e">
        <f>AND(Bills!#REF!,"AAAAAF35/iw=")</f>
        <v>#REF!</v>
      </c>
      <c r="AT115" t="e">
        <f>AND(Bills!K344,"AAAAAF35/i0=")</f>
        <v>#VALUE!</v>
      </c>
      <c r="AU115" t="e">
        <f>AND(Bills!L344,"AAAAAF35/i4=")</f>
        <v>#VALUE!</v>
      </c>
      <c r="AV115" t="e">
        <f>AND(Bills!M344,"AAAAAF35/i8=")</f>
        <v>#VALUE!</v>
      </c>
      <c r="AW115" t="e">
        <f>AND(Bills!N344,"AAAAAF35/jA=")</f>
        <v>#VALUE!</v>
      </c>
      <c r="AX115" t="e">
        <f>AND(Bills!O344,"AAAAAF35/jE=")</f>
        <v>#VALUE!</v>
      </c>
      <c r="AY115" t="e">
        <f>AND(Bills!P344,"AAAAAF35/jI=")</f>
        <v>#VALUE!</v>
      </c>
      <c r="AZ115" t="e">
        <f>AND(Bills!Q344,"AAAAAF35/jM=")</f>
        <v>#VALUE!</v>
      </c>
      <c r="BA115" t="e">
        <f>AND(Bills!R344,"AAAAAF35/jQ=")</f>
        <v>#VALUE!</v>
      </c>
      <c r="BB115" t="e">
        <f>AND(Bills!#REF!,"AAAAAF35/jU=")</f>
        <v>#REF!</v>
      </c>
      <c r="BC115" t="e">
        <f>AND(Bills!S344,"AAAAAF35/jY=")</f>
        <v>#VALUE!</v>
      </c>
      <c r="BD115" t="e">
        <f>AND(Bills!T344,"AAAAAF35/jc=")</f>
        <v>#VALUE!</v>
      </c>
      <c r="BE115" t="e">
        <f>AND(Bills!U344,"AAAAAF35/jg=")</f>
        <v>#VALUE!</v>
      </c>
      <c r="BF115" t="e">
        <f>AND(Bills!#REF!,"AAAAAF35/jk=")</f>
        <v>#REF!</v>
      </c>
      <c r="BG115" t="e">
        <f>AND(Bills!#REF!,"AAAAAF35/jo=")</f>
        <v>#REF!</v>
      </c>
      <c r="BH115" t="e">
        <f>AND(Bills!W344,"AAAAAF35/js=")</f>
        <v>#VALUE!</v>
      </c>
      <c r="BI115" t="e">
        <f>AND(Bills!X344,"AAAAAF35/jw=")</f>
        <v>#VALUE!</v>
      </c>
      <c r="BJ115" t="e">
        <f>AND(Bills!#REF!,"AAAAAF35/j0=")</f>
        <v>#REF!</v>
      </c>
      <c r="BK115" t="e">
        <f>AND(Bills!#REF!,"AAAAAF35/j4=")</f>
        <v>#REF!</v>
      </c>
      <c r="BL115" t="e">
        <f>AND(Bills!#REF!,"AAAAAF35/j8=")</f>
        <v>#REF!</v>
      </c>
      <c r="BM115" t="e">
        <f>AND(Bills!#REF!,"AAAAAF35/kA=")</f>
        <v>#REF!</v>
      </c>
      <c r="BN115" t="e">
        <f>AND(Bills!#REF!,"AAAAAF35/kE=")</f>
        <v>#REF!</v>
      </c>
      <c r="BO115" t="e">
        <f>AND(Bills!#REF!,"AAAAAF35/kI=")</f>
        <v>#REF!</v>
      </c>
      <c r="BP115" t="e">
        <f>AND(Bills!#REF!,"AAAAAF35/kM=")</f>
        <v>#REF!</v>
      </c>
      <c r="BQ115" t="e">
        <f>AND(Bills!#REF!,"AAAAAF35/kQ=")</f>
        <v>#REF!</v>
      </c>
      <c r="BR115" t="e">
        <f>AND(Bills!#REF!,"AAAAAF35/kU=")</f>
        <v>#REF!</v>
      </c>
      <c r="BS115" t="e">
        <f>AND(Bills!Y344,"AAAAAF35/kY=")</f>
        <v>#VALUE!</v>
      </c>
      <c r="BT115" t="e">
        <f>AND(Bills!Z344,"AAAAAF35/kc=")</f>
        <v>#VALUE!</v>
      </c>
      <c r="BU115" t="e">
        <f>AND(Bills!#REF!,"AAAAAF35/kg=")</f>
        <v>#REF!</v>
      </c>
      <c r="BV115" t="e">
        <f>AND(Bills!#REF!,"AAAAAF35/kk=")</f>
        <v>#REF!</v>
      </c>
      <c r="BW115" t="e">
        <f>AND(Bills!#REF!,"AAAAAF35/ko=")</f>
        <v>#REF!</v>
      </c>
      <c r="BX115" t="e">
        <f>AND(Bills!AA344,"AAAAAF35/ks=")</f>
        <v>#VALUE!</v>
      </c>
      <c r="BY115" t="e">
        <f>AND(Bills!AB344,"AAAAAF35/kw=")</f>
        <v>#VALUE!</v>
      </c>
      <c r="BZ115" t="e">
        <f>AND(Bills!#REF!,"AAAAAF35/k0=")</f>
        <v>#REF!</v>
      </c>
      <c r="CA115">
        <f>IF(Bills!345:345,"AAAAAF35/k4=",0)</f>
        <v>0</v>
      </c>
      <c r="CB115" t="e">
        <f>AND(Bills!B345,"AAAAAF35/k8=")</f>
        <v>#VALUE!</v>
      </c>
      <c r="CC115" t="e">
        <f>AND(Bills!#REF!,"AAAAAF35/lA=")</f>
        <v>#REF!</v>
      </c>
      <c r="CD115" t="e">
        <f>AND(Bills!C345,"AAAAAF35/lE=")</f>
        <v>#VALUE!</v>
      </c>
      <c r="CE115" t="e">
        <f>AND(Bills!#REF!,"AAAAAF35/lI=")</f>
        <v>#REF!</v>
      </c>
      <c r="CF115" t="e">
        <f>AND(Bills!#REF!,"AAAAAF35/lM=")</f>
        <v>#REF!</v>
      </c>
      <c r="CG115" t="e">
        <f>AND(Bills!#REF!,"AAAAAF35/lQ=")</f>
        <v>#REF!</v>
      </c>
      <c r="CH115" t="e">
        <f>AND(Bills!#REF!,"AAAAAF35/lU=")</f>
        <v>#REF!</v>
      </c>
      <c r="CI115" t="e">
        <f>AND(Bills!#REF!,"AAAAAF35/lY=")</f>
        <v>#REF!</v>
      </c>
      <c r="CJ115" t="e">
        <f>AND(Bills!D345,"AAAAAF35/lc=")</f>
        <v>#VALUE!</v>
      </c>
      <c r="CK115" t="e">
        <f>AND(Bills!#REF!,"AAAAAF35/lg=")</f>
        <v>#REF!</v>
      </c>
      <c r="CL115" t="e">
        <f>AND(Bills!E345,"AAAAAF35/lk=")</f>
        <v>#VALUE!</v>
      </c>
      <c r="CM115" t="e">
        <f>AND(Bills!F345,"AAAAAF35/lo=")</f>
        <v>#VALUE!</v>
      </c>
      <c r="CN115" t="e">
        <f>AND(Bills!G345,"AAAAAF35/ls=")</f>
        <v>#VALUE!</v>
      </c>
      <c r="CO115" t="e">
        <f>AND(Bills!H345,"AAAAAF35/lw=")</f>
        <v>#VALUE!</v>
      </c>
      <c r="CP115" t="e">
        <f>AND(Bills!I345,"AAAAAF35/l0=")</f>
        <v>#VALUE!</v>
      </c>
      <c r="CQ115" t="e">
        <f>AND(Bills!J345,"AAAAAF35/l4=")</f>
        <v>#VALUE!</v>
      </c>
      <c r="CR115" t="e">
        <f>AND(Bills!#REF!,"AAAAAF35/l8=")</f>
        <v>#REF!</v>
      </c>
      <c r="CS115" t="e">
        <f>AND(Bills!K345,"AAAAAF35/mA=")</f>
        <v>#VALUE!</v>
      </c>
      <c r="CT115" t="e">
        <f>AND(Bills!L345,"AAAAAF35/mE=")</f>
        <v>#VALUE!</v>
      </c>
      <c r="CU115" t="e">
        <f>AND(Bills!M345,"AAAAAF35/mI=")</f>
        <v>#VALUE!</v>
      </c>
      <c r="CV115" t="e">
        <f>AND(Bills!N345,"AAAAAF35/mM=")</f>
        <v>#VALUE!</v>
      </c>
      <c r="CW115" t="e">
        <f>AND(Bills!O345,"AAAAAF35/mQ=")</f>
        <v>#VALUE!</v>
      </c>
      <c r="CX115" t="e">
        <f>AND(Bills!P345,"AAAAAF35/mU=")</f>
        <v>#VALUE!</v>
      </c>
      <c r="CY115" t="e">
        <f>AND(Bills!Q345,"AAAAAF35/mY=")</f>
        <v>#VALUE!</v>
      </c>
      <c r="CZ115" t="e">
        <f>AND(Bills!R345,"AAAAAF35/mc=")</f>
        <v>#VALUE!</v>
      </c>
      <c r="DA115" t="e">
        <f>AND(Bills!#REF!,"AAAAAF35/mg=")</f>
        <v>#REF!</v>
      </c>
      <c r="DB115" t="e">
        <f>AND(Bills!S345,"AAAAAF35/mk=")</f>
        <v>#VALUE!</v>
      </c>
      <c r="DC115" t="e">
        <f>AND(Bills!T345,"AAAAAF35/mo=")</f>
        <v>#VALUE!</v>
      </c>
      <c r="DD115" t="e">
        <f>AND(Bills!U345,"AAAAAF35/ms=")</f>
        <v>#VALUE!</v>
      </c>
      <c r="DE115" t="e">
        <f>AND(Bills!#REF!,"AAAAAF35/mw=")</f>
        <v>#REF!</v>
      </c>
      <c r="DF115" t="e">
        <f>AND(Bills!#REF!,"AAAAAF35/m0=")</f>
        <v>#REF!</v>
      </c>
      <c r="DG115" t="e">
        <f>AND(Bills!W345,"AAAAAF35/m4=")</f>
        <v>#VALUE!</v>
      </c>
      <c r="DH115" t="e">
        <f>AND(Bills!X345,"AAAAAF35/m8=")</f>
        <v>#VALUE!</v>
      </c>
      <c r="DI115" t="e">
        <f>AND(Bills!#REF!,"AAAAAF35/nA=")</f>
        <v>#REF!</v>
      </c>
      <c r="DJ115" t="e">
        <f>AND(Bills!#REF!,"AAAAAF35/nE=")</f>
        <v>#REF!</v>
      </c>
      <c r="DK115" t="e">
        <f>AND(Bills!#REF!,"AAAAAF35/nI=")</f>
        <v>#REF!</v>
      </c>
      <c r="DL115" t="e">
        <f>AND(Bills!#REF!,"AAAAAF35/nM=")</f>
        <v>#REF!</v>
      </c>
      <c r="DM115" t="e">
        <f>AND(Bills!#REF!,"AAAAAF35/nQ=")</f>
        <v>#REF!</v>
      </c>
      <c r="DN115" t="e">
        <f>AND(Bills!#REF!,"AAAAAF35/nU=")</f>
        <v>#REF!</v>
      </c>
      <c r="DO115" t="e">
        <f>AND(Bills!#REF!,"AAAAAF35/nY=")</f>
        <v>#REF!</v>
      </c>
      <c r="DP115" t="e">
        <f>AND(Bills!#REF!,"AAAAAF35/nc=")</f>
        <v>#REF!</v>
      </c>
      <c r="DQ115" t="e">
        <f>AND(Bills!#REF!,"AAAAAF35/ng=")</f>
        <v>#REF!</v>
      </c>
      <c r="DR115" t="e">
        <f>AND(Bills!Y345,"AAAAAF35/nk=")</f>
        <v>#VALUE!</v>
      </c>
      <c r="DS115" t="e">
        <f>AND(Bills!Z345,"AAAAAF35/no=")</f>
        <v>#VALUE!</v>
      </c>
      <c r="DT115" t="e">
        <f>AND(Bills!#REF!,"AAAAAF35/ns=")</f>
        <v>#REF!</v>
      </c>
      <c r="DU115" t="e">
        <f>AND(Bills!#REF!,"AAAAAF35/nw=")</f>
        <v>#REF!</v>
      </c>
      <c r="DV115" t="e">
        <f>AND(Bills!#REF!,"AAAAAF35/n0=")</f>
        <v>#REF!</v>
      </c>
      <c r="DW115" t="e">
        <f>AND(Bills!AA345,"AAAAAF35/n4=")</f>
        <v>#VALUE!</v>
      </c>
      <c r="DX115" t="e">
        <f>AND(Bills!AB345,"AAAAAF35/n8=")</f>
        <v>#VALUE!</v>
      </c>
      <c r="DY115" t="e">
        <f>AND(Bills!#REF!,"AAAAAF35/oA=")</f>
        <v>#REF!</v>
      </c>
      <c r="DZ115">
        <f>IF(Bills!346:346,"AAAAAF35/oE=",0)</f>
        <v>0</v>
      </c>
      <c r="EA115" t="e">
        <f>AND(Bills!B346,"AAAAAF35/oI=")</f>
        <v>#VALUE!</v>
      </c>
      <c r="EB115" t="e">
        <f>AND(Bills!#REF!,"AAAAAF35/oM=")</f>
        <v>#REF!</v>
      </c>
      <c r="EC115" t="e">
        <f>AND(Bills!C346,"AAAAAF35/oQ=")</f>
        <v>#VALUE!</v>
      </c>
      <c r="ED115" t="e">
        <f>AND(Bills!#REF!,"AAAAAF35/oU=")</f>
        <v>#REF!</v>
      </c>
      <c r="EE115" t="e">
        <f>AND(Bills!#REF!,"AAAAAF35/oY=")</f>
        <v>#REF!</v>
      </c>
      <c r="EF115" t="e">
        <f>AND(Bills!#REF!,"AAAAAF35/oc=")</f>
        <v>#REF!</v>
      </c>
      <c r="EG115" t="e">
        <f>AND(Bills!#REF!,"AAAAAF35/og=")</f>
        <v>#REF!</v>
      </c>
      <c r="EH115" t="e">
        <f>AND(Bills!#REF!,"AAAAAF35/ok=")</f>
        <v>#REF!</v>
      </c>
      <c r="EI115" t="e">
        <f>AND(Bills!D346,"AAAAAF35/oo=")</f>
        <v>#VALUE!</v>
      </c>
      <c r="EJ115" t="e">
        <f>AND(Bills!#REF!,"AAAAAF35/os=")</f>
        <v>#REF!</v>
      </c>
      <c r="EK115" t="e">
        <f>AND(Bills!E346,"AAAAAF35/ow=")</f>
        <v>#VALUE!</v>
      </c>
      <c r="EL115" t="e">
        <f>AND(Bills!F346,"AAAAAF35/o0=")</f>
        <v>#VALUE!</v>
      </c>
      <c r="EM115" t="e">
        <f>AND(Bills!G346,"AAAAAF35/o4=")</f>
        <v>#VALUE!</v>
      </c>
      <c r="EN115" t="e">
        <f>AND(Bills!H346,"AAAAAF35/o8=")</f>
        <v>#VALUE!</v>
      </c>
      <c r="EO115" t="e">
        <f>AND(Bills!I346,"AAAAAF35/pA=")</f>
        <v>#VALUE!</v>
      </c>
      <c r="EP115" t="e">
        <f>AND(Bills!J346,"AAAAAF35/pE=")</f>
        <v>#VALUE!</v>
      </c>
      <c r="EQ115" t="e">
        <f>AND(Bills!#REF!,"AAAAAF35/pI=")</f>
        <v>#REF!</v>
      </c>
      <c r="ER115" t="e">
        <f>AND(Bills!K346,"AAAAAF35/pM=")</f>
        <v>#VALUE!</v>
      </c>
      <c r="ES115" t="e">
        <f>AND(Bills!L346,"AAAAAF35/pQ=")</f>
        <v>#VALUE!</v>
      </c>
      <c r="ET115" t="e">
        <f>AND(Bills!M346,"AAAAAF35/pU=")</f>
        <v>#VALUE!</v>
      </c>
      <c r="EU115" t="e">
        <f>AND(Bills!N346,"AAAAAF35/pY=")</f>
        <v>#VALUE!</v>
      </c>
      <c r="EV115" t="e">
        <f>AND(Bills!O346,"AAAAAF35/pc=")</f>
        <v>#VALUE!</v>
      </c>
      <c r="EW115" t="e">
        <f>AND(Bills!P346,"AAAAAF35/pg=")</f>
        <v>#VALUE!</v>
      </c>
      <c r="EX115" t="e">
        <f>AND(Bills!Q346,"AAAAAF35/pk=")</f>
        <v>#VALUE!</v>
      </c>
      <c r="EY115" t="e">
        <f>AND(Bills!R346,"AAAAAF35/po=")</f>
        <v>#VALUE!</v>
      </c>
      <c r="EZ115" t="e">
        <f>AND(Bills!#REF!,"AAAAAF35/ps=")</f>
        <v>#REF!</v>
      </c>
      <c r="FA115" t="e">
        <f>AND(Bills!S346,"AAAAAF35/pw=")</f>
        <v>#VALUE!</v>
      </c>
      <c r="FB115" t="e">
        <f>AND(Bills!T346,"AAAAAF35/p0=")</f>
        <v>#VALUE!</v>
      </c>
      <c r="FC115" t="e">
        <f>AND(Bills!U346,"AAAAAF35/p4=")</f>
        <v>#VALUE!</v>
      </c>
      <c r="FD115" t="e">
        <f>AND(Bills!#REF!,"AAAAAF35/p8=")</f>
        <v>#REF!</v>
      </c>
      <c r="FE115" t="e">
        <f>AND(Bills!#REF!,"AAAAAF35/qA=")</f>
        <v>#REF!</v>
      </c>
      <c r="FF115" t="e">
        <f>AND(Bills!W346,"AAAAAF35/qE=")</f>
        <v>#VALUE!</v>
      </c>
      <c r="FG115" t="e">
        <f>AND(Bills!X346,"AAAAAF35/qI=")</f>
        <v>#VALUE!</v>
      </c>
      <c r="FH115" t="e">
        <f>AND(Bills!#REF!,"AAAAAF35/qM=")</f>
        <v>#REF!</v>
      </c>
      <c r="FI115" t="e">
        <f>AND(Bills!#REF!,"AAAAAF35/qQ=")</f>
        <v>#REF!</v>
      </c>
      <c r="FJ115" t="e">
        <f>AND(Bills!#REF!,"AAAAAF35/qU=")</f>
        <v>#REF!</v>
      </c>
      <c r="FK115" t="e">
        <f>AND(Bills!#REF!,"AAAAAF35/qY=")</f>
        <v>#REF!</v>
      </c>
      <c r="FL115" t="e">
        <f>AND(Bills!#REF!,"AAAAAF35/qc=")</f>
        <v>#REF!</v>
      </c>
      <c r="FM115" t="e">
        <f>AND(Bills!#REF!,"AAAAAF35/qg=")</f>
        <v>#REF!</v>
      </c>
      <c r="FN115" t="e">
        <f>AND(Bills!#REF!,"AAAAAF35/qk=")</f>
        <v>#REF!</v>
      </c>
      <c r="FO115" t="e">
        <f>AND(Bills!#REF!,"AAAAAF35/qo=")</f>
        <v>#REF!</v>
      </c>
      <c r="FP115" t="e">
        <f>AND(Bills!#REF!,"AAAAAF35/qs=")</f>
        <v>#REF!</v>
      </c>
      <c r="FQ115" t="e">
        <f>AND(Bills!Y346,"AAAAAF35/qw=")</f>
        <v>#VALUE!</v>
      </c>
      <c r="FR115" t="e">
        <f>AND(Bills!Z346,"AAAAAF35/q0=")</f>
        <v>#VALUE!</v>
      </c>
      <c r="FS115" t="e">
        <f>AND(Bills!#REF!,"AAAAAF35/q4=")</f>
        <v>#REF!</v>
      </c>
      <c r="FT115" t="e">
        <f>AND(Bills!#REF!,"AAAAAF35/q8=")</f>
        <v>#REF!</v>
      </c>
      <c r="FU115" t="e">
        <f>AND(Bills!#REF!,"AAAAAF35/rA=")</f>
        <v>#REF!</v>
      </c>
      <c r="FV115" t="e">
        <f>AND(Bills!AA346,"AAAAAF35/rE=")</f>
        <v>#VALUE!</v>
      </c>
      <c r="FW115" t="e">
        <f>AND(Bills!AB346,"AAAAAF35/rI=")</f>
        <v>#VALUE!</v>
      </c>
      <c r="FX115" t="e">
        <f>AND(Bills!#REF!,"AAAAAF35/rM=")</f>
        <v>#REF!</v>
      </c>
      <c r="FY115">
        <f>IF(Bills!347:347,"AAAAAF35/rQ=",0)</f>
        <v>0</v>
      </c>
      <c r="FZ115" t="e">
        <f>AND(Bills!B347,"AAAAAF35/rU=")</f>
        <v>#VALUE!</v>
      </c>
      <c r="GA115" t="e">
        <f>AND(Bills!#REF!,"AAAAAF35/rY=")</f>
        <v>#REF!</v>
      </c>
      <c r="GB115" t="e">
        <f>AND(Bills!C347,"AAAAAF35/rc=")</f>
        <v>#VALUE!</v>
      </c>
      <c r="GC115" t="e">
        <f>AND(Bills!#REF!,"AAAAAF35/rg=")</f>
        <v>#REF!</v>
      </c>
      <c r="GD115" t="e">
        <f>AND(Bills!#REF!,"AAAAAF35/rk=")</f>
        <v>#REF!</v>
      </c>
      <c r="GE115" t="e">
        <f>AND(Bills!#REF!,"AAAAAF35/ro=")</f>
        <v>#REF!</v>
      </c>
      <c r="GF115" t="e">
        <f>AND(Bills!#REF!,"AAAAAF35/rs=")</f>
        <v>#REF!</v>
      </c>
      <c r="GG115" t="e">
        <f>AND(Bills!#REF!,"AAAAAF35/rw=")</f>
        <v>#REF!</v>
      </c>
      <c r="GH115" t="e">
        <f>AND(Bills!D347,"AAAAAF35/r0=")</f>
        <v>#VALUE!</v>
      </c>
      <c r="GI115" t="e">
        <f>AND(Bills!#REF!,"AAAAAF35/r4=")</f>
        <v>#REF!</v>
      </c>
      <c r="GJ115" t="e">
        <f>AND(Bills!E347,"AAAAAF35/r8=")</f>
        <v>#VALUE!</v>
      </c>
      <c r="GK115" t="e">
        <f>AND(Bills!F347,"AAAAAF35/sA=")</f>
        <v>#VALUE!</v>
      </c>
      <c r="GL115" t="e">
        <f>AND(Bills!G347,"AAAAAF35/sE=")</f>
        <v>#VALUE!</v>
      </c>
      <c r="GM115" t="e">
        <f>AND(Bills!H347,"AAAAAF35/sI=")</f>
        <v>#VALUE!</v>
      </c>
      <c r="GN115" t="e">
        <f>AND(Bills!I347,"AAAAAF35/sM=")</f>
        <v>#VALUE!</v>
      </c>
      <c r="GO115" t="e">
        <f>AND(Bills!J347,"AAAAAF35/sQ=")</f>
        <v>#VALUE!</v>
      </c>
      <c r="GP115" t="e">
        <f>AND(Bills!#REF!,"AAAAAF35/sU=")</f>
        <v>#REF!</v>
      </c>
      <c r="GQ115" t="e">
        <f>AND(Bills!K347,"AAAAAF35/sY=")</f>
        <v>#VALUE!</v>
      </c>
      <c r="GR115" t="e">
        <f>AND(Bills!L347,"AAAAAF35/sc=")</f>
        <v>#VALUE!</v>
      </c>
      <c r="GS115" t="e">
        <f>AND(Bills!M347,"AAAAAF35/sg=")</f>
        <v>#VALUE!</v>
      </c>
      <c r="GT115" t="e">
        <f>AND(Bills!N347,"AAAAAF35/sk=")</f>
        <v>#VALUE!</v>
      </c>
      <c r="GU115" t="e">
        <f>AND(Bills!O347,"AAAAAF35/so=")</f>
        <v>#VALUE!</v>
      </c>
      <c r="GV115" t="e">
        <f>AND(Bills!P347,"AAAAAF35/ss=")</f>
        <v>#VALUE!</v>
      </c>
      <c r="GW115" t="e">
        <f>AND(Bills!Q347,"AAAAAF35/sw=")</f>
        <v>#VALUE!</v>
      </c>
      <c r="GX115" t="e">
        <f>AND(Bills!R347,"AAAAAF35/s0=")</f>
        <v>#VALUE!</v>
      </c>
      <c r="GY115" t="e">
        <f>AND(Bills!#REF!,"AAAAAF35/s4=")</f>
        <v>#REF!</v>
      </c>
      <c r="GZ115" t="e">
        <f>AND(Bills!S347,"AAAAAF35/s8=")</f>
        <v>#VALUE!</v>
      </c>
      <c r="HA115" t="e">
        <f>AND(Bills!T347,"AAAAAF35/tA=")</f>
        <v>#VALUE!</v>
      </c>
      <c r="HB115" t="e">
        <f>AND(Bills!U347,"AAAAAF35/tE=")</f>
        <v>#VALUE!</v>
      </c>
      <c r="HC115" t="e">
        <f>AND(Bills!#REF!,"AAAAAF35/tI=")</f>
        <v>#REF!</v>
      </c>
      <c r="HD115" t="e">
        <f>AND(Bills!#REF!,"AAAAAF35/tM=")</f>
        <v>#REF!</v>
      </c>
      <c r="HE115" t="e">
        <f>AND(Bills!W347,"AAAAAF35/tQ=")</f>
        <v>#VALUE!</v>
      </c>
      <c r="HF115" t="e">
        <f>AND(Bills!X347,"AAAAAF35/tU=")</f>
        <v>#VALUE!</v>
      </c>
      <c r="HG115" t="e">
        <f>AND(Bills!#REF!,"AAAAAF35/tY=")</f>
        <v>#REF!</v>
      </c>
      <c r="HH115" t="e">
        <f>AND(Bills!#REF!,"AAAAAF35/tc=")</f>
        <v>#REF!</v>
      </c>
      <c r="HI115" t="e">
        <f>AND(Bills!#REF!,"AAAAAF35/tg=")</f>
        <v>#REF!</v>
      </c>
      <c r="HJ115" t="e">
        <f>AND(Bills!#REF!,"AAAAAF35/tk=")</f>
        <v>#REF!</v>
      </c>
      <c r="HK115" t="e">
        <f>AND(Bills!#REF!,"AAAAAF35/to=")</f>
        <v>#REF!</v>
      </c>
      <c r="HL115" t="e">
        <f>AND(Bills!#REF!,"AAAAAF35/ts=")</f>
        <v>#REF!</v>
      </c>
      <c r="HM115" t="e">
        <f>AND(Bills!#REF!,"AAAAAF35/tw=")</f>
        <v>#REF!</v>
      </c>
      <c r="HN115" t="e">
        <f>AND(Bills!#REF!,"AAAAAF35/t0=")</f>
        <v>#REF!</v>
      </c>
      <c r="HO115" t="e">
        <f>AND(Bills!#REF!,"AAAAAF35/t4=")</f>
        <v>#REF!</v>
      </c>
      <c r="HP115" t="e">
        <f>AND(Bills!Y347,"AAAAAF35/t8=")</f>
        <v>#VALUE!</v>
      </c>
      <c r="HQ115" t="e">
        <f>AND(Bills!Z347,"AAAAAF35/uA=")</f>
        <v>#VALUE!</v>
      </c>
      <c r="HR115" t="e">
        <f>AND(Bills!#REF!,"AAAAAF35/uE=")</f>
        <v>#REF!</v>
      </c>
      <c r="HS115" t="e">
        <f>AND(Bills!#REF!,"AAAAAF35/uI=")</f>
        <v>#REF!</v>
      </c>
      <c r="HT115" t="e">
        <f>AND(Bills!#REF!,"AAAAAF35/uM=")</f>
        <v>#REF!</v>
      </c>
      <c r="HU115" t="e">
        <f>AND(Bills!AA347,"AAAAAF35/uQ=")</f>
        <v>#VALUE!</v>
      </c>
      <c r="HV115" t="e">
        <f>AND(Bills!AB347,"AAAAAF35/uU=")</f>
        <v>#VALUE!</v>
      </c>
      <c r="HW115" t="e">
        <f>AND(Bills!#REF!,"AAAAAF35/uY=")</f>
        <v>#REF!</v>
      </c>
      <c r="HX115">
        <f>IF(Bills!348:348,"AAAAAF35/uc=",0)</f>
        <v>0</v>
      </c>
      <c r="HY115" t="e">
        <f>AND(Bills!B348,"AAAAAF35/ug=")</f>
        <v>#VALUE!</v>
      </c>
      <c r="HZ115" t="e">
        <f>AND(Bills!#REF!,"AAAAAF35/uk=")</f>
        <v>#REF!</v>
      </c>
      <c r="IA115" t="e">
        <f>AND(Bills!C348,"AAAAAF35/uo=")</f>
        <v>#VALUE!</v>
      </c>
      <c r="IB115" t="e">
        <f>AND(Bills!#REF!,"AAAAAF35/us=")</f>
        <v>#REF!</v>
      </c>
      <c r="IC115" t="e">
        <f>AND(Bills!#REF!,"AAAAAF35/uw=")</f>
        <v>#REF!</v>
      </c>
      <c r="ID115" t="e">
        <f>AND(Bills!#REF!,"AAAAAF35/u0=")</f>
        <v>#REF!</v>
      </c>
      <c r="IE115" t="e">
        <f>AND(Bills!#REF!,"AAAAAF35/u4=")</f>
        <v>#REF!</v>
      </c>
      <c r="IF115" t="e">
        <f>AND(Bills!#REF!,"AAAAAF35/u8=")</f>
        <v>#REF!</v>
      </c>
      <c r="IG115" t="e">
        <f>AND(Bills!D348,"AAAAAF35/vA=")</f>
        <v>#VALUE!</v>
      </c>
      <c r="IH115" t="e">
        <f>AND(Bills!#REF!,"AAAAAF35/vE=")</f>
        <v>#REF!</v>
      </c>
      <c r="II115" t="e">
        <f>AND(Bills!E348,"AAAAAF35/vI=")</f>
        <v>#VALUE!</v>
      </c>
      <c r="IJ115" t="e">
        <f>AND(Bills!F348,"AAAAAF35/vM=")</f>
        <v>#VALUE!</v>
      </c>
      <c r="IK115" t="e">
        <f>AND(Bills!G348,"AAAAAF35/vQ=")</f>
        <v>#VALUE!</v>
      </c>
      <c r="IL115" t="e">
        <f>AND(Bills!H348,"AAAAAF35/vU=")</f>
        <v>#VALUE!</v>
      </c>
      <c r="IM115" t="e">
        <f>AND(Bills!I348,"AAAAAF35/vY=")</f>
        <v>#VALUE!</v>
      </c>
      <c r="IN115" t="e">
        <f>AND(Bills!J348,"AAAAAF35/vc=")</f>
        <v>#VALUE!</v>
      </c>
      <c r="IO115" t="e">
        <f>AND(Bills!#REF!,"AAAAAF35/vg=")</f>
        <v>#REF!</v>
      </c>
      <c r="IP115" t="e">
        <f>AND(Bills!K348,"AAAAAF35/vk=")</f>
        <v>#VALUE!</v>
      </c>
      <c r="IQ115" t="e">
        <f>AND(Bills!L348,"AAAAAF35/vo=")</f>
        <v>#VALUE!</v>
      </c>
      <c r="IR115" t="e">
        <f>AND(Bills!M348,"AAAAAF35/vs=")</f>
        <v>#VALUE!</v>
      </c>
      <c r="IS115" t="e">
        <f>AND(Bills!N348,"AAAAAF35/vw=")</f>
        <v>#VALUE!</v>
      </c>
      <c r="IT115" t="e">
        <f>AND(Bills!O348,"AAAAAF35/v0=")</f>
        <v>#VALUE!</v>
      </c>
      <c r="IU115" t="e">
        <f>AND(Bills!P348,"AAAAAF35/v4=")</f>
        <v>#VALUE!</v>
      </c>
      <c r="IV115" t="e">
        <f>AND(Bills!Q348,"AAAAAF35/v8=")</f>
        <v>#VALUE!</v>
      </c>
    </row>
    <row r="116" spans="1:256">
      <c r="A116" t="e">
        <f>AND(Bills!R348,"AAAAAFL/+wA=")</f>
        <v>#VALUE!</v>
      </c>
      <c r="B116" t="e">
        <f>AND(Bills!#REF!,"AAAAAFL/+wE=")</f>
        <v>#REF!</v>
      </c>
      <c r="C116" t="e">
        <f>AND(Bills!S348,"AAAAAFL/+wI=")</f>
        <v>#VALUE!</v>
      </c>
      <c r="D116" t="e">
        <f>AND(Bills!T348,"AAAAAFL/+wM=")</f>
        <v>#VALUE!</v>
      </c>
      <c r="E116" t="e">
        <f>AND(Bills!U348,"AAAAAFL/+wQ=")</f>
        <v>#VALUE!</v>
      </c>
      <c r="F116" t="e">
        <f>AND(Bills!#REF!,"AAAAAFL/+wU=")</f>
        <v>#REF!</v>
      </c>
      <c r="G116" t="e">
        <f>AND(Bills!#REF!,"AAAAAFL/+wY=")</f>
        <v>#REF!</v>
      </c>
      <c r="H116" t="e">
        <f>AND(Bills!W348,"AAAAAFL/+wc=")</f>
        <v>#VALUE!</v>
      </c>
      <c r="I116" t="e">
        <f>AND(Bills!X348,"AAAAAFL/+wg=")</f>
        <v>#VALUE!</v>
      </c>
      <c r="J116" t="e">
        <f>AND(Bills!#REF!,"AAAAAFL/+wk=")</f>
        <v>#REF!</v>
      </c>
      <c r="K116" t="e">
        <f>AND(Bills!#REF!,"AAAAAFL/+wo=")</f>
        <v>#REF!</v>
      </c>
      <c r="L116" t="e">
        <f>AND(Bills!#REF!,"AAAAAFL/+ws=")</f>
        <v>#REF!</v>
      </c>
      <c r="M116" t="e">
        <f>AND(Bills!#REF!,"AAAAAFL/+ww=")</f>
        <v>#REF!</v>
      </c>
      <c r="N116" t="e">
        <f>AND(Bills!#REF!,"AAAAAFL/+w0=")</f>
        <v>#REF!</v>
      </c>
      <c r="O116" t="e">
        <f>AND(Bills!#REF!,"AAAAAFL/+w4=")</f>
        <v>#REF!</v>
      </c>
      <c r="P116" t="e">
        <f>AND(Bills!#REF!,"AAAAAFL/+w8=")</f>
        <v>#REF!</v>
      </c>
      <c r="Q116" t="e">
        <f>AND(Bills!#REF!,"AAAAAFL/+xA=")</f>
        <v>#REF!</v>
      </c>
      <c r="R116" t="e">
        <f>AND(Bills!#REF!,"AAAAAFL/+xE=")</f>
        <v>#REF!</v>
      </c>
      <c r="S116" t="e">
        <f>AND(Bills!Y348,"AAAAAFL/+xI=")</f>
        <v>#VALUE!</v>
      </c>
      <c r="T116" t="e">
        <f>AND(Bills!Z348,"AAAAAFL/+xM=")</f>
        <v>#VALUE!</v>
      </c>
      <c r="U116" t="e">
        <f>AND(Bills!#REF!,"AAAAAFL/+xQ=")</f>
        <v>#REF!</v>
      </c>
      <c r="V116" t="e">
        <f>AND(Bills!#REF!,"AAAAAFL/+xU=")</f>
        <v>#REF!</v>
      </c>
      <c r="W116" t="e">
        <f>AND(Bills!#REF!,"AAAAAFL/+xY=")</f>
        <v>#REF!</v>
      </c>
      <c r="X116" t="e">
        <f>AND(Bills!AA348,"AAAAAFL/+xc=")</f>
        <v>#VALUE!</v>
      </c>
      <c r="Y116" t="e">
        <f>AND(Bills!AB348,"AAAAAFL/+xg=")</f>
        <v>#VALUE!</v>
      </c>
      <c r="Z116" t="e">
        <f>AND(Bills!#REF!,"AAAAAFL/+xk=")</f>
        <v>#REF!</v>
      </c>
      <c r="AA116">
        <f>IF(Bills!349:349,"AAAAAFL/+xo=",0)</f>
        <v>0</v>
      </c>
      <c r="AB116" t="e">
        <f>AND(Bills!B349,"AAAAAFL/+xs=")</f>
        <v>#VALUE!</v>
      </c>
      <c r="AC116" t="e">
        <f>AND(Bills!#REF!,"AAAAAFL/+xw=")</f>
        <v>#REF!</v>
      </c>
      <c r="AD116" t="e">
        <f>AND(Bills!C349,"AAAAAFL/+x0=")</f>
        <v>#VALUE!</v>
      </c>
      <c r="AE116" t="e">
        <f>AND(Bills!#REF!,"AAAAAFL/+x4=")</f>
        <v>#REF!</v>
      </c>
      <c r="AF116" t="e">
        <f>AND(Bills!#REF!,"AAAAAFL/+x8=")</f>
        <v>#REF!</v>
      </c>
      <c r="AG116" t="e">
        <f>AND(Bills!#REF!,"AAAAAFL/+yA=")</f>
        <v>#REF!</v>
      </c>
      <c r="AH116" t="e">
        <f>AND(Bills!#REF!,"AAAAAFL/+yE=")</f>
        <v>#REF!</v>
      </c>
      <c r="AI116" t="e">
        <f>AND(Bills!#REF!,"AAAAAFL/+yI=")</f>
        <v>#REF!</v>
      </c>
      <c r="AJ116" t="e">
        <f>AND(Bills!D349,"AAAAAFL/+yM=")</f>
        <v>#VALUE!</v>
      </c>
      <c r="AK116" t="e">
        <f>AND(Bills!#REF!,"AAAAAFL/+yQ=")</f>
        <v>#REF!</v>
      </c>
      <c r="AL116" t="e">
        <f>AND(Bills!E349,"AAAAAFL/+yU=")</f>
        <v>#VALUE!</v>
      </c>
      <c r="AM116" t="e">
        <f>AND(Bills!F349,"AAAAAFL/+yY=")</f>
        <v>#VALUE!</v>
      </c>
      <c r="AN116" t="e">
        <f>AND(Bills!G349,"AAAAAFL/+yc=")</f>
        <v>#VALUE!</v>
      </c>
      <c r="AO116" t="e">
        <f>AND(Bills!H349,"AAAAAFL/+yg=")</f>
        <v>#VALUE!</v>
      </c>
      <c r="AP116" t="e">
        <f>AND(Bills!I349,"AAAAAFL/+yk=")</f>
        <v>#VALUE!</v>
      </c>
      <c r="AQ116" t="e">
        <f>AND(Bills!J349,"AAAAAFL/+yo=")</f>
        <v>#VALUE!</v>
      </c>
      <c r="AR116" t="e">
        <f>AND(Bills!#REF!,"AAAAAFL/+ys=")</f>
        <v>#REF!</v>
      </c>
      <c r="AS116" t="e">
        <f>AND(Bills!K349,"AAAAAFL/+yw=")</f>
        <v>#VALUE!</v>
      </c>
      <c r="AT116" t="e">
        <f>AND(Bills!L349,"AAAAAFL/+y0=")</f>
        <v>#VALUE!</v>
      </c>
      <c r="AU116" t="e">
        <f>AND(Bills!M349,"AAAAAFL/+y4=")</f>
        <v>#VALUE!</v>
      </c>
      <c r="AV116" t="e">
        <f>AND(Bills!N349,"AAAAAFL/+y8=")</f>
        <v>#VALUE!</v>
      </c>
      <c r="AW116" t="e">
        <f>AND(Bills!O349,"AAAAAFL/+zA=")</f>
        <v>#VALUE!</v>
      </c>
      <c r="AX116" t="e">
        <f>AND(Bills!P349,"AAAAAFL/+zE=")</f>
        <v>#VALUE!</v>
      </c>
      <c r="AY116" t="e">
        <f>AND(Bills!Q349,"AAAAAFL/+zI=")</f>
        <v>#VALUE!</v>
      </c>
      <c r="AZ116" t="e">
        <f>AND(Bills!R349,"AAAAAFL/+zM=")</f>
        <v>#VALUE!</v>
      </c>
      <c r="BA116" t="e">
        <f>AND(Bills!#REF!,"AAAAAFL/+zQ=")</f>
        <v>#REF!</v>
      </c>
      <c r="BB116" t="e">
        <f>AND(Bills!S349,"AAAAAFL/+zU=")</f>
        <v>#VALUE!</v>
      </c>
      <c r="BC116" t="e">
        <f>AND(Bills!T349,"AAAAAFL/+zY=")</f>
        <v>#VALUE!</v>
      </c>
      <c r="BD116" t="e">
        <f>AND(Bills!U349,"AAAAAFL/+zc=")</f>
        <v>#VALUE!</v>
      </c>
      <c r="BE116" t="e">
        <f>AND(Bills!#REF!,"AAAAAFL/+zg=")</f>
        <v>#REF!</v>
      </c>
      <c r="BF116" t="e">
        <f>AND(Bills!#REF!,"AAAAAFL/+zk=")</f>
        <v>#REF!</v>
      </c>
      <c r="BG116" t="e">
        <f>AND(Bills!W349,"AAAAAFL/+zo=")</f>
        <v>#VALUE!</v>
      </c>
      <c r="BH116" t="e">
        <f>AND(Bills!X349,"AAAAAFL/+zs=")</f>
        <v>#VALUE!</v>
      </c>
      <c r="BI116" t="e">
        <f>AND(Bills!#REF!,"AAAAAFL/+zw=")</f>
        <v>#REF!</v>
      </c>
      <c r="BJ116" t="e">
        <f>AND(Bills!#REF!,"AAAAAFL/+z0=")</f>
        <v>#REF!</v>
      </c>
      <c r="BK116" t="e">
        <f>AND(Bills!#REF!,"AAAAAFL/+z4=")</f>
        <v>#REF!</v>
      </c>
      <c r="BL116" t="e">
        <f>AND(Bills!#REF!,"AAAAAFL/+z8=")</f>
        <v>#REF!</v>
      </c>
      <c r="BM116" t="e">
        <f>AND(Bills!#REF!,"AAAAAFL/+0A=")</f>
        <v>#REF!</v>
      </c>
      <c r="BN116" t="e">
        <f>AND(Bills!#REF!,"AAAAAFL/+0E=")</f>
        <v>#REF!</v>
      </c>
      <c r="BO116" t="e">
        <f>AND(Bills!#REF!,"AAAAAFL/+0I=")</f>
        <v>#REF!</v>
      </c>
      <c r="BP116" t="e">
        <f>AND(Bills!#REF!,"AAAAAFL/+0M=")</f>
        <v>#REF!</v>
      </c>
      <c r="BQ116" t="e">
        <f>AND(Bills!#REF!,"AAAAAFL/+0Q=")</f>
        <v>#REF!</v>
      </c>
      <c r="BR116" t="e">
        <f>AND(Bills!Y349,"AAAAAFL/+0U=")</f>
        <v>#VALUE!</v>
      </c>
      <c r="BS116" t="e">
        <f>AND(Bills!Z349,"AAAAAFL/+0Y=")</f>
        <v>#VALUE!</v>
      </c>
      <c r="BT116" t="e">
        <f>AND(Bills!#REF!,"AAAAAFL/+0c=")</f>
        <v>#REF!</v>
      </c>
      <c r="BU116" t="e">
        <f>AND(Bills!#REF!,"AAAAAFL/+0g=")</f>
        <v>#REF!</v>
      </c>
      <c r="BV116" t="e">
        <f>AND(Bills!#REF!,"AAAAAFL/+0k=")</f>
        <v>#REF!</v>
      </c>
      <c r="BW116" t="e">
        <f>AND(Bills!AA349,"AAAAAFL/+0o=")</f>
        <v>#VALUE!</v>
      </c>
      <c r="BX116" t="e">
        <f>AND(Bills!AB349,"AAAAAFL/+0s=")</f>
        <v>#VALUE!</v>
      </c>
      <c r="BY116" t="e">
        <f>AND(Bills!#REF!,"AAAAAFL/+0w=")</f>
        <v>#REF!</v>
      </c>
      <c r="BZ116">
        <f>IF(Bills!350:350,"AAAAAFL/+00=",0)</f>
        <v>0</v>
      </c>
      <c r="CA116" t="e">
        <f>AND(Bills!B350,"AAAAAFL/+04=")</f>
        <v>#VALUE!</v>
      </c>
      <c r="CB116" t="e">
        <f>AND(Bills!#REF!,"AAAAAFL/+08=")</f>
        <v>#REF!</v>
      </c>
      <c r="CC116" t="e">
        <f>AND(Bills!C350,"AAAAAFL/+1A=")</f>
        <v>#VALUE!</v>
      </c>
      <c r="CD116" t="e">
        <f>AND(Bills!#REF!,"AAAAAFL/+1E=")</f>
        <v>#REF!</v>
      </c>
      <c r="CE116" t="e">
        <f>AND(Bills!#REF!,"AAAAAFL/+1I=")</f>
        <v>#REF!</v>
      </c>
      <c r="CF116" t="e">
        <f>AND(Bills!#REF!,"AAAAAFL/+1M=")</f>
        <v>#REF!</v>
      </c>
      <c r="CG116" t="e">
        <f>AND(Bills!#REF!,"AAAAAFL/+1Q=")</f>
        <v>#REF!</v>
      </c>
      <c r="CH116" t="e">
        <f>AND(Bills!#REF!,"AAAAAFL/+1U=")</f>
        <v>#REF!</v>
      </c>
      <c r="CI116" t="e">
        <f>AND(Bills!D350,"AAAAAFL/+1Y=")</f>
        <v>#VALUE!</v>
      </c>
      <c r="CJ116" t="e">
        <f>AND(Bills!#REF!,"AAAAAFL/+1c=")</f>
        <v>#REF!</v>
      </c>
      <c r="CK116" t="e">
        <f>AND(Bills!E350,"AAAAAFL/+1g=")</f>
        <v>#VALUE!</v>
      </c>
      <c r="CL116" t="e">
        <f>AND(Bills!F350,"AAAAAFL/+1k=")</f>
        <v>#VALUE!</v>
      </c>
      <c r="CM116" t="e">
        <f>AND(Bills!G350,"AAAAAFL/+1o=")</f>
        <v>#VALUE!</v>
      </c>
      <c r="CN116" t="e">
        <f>AND(Bills!H350,"AAAAAFL/+1s=")</f>
        <v>#VALUE!</v>
      </c>
      <c r="CO116" t="e">
        <f>AND(Bills!I350,"AAAAAFL/+1w=")</f>
        <v>#VALUE!</v>
      </c>
      <c r="CP116" t="e">
        <f>AND(Bills!J350,"AAAAAFL/+10=")</f>
        <v>#VALUE!</v>
      </c>
      <c r="CQ116" t="e">
        <f>AND(Bills!#REF!,"AAAAAFL/+14=")</f>
        <v>#REF!</v>
      </c>
      <c r="CR116" t="e">
        <f>AND(Bills!K350,"AAAAAFL/+18=")</f>
        <v>#VALUE!</v>
      </c>
      <c r="CS116" t="e">
        <f>AND(Bills!L350,"AAAAAFL/+2A=")</f>
        <v>#VALUE!</v>
      </c>
      <c r="CT116" t="e">
        <f>AND(Bills!M350,"AAAAAFL/+2E=")</f>
        <v>#VALUE!</v>
      </c>
      <c r="CU116" t="e">
        <f>AND(Bills!N350,"AAAAAFL/+2I=")</f>
        <v>#VALUE!</v>
      </c>
      <c r="CV116" t="e">
        <f>AND(Bills!O350,"AAAAAFL/+2M=")</f>
        <v>#VALUE!</v>
      </c>
      <c r="CW116" t="e">
        <f>AND(Bills!P350,"AAAAAFL/+2Q=")</f>
        <v>#VALUE!</v>
      </c>
      <c r="CX116" t="e">
        <f>AND(Bills!Q350,"AAAAAFL/+2U=")</f>
        <v>#VALUE!</v>
      </c>
      <c r="CY116" t="e">
        <f>AND(Bills!R350,"AAAAAFL/+2Y=")</f>
        <v>#VALUE!</v>
      </c>
      <c r="CZ116" t="e">
        <f>AND(Bills!#REF!,"AAAAAFL/+2c=")</f>
        <v>#REF!</v>
      </c>
      <c r="DA116" t="e">
        <f>AND(Bills!S350,"AAAAAFL/+2g=")</f>
        <v>#VALUE!</v>
      </c>
      <c r="DB116" t="e">
        <f>AND(Bills!T350,"AAAAAFL/+2k=")</f>
        <v>#VALUE!</v>
      </c>
      <c r="DC116" t="e">
        <f>AND(Bills!U350,"AAAAAFL/+2o=")</f>
        <v>#VALUE!</v>
      </c>
      <c r="DD116" t="e">
        <f>AND(Bills!#REF!,"AAAAAFL/+2s=")</f>
        <v>#REF!</v>
      </c>
      <c r="DE116" t="e">
        <f>AND(Bills!#REF!,"AAAAAFL/+2w=")</f>
        <v>#REF!</v>
      </c>
      <c r="DF116" t="e">
        <f>AND(Bills!W350,"AAAAAFL/+20=")</f>
        <v>#VALUE!</v>
      </c>
      <c r="DG116" t="e">
        <f>AND(Bills!X350,"AAAAAFL/+24=")</f>
        <v>#VALUE!</v>
      </c>
      <c r="DH116" t="e">
        <f>AND(Bills!#REF!,"AAAAAFL/+28=")</f>
        <v>#REF!</v>
      </c>
      <c r="DI116" t="e">
        <f>AND(Bills!#REF!,"AAAAAFL/+3A=")</f>
        <v>#REF!</v>
      </c>
      <c r="DJ116" t="e">
        <f>AND(Bills!#REF!,"AAAAAFL/+3E=")</f>
        <v>#REF!</v>
      </c>
      <c r="DK116" t="e">
        <f>AND(Bills!#REF!,"AAAAAFL/+3I=")</f>
        <v>#REF!</v>
      </c>
      <c r="DL116" t="e">
        <f>AND(Bills!#REF!,"AAAAAFL/+3M=")</f>
        <v>#REF!</v>
      </c>
      <c r="DM116" t="e">
        <f>AND(Bills!#REF!,"AAAAAFL/+3Q=")</f>
        <v>#REF!</v>
      </c>
      <c r="DN116" t="e">
        <f>AND(Bills!#REF!,"AAAAAFL/+3U=")</f>
        <v>#REF!</v>
      </c>
      <c r="DO116" t="e">
        <f>AND(Bills!#REF!,"AAAAAFL/+3Y=")</f>
        <v>#REF!</v>
      </c>
      <c r="DP116" t="e">
        <f>AND(Bills!#REF!,"AAAAAFL/+3c=")</f>
        <v>#REF!</v>
      </c>
      <c r="DQ116" t="e">
        <f>AND(Bills!Y350,"AAAAAFL/+3g=")</f>
        <v>#VALUE!</v>
      </c>
      <c r="DR116" t="e">
        <f>AND(Bills!Z350,"AAAAAFL/+3k=")</f>
        <v>#VALUE!</v>
      </c>
      <c r="DS116" t="e">
        <f>AND(Bills!#REF!,"AAAAAFL/+3o=")</f>
        <v>#REF!</v>
      </c>
      <c r="DT116" t="e">
        <f>AND(Bills!#REF!,"AAAAAFL/+3s=")</f>
        <v>#REF!</v>
      </c>
      <c r="DU116" t="e">
        <f>AND(Bills!#REF!,"AAAAAFL/+3w=")</f>
        <v>#REF!</v>
      </c>
      <c r="DV116" t="e">
        <f>AND(Bills!AA350,"AAAAAFL/+30=")</f>
        <v>#VALUE!</v>
      </c>
      <c r="DW116" t="e">
        <f>AND(Bills!AB350,"AAAAAFL/+34=")</f>
        <v>#VALUE!</v>
      </c>
      <c r="DX116" t="e">
        <f>AND(Bills!#REF!,"AAAAAFL/+38=")</f>
        <v>#REF!</v>
      </c>
      <c r="DY116">
        <f>IF(Bills!351:351,"AAAAAFL/+4A=",0)</f>
        <v>0</v>
      </c>
      <c r="DZ116" t="e">
        <f>AND(Bills!B351,"AAAAAFL/+4E=")</f>
        <v>#VALUE!</v>
      </c>
      <c r="EA116" t="e">
        <f>AND(Bills!#REF!,"AAAAAFL/+4I=")</f>
        <v>#REF!</v>
      </c>
      <c r="EB116" t="e">
        <f>AND(Bills!C351,"AAAAAFL/+4M=")</f>
        <v>#VALUE!</v>
      </c>
      <c r="EC116" t="e">
        <f>AND(Bills!#REF!,"AAAAAFL/+4Q=")</f>
        <v>#REF!</v>
      </c>
      <c r="ED116" t="e">
        <f>AND(Bills!#REF!,"AAAAAFL/+4U=")</f>
        <v>#REF!</v>
      </c>
      <c r="EE116" t="e">
        <f>AND(Bills!#REF!,"AAAAAFL/+4Y=")</f>
        <v>#REF!</v>
      </c>
      <c r="EF116" t="e">
        <f>AND(Bills!#REF!,"AAAAAFL/+4c=")</f>
        <v>#REF!</v>
      </c>
      <c r="EG116" t="e">
        <f>AND(Bills!#REF!,"AAAAAFL/+4g=")</f>
        <v>#REF!</v>
      </c>
      <c r="EH116" t="e">
        <f>AND(Bills!D351,"AAAAAFL/+4k=")</f>
        <v>#VALUE!</v>
      </c>
      <c r="EI116" t="e">
        <f>AND(Bills!#REF!,"AAAAAFL/+4o=")</f>
        <v>#REF!</v>
      </c>
      <c r="EJ116" t="e">
        <f>AND(Bills!E351,"AAAAAFL/+4s=")</f>
        <v>#VALUE!</v>
      </c>
      <c r="EK116" t="e">
        <f>AND(Bills!F351,"AAAAAFL/+4w=")</f>
        <v>#VALUE!</v>
      </c>
      <c r="EL116" t="e">
        <f>AND(Bills!G351,"AAAAAFL/+40=")</f>
        <v>#VALUE!</v>
      </c>
      <c r="EM116" t="e">
        <f>AND(Bills!H351,"AAAAAFL/+44=")</f>
        <v>#VALUE!</v>
      </c>
      <c r="EN116" t="e">
        <f>AND(Bills!I351,"AAAAAFL/+48=")</f>
        <v>#VALUE!</v>
      </c>
      <c r="EO116" t="e">
        <f>AND(Bills!J351,"AAAAAFL/+5A=")</f>
        <v>#VALUE!</v>
      </c>
      <c r="EP116" t="e">
        <f>AND(Bills!#REF!,"AAAAAFL/+5E=")</f>
        <v>#REF!</v>
      </c>
      <c r="EQ116" t="e">
        <f>AND(Bills!K351,"AAAAAFL/+5I=")</f>
        <v>#VALUE!</v>
      </c>
      <c r="ER116" t="e">
        <f>AND(Bills!L351,"AAAAAFL/+5M=")</f>
        <v>#VALUE!</v>
      </c>
      <c r="ES116" t="e">
        <f>AND(Bills!M351,"AAAAAFL/+5Q=")</f>
        <v>#VALUE!</v>
      </c>
      <c r="ET116" t="e">
        <f>AND(Bills!N351,"AAAAAFL/+5U=")</f>
        <v>#VALUE!</v>
      </c>
      <c r="EU116" t="e">
        <f>AND(Bills!O351,"AAAAAFL/+5Y=")</f>
        <v>#VALUE!</v>
      </c>
      <c r="EV116" t="e">
        <f>AND(Bills!P351,"AAAAAFL/+5c=")</f>
        <v>#VALUE!</v>
      </c>
      <c r="EW116" t="e">
        <f>AND(Bills!Q351,"AAAAAFL/+5g=")</f>
        <v>#VALUE!</v>
      </c>
      <c r="EX116" t="e">
        <f>AND(Bills!R351,"AAAAAFL/+5k=")</f>
        <v>#VALUE!</v>
      </c>
      <c r="EY116" t="e">
        <f>AND(Bills!#REF!,"AAAAAFL/+5o=")</f>
        <v>#REF!</v>
      </c>
      <c r="EZ116" t="e">
        <f>AND(Bills!S351,"AAAAAFL/+5s=")</f>
        <v>#VALUE!</v>
      </c>
      <c r="FA116" t="e">
        <f>AND(Bills!T351,"AAAAAFL/+5w=")</f>
        <v>#VALUE!</v>
      </c>
      <c r="FB116" t="e">
        <f>AND(Bills!U351,"AAAAAFL/+50=")</f>
        <v>#VALUE!</v>
      </c>
      <c r="FC116" t="e">
        <f>AND(Bills!#REF!,"AAAAAFL/+54=")</f>
        <v>#REF!</v>
      </c>
      <c r="FD116" t="e">
        <f>AND(Bills!#REF!,"AAAAAFL/+58=")</f>
        <v>#REF!</v>
      </c>
      <c r="FE116" t="e">
        <f>AND(Bills!W351,"AAAAAFL/+6A=")</f>
        <v>#VALUE!</v>
      </c>
      <c r="FF116" t="e">
        <f>AND(Bills!X351,"AAAAAFL/+6E=")</f>
        <v>#VALUE!</v>
      </c>
      <c r="FG116" t="e">
        <f>AND(Bills!#REF!,"AAAAAFL/+6I=")</f>
        <v>#REF!</v>
      </c>
      <c r="FH116" t="e">
        <f>AND(Bills!#REF!,"AAAAAFL/+6M=")</f>
        <v>#REF!</v>
      </c>
      <c r="FI116" t="e">
        <f>AND(Bills!#REF!,"AAAAAFL/+6Q=")</f>
        <v>#REF!</v>
      </c>
      <c r="FJ116" t="e">
        <f>AND(Bills!#REF!,"AAAAAFL/+6U=")</f>
        <v>#REF!</v>
      </c>
      <c r="FK116" t="e">
        <f>AND(Bills!#REF!,"AAAAAFL/+6Y=")</f>
        <v>#REF!</v>
      </c>
      <c r="FL116" t="e">
        <f>AND(Bills!#REF!,"AAAAAFL/+6c=")</f>
        <v>#REF!</v>
      </c>
      <c r="FM116" t="e">
        <f>AND(Bills!#REF!,"AAAAAFL/+6g=")</f>
        <v>#REF!</v>
      </c>
      <c r="FN116" t="e">
        <f>AND(Bills!#REF!,"AAAAAFL/+6k=")</f>
        <v>#REF!</v>
      </c>
      <c r="FO116" t="e">
        <f>AND(Bills!#REF!,"AAAAAFL/+6o=")</f>
        <v>#REF!</v>
      </c>
      <c r="FP116" t="e">
        <f>AND(Bills!Y351,"AAAAAFL/+6s=")</f>
        <v>#VALUE!</v>
      </c>
      <c r="FQ116" t="e">
        <f>AND(Bills!Z351,"AAAAAFL/+6w=")</f>
        <v>#VALUE!</v>
      </c>
      <c r="FR116" t="e">
        <f>AND(Bills!#REF!,"AAAAAFL/+60=")</f>
        <v>#REF!</v>
      </c>
      <c r="FS116" t="e">
        <f>AND(Bills!#REF!,"AAAAAFL/+64=")</f>
        <v>#REF!</v>
      </c>
      <c r="FT116" t="e">
        <f>AND(Bills!#REF!,"AAAAAFL/+68=")</f>
        <v>#REF!</v>
      </c>
      <c r="FU116" t="e">
        <f>AND(Bills!AA351,"AAAAAFL/+7A=")</f>
        <v>#VALUE!</v>
      </c>
      <c r="FV116" t="e">
        <f>AND(Bills!AB351,"AAAAAFL/+7E=")</f>
        <v>#VALUE!</v>
      </c>
      <c r="FW116" t="e">
        <f>AND(Bills!#REF!,"AAAAAFL/+7I=")</f>
        <v>#REF!</v>
      </c>
      <c r="FX116">
        <f>IF(Bills!352:352,"AAAAAFL/+7M=",0)</f>
        <v>0</v>
      </c>
      <c r="FY116" t="e">
        <f>AND(Bills!B352,"AAAAAFL/+7Q=")</f>
        <v>#VALUE!</v>
      </c>
      <c r="FZ116" t="e">
        <f>AND(Bills!#REF!,"AAAAAFL/+7U=")</f>
        <v>#REF!</v>
      </c>
      <c r="GA116" t="e">
        <f>AND(Bills!C352,"AAAAAFL/+7Y=")</f>
        <v>#VALUE!</v>
      </c>
      <c r="GB116" t="e">
        <f>AND(Bills!#REF!,"AAAAAFL/+7c=")</f>
        <v>#REF!</v>
      </c>
      <c r="GC116" t="e">
        <f>AND(Bills!#REF!,"AAAAAFL/+7g=")</f>
        <v>#REF!</v>
      </c>
      <c r="GD116" t="e">
        <f>AND(Bills!#REF!,"AAAAAFL/+7k=")</f>
        <v>#REF!</v>
      </c>
      <c r="GE116" t="e">
        <f>AND(Bills!#REF!,"AAAAAFL/+7o=")</f>
        <v>#REF!</v>
      </c>
      <c r="GF116" t="e">
        <f>AND(Bills!#REF!,"AAAAAFL/+7s=")</f>
        <v>#REF!</v>
      </c>
      <c r="GG116" t="e">
        <f>AND(Bills!D352,"AAAAAFL/+7w=")</f>
        <v>#VALUE!</v>
      </c>
      <c r="GH116" t="e">
        <f>AND(Bills!#REF!,"AAAAAFL/+70=")</f>
        <v>#REF!</v>
      </c>
      <c r="GI116" t="e">
        <f>AND(Bills!E352,"AAAAAFL/+74=")</f>
        <v>#VALUE!</v>
      </c>
      <c r="GJ116" t="e">
        <f>AND(Bills!F352,"AAAAAFL/+78=")</f>
        <v>#VALUE!</v>
      </c>
      <c r="GK116" t="e">
        <f>AND(Bills!G352,"AAAAAFL/+8A=")</f>
        <v>#VALUE!</v>
      </c>
      <c r="GL116" t="e">
        <f>AND(Bills!H352,"AAAAAFL/+8E=")</f>
        <v>#VALUE!</v>
      </c>
      <c r="GM116" t="e">
        <f>AND(Bills!I352,"AAAAAFL/+8I=")</f>
        <v>#VALUE!</v>
      </c>
      <c r="GN116" t="e">
        <f>AND(Bills!J352,"AAAAAFL/+8M=")</f>
        <v>#VALUE!</v>
      </c>
      <c r="GO116" t="e">
        <f>AND(Bills!#REF!,"AAAAAFL/+8Q=")</f>
        <v>#REF!</v>
      </c>
      <c r="GP116" t="e">
        <f>AND(Bills!K352,"AAAAAFL/+8U=")</f>
        <v>#VALUE!</v>
      </c>
      <c r="GQ116" t="e">
        <f>AND(Bills!L352,"AAAAAFL/+8Y=")</f>
        <v>#VALUE!</v>
      </c>
      <c r="GR116" t="e">
        <f>AND(Bills!M352,"AAAAAFL/+8c=")</f>
        <v>#VALUE!</v>
      </c>
      <c r="GS116" t="e">
        <f>AND(Bills!N352,"AAAAAFL/+8g=")</f>
        <v>#VALUE!</v>
      </c>
      <c r="GT116" t="e">
        <f>AND(Bills!O352,"AAAAAFL/+8k=")</f>
        <v>#VALUE!</v>
      </c>
      <c r="GU116" t="e">
        <f>AND(Bills!P352,"AAAAAFL/+8o=")</f>
        <v>#VALUE!</v>
      </c>
      <c r="GV116" t="e">
        <f>AND(Bills!Q352,"AAAAAFL/+8s=")</f>
        <v>#VALUE!</v>
      </c>
      <c r="GW116" t="e">
        <f>AND(Bills!R352,"AAAAAFL/+8w=")</f>
        <v>#VALUE!</v>
      </c>
      <c r="GX116" t="e">
        <f>AND(Bills!#REF!,"AAAAAFL/+80=")</f>
        <v>#REF!</v>
      </c>
      <c r="GY116" t="e">
        <f>AND(Bills!S352,"AAAAAFL/+84=")</f>
        <v>#VALUE!</v>
      </c>
      <c r="GZ116" t="e">
        <f>AND(Bills!T352,"AAAAAFL/+88=")</f>
        <v>#VALUE!</v>
      </c>
      <c r="HA116" t="e">
        <f>AND(Bills!U352,"AAAAAFL/+9A=")</f>
        <v>#VALUE!</v>
      </c>
      <c r="HB116" t="e">
        <f>AND(Bills!#REF!,"AAAAAFL/+9E=")</f>
        <v>#REF!</v>
      </c>
      <c r="HC116" t="e">
        <f>AND(Bills!#REF!,"AAAAAFL/+9I=")</f>
        <v>#REF!</v>
      </c>
      <c r="HD116" t="e">
        <f>AND(Bills!W352,"AAAAAFL/+9M=")</f>
        <v>#VALUE!</v>
      </c>
      <c r="HE116" t="e">
        <f>AND(Bills!X352,"AAAAAFL/+9Q=")</f>
        <v>#VALUE!</v>
      </c>
      <c r="HF116" t="e">
        <f>AND(Bills!#REF!,"AAAAAFL/+9U=")</f>
        <v>#REF!</v>
      </c>
      <c r="HG116" t="e">
        <f>AND(Bills!#REF!,"AAAAAFL/+9Y=")</f>
        <v>#REF!</v>
      </c>
      <c r="HH116" t="e">
        <f>AND(Bills!#REF!,"AAAAAFL/+9c=")</f>
        <v>#REF!</v>
      </c>
      <c r="HI116" t="e">
        <f>AND(Bills!#REF!,"AAAAAFL/+9g=")</f>
        <v>#REF!</v>
      </c>
      <c r="HJ116" t="e">
        <f>AND(Bills!#REF!,"AAAAAFL/+9k=")</f>
        <v>#REF!</v>
      </c>
      <c r="HK116" t="e">
        <f>AND(Bills!#REF!,"AAAAAFL/+9o=")</f>
        <v>#REF!</v>
      </c>
      <c r="HL116" t="e">
        <f>AND(Bills!#REF!,"AAAAAFL/+9s=")</f>
        <v>#REF!</v>
      </c>
      <c r="HM116" t="e">
        <f>AND(Bills!#REF!,"AAAAAFL/+9w=")</f>
        <v>#REF!</v>
      </c>
      <c r="HN116" t="e">
        <f>AND(Bills!#REF!,"AAAAAFL/+90=")</f>
        <v>#REF!</v>
      </c>
      <c r="HO116" t="e">
        <f>AND(Bills!Y352,"AAAAAFL/+94=")</f>
        <v>#VALUE!</v>
      </c>
      <c r="HP116" t="e">
        <f>AND(Bills!Z352,"AAAAAFL/+98=")</f>
        <v>#VALUE!</v>
      </c>
      <c r="HQ116" t="e">
        <f>AND(Bills!#REF!,"AAAAAFL/++A=")</f>
        <v>#REF!</v>
      </c>
      <c r="HR116" t="e">
        <f>AND(Bills!#REF!,"AAAAAFL/++E=")</f>
        <v>#REF!</v>
      </c>
      <c r="HS116" t="e">
        <f>AND(Bills!#REF!,"AAAAAFL/++I=")</f>
        <v>#REF!</v>
      </c>
      <c r="HT116" t="e">
        <f>AND(Bills!AA352,"AAAAAFL/++M=")</f>
        <v>#VALUE!</v>
      </c>
      <c r="HU116" t="e">
        <f>AND(Bills!AB352,"AAAAAFL/++Q=")</f>
        <v>#VALUE!</v>
      </c>
      <c r="HV116" t="e">
        <f>AND(Bills!#REF!,"AAAAAFL/++U=")</f>
        <v>#REF!</v>
      </c>
      <c r="HW116">
        <f>IF(Bills!353:353,"AAAAAFL/++Y=",0)</f>
        <v>0</v>
      </c>
      <c r="HX116" t="e">
        <f>AND(Bills!B353,"AAAAAFL/++c=")</f>
        <v>#VALUE!</v>
      </c>
      <c r="HY116" t="e">
        <f>AND(Bills!#REF!,"AAAAAFL/++g=")</f>
        <v>#REF!</v>
      </c>
      <c r="HZ116" t="e">
        <f>AND(Bills!C353,"AAAAAFL/++k=")</f>
        <v>#VALUE!</v>
      </c>
      <c r="IA116" t="e">
        <f>AND(Bills!#REF!,"AAAAAFL/++o=")</f>
        <v>#REF!</v>
      </c>
      <c r="IB116" t="e">
        <f>AND(Bills!#REF!,"AAAAAFL/++s=")</f>
        <v>#REF!</v>
      </c>
      <c r="IC116" t="e">
        <f>AND(Bills!#REF!,"AAAAAFL/++w=")</f>
        <v>#REF!</v>
      </c>
      <c r="ID116" t="e">
        <f>AND(Bills!#REF!,"AAAAAFL/++0=")</f>
        <v>#REF!</v>
      </c>
      <c r="IE116" t="e">
        <f>AND(Bills!#REF!,"AAAAAFL/++4=")</f>
        <v>#REF!</v>
      </c>
      <c r="IF116" t="e">
        <f>AND(Bills!D353,"AAAAAFL/++8=")</f>
        <v>#VALUE!</v>
      </c>
      <c r="IG116" t="e">
        <f>AND(Bills!#REF!,"AAAAAFL/+/A=")</f>
        <v>#REF!</v>
      </c>
      <c r="IH116" t="e">
        <f>AND(Bills!E353,"AAAAAFL/+/E=")</f>
        <v>#VALUE!</v>
      </c>
      <c r="II116" t="e">
        <f>AND(Bills!F353,"AAAAAFL/+/I=")</f>
        <v>#VALUE!</v>
      </c>
      <c r="IJ116" t="e">
        <f>AND(Bills!G353,"AAAAAFL/+/M=")</f>
        <v>#VALUE!</v>
      </c>
      <c r="IK116" t="e">
        <f>AND(Bills!H353,"AAAAAFL/+/Q=")</f>
        <v>#VALUE!</v>
      </c>
      <c r="IL116" t="e">
        <f>AND(Bills!I353,"AAAAAFL/+/U=")</f>
        <v>#VALUE!</v>
      </c>
      <c r="IM116" t="e">
        <f>AND(Bills!J353,"AAAAAFL/+/Y=")</f>
        <v>#VALUE!</v>
      </c>
      <c r="IN116" t="e">
        <f>AND(Bills!#REF!,"AAAAAFL/+/c=")</f>
        <v>#REF!</v>
      </c>
      <c r="IO116" t="e">
        <f>AND(Bills!K353,"AAAAAFL/+/g=")</f>
        <v>#VALUE!</v>
      </c>
      <c r="IP116" t="e">
        <f>AND(Bills!L353,"AAAAAFL/+/k=")</f>
        <v>#VALUE!</v>
      </c>
      <c r="IQ116" t="e">
        <f>AND(Bills!M353,"AAAAAFL/+/o=")</f>
        <v>#VALUE!</v>
      </c>
      <c r="IR116" t="e">
        <f>AND(Bills!N353,"AAAAAFL/+/s=")</f>
        <v>#VALUE!</v>
      </c>
      <c r="IS116" t="e">
        <f>AND(Bills!O353,"AAAAAFL/+/w=")</f>
        <v>#VALUE!</v>
      </c>
      <c r="IT116" t="e">
        <f>AND(Bills!P353,"AAAAAFL/+/0=")</f>
        <v>#VALUE!</v>
      </c>
      <c r="IU116" t="e">
        <f>AND(Bills!Q353,"AAAAAFL/+/4=")</f>
        <v>#VALUE!</v>
      </c>
      <c r="IV116" t="e">
        <f>AND(Bills!R353,"AAAAAFL/+/8=")</f>
        <v>#VALUE!</v>
      </c>
    </row>
    <row r="117" spans="1:256">
      <c r="A117" t="e">
        <f>AND(Bills!#REF!,"AAAAAH/3/gA=")</f>
        <v>#REF!</v>
      </c>
      <c r="B117" t="e">
        <f>AND(Bills!S353,"AAAAAH/3/gE=")</f>
        <v>#VALUE!</v>
      </c>
      <c r="C117" t="e">
        <f>AND(Bills!T353,"AAAAAH/3/gI=")</f>
        <v>#VALUE!</v>
      </c>
      <c r="D117" t="e">
        <f>AND(Bills!U353,"AAAAAH/3/gM=")</f>
        <v>#VALUE!</v>
      </c>
      <c r="E117" t="e">
        <f>AND(Bills!#REF!,"AAAAAH/3/gQ=")</f>
        <v>#REF!</v>
      </c>
      <c r="F117" t="e">
        <f>AND(Bills!#REF!,"AAAAAH/3/gU=")</f>
        <v>#REF!</v>
      </c>
      <c r="G117" t="e">
        <f>AND(Bills!W353,"AAAAAH/3/gY=")</f>
        <v>#VALUE!</v>
      </c>
      <c r="H117" t="e">
        <f>AND(Bills!X353,"AAAAAH/3/gc=")</f>
        <v>#VALUE!</v>
      </c>
      <c r="I117" t="e">
        <f>AND(Bills!#REF!,"AAAAAH/3/gg=")</f>
        <v>#REF!</v>
      </c>
      <c r="J117" t="e">
        <f>AND(Bills!#REF!,"AAAAAH/3/gk=")</f>
        <v>#REF!</v>
      </c>
      <c r="K117" t="e">
        <f>AND(Bills!#REF!,"AAAAAH/3/go=")</f>
        <v>#REF!</v>
      </c>
      <c r="L117" t="e">
        <f>AND(Bills!#REF!,"AAAAAH/3/gs=")</f>
        <v>#REF!</v>
      </c>
      <c r="M117" t="e">
        <f>AND(Bills!#REF!,"AAAAAH/3/gw=")</f>
        <v>#REF!</v>
      </c>
      <c r="N117" t="e">
        <f>AND(Bills!#REF!,"AAAAAH/3/g0=")</f>
        <v>#REF!</v>
      </c>
      <c r="O117" t="e">
        <f>AND(Bills!#REF!,"AAAAAH/3/g4=")</f>
        <v>#REF!</v>
      </c>
      <c r="P117" t="e">
        <f>AND(Bills!#REF!,"AAAAAH/3/g8=")</f>
        <v>#REF!</v>
      </c>
      <c r="Q117" t="e">
        <f>AND(Bills!#REF!,"AAAAAH/3/hA=")</f>
        <v>#REF!</v>
      </c>
      <c r="R117" t="e">
        <f>AND(Bills!Y353,"AAAAAH/3/hE=")</f>
        <v>#VALUE!</v>
      </c>
      <c r="S117" t="e">
        <f>AND(Bills!Z353,"AAAAAH/3/hI=")</f>
        <v>#VALUE!</v>
      </c>
      <c r="T117" t="e">
        <f>AND(Bills!#REF!,"AAAAAH/3/hM=")</f>
        <v>#REF!</v>
      </c>
      <c r="U117" t="e">
        <f>AND(Bills!#REF!,"AAAAAH/3/hQ=")</f>
        <v>#REF!</v>
      </c>
      <c r="V117" t="e">
        <f>AND(Bills!#REF!,"AAAAAH/3/hU=")</f>
        <v>#REF!</v>
      </c>
      <c r="W117" t="e">
        <f>AND(Bills!AA353,"AAAAAH/3/hY=")</f>
        <v>#VALUE!</v>
      </c>
      <c r="X117" t="e">
        <f>AND(Bills!AB353,"AAAAAH/3/hc=")</f>
        <v>#VALUE!</v>
      </c>
      <c r="Y117" t="e">
        <f>AND(Bills!#REF!,"AAAAAH/3/hg=")</f>
        <v>#REF!</v>
      </c>
      <c r="Z117">
        <f>IF(Bills!354:354,"AAAAAH/3/hk=",0)</f>
        <v>0</v>
      </c>
      <c r="AA117" t="e">
        <f>AND(Bills!B354,"AAAAAH/3/ho=")</f>
        <v>#VALUE!</v>
      </c>
      <c r="AB117" t="e">
        <f>AND(Bills!#REF!,"AAAAAH/3/hs=")</f>
        <v>#REF!</v>
      </c>
      <c r="AC117" t="e">
        <f>AND(Bills!C354,"AAAAAH/3/hw=")</f>
        <v>#VALUE!</v>
      </c>
      <c r="AD117" t="e">
        <f>AND(Bills!#REF!,"AAAAAH/3/h0=")</f>
        <v>#REF!</v>
      </c>
      <c r="AE117" t="e">
        <f>AND(Bills!#REF!,"AAAAAH/3/h4=")</f>
        <v>#REF!</v>
      </c>
      <c r="AF117" t="e">
        <f>AND(Bills!#REF!,"AAAAAH/3/h8=")</f>
        <v>#REF!</v>
      </c>
      <c r="AG117" t="e">
        <f>AND(Bills!#REF!,"AAAAAH/3/iA=")</f>
        <v>#REF!</v>
      </c>
      <c r="AH117" t="e">
        <f>AND(Bills!#REF!,"AAAAAH/3/iE=")</f>
        <v>#REF!</v>
      </c>
      <c r="AI117" t="e">
        <f>AND(Bills!D354,"AAAAAH/3/iI=")</f>
        <v>#VALUE!</v>
      </c>
      <c r="AJ117" t="e">
        <f>AND(Bills!#REF!,"AAAAAH/3/iM=")</f>
        <v>#REF!</v>
      </c>
      <c r="AK117" t="e">
        <f>AND(Bills!E354,"AAAAAH/3/iQ=")</f>
        <v>#VALUE!</v>
      </c>
      <c r="AL117" t="e">
        <f>AND(Bills!F354,"AAAAAH/3/iU=")</f>
        <v>#VALUE!</v>
      </c>
      <c r="AM117" t="e">
        <f>AND(Bills!G354,"AAAAAH/3/iY=")</f>
        <v>#VALUE!</v>
      </c>
      <c r="AN117" t="e">
        <f>AND(Bills!H354,"AAAAAH/3/ic=")</f>
        <v>#VALUE!</v>
      </c>
      <c r="AO117" t="e">
        <f>AND(Bills!I354,"AAAAAH/3/ig=")</f>
        <v>#VALUE!</v>
      </c>
      <c r="AP117" t="e">
        <f>AND(Bills!J354,"AAAAAH/3/ik=")</f>
        <v>#VALUE!</v>
      </c>
      <c r="AQ117" t="e">
        <f>AND(Bills!#REF!,"AAAAAH/3/io=")</f>
        <v>#REF!</v>
      </c>
      <c r="AR117" t="e">
        <f>AND(Bills!K354,"AAAAAH/3/is=")</f>
        <v>#VALUE!</v>
      </c>
      <c r="AS117" t="e">
        <f>AND(Bills!L354,"AAAAAH/3/iw=")</f>
        <v>#VALUE!</v>
      </c>
      <c r="AT117" t="e">
        <f>AND(Bills!M354,"AAAAAH/3/i0=")</f>
        <v>#VALUE!</v>
      </c>
      <c r="AU117" t="e">
        <f>AND(Bills!N354,"AAAAAH/3/i4=")</f>
        <v>#VALUE!</v>
      </c>
      <c r="AV117" t="e">
        <f>AND(Bills!O354,"AAAAAH/3/i8=")</f>
        <v>#VALUE!</v>
      </c>
      <c r="AW117" t="e">
        <f>AND(Bills!P354,"AAAAAH/3/jA=")</f>
        <v>#VALUE!</v>
      </c>
      <c r="AX117" t="e">
        <f>AND(Bills!Q354,"AAAAAH/3/jE=")</f>
        <v>#VALUE!</v>
      </c>
      <c r="AY117" t="e">
        <f>AND(Bills!R354,"AAAAAH/3/jI=")</f>
        <v>#VALUE!</v>
      </c>
      <c r="AZ117" t="e">
        <f>AND(Bills!#REF!,"AAAAAH/3/jM=")</f>
        <v>#REF!</v>
      </c>
      <c r="BA117" t="e">
        <f>AND(Bills!S354,"AAAAAH/3/jQ=")</f>
        <v>#VALUE!</v>
      </c>
      <c r="BB117" t="e">
        <f>AND(Bills!T354,"AAAAAH/3/jU=")</f>
        <v>#VALUE!</v>
      </c>
      <c r="BC117" t="e">
        <f>AND(Bills!U354,"AAAAAH/3/jY=")</f>
        <v>#VALUE!</v>
      </c>
      <c r="BD117" t="e">
        <f>AND(Bills!#REF!,"AAAAAH/3/jc=")</f>
        <v>#REF!</v>
      </c>
      <c r="BE117" t="e">
        <f>AND(Bills!#REF!,"AAAAAH/3/jg=")</f>
        <v>#REF!</v>
      </c>
      <c r="BF117" t="e">
        <f>AND(Bills!W354,"AAAAAH/3/jk=")</f>
        <v>#VALUE!</v>
      </c>
      <c r="BG117" t="e">
        <f>AND(Bills!X354,"AAAAAH/3/jo=")</f>
        <v>#VALUE!</v>
      </c>
      <c r="BH117" t="e">
        <f>AND(Bills!#REF!,"AAAAAH/3/js=")</f>
        <v>#REF!</v>
      </c>
      <c r="BI117" t="e">
        <f>AND(Bills!#REF!,"AAAAAH/3/jw=")</f>
        <v>#REF!</v>
      </c>
      <c r="BJ117" t="e">
        <f>AND(Bills!#REF!,"AAAAAH/3/j0=")</f>
        <v>#REF!</v>
      </c>
      <c r="BK117" t="e">
        <f>AND(Bills!#REF!,"AAAAAH/3/j4=")</f>
        <v>#REF!</v>
      </c>
      <c r="BL117" t="e">
        <f>AND(Bills!#REF!,"AAAAAH/3/j8=")</f>
        <v>#REF!</v>
      </c>
      <c r="BM117" t="e">
        <f>AND(Bills!#REF!,"AAAAAH/3/kA=")</f>
        <v>#REF!</v>
      </c>
      <c r="BN117" t="e">
        <f>AND(Bills!#REF!,"AAAAAH/3/kE=")</f>
        <v>#REF!</v>
      </c>
      <c r="BO117" t="e">
        <f>AND(Bills!#REF!,"AAAAAH/3/kI=")</f>
        <v>#REF!</v>
      </c>
      <c r="BP117" t="e">
        <f>AND(Bills!#REF!,"AAAAAH/3/kM=")</f>
        <v>#REF!</v>
      </c>
      <c r="BQ117" t="e">
        <f>AND(Bills!Y354,"AAAAAH/3/kQ=")</f>
        <v>#VALUE!</v>
      </c>
      <c r="BR117" t="e">
        <f>AND(Bills!Z354,"AAAAAH/3/kU=")</f>
        <v>#VALUE!</v>
      </c>
      <c r="BS117" t="e">
        <f>AND(Bills!#REF!,"AAAAAH/3/kY=")</f>
        <v>#REF!</v>
      </c>
      <c r="BT117" t="e">
        <f>AND(Bills!#REF!,"AAAAAH/3/kc=")</f>
        <v>#REF!</v>
      </c>
      <c r="BU117" t="e">
        <f>AND(Bills!#REF!,"AAAAAH/3/kg=")</f>
        <v>#REF!</v>
      </c>
      <c r="BV117" t="e">
        <f>AND(Bills!AA354,"AAAAAH/3/kk=")</f>
        <v>#VALUE!</v>
      </c>
      <c r="BW117" t="e">
        <f>AND(Bills!AB354,"AAAAAH/3/ko=")</f>
        <v>#VALUE!</v>
      </c>
      <c r="BX117" t="e">
        <f>AND(Bills!#REF!,"AAAAAH/3/ks=")</f>
        <v>#REF!</v>
      </c>
      <c r="BY117">
        <f>IF(Bills!355:355,"AAAAAH/3/kw=",0)</f>
        <v>0</v>
      </c>
      <c r="BZ117" t="e">
        <f>AND(Bills!B355,"AAAAAH/3/k0=")</f>
        <v>#VALUE!</v>
      </c>
      <c r="CA117" t="e">
        <f>AND(Bills!#REF!,"AAAAAH/3/k4=")</f>
        <v>#REF!</v>
      </c>
      <c r="CB117" t="e">
        <f>AND(Bills!C355,"AAAAAH/3/k8=")</f>
        <v>#VALUE!</v>
      </c>
      <c r="CC117" t="e">
        <f>AND(Bills!#REF!,"AAAAAH/3/lA=")</f>
        <v>#REF!</v>
      </c>
      <c r="CD117" t="e">
        <f>AND(Bills!#REF!,"AAAAAH/3/lE=")</f>
        <v>#REF!</v>
      </c>
      <c r="CE117" t="e">
        <f>AND(Bills!#REF!,"AAAAAH/3/lI=")</f>
        <v>#REF!</v>
      </c>
      <c r="CF117" t="e">
        <f>AND(Bills!#REF!,"AAAAAH/3/lM=")</f>
        <v>#REF!</v>
      </c>
      <c r="CG117" t="e">
        <f>AND(Bills!#REF!,"AAAAAH/3/lQ=")</f>
        <v>#REF!</v>
      </c>
      <c r="CH117" t="e">
        <f>AND(Bills!D355,"AAAAAH/3/lU=")</f>
        <v>#VALUE!</v>
      </c>
      <c r="CI117" t="e">
        <f>AND(Bills!#REF!,"AAAAAH/3/lY=")</f>
        <v>#REF!</v>
      </c>
      <c r="CJ117" t="e">
        <f>AND(Bills!E355,"AAAAAH/3/lc=")</f>
        <v>#VALUE!</v>
      </c>
      <c r="CK117" t="e">
        <f>AND(Bills!F355,"AAAAAH/3/lg=")</f>
        <v>#VALUE!</v>
      </c>
      <c r="CL117" t="e">
        <f>AND(Bills!G355,"AAAAAH/3/lk=")</f>
        <v>#VALUE!</v>
      </c>
      <c r="CM117" t="e">
        <f>AND(Bills!H355,"AAAAAH/3/lo=")</f>
        <v>#VALUE!</v>
      </c>
      <c r="CN117" t="e">
        <f>AND(Bills!I355,"AAAAAH/3/ls=")</f>
        <v>#VALUE!</v>
      </c>
      <c r="CO117" t="e">
        <f>AND(Bills!J355,"AAAAAH/3/lw=")</f>
        <v>#VALUE!</v>
      </c>
      <c r="CP117" t="e">
        <f>AND(Bills!#REF!,"AAAAAH/3/l0=")</f>
        <v>#REF!</v>
      </c>
      <c r="CQ117" t="e">
        <f>AND(Bills!K355,"AAAAAH/3/l4=")</f>
        <v>#VALUE!</v>
      </c>
      <c r="CR117" t="e">
        <f>AND(Bills!L355,"AAAAAH/3/l8=")</f>
        <v>#VALUE!</v>
      </c>
      <c r="CS117" t="e">
        <f>AND(Bills!M355,"AAAAAH/3/mA=")</f>
        <v>#VALUE!</v>
      </c>
      <c r="CT117" t="e">
        <f>AND(Bills!N355,"AAAAAH/3/mE=")</f>
        <v>#VALUE!</v>
      </c>
      <c r="CU117" t="e">
        <f>AND(Bills!O355,"AAAAAH/3/mI=")</f>
        <v>#VALUE!</v>
      </c>
      <c r="CV117" t="e">
        <f>AND(Bills!P355,"AAAAAH/3/mM=")</f>
        <v>#VALUE!</v>
      </c>
      <c r="CW117" t="e">
        <f>AND(Bills!Q355,"AAAAAH/3/mQ=")</f>
        <v>#VALUE!</v>
      </c>
      <c r="CX117" t="e">
        <f>AND(Bills!R355,"AAAAAH/3/mU=")</f>
        <v>#VALUE!</v>
      </c>
      <c r="CY117" t="e">
        <f>AND(Bills!#REF!,"AAAAAH/3/mY=")</f>
        <v>#REF!</v>
      </c>
      <c r="CZ117" t="e">
        <f>AND(Bills!S355,"AAAAAH/3/mc=")</f>
        <v>#VALUE!</v>
      </c>
      <c r="DA117" t="e">
        <f>AND(Bills!T355,"AAAAAH/3/mg=")</f>
        <v>#VALUE!</v>
      </c>
      <c r="DB117" t="e">
        <f>AND(Bills!U355,"AAAAAH/3/mk=")</f>
        <v>#VALUE!</v>
      </c>
      <c r="DC117" t="e">
        <f>AND(Bills!#REF!,"AAAAAH/3/mo=")</f>
        <v>#REF!</v>
      </c>
      <c r="DD117" t="e">
        <f>AND(Bills!#REF!,"AAAAAH/3/ms=")</f>
        <v>#REF!</v>
      </c>
      <c r="DE117" t="e">
        <f>AND(Bills!W355,"AAAAAH/3/mw=")</f>
        <v>#VALUE!</v>
      </c>
      <c r="DF117" t="e">
        <f>AND(Bills!X355,"AAAAAH/3/m0=")</f>
        <v>#VALUE!</v>
      </c>
      <c r="DG117" t="e">
        <f>AND(Bills!#REF!,"AAAAAH/3/m4=")</f>
        <v>#REF!</v>
      </c>
      <c r="DH117" t="e">
        <f>AND(Bills!#REF!,"AAAAAH/3/m8=")</f>
        <v>#REF!</v>
      </c>
      <c r="DI117" t="e">
        <f>AND(Bills!#REF!,"AAAAAH/3/nA=")</f>
        <v>#REF!</v>
      </c>
      <c r="DJ117" t="e">
        <f>AND(Bills!#REF!,"AAAAAH/3/nE=")</f>
        <v>#REF!</v>
      </c>
      <c r="DK117" t="e">
        <f>AND(Bills!#REF!,"AAAAAH/3/nI=")</f>
        <v>#REF!</v>
      </c>
      <c r="DL117" t="e">
        <f>AND(Bills!#REF!,"AAAAAH/3/nM=")</f>
        <v>#REF!</v>
      </c>
      <c r="DM117" t="e">
        <f>AND(Bills!#REF!,"AAAAAH/3/nQ=")</f>
        <v>#REF!</v>
      </c>
      <c r="DN117" t="e">
        <f>AND(Bills!#REF!,"AAAAAH/3/nU=")</f>
        <v>#REF!</v>
      </c>
      <c r="DO117" t="e">
        <f>AND(Bills!#REF!,"AAAAAH/3/nY=")</f>
        <v>#REF!</v>
      </c>
      <c r="DP117" t="e">
        <f>AND(Bills!Y355,"AAAAAH/3/nc=")</f>
        <v>#VALUE!</v>
      </c>
      <c r="DQ117" t="e">
        <f>AND(Bills!Z355,"AAAAAH/3/ng=")</f>
        <v>#VALUE!</v>
      </c>
      <c r="DR117" t="e">
        <f>AND(Bills!#REF!,"AAAAAH/3/nk=")</f>
        <v>#REF!</v>
      </c>
      <c r="DS117" t="e">
        <f>AND(Bills!#REF!,"AAAAAH/3/no=")</f>
        <v>#REF!</v>
      </c>
      <c r="DT117" t="e">
        <f>AND(Bills!#REF!,"AAAAAH/3/ns=")</f>
        <v>#REF!</v>
      </c>
      <c r="DU117" t="e">
        <f>AND(Bills!AA355,"AAAAAH/3/nw=")</f>
        <v>#VALUE!</v>
      </c>
      <c r="DV117" t="e">
        <f>AND(Bills!AB355,"AAAAAH/3/n0=")</f>
        <v>#VALUE!</v>
      </c>
      <c r="DW117" t="e">
        <f>AND(Bills!#REF!,"AAAAAH/3/n4=")</f>
        <v>#REF!</v>
      </c>
      <c r="DX117">
        <f>IF(Bills!356:356,"AAAAAH/3/n8=",0)</f>
        <v>0</v>
      </c>
      <c r="DY117" t="e">
        <f>AND(Bills!B356,"AAAAAH/3/oA=")</f>
        <v>#VALUE!</v>
      </c>
      <c r="DZ117" t="e">
        <f>AND(Bills!#REF!,"AAAAAH/3/oE=")</f>
        <v>#REF!</v>
      </c>
      <c r="EA117" t="e">
        <f>AND(Bills!C356,"AAAAAH/3/oI=")</f>
        <v>#VALUE!</v>
      </c>
      <c r="EB117" t="e">
        <f>AND(Bills!#REF!,"AAAAAH/3/oM=")</f>
        <v>#REF!</v>
      </c>
      <c r="EC117" t="e">
        <f>AND(Bills!#REF!,"AAAAAH/3/oQ=")</f>
        <v>#REF!</v>
      </c>
      <c r="ED117" t="e">
        <f>AND(Bills!#REF!,"AAAAAH/3/oU=")</f>
        <v>#REF!</v>
      </c>
      <c r="EE117" t="e">
        <f>AND(Bills!#REF!,"AAAAAH/3/oY=")</f>
        <v>#REF!</v>
      </c>
      <c r="EF117" t="e">
        <f>AND(Bills!#REF!,"AAAAAH/3/oc=")</f>
        <v>#REF!</v>
      </c>
      <c r="EG117" t="e">
        <f>AND(Bills!D356,"AAAAAH/3/og=")</f>
        <v>#VALUE!</v>
      </c>
      <c r="EH117" t="e">
        <f>AND(Bills!#REF!,"AAAAAH/3/ok=")</f>
        <v>#REF!</v>
      </c>
      <c r="EI117" t="e">
        <f>AND(Bills!E356,"AAAAAH/3/oo=")</f>
        <v>#VALUE!</v>
      </c>
      <c r="EJ117" t="e">
        <f>AND(Bills!F356,"AAAAAH/3/os=")</f>
        <v>#VALUE!</v>
      </c>
      <c r="EK117" t="e">
        <f>AND(Bills!G356,"AAAAAH/3/ow=")</f>
        <v>#VALUE!</v>
      </c>
      <c r="EL117" t="e">
        <f>AND(Bills!H356,"AAAAAH/3/o0=")</f>
        <v>#VALUE!</v>
      </c>
      <c r="EM117" t="e">
        <f>AND(Bills!I356,"AAAAAH/3/o4=")</f>
        <v>#VALUE!</v>
      </c>
      <c r="EN117" t="e">
        <f>AND(Bills!J356,"AAAAAH/3/o8=")</f>
        <v>#VALUE!</v>
      </c>
      <c r="EO117" t="e">
        <f>AND(Bills!#REF!,"AAAAAH/3/pA=")</f>
        <v>#REF!</v>
      </c>
      <c r="EP117" t="e">
        <f>AND(Bills!K356,"AAAAAH/3/pE=")</f>
        <v>#VALUE!</v>
      </c>
      <c r="EQ117" t="e">
        <f>AND(Bills!L356,"AAAAAH/3/pI=")</f>
        <v>#VALUE!</v>
      </c>
      <c r="ER117" t="e">
        <f>AND(Bills!M356,"AAAAAH/3/pM=")</f>
        <v>#VALUE!</v>
      </c>
      <c r="ES117" t="e">
        <f>AND(Bills!N356,"AAAAAH/3/pQ=")</f>
        <v>#VALUE!</v>
      </c>
      <c r="ET117" t="e">
        <f>AND(Bills!O356,"AAAAAH/3/pU=")</f>
        <v>#VALUE!</v>
      </c>
      <c r="EU117" t="e">
        <f>AND(Bills!P356,"AAAAAH/3/pY=")</f>
        <v>#VALUE!</v>
      </c>
      <c r="EV117" t="e">
        <f>AND(Bills!Q356,"AAAAAH/3/pc=")</f>
        <v>#VALUE!</v>
      </c>
      <c r="EW117" t="e">
        <f>AND(Bills!R356,"AAAAAH/3/pg=")</f>
        <v>#VALUE!</v>
      </c>
      <c r="EX117" t="e">
        <f>AND(Bills!#REF!,"AAAAAH/3/pk=")</f>
        <v>#REF!</v>
      </c>
      <c r="EY117" t="e">
        <f>AND(Bills!S356,"AAAAAH/3/po=")</f>
        <v>#VALUE!</v>
      </c>
      <c r="EZ117" t="e">
        <f>AND(Bills!T356,"AAAAAH/3/ps=")</f>
        <v>#VALUE!</v>
      </c>
      <c r="FA117" t="e">
        <f>AND(Bills!U356,"AAAAAH/3/pw=")</f>
        <v>#VALUE!</v>
      </c>
      <c r="FB117" t="e">
        <f>AND(Bills!#REF!,"AAAAAH/3/p0=")</f>
        <v>#REF!</v>
      </c>
      <c r="FC117" t="e">
        <f>AND(Bills!#REF!,"AAAAAH/3/p4=")</f>
        <v>#REF!</v>
      </c>
      <c r="FD117" t="e">
        <f>AND(Bills!W356,"AAAAAH/3/p8=")</f>
        <v>#VALUE!</v>
      </c>
      <c r="FE117" t="e">
        <f>AND(Bills!X356,"AAAAAH/3/qA=")</f>
        <v>#VALUE!</v>
      </c>
      <c r="FF117" t="e">
        <f>AND(Bills!#REF!,"AAAAAH/3/qE=")</f>
        <v>#REF!</v>
      </c>
      <c r="FG117" t="e">
        <f>AND(Bills!#REF!,"AAAAAH/3/qI=")</f>
        <v>#REF!</v>
      </c>
      <c r="FH117" t="e">
        <f>AND(Bills!#REF!,"AAAAAH/3/qM=")</f>
        <v>#REF!</v>
      </c>
      <c r="FI117" t="e">
        <f>AND(Bills!#REF!,"AAAAAH/3/qQ=")</f>
        <v>#REF!</v>
      </c>
      <c r="FJ117" t="e">
        <f>AND(Bills!#REF!,"AAAAAH/3/qU=")</f>
        <v>#REF!</v>
      </c>
      <c r="FK117" t="e">
        <f>AND(Bills!#REF!,"AAAAAH/3/qY=")</f>
        <v>#REF!</v>
      </c>
      <c r="FL117" t="e">
        <f>AND(Bills!#REF!,"AAAAAH/3/qc=")</f>
        <v>#REF!</v>
      </c>
      <c r="FM117" t="e">
        <f>AND(Bills!#REF!,"AAAAAH/3/qg=")</f>
        <v>#REF!</v>
      </c>
      <c r="FN117" t="e">
        <f>AND(Bills!#REF!,"AAAAAH/3/qk=")</f>
        <v>#REF!</v>
      </c>
      <c r="FO117" t="e">
        <f>AND(Bills!Y356,"AAAAAH/3/qo=")</f>
        <v>#VALUE!</v>
      </c>
      <c r="FP117" t="e">
        <f>AND(Bills!Z356,"AAAAAH/3/qs=")</f>
        <v>#VALUE!</v>
      </c>
      <c r="FQ117" t="e">
        <f>AND(Bills!#REF!,"AAAAAH/3/qw=")</f>
        <v>#REF!</v>
      </c>
      <c r="FR117" t="e">
        <f>AND(Bills!#REF!,"AAAAAH/3/q0=")</f>
        <v>#REF!</v>
      </c>
      <c r="FS117" t="e">
        <f>AND(Bills!#REF!,"AAAAAH/3/q4=")</f>
        <v>#REF!</v>
      </c>
      <c r="FT117" t="e">
        <f>AND(Bills!AA356,"AAAAAH/3/q8=")</f>
        <v>#VALUE!</v>
      </c>
      <c r="FU117" t="e">
        <f>AND(Bills!AB356,"AAAAAH/3/rA=")</f>
        <v>#VALUE!</v>
      </c>
      <c r="FV117" t="e">
        <f>AND(Bills!#REF!,"AAAAAH/3/rE=")</f>
        <v>#REF!</v>
      </c>
      <c r="FW117">
        <f>IF(Bills!357:357,"AAAAAH/3/rI=",0)</f>
        <v>0</v>
      </c>
      <c r="FX117" t="e">
        <f>AND(Bills!B357,"AAAAAH/3/rM=")</f>
        <v>#VALUE!</v>
      </c>
      <c r="FY117" t="e">
        <f>AND(Bills!#REF!,"AAAAAH/3/rQ=")</f>
        <v>#REF!</v>
      </c>
      <c r="FZ117" t="e">
        <f>AND(Bills!C357,"AAAAAH/3/rU=")</f>
        <v>#VALUE!</v>
      </c>
      <c r="GA117" t="e">
        <f>AND(Bills!#REF!,"AAAAAH/3/rY=")</f>
        <v>#REF!</v>
      </c>
      <c r="GB117" t="e">
        <f>AND(Bills!#REF!,"AAAAAH/3/rc=")</f>
        <v>#REF!</v>
      </c>
      <c r="GC117" t="e">
        <f>AND(Bills!#REF!,"AAAAAH/3/rg=")</f>
        <v>#REF!</v>
      </c>
      <c r="GD117" t="e">
        <f>AND(Bills!#REF!,"AAAAAH/3/rk=")</f>
        <v>#REF!</v>
      </c>
      <c r="GE117" t="e">
        <f>AND(Bills!#REF!,"AAAAAH/3/ro=")</f>
        <v>#REF!</v>
      </c>
      <c r="GF117" t="e">
        <f>AND(Bills!D357,"AAAAAH/3/rs=")</f>
        <v>#VALUE!</v>
      </c>
      <c r="GG117" t="e">
        <f>AND(Bills!#REF!,"AAAAAH/3/rw=")</f>
        <v>#REF!</v>
      </c>
      <c r="GH117" t="e">
        <f>AND(Bills!E357,"AAAAAH/3/r0=")</f>
        <v>#VALUE!</v>
      </c>
      <c r="GI117" t="e">
        <f>AND(Bills!F357,"AAAAAH/3/r4=")</f>
        <v>#VALUE!</v>
      </c>
      <c r="GJ117" t="e">
        <f>AND(Bills!G357,"AAAAAH/3/r8=")</f>
        <v>#VALUE!</v>
      </c>
      <c r="GK117" t="e">
        <f>AND(Bills!H357,"AAAAAH/3/sA=")</f>
        <v>#VALUE!</v>
      </c>
      <c r="GL117" t="e">
        <f>AND(Bills!I357,"AAAAAH/3/sE=")</f>
        <v>#VALUE!</v>
      </c>
      <c r="GM117" t="e">
        <f>AND(Bills!J357,"AAAAAH/3/sI=")</f>
        <v>#VALUE!</v>
      </c>
      <c r="GN117" t="e">
        <f>AND(Bills!#REF!,"AAAAAH/3/sM=")</f>
        <v>#REF!</v>
      </c>
      <c r="GO117" t="e">
        <f>AND(Bills!K357,"AAAAAH/3/sQ=")</f>
        <v>#VALUE!</v>
      </c>
      <c r="GP117" t="e">
        <f>AND(Bills!L357,"AAAAAH/3/sU=")</f>
        <v>#VALUE!</v>
      </c>
      <c r="GQ117" t="e">
        <f>AND(Bills!M357,"AAAAAH/3/sY=")</f>
        <v>#VALUE!</v>
      </c>
      <c r="GR117" t="e">
        <f>AND(Bills!N357,"AAAAAH/3/sc=")</f>
        <v>#VALUE!</v>
      </c>
      <c r="GS117" t="e">
        <f>AND(Bills!O357,"AAAAAH/3/sg=")</f>
        <v>#VALUE!</v>
      </c>
      <c r="GT117" t="e">
        <f>AND(Bills!P357,"AAAAAH/3/sk=")</f>
        <v>#VALUE!</v>
      </c>
      <c r="GU117" t="e">
        <f>AND(Bills!Q357,"AAAAAH/3/so=")</f>
        <v>#VALUE!</v>
      </c>
      <c r="GV117" t="e">
        <f>AND(Bills!R357,"AAAAAH/3/ss=")</f>
        <v>#VALUE!</v>
      </c>
      <c r="GW117" t="e">
        <f>AND(Bills!#REF!,"AAAAAH/3/sw=")</f>
        <v>#REF!</v>
      </c>
      <c r="GX117" t="e">
        <f>AND(Bills!S357,"AAAAAH/3/s0=")</f>
        <v>#VALUE!</v>
      </c>
      <c r="GY117" t="e">
        <f>AND(Bills!T357,"AAAAAH/3/s4=")</f>
        <v>#VALUE!</v>
      </c>
      <c r="GZ117" t="e">
        <f>AND(Bills!U357,"AAAAAH/3/s8=")</f>
        <v>#VALUE!</v>
      </c>
      <c r="HA117" t="e">
        <f>AND(Bills!#REF!,"AAAAAH/3/tA=")</f>
        <v>#REF!</v>
      </c>
      <c r="HB117" t="e">
        <f>AND(Bills!#REF!,"AAAAAH/3/tE=")</f>
        <v>#REF!</v>
      </c>
      <c r="HC117" t="e">
        <f>AND(Bills!W357,"AAAAAH/3/tI=")</f>
        <v>#VALUE!</v>
      </c>
      <c r="HD117" t="e">
        <f>AND(Bills!X357,"AAAAAH/3/tM=")</f>
        <v>#VALUE!</v>
      </c>
      <c r="HE117" t="e">
        <f>AND(Bills!#REF!,"AAAAAH/3/tQ=")</f>
        <v>#REF!</v>
      </c>
      <c r="HF117" t="e">
        <f>AND(Bills!#REF!,"AAAAAH/3/tU=")</f>
        <v>#REF!</v>
      </c>
      <c r="HG117" t="e">
        <f>AND(Bills!#REF!,"AAAAAH/3/tY=")</f>
        <v>#REF!</v>
      </c>
      <c r="HH117" t="e">
        <f>AND(Bills!#REF!,"AAAAAH/3/tc=")</f>
        <v>#REF!</v>
      </c>
      <c r="HI117" t="e">
        <f>AND(Bills!#REF!,"AAAAAH/3/tg=")</f>
        <v>#REF!</v>
      </c>
      <c r="HJ117" t="e">
        <f>AND(Bills!#REF!,"AAAAAH/3/tk=")</f>
        <v>#REF!</v>
      </c>
      <c r="HK117" t="e">
        <f>AND(Bills!#REF!,"AAAAAH/3/to=")</f>
        <v>#REF!</v>
      </c>
      <c r="HL117" t="e">
        <f>AND(Bills!#REF!,"AAAAAH/3/ts=")</f>
        <v>#REF!</v>
      </c>
      <c r="HM117" t="e">
        <f>AND(Bills!#REF!,"AAAAAH/3/tw=")</f>
        <v>#REF!</v>
      </c>
      <c r="HN117" t="e">
        <f>AND(Bills!Y357,"AAAAAH/3/t0=")</f>
        <v>#VALUE!</v>
      </c>
      <c r="HO117" t="e">
        <f>AND(Bills!Z357,"AAAAAH/3/t4=")</f>
        <v>#VALUE!</v>
      </c>
      <c r="HP117" t="e">
        <f>AND(Bills!#REF!,"AAAAAH/3/t8=")</f>
        <v>#REF!</v>
      </c>
      <c r="HQ117" t="e">
        <f>AND(Bills!#REF!,"AAAAAH/3/uA=")</f>
        <v>#REF!</v>
      </c>
      <c r="HR117" t="e">
        <f>AND(Bills!#REF!,"AAAAAH/3/uE=")</f>
        <v>#REF!</v>
      </c>
      <c r="HS117" t="e">
        <f>AND(Bills!AA357,"AAAAAH/3/uI=")</f>
        <v>#VALUE!</v>
      </c>
      <c r="HT117" t="e">
        <f>AND(Bills!AB357,"AAAAAH/3/uM=")</f>
        <v>#VALUE!</v>
      </c>
      <c r="HU117" t="e">
        <f>AND(Bills!#REF!,"AAAAAH/3/uQ=")</f>
        <v>#REF!</v>
      </c>
      <c r="HV117">
        <f>IF(Bills!358:358,"AAAAAH/3/uU=",0)</f>
        <v>0</v>
      </c>
      <c r="HW117" t="e">
        <f>AND(Bills!B358,"AAAAAH/3/uY=")</f>
        <v>#VALUE!</v>
      </c>
      <c r="HX117" t="e">
        <f>AND(Bills!#REF!,"AAAAAH/3/uc=")</f>
        <v>#REF!</v>
      </c>
      <c r="HY117" t="e">
        <f>AND(Bills!C358,"AAAAAH/3/ug=")</f>
        <v>#VALUE!</v>
      </c>
      <c r="HZ117" t="e">
        <f>AND(Bills!#REF!,"AAAAAH/3/uk=")</f>
        <v>#REF!</v>
      </c>
      <c r="IA117" t="e">
        <f>AND(Bills!#REF!,"AAAAAH/3/uo=")</f>
        <v>#REF!</v>
      </c>
      <c r="IB117" t="e">
        <f>AND(Bills!#REF!,"AAAAAH/3/us=")</f>
        <v>#REF!</v>
      </c>
      <c r="IC117" t="e">
        <f>AND(Bills!#REF!,"AAAAAH/3/uw=")</f>
        <v>#REF!</v>
      </c>
      <c r="ID117" t="e">
        <f>AND(Bills!#REF!,"AAAAAH/3/u0=")</f>
        <v>#REF!</v>
      </c>
      <c r="IE117" t="e">
        <f>AND(Bills!D358,"AAAAAH/3/u4=")</f>
        <v>#VALUE!</v>
      </c>
      <c r="IF117" t="e">
        <f>AND(Bills!#REF!,"AAAAAH/3/u8=")</f>
        <v>#REF!</v>
      </c>
      <c r="IG117" t="e">
        <f>AND(Bills!E358,"AAAAAH/3/vA=")</f>
        <v>#VALUE!</v>
      </c>
      <c r="IH117" t="e">
        <f>AND(Bills!F358,"AAAAAH/3/vE=")</f>
        <v>#VALUE!</v>
      </c>
      <c r="II117" t="e">
        <f>AND(Bills!G358,"AAAAAH/3/vI=")</f>
        <v>#VALUE!</v>
      </c>
      <c r="IJ117" t="e">
        <f>AND(Bills!H358,"AAAAAH/3/vM=")</f>
        <v>#VALUE!</v>
      </c>
      <c r="IK117" t="e">
        <f>AND(Bills!I358,"AAAAAH/3/vQ=")</f>
        <v>#VALUE!</v>
      </c>
      <c r="IL117" t="e">
        <f>AND(Bills!J358,"AAAAAH/3/vU=")</f>
        <v>#VALUE!</v>
      </c>
      <c r="IM117" t="e">
        <f>AND(Bills!#REF!,"AAAAAH/3/vY=")</f>
        <v>#REF!</v>
      </c>
      <c r="IN117" t="e">
        <f>AND(Bills!K358,"AAAAAH/3/vc=")</f>
        <v>#VALUE!</v>
      </c>
      <c r="IO117" t="e">
        <f>AND(Bills!L358,"AAAAAH/3/vg=")</f>
        <v>#VALUE!</v>
      </c>
      <c r="IP117" t="e">
        <f>AND(Bills!M358,"AAAAAH/3/vk=")</f>
        <v>#VALUE!</v>
      </c>
      <c r="IQ117" t="e">
        <f>AND(Bills!N358,"AAAAAH/3/vo=")</f>
        <v>#VALUE!</v>
      </c>
      <c r="IR117" t="e">
        <f>AND(Bills!O358,"AAAAAH/3/vs=")</f>
        <v>#VALUE!</v>
      </c>
      <c r="IS117" t="e">
        <f>AND(Bills!P358,"AAAAAH/3/vw=")</f>
        <v>#VALUE!</v>
      </c>
      <c r="IT117" t="e">
        <f>AND(Bills!Q358,"AAAAAH/3/v0=")</f>
        <v>#VALUE!</v>
      </c>
      <c r="IU117" t="e">
        <f>AND(Bills!R358,"AAAAAH/3/v4=")</f>
        <v>#VALUE!</v>
      </c>
      <c r="IV117" t="e">
        <f>AND(Bills!#REF!,"AAAAAH/3/v8=")</f>
        <v>#REF!</v>
      </c>
    </row>
    <row r="118" spans="1:256">
      <c r="A118" t="e">
        <f>AND(Bills!S358,"AAAAAHv/zwA=")</f>
        <v>#VALUE!</v>
      </c>
      <c r="B118" t="e">
        <f>AND(Bills!T358,"AAAAAHv/zwE=")</f>
        <v>#VALUE!</v>
      </c>
      <c r="C118" t="e">
        <f>AND(Bills!U358,"AAAAAHv/zwI=")</f>
        <v>#VALUE!</v>
      </c>
      <c r="D118" t="e">
        <f>AND(Bills!#REF!,"AAAAAHv/zwM=")</f>
        <v>#REF!</v>
      </c>
      <c r="E118" t="e">
        <f>AND(Bills!#REF!,"AAAAAHv/zwQ=")</f>
        <v>#REF!</v>
      </c>
      <c r="F118" t="e">
        <f>AND(Bills!W358,"AAAAAHv/zwU=")</f>
        <v>#VALUE!</v>
      </c>
      <c r="G118" t="e">
        <f>AND(Bills!X358,"AAAAAHv/zwY=")</f>
        <v>#VALUE!</v>
      </c>
      <c r="H118" t="e">
        <f>AND(Bills!#REF!,"AAAAAHv/zwc=")</f>
        <v>#REF!</v>
      </c>
      <c r="I118" t="e">
        <f>AND(Bills!#REF!,"AAAAAHv/zwg=")</f>
        <v>#REF!</v>
      </c>
      <c r="J118" t="e">
        <f>AND(Bills!#REF!,"AAAAAHv/zwk=")</f>
        <v>#REF!</v>
      </c>
      <c r="K118" t="e">
        <f>AND(Bills!#REF!,"AAAAAHv/zwo=")</f>
        <v>#REF!</v>
      </c>
      <c r="L118" t="e">
        <f>AND(Bills!#REF!,"AAAAAHv/zws=")</f>
        <v>#REF!</v>
      </c>
      <c r="M118" t="e">
        <f>AND(Bills!#REF!,"AAAAAHv/zww=")</f>
        <v>#REF!</v>
      </c>
      <c r="N118" t="e">
        <f>AND(Bills!#REF!,"AAAAAHv/zw0=")</f>
        <v>#REF!</v>
      </c>
      <c r="O118" t="e">
        <f>AND(Bills!#REF!,"AAAAAHv/zw4=")</f>
        <v>#REF!</v>
      </c>
      <c r="P118" t="e">
        <f>AND(Bills!#REF!,"AAAAAHv/zw8=")</f>
        <v>#REF!</v>
      </c>
      <c r="Q118" t="e">
        <f>AND(Bills!Y358,"AAAAAHv/zxA=")</f>
        <v>#VALUE!</v>
      </c>
      <c r="R118" t="e">
        <f>AND(Bills!Z358,"AAAAAHv/zxE=")</f>
        <v>#VALUE!</v>
      </c>
      <c r="S118" t="e">
        <f>AND(Bills!#REF!,"AAAAAHv/zxI=")</f>
        <v>#REF!</v>
      </c>
      <c r="T118" t="e">
        <f>AND(Bills!#REF!,"AAAAAHv/zxM=")</f>
        <v>#REF!</v>
      </c>
      <c r="U118" t="e">
        <f>AND(Bills!#REF!,"AAAAAHv/zxQ=")</f>
        <v>#REF!</v>
      </c>
      <c r="V118" t="e">
        <f>AND(Bills!AA358,"AAAAAHv/zxU=")</f>
        <v>#VALUE!</v>
      </c>
      <c r="W118" t="e">
        <f>AND(Bills!AB358,"AAAAAHv/zxY=")</f>
        <v>#VALUE!</v>
      </c>
      <c r="X118" t="e">
        <f>AND(Bills!#REF!,"AAAAAHv/zxc=")</f>
        <v>#REF!</v>
      </c>
      <c r="Y118">
        <f>IF(Bills!359:359,"AAAAAHv/zxg=",0)</f>
        <v>0</v>
      </c>
      <c r="Z118" t="e">
        <f>AND(Bills!B359,"AAAAAHv/zxk=")</f>
        <v>#VALUE!</v>
      </c>
      <c r="AA118" t="e">
        <f>AND(Bills!#REF!,"AAAAAHv/zxo=")</f>
        <v>#REF!</v>
      </c>
      <c r="AB118" t="e">
        <f>AND(Bills!C359,"AAAAAHv/zxs=")</f>
        <v>#VALUE!</v>
      </c>
      <c r="AC118" t="e">
        <f>AND(Bills!#REF!,"AAAAAHv/zxw=")</f>
        <v>#REF!</v>
      </c>
      <c r="AD118" t="e">
        <f>AND(Bills!#REF!,"AAAAAHv/zx0=")</f>
        <v>#REF!</v>
      </c>
      <c r="AE118" t="e">
        <f>AND(Bills!#REF!,"AAAAAHv/zx4=")</f>
        <v>#REF!</v>
      </c>
      <c r="AF118" t="e">
        <f>AND(Bills!#REF!,"AAAAAHv/zx8=")</f>
        <v>#REF!</v>
      </c>
      <c r="AG118" t="e">
        <f>AND(Bills!#REF!,"AAAAAHv/zyA=")</f>
        <v>#REF!</v>
      </c>
      <c r="AH118" t="e">
        <f>AND(Bills!D359,"AAAAAHv/zyE=")</f>
        <v>#VALUE!</v>
      </c>
      <c r="AI118" t="e">
        <f>AND(Bills!#REF!,"AAAAAHv/zyI=")</f>
        <v>#REF!</v>
      </c>
      <c r="AJ118" t="e">
        <f>AND(Bills!E359,"AAAAAHv/zyM=")</f>
        <v>#VALUE!</v>
      </c>
      <c r="AK118" t="e">
        <f>AND(Bills!F359,"AAAAAHv/zyQ=")</f>
        <v>#VALUE!</v>
      </c>
      <c r="AL118" t="e">
        <f>AND(Bills!G359,"AAAAAHv/zyU=")</f>
        <v>#VALUE!</v>
      </c>
      <c r="AM118" t="e">
        <f>AND(Bills!H359,"AAAAAHv/zyY=")</f>
        <v>#VALUE!</v>
      </c>
      <c r="AN118" t="e">
        <f>AND(Bills!I359,"AAAAAHv/zyc=")</f>
        <v>#VALUE!</v>
      </c>
      <c r="AO118" t="e">
        <f>AND(Bills!J359,"AAAAAHv/zyg=")</f>
        <v>#VALUE!</v>
      </c>
      <c r="AP118" t="e">
        <f>AND(Bills!#REF!,"AAAAAHv/zyk=")</f>
        <v>#REF!</v>
      </c>
      <c r="AQ118" t="e">
        <f>AND(Bills!K359,"AAAAAHv/zyo=")</f>
        <v>#VALUE!</v>
      </c>
      <c r="AR118" t="e">
        <f>AND(Bills!L359,"AAAAAHv/zys=")</f>
        <v>#VALUE!</v>
      </c>
      <c r="AS118" t="e">
        <f>AND(Bills!M359,"AAAAAHv/zyw=")</f>
        <v>#VALUE!</v>
      </c>
      <c r="AT118" t="e">
        <f>AND(Bills!N359,"AAAAAHv/zy0=")</f>
        <v>#VALUE!</v>
      </c>
      <c r="AU118" t="e">
        <f>AND(Bills!O359,"AAAAAHv/zy4=")</f>
        <v>#VALUE!</v>
      </c>
      <c r="AV118" t="e">
        <f>AND(Bills!P359,"AAAAAHv/zy8=")</f>
        <v>#VALUE!</v>
      </c>
      <c r="AW118" t="e">
        <f>AND(Bills!Q359,"AAAAAHv/zzA=")</f>
        <v>#VALUE!</v>
      </c>
      <c r="AX118" t="e">
        <f>AND(Bills!R359,"AAAAAHv/zzE=")</f>
        <v>#VALUE!</v>
      </c>
      <c r="AY118" t="e">
        <f>AND(Bills!#REF!,"AAAAAHv/zzI=")</f>
        <v>#REF!</v>
      </c>
      <c r="AZ118" t="e">
        <f>AND(Bills!S359,"AAAAAHv/zzM=")</f>
        <v>#VALUE!</v>
      </c>
      <c r="BA118" t="e">
        <f>AND(Bills!T359,"AAAAAHv/zzQ=")</f>
        <v>#VALUE!</v>
      </c>
      <c r="BB118" t="e">
        <f>AND(Bills!U359,"AAAAAHv/zzU=")</f>
        <v>#VALUE!</v>
      </c>
      <c r="BC118" t="e">
        <f>AND(Bills!#REF!,"AAAAAHv/zzY=")</f>
        <v>#REF!</v>
      </c>
      <c r="BD118" t="e">
        <f>AND(Bills!#REF!,"AAAAAHv/zzc=")</f>
        <v>#REF!</v>
      </c>
      <c r="BE118" t="e">
        <f>AND(Bills!W359,"AAAAAHv/zzg=")</f>
        <v>#VALUE!</v>
      </c>
      <c r="BF118" t="e">
        <f>AND(Bills!X359,"AAAAAHv/zzk=")</f>
        <v>#VALUE!</v>
      </c>
      <c r="BG118" t="e">
        <f>AND(Bills!#REF!,"AAAAAHv/zzo=")</f>
        <v>#REF!</v>
      </c>
      <c r="BH118" t="e">
        <f>AND(Bills!#REF!,"AAAAAHv/zzs=")</f>
        <v>#REF!</v>
      </c>
      <c r="BI118" t="e">
        <f>AND(Bills!#REF!,"AAAAAHv/zzw=")</f>
        <v>#REF!</v>
      </c>
      <c r="BJ118" t="e">
        <f>AND(Bills!#REF!,"AAAAAHv/zz0=")</f>
        <v>#REF!</v>
      </c>
      <c r="BK118" t="e">
        <f>AND(Bills!#REF!,"AAAAAHv/zz4=")</f>
        <v>#REF!</v>
      </c>
      <c r="BL118" t="e">
        <f>AND(Bills!#REF!,"AAAAAHv/zz8=")</f>
        <v>#REF!</v>
      </c>
      <c r="BM118" t="e">
        <f>AND(Bills!#REF!,"AAAAAHv/z0A=")</f>
        <v>#REF!</v>
      </c>
      <c r="BN118" t="e">
        <f>AND(Bills!#REF!,"AAAAAHv/z0E=")</f>
        <v>#REF!</v>
      </c>
      <c r="BO118" t="e">
        <f>AND(Bills!#REF!,"AAAAAHv/z0I=")</f>
        <v>#REF!</v>
      </c>
      <c r="BP118" t="e">
        <f>AND(Bills!Y359,"AAAAAHv/z0M=")</f>
        <v>#VALUE!</v>
      </c>
      <c r="BQ118" t="e">
        <f>AND(Bills!Z359,"AAAAAHv/z0Q=")</f>
        <v>#VALUE!</v>
      </c>
      <c r="BR118" t="e">
        <f>AND(Bills!#REF!,"AAAAAHv/z0U=")</f>
        <v>#REF!</v>
      </c>
      <c r="BS118" t="e">
        <f>AND(Bills!#REF!,"AAAAAHv/z0Y=")</f>
        <v>#REF!</v>
      </c>
      <c r="BT118" t="e">
        <f>AND(Bills!#REF!,"AAAAAHv/z0c=")</f>
        <v>#REF!</v>
      </c>
      <c r="BU118" t="e">
        <f>AND(Bills!AA359,"AAAAAHv/z0g=")</f>
        <v>#VALUE!</v>
      </c>
      <c r="BV118" t="e">
        <f>AND(Bills!AB359,"AAAAAHv/z0k=")</f>
        <v>#VALUE!</v>
      </c>
      <c r="BW118" t="e">
        <f>AND(Bills!#REF!,"AAAAAHv/z0o=")</f>
        <v>#REF!</v>
      </c>
      <c r="BX118">
        <f>IF(Bills!360:360,"AAAAAHv/z0s=",0)</f>
        <v>0</v>
      </c>
      <c r="BY118" t="e">
        <f>AND(Bills!B360,"AAAAAHv/z0w=")</f>
        <v>#VALUE!</v>
      </c>
      <c r="BZ118" t="e">
        <f>AND(Bills!#REF!,"AAAAAHv/z00=")</f>
        <v>#REF!</v>
      </c>
      <c r="CA118" t="e">
        <f>AND(Bills!C360,"AAAAAHv/z04=")</f>
        <v>#VALUE!</v>
      </c>
      <c r="CB118" t="e">
        <f>AND(Bills!#REF!,"AAAAAHv/z08=")</f>
        <v>#REF!</v>
      </c>
      <c r="CC118" t="e">
        <f>AND(Bills!#REF!,"AAAAAHv/z1A=")</f>
        <v>#REF!</v>
      </c>
      <c r="CD118" t="e">
        <f>AND(Bills!#REF!,"AAAAAHv/z1E=")</f>
        <v>#REF!</v>
      </c>
      <c r="CE118" t="e">
        <f>AND(Bills!#REF!,"AAAAAHv/z1I=")</f>
        <v>#REF!</v>
      </c>
      <c r="CF118" t="e">
        <f>AND(Bills!#REF!,"AAAAAHv/z1M=")</f>
        <v>#REF!</v>
      </c>
      <c r="CG118" t="e">
        <f>AND(Bills!D360,"AAAAAHv/z1Q=")</f>
        <v>#VALUE!</v>
      </c>
      <c r="CH118" t="e">
        <f>AND(Bills!#REF!,"AAAAAHv/z1U=")</f>
        <v>#REF!</v>
      </c>
      <c r="CI118" t="e">
        <f>AND(Bills!E360,"AAAAAHv/z1Y=")</f>
        <v>#VALUE!</v>
      </c>
      <c r="CJ118" t="e">
        <f>AND(Bills!F360,"AAAAAHv/z1c=")</f>
        <v>#VALUE!</v>
      </c>
      <c r="CK118" t="e">
        <f>AND(Bills!G360,"AAAAAHv/z1g=")</f>
        <v>#VALUE!</v>
      </c>
      <c r="CL118" t="e">
        <f>AND(Bills!H360,"AAAAAHv/z1k=")</f>
        <v>#VALUE!</v>
      </c>
      <c r="CM118" t="e">
        <f>AND(Bills!I360,"AAAAAHv/z1o=")</f>
        <v>#VALUE!</v>
      </c>
      <c r="CN118" t="e">
        <f>AND(Bills!J360,"AAAAAHv/z1s=")</f>
        <v>#VALUE!</v>
      </c>
      <c r="CO118" t="e">
        <f>AND(Bills!#REF!,"AAAAAHv/z1w=")</f>
        <v>#REF!</v>
      </c>
      <c r="CP118" t="e">
        <f>AND(Bills!K360,"AAAAAHv/z10=")</f>
        <v>#VALUE!</v>
      </c>
      <c r="CQ118" t="e">
        <f>AND(Bills!L360,"AAAAAHv/z14=")</f>
        <v>#VALUE!</v>
      </c>
      <c r="CR118" t="e">
        <f>AND(Bills!M360,"AAAAAHv/z18=")</f>
        <v>#VALUE!</v>
      </c>
      <c r="CS118" t="e">
        <f>AND(Bills!N360,"AAAAAHv/z2A=")</f>
        <v>#VALUE!</v>
      </c>
      <c r="CT118" t="e">
        <f>AND(Bills!O360,"AAAAAHv/z2E=")</f>
        <v>#VALUE!</v>
      </c>
      <c r="CU118" t="e">
        <f>AND(Bills!P360,"AAAAAHv/z2I=")</f>
        <v>#VALUE!</v>
      </c>
      <c r="CV118" t="e">
        <f>AND(Bills!Q360,"AAAAAHv/z2M=")</f>
        <v>#VALUE!</v>
      </c>
      <c r="CW118" t="e">
        <f>AND(Bills!R360,"AAAAAHv/z2Q=")</f>
        <v>#VALUE!</v>
      </c>
      <c r="CX118" t="e">
        <f>AND(Bills!#REF!,"AAAAAHv/z2U=")</f>
        <v>#REF!</v>
      </c>
      <c r="CY118" t="e">
        <f>AND(Bills!S360,"AAAAAHv/z2Y=")</f>
        <v>#VALUE!</v>
      </c>
      <c r="CZ118" t="e">
        <f>AND(Bills!T360,"AAAAAHv/z2c=")</f>
        <v>#VALUE!</v>
      </c>
      <c r="DA118" t="e">
        <f>AND(Bills!U360,"AAAAAHv/z2g=")</f>
        <v>#VALUE!</v>
      </c>
      <c r="DB118" t="e">
        <f>AND(Bills!#REF!,"AAAAAHv/z2k=")</f>
        <v>#REF!</v>
      </c>
      <c r="DC118" t="e">
        <f>AND(Bills!#REF!,"AAAAAHv/z2o=")</f>
        <v>#REF!</v>
      </c>
      <c r="DD118" t="e">
        <f>AND(Bills!W360,"AAAAAHv/z2s=")</f>
        <v>#VALUE!</v>
      </c>
      <c r="DE118" t="e">
        <f>AND(Bills!X360,"AAAAAHv/z2w=")</f>
        <v>#VALUE!</v>
      </c>
      <c r="DF118" t="e">
        <f>AND(Bills!#REF!,"AAAAAHv/z20=")</f>
        <v>#REF!</v>
      </c>
      <c r="DG118" t="e">
        <f>AND(Bills!#REF!,"AAAAAHv/z24=")</f>
        <v>#REF!</v>
      </c>
      <c r="DH118" t="e">
        <f>AND(Bills!#REF!,"AAAAAHv/z28=")</f>
        <v>#REF!</v>
      </c>
      <c r="DI118" t="e">
        <f>AND(Bills!#REF!,"AAAAAHv/z3A=")</f>
        <v>#REF!</v>
      </c>
      <c r="DJ118" t="e">
        <f>AND(Bills!#REF!,"AAAAAHv/z3E=")</f>
        <v>#REF!</v>
      </c>
      <c r="DK118" t="e">
        <f>AND(Bills!#REF!,"AAAAAHv/z3I=")</f>
        <v>#REF!</v>
      </c>
      <c r="DL118" t="e">
        <f>AND(Bills!#REF!,"AAAAAHv/z3M=")</f>
        <v>#REF!</v>
      </c>
      <c r="DM118" t="e">
        <f>AND(Bills!#REF!,"AAAAAHv/z3Q=")</f>
        <v>#REF!</v>
      </c>
      <c r="DN118" t="e">
        <f>AND(Bills!#REF!,"AAAAAHv/z3U=")</f>
        <v>#REF!</v>
      </c>
      <c r="DO118" t="e">
        <f>AND(Bills!Y360,"AAAAAHv/z3Y=")</f>
        <v>#VALUE!</v>
      </c>
      <c r="DP118" t="e">
        <f>AND(Bills!Z360,"AAAAAHv/z3c=")</f>
        <v>#VALUE!</v>
      </c>
      <c r="DQ118" t="e">
        <f>AND(Bills!#REF!,"AAAAAHv/z3g=")</f>
        <v>#REF!</v>
      </c>
      <c r="DR118" t="e">
        <f>AND(Bills!#REF!,"AAAAAHv/z3k=")</f>
        <v>#REF!</v>
      </c>
      <c r="DS118" t="e">
        <f>AND(Bills!#REF!,"AAAAAHv/z3o=")</f>
        <v>#REF!</v>
      </c>
      <c r="DT118" t="e">
        <f>AND(Bills!AA360,"AAAAAHv/z3s=")</f>
        <v>#VALUE!</v>
      </c>
      <c r="DU118" t="e">
        <f>AND(Bills!AB360,"AAAAAHv/z3w=")</f>
        <v>#VALUE!</v>
      </c>
      <c r="DV118" t="e">
        <f>AND(Bills!#REF!,"AAAAAHv/z30=")</f>
        <v>#REF!</v>
      </c>
      <c r="DW118">
        <f>IF(Bills!361:361,"AAAAAHv/z34=",0)</f>
        <v>0</v>
      </c>
      <c r="DX118" t="e">
        <f>AND(Bills!B361,"AAAAAHv/z38=")</f>
        <v>#VALUE!</v>
      </c>
      <c r="DY118" t="e">
        <f>AND(Bills!#REF!,"AAAAAHv/z4A=")</f>
        <v>#REF!</v>
      </c>
      <c r="DZ118" t="e">
        <f>AND(Bills!C361,"AAAAAHv/z4E=")</f>
        <v>#VALUE!</v>
      </c>
      <c r="EA118" t="e">
        <f>AND(Bills!#REF!,"AAAAAHv/z4I=")</f>
        <v>#REF!</v>
      </c>
      <c r="EB118" t="e">
        <f>AND(Bills!#REF!,"AAAAAHv/z4M=")</f>
        <v>#REF!</v>
      </c>
      <c r="EC118" t="e">
        <f>AND(Bills!#REF!,"AAAAAHv/z4Q=")</f>
        <v>#REF!</v>
      </c>
      <c r="ED118" t="e">
        <f>AND(Bills!#REF!,"AAAAAHv/z4U=")</f>
        <v>#REF!</v>
      </c>
      <c r="EE118" t="e">
        <f>AND(Bills!#REF!,"AAAAAHv/z4Y=")</f>
        <v>#REF!</v>
      </c>
      <c r="EF118" t="e">
        <f>AND(Bills!D361,"AAAAAHv/z4c=")</f>
        <v>#VALUE!</v>
      </c>
      <c r="EG118" t="e">
        <f>AND(Bills!#REF!,"AAAAAHv/z4g=")</f>
        <v>#REF!</v>
      </c>
      <c r="EH118" t="e">
        <f>AND(Bills!E361,"AAAAAHv/z4k=")</f>
        <v>#VALUE!</v>
      </c>
      <c r="EI118" t="e">
        <f>AND(Bills!F361,"AAAAAHv/z4o=")</f>
        <v>#VALUE!</v>
      </c>
      <c r="EJ118" t="e">
        <f>AND(Bills!G361,"AAAAAHv/z4s=")</f>
        <v>#VALUE!</v>
      </c>
      <c r="EK118" t="e">
        <f>AND(Bills!H361,"AAAAAHv/z4w=")</f>
        <v>#VALUE!</v>
      </c>
      <c r="EL118" t="e">
        <f>AND(Bills!I361,"AAAAAHv/z40=")</f>
        <v>#VALUE!</v>
      </c>
      <c r="EM118" t="e">
        <f>AND(Bills!J361,"AAAAAHv/z44=")</f>
        <v>#VALUE!</v>
      </c>
      <c r="EN118" t="e">
        <f>AND(Bills!#REF!,"AAAAAHv/z48=")</f>
        <v>#REF!</v>
      </c>
      <c r="EO118" t="e">
        <f>AND(Bills!K361,"AAAAAHv/z5A=")</f>
        <v>#VALUE!</v>
      </c>
      <c r="EP118" t="e">
        <f>AND(Bills!L361,"AAAAAHv/z5E=")</f>
        <v>#VALUE!</v>
      </c>
      <c r="EQ118" t="e">
        <f>AND(Bills!M361,"AAAAAHv/z5I=")</f>
        <v>#VALUE!</v>
      </c>
      <c r="ER118" t="e">
        <f>AND(Bills!N361,"AAAAAHv/z5M=")</f>
        <v>#VALUE!</v>
      </c>
      <c r="ES118" t="e">
        <f>AND(Bills!O361,"AAAAAHv/z5Q=")</f>
        <v>#VALUE!</v>
      </c>
      <c r="ET118" t="e">
        <f>AND(Bills!P361,"AAAAAHv/z5U=")</f>
        <v>#VALUE!</v>
      </c>
      <c r="EU118" t="e">
        <f>AND(Bills!Q361,"AAAAAHv/z5Y=")</f>
        <v>#VALUE!</v>
      </c>
      <c r="EV118" t="e">
        <f>AND(Bills!R361,"AAAAAHv/z5c=")</f>
        <v>#VALUE!</v>
      </c>
      <c r="EW118" t="e">
        <f>AND(Bills!#REF!,"AAAAAHv/z5g=")</f>
        <v>#REF!</v>
      </c>
      <c r="EX118" t="e">
        <f>AND(Bills!S361,"AAAAAHv/z5k=")</f>
        <v>#VALUE!</v>
      </c>
      <c r="EY118" t="e">
        <f>AND(Bills!T361,"AAAAAHv/z5o=")</f>
        <v>#VALUE!</v>
      </c>
      <c r="EZ118" t="e">
        <f>AND(Bills!U361,"AAAAAHv/z5s=")</f>
        <v>#VALUE!</v>
      </c>
      <c r="FA118" t="e">
        <f>AND(Bills!#REF!,"AAAAAHv/z5w=")</f>
        <v>#REF!</v>
      </c>
      <c r="FB118" t="e">
        <f>AND(Bills!#REF!,"AAAAAHv/z50=")</f>
        <v>#REF!</v>
      </c>
      <c r="FC118" t="e">
        <f>AND(Bills!W361,"AAAAAHv/z54=")</f>
        <v>#VALUE!</v>
      </c>
      <c r="FD118" t="e">
        <f>AND(Bills!X361,"AAAAAHv/z58=")</f>
        <v>#VALUE!</v>
      </c>
      <c r="FE118" t="e">
        <f>AND(Bills!#REF!,"AAAAAHv/z6A=")</f>
        <v>#REF!</v>
      </c>
      <c r="FF118" t="e">
        <f>AND(Bills!#REF!,"AAAAAHv/z6E=")</f>
        <v>#REF!</v>
      </c>
      <c r="FG118" t="e">
        <f>AND(Bills!#REF!,"AAAAAHv/z6I=")</f>
        <v>#REF!</v>
      </c>
      <c r="FH118" t="e">
        <f>AND(Bills!#REF!,"AAAAAHv/z6M=")</f>
        <v>#REF!</v>
      </c>
      <c r="FI118" t="e">
        <f>AND(Bills!#REF!,"AAAAAHv/z6Q=")</f>
        <v>#REF!</v>
      </c>
      <c r="FJ118" t="e">
        <f>AND(Bills!#REF!,"AAAAAHv/z6U=")</f>
        <v>#REF!</v>
      </c>
      <c r="FK118" t="e">
        <f>AND(Bills!#REF!,"AAAAAHv/z6Y=")</f>
        <v>#REF!</v>
      </c>
      <c r="FL118" t="e">
        <f>AND(Bills!#REF!,"AAAAAHv/z6c=")</f>
        <v>#REF!</v>
      </c>
      <c r="FM118" t="e">
        <f>AND(Bills!#REF!,"AAAAAHv/z6g=")</f>
        <v>#REF!</v>
      </c>
      <c r="FN118" t="e">
        <f>AND(Bills!Y361,"AAAAAHv/z6k=")</f>
        <v>#VALUE!</v>
      </c>
      <c r="FO118" t="e">
        <f>AND(Bills!Z361,"AAAAAHv/z6o=")</f>
        <v>#VALUE!</v>
      </c>
      <c r="FP118" t="e">
        <f>AND(Bills!#REF!,"AAAAAHv/z6s=")</f>
        <v>#REF!</v>
      </c>
      <c r="FQ118" t="e">
        <f>AND(Bills!#REF!,"AAAAAHv/z6w=")</f>
        <v>#REF!</v>
      </c>
      <c r="FR118" t="e">
        <f>AND(Bills!#REF!,"AAAAAHv/z60=")</f>
        <v>#REF!</v>
      </c>
      <c r="FS118" t="e">
        <f>AND(Bills!AA361,"AAAAAHv/z64=")</f>
        <v>#VALUE!</v>
      </c>
      <c r="FT118" t="e">
        <f>AND(Bills!AB361,"AAAAAHv/z68=")</f>
        <v>#VALUE!</v>
      </c>
      <c r="FU118" t="e">
        <f>AND(Bills!#REF!,"AAAAAHv/z7A=")</f>
        <v>#REF!</v>
      </c>
      <c r="FV118">
        <f>IF(Bills!362:362,"AAAAAHv/z7E=",0)</f>
        <v>0</v>
      </c>
      <c r="FW118" t="e">
        <f>AND(Bills!B362,"AAAAAHv/z7I=")</f>
        <v>#VALUE!</v>
      </c>
      <c r="FX118" t="e">
        <f>AND(Bills!#REF!,"AAAAAHv/z7M=")</f>
        <v>#REF!</v>
      </c>
      <c r="FY118" t="e">
        <f>AND(Bills!C362,"AAAAAHv/z7Q=")</f>
        <v>#VALUE!</v>
      </c>
      <c r="FZ118" t="e">
        <f>AND(Bills!#REF!,"AAAAAHv/z7U=")</f>
        <v>#REF!</v>
      </c>
      <c r="GA118" t="e">
        <f>AND(Bills!#REF!,"AAAAAHv/z7Y=")</f>
        <v>#REF!</v>
      </c>
      <c r="GB118" t="e">
        <f>AND(Bills!#REF!,"AAAAAHv/z7c=")</f>
        <v>#REF!</v>
      </c>
      <c r="GC118" t="e">
        <f>AND(Bills!#REF!,"AAAAAHv/z7g=")</f>
        <v>#REF!</v>
      </c>
      <c r="GD118" t="e">
        <f>AND(Bills!#REF!,"AAAAAHv/z7k=")</f>
        <v>#REF!</v>
      </c>
      <c r="GE118" t="e">
        <f>AND(Bills!D362,"AAAAAHv/z7o=")</f>
        <v>#VALUE!</v>
      </c>
      <c r="GF118" t="e">
        <f>AND(Bills!#REF!,"AAAAAHv/z7s=")</f>
        <v>#REF!</v>
      </c>
      <c r="GG118" t="e">
        <f>AND(Bills!E362,"AAAAAHv/z7w=")</f>
        <v>#VALUE!</v>
      </c>
      <c r="GH118" t="e">
        <f>AND(Bills!F362,"AAAAAHv/z70=")</f>
        <v>#VALUE!</v>
      </c>
      <c r="GI118" t="e">
        <f>AND(Bills!G362,"AAAAAHv/z74=")</f>
        <v>#VALUE!</v>
      </c>
      <c r="GJ118" t="e">
        <f>AND(Bills!H362,"AAAAAHv/z78=")</f>
        <v>#VALUE!</v>
      </c>
      <c r="GK118" t="e">
        <f>AND(Bills!I362,"AAAAAHv/z8A=")</f>
        <v>#VALUE!</v>
      </c>
      <c r="GL118" t="e">
        <f>AND(Bills!J362,"AAAAAHv/z8E=")</f>
        <v>#VALUE!</v>
      </c>
      <c r="GM118" t="e">
        <f>AND(Bills!#REF!,"AAAAAHv/z8I=")</f>
        <v>#REF!</v>
      </c>
      <c r="GN118" t="e">
        <f>AND(Bills!K362,"AAAAAHv/z8M=")</f>
        <v>#VALUE!</v>
      </c>
      <c r="GO118" t="e">
        <f>AND(Bills!L362,"AAAAAHv/z8Q=")</f>
        <v>#VALUE!</v>
      </c>
      <c r="GP118" t="e">
        <f>AND(Bills!M362,"AAAAAHv/z8U=")</f>
        <v>#VALUE!</v>
      </c>
      <c r="GQ118" t="e">
        <f>AND(Bills!N362,"AAAAAHv/z8Y=")</f>
        <v>#VALUE!</v>
      </c>
      <c r="GR118" t="e">
        <f>AND(Bills!O362,"AAAAAHv/z8c=")</f>
        <v>#VALUE!</v>
      </c>
      <c r="GS118" t="e">
        <f>AND(Bills!P362,"AAAAAHv/z8g=")</f>
        <v>#VALUE!</v>
      </c>
      <c r="GT118" t="e">
        <f>AND(Bills!Q362,"AAAAAHv/z8k=")</f>
        <v>#VALUE!</v>
      </c>
      <c r="GU118" t="e">
        <f>AND(Bills!R362,"AAAAAHv/z8o=")</f>
        <v>#VALUE!</v>
      </c>
      <c r="GV118" t="e">
        <f>AND(Bills!#REF!,"AAAAAHv/z8s=")</f>
        <v>#REF!</v>
      </c>
      <c r="GW118" t="e">
        <f>AND(Bills!S362,"AAAAAHv/z8w=")</f>
        <v>#VALUE!</v>
      </c>
      <c r="GX118" t="e">
        <f>AND(Bills!T362,"AAAAAHv/z80=")</f>
        <v>#VALUE!</v>
      </c>
      <c r="GY118" t="e">
        <f>AND(Bills!U362,"AAAAAHv/z84=")</f>
        <v>#VALUE!</v>
      </c>
      <c r="GZ118" t="e">
        <f>AND(Bills!#REF!,"AAAAAHv/z88=")</f>
        <v>#REF!</v>
      </c>
      <c r="HA118" t="e">
        <f>AND(Bills!#REF!,"AAAAAHv/z9A=")</f>
        <v>#REF!</v>
      </c>
      <c r="HB118" t="e">
        <f>AND(Bills!W362,"AAAAAHv/z9E=")</f>
        <v>#VALUE!</v>
      </c>
      <c r="HC118" t="e">
        <f>AND(Bills!X362,"AAAAAHv/z9I=")</f>
        <v>#VALUE!</v>
      </c>
      <c r="HD118" t="e">
        <f>AND(Bills!#REF!,"AAAAAHv/z9M=")</f>
        <v>#REF!</v>
      </c>
      <c r="HE118" t="e">
        <f>AND(Bills!#REF!,"AAAAAHv/z9Q=")</f>
        <v>#REF!</v>
      </c>
      <c r="HF118" t="e">
        <f>AND(Bills!#REF!,"AAAAAHv/z9U=")</f>
        <v>#REF!</v>
      </c>
      <c r="HG118" t="e">
        <f>AND(Bills!#REF!,"AAAAAHv/z9Y=")</f>
        <v>#REF!</v>
      </c>
      <c r="HH118" t="e">
        <f>AND(Bills!#REF!,"AAAAAHv/z9c=")</f>
        <v>#REF!</v>
      </c>
      <c r="HI118" t="e">
        <f>AND(Bills!#REF!,"AAAAAHv/z9g=")</f>
        <v>#REF!</v>
      </c>
      <c r="HJ118" t="e">
        <f>AND(Bills!#REF!,"AAAAAHv/z9k=")</f>
        <v>#REF!</v>
      </c>
      <c r="HK118" t="e">
        <f>AND(Bills!#REF!,"AAAAAHv/z9o=")</f>
        <v>#REF!</v>
      </c>
      <c r="HL118" t="e">
        <f>AND(Bills!#REF!,"AAAAAHv/z9s=")</f>
        <v>#REF!</v>
      </c>
      <c r="HM118" t="e">
        <f>AND(Bills!Y362,"AAAAAHv/z9w=")</f>
        <v>#VALUE!</v>
      </c>
      <c r="HN118" t="e">
        <f>AND(Bills!Z362,"AAAAAHv/z90=")</f>
        <v>#VALUE!</v>
      </c>
      <c r="HO118" t="e">
        <f>AND(Bills!#REF!,"AAAAAHv/z94=")</f>
        <v>#REF!</v>
      </c>
      <c r="HP118" t="e">
        <f>AND(Bills!#REF!,"AAAAAHv/z98=")</f>
        <v>#REF!</v>
      </c>
      <c r="HQ118" t="e">
        <f>AND(Bills!#REF!,"AAAAAHv/z+A=")</f>
        <v>#REF!</v>
      </c>
      <c r="HR118" t="e">
        <f>AND(Bills!AA362,"AAAAAHv/z+E=")</f>
        <v>#VALUE!</v>
      </c>
      <c r="HS118" t="e">
        <f>AND(Bills!AB362,"AAAAAHv/z+I=")</f>
        <v>#VALUE!</v>
      </c>
      <c r="HT118" t="e">
        <f>AND(Bills!#REF!,"AAAAAHv/z+M=")</f>
        <v>#REF!</v>
      </c>
      <c r="HU118">
        <f>IF(Bills!363:363,"AAAAAHv/z+Q=",0)</f>
        <v>0</v>
      </c>
      <c r="HV118" t="e">
        <f>AND(Bills!B363,"AAAAAHv/z+U=")</f>
        <v>#VALUE!</v>
      </c>
      <c r="HW118" t="e">
        <f>AND(Bills!#REF!,"AAAAAHv/z+Y=")</f>
        <v>#REF!</v>
      </c>
      <c r="HX118" t="e">
        <f>AND(Bills!C363,"AAAAAHv/z+c=")</f>
        <v>#VALUE!</v>
      </c>
      <c r="HY118" t="e">
        <f>AND(Bills!#REF!,"AAAAAHv/z+g=")</f>
        <v>#REF!</v>
      </c>
      <c r="HZ118" t="e">
        <f>AND(Bills!#REF!,"AAAAAHv/z+k=")</f>
        <v>#REF!</v>
      </c>
      <c r="IA118" t="e">
        <f>AND(Bills!#REF!,"AAAAAHv/z+o=")</f>
        <v>#REF!</v>
      </c>
      <c r="IB118" t="e">
        <f>AND(Bills!#REF!,"AAAAAHv/z+s=")</f>
        <v>#REF!</v>
      </c>
      <c r="IC118" t="e">
        <f>AND(Bills!#REF!,"AAAAAHv/z+w=")</f>
        <v>#REF!</v>
      </c>
      <c r="ID118" t="e">
        <f>AND(Bills!D363,"AAAAAHv/z+0=")</f>
        <v>#VALUE!</v>
      </c>
      <c r="IE118" t="e">
        <f>AND(Bills!#REF!,"AAAAAHv/z+4=")</f>
        <v>#REF!</v>
      </c>
      <c r="IF118" t="e">
        <f>AND(Bills!E363,"AAAAAHv/z+8=")</f>
        <v>#VALUE!</v>
      </c>
      <c r="IG118" t="e">
        <f>AND(Bills!F363,"AAAAAHv/z/A=")</f>
        <v>#VALUE!</v>
      </c>
      <c r="IH118" t="e">
        <f>AND(Bills!G363,"AAAAAHv/z/E=")</f>
        <v>#VALUE!</v>
      </c>
      <c r="II118" t="e">
        <f>AND(Bills!H363,"AAAAAHv/z/I=")</f>
        <v>#VALUE!</v>
      </c>
      <c r="IJ118" t="e">
        <f>AND(Bills!I363,"AAAAAHv/z/M=")</f>
        <v>#VALUE!</v>
      </c>
      <c r="IK118" t="e">
        <f>AND(Bills!J363,"AAAAAHv/z/Q=")</f>
        <v>#VALUE!</v>
      </c>
      <c r="IL118" t="e">
        <f>AND(Bills!#REF!,"AAAAAHv/z/U=")</f>
        <v>#REF!</v>
      </c>
      <c r="IM118" t="e">
        <f>AND(Bills!K363,"AAAAAHv/z/Y=")</f>
        <v>#VALUE!</v>
      </c>
      <c r="IN118" t="e">
        <f>AND(Bills!L363,"AAAAAHv/z/c=")</f>
        <v>#VALUE!</v>
      </c>
      <c r="IO118" t="e">
        <f>AND(Bills!M363,"AAAAAHv/z/g=")</f>
        <v>#VALUE!</v>
      </c>
      <c r="IP118" t="e">
        <f>AND(Bills!N363,"AAAAAHv/z/k=")</f>
        <v>#VALUE!</v>
      </c>
      <c r="IQ118" t="e">
        <f>AND(Bills!O363,"AAAAAHv/z/o=")</f>
        <v>#VALUE!</v>
      </c>
      <c r="IR118" t="e">
        <f>AND(Bills!P363,"AAAAAHv/z/s=")</f>
        <v>#VALUE!</v>
      </c>
      <c r="IS118" t="e">
        <f>AND(Bills!Q363,"AAAAAHv/z/w=")</f>
        <v>#VALUE!</v>
      </c>
      <c r="IT118" t="e">
        <f>AND(Bills!R363,"AAAAAHv/z/0=")</f>
        <v>#VALUE!</v>
      </c>
      <c r="IU118" t="e">
        <f>AND(Bills!#REF!,"AAAAAHv/z/4=")</f>
        <v>#REF!</v>
      </c>
      <c r="IV118" t="e">
        <f>AND(Bills!S363,"AAAAAHv/z/8=")</f>
        <v>#VALUE!</v>
      </c>
    </row>
    <row r="119" spans="1:256">
      <c r="A119" t="e">
        <f>AND(Bills!T363,"AAAAADt//wA=")</f>
        <v>#VALUE!</v>
      </c>
      <c r="B119" t="e">
        <f>AND(Bills!U363,"AAAAADt//wE=")</f>
        <v>#VALUE!</v>
      </c>
      <c r="C119" t="e">
        <f>AND(Bills!#REF!,"AAAAADt//wI=")</f>
        <v>#REF!</v>
      </c>
      <c r="D119" t="e">
        <f>AND(Bills!#REF!,"AAAAADt//wM=")</f>
        <v>#REF!</v>
      </c>
      <c r="E119" t="e">
        <f>AND(Bills!W363,"AAAAADt//wQ=")</f>
        <v>#VALUE!</v>
      </c>
      <c r="F119" t="e">
        <f>AND(Bills!X363,"AAAAADt//wU=")</f>
        <v>#VALUE!</v>
      </c>
      <c r="G119" t="e">
        <f>AND(Bills!#REF!,"AAAAADt//wY=")</f>
        <v>#REF!</v>
      </c>
      <c r="H119" t="e">
        <f>AND(Bills!#REF!,"AAAAADt//wc=")</f>
        <v>#REF!</v>
      </c>
      <c r="I119" t="e">
        <f>AND(Bills!#REF!,"AAAAADt//wg=")</f>
        <v>#REF!</v>
      </c>
      <c r="J119" t="e">
        <f>AND(Bills!#REF!,"AAAAADt//wk=")</f>
        <v>#REF!</v>
      </c>
      <c r="K119" t="e">
        <f>AND(Bills!#REF!,"AAAAADt//wo=")</f>
        <v>#REF!</v>
      </c>
      <c r="L119" t="e">
        <f>AND(Bills!#REF!,"AAAAADt//ws=")</f>
        <v>#REF!</v>
      </c>
      <c r="M119" t="e">
        <f>AND(Bills!#REF!,"AAAAADt//ww=")</f>
        <v>#REF!</v>
      </c>
      <c r="N119" t="e">
        <f>AND(Bills!#REF!,"AAAAADt//w0=")</f>
        <v>#REF!</v>
      </c>
      <c r="O119" t="e">
        <f>AND(Bills!#REF!,"AAAAADt//w4=")</f>
        <v>#REF!</v>
      </c>
      <c r="P119" t="e">
        <f>AND(Bills!Y363,"AAAAADt//w8=")</f>
        <v>#VALUE!</v>
      </c>
      <c r="Q119" t="e">
        <f>AND(Bills!Z363,"AAAAADt//xA=")</f>
        <v>#VALUE!</v>
      </c>
      <c r="R119" t="e">
        <f>AND(Bills!#REF!,"AAAAADt//xE=")</f>
        <v>#REF!</v>
      </c>
      <c r="S119" t="e">
        <f>AND(Bills!#REF!,"AAAAADt//xI=")</f>
        <v>#REF!</v>
      </c>
      <c r="T119" t="e">
        <f>AND(Bills!#REF!,"AAAAADt//xM=")</f>
        <v>#REF!</v>
      </c>
      <c r="U119" t="e">
        <f>AND(Bills!AA363,"AAAAADt//xQ=")</f>
        <v>#VALUE!</v>
      </c>
      <c r="V119" t="e">
        <f>AND(Bills!AB363,"AAAAADt//xU=")</f>
        <v>#VALUE!</v>
      </c>
      <c r="W119" t="e">
        <f>AND(Bills!#REF!,"AAAAADt//xY=")</f>
        <v>#REF!</v>
      </c>
      <c r="X119">
        <f>IF(Bills!364:364,"AAAAADt//xc=",0)</f>
        <v>0</v>
      </c>
      <c r="Y119" t="e">
        <f>AND(Bills!B364,"AAAAADt//xg=")</f>
        <v>#VALUE!</v>
      </c>
      <c r="Z119" t="e">
        <f>AND(Bills!#REF!,"AAAAADt//xk=")</f>
        <v>#REF!</v>
      </c>
      <c r="AA119" t="e">
        <f>AND(Bills!C364,"AAAAADt//xo=")</f>
        <v>#VALUE!</v>
      </c>
      <c r="AB119" t="e">
        <f>AND(Bills!#REF!,"AAAAADt//xs=")</f>
        <v>#REF!</v>
      </c>
      <c r="AC119" t="e">
        <f>AND(Bills!#REF!,"AAAAADt//xw=")</f>
        <v>#REF!</v>
      </c>
      <c r="AD119" t="e">
        <f>AND(Bills!#REF!,"AAAAADt//x0=")</f>
        <v>#REF!</v>
      </c>
      <c r="AE119" t="e">
        <f>AND(Bills!#REF!,"AAAAADt//x4=")</f>
        <v>#REF!</v>
      </c>
      <c r="AF119" t="e">
        <f>AND(Bills!#REF!,"AAAAADt//x8=")</f>
        <v>#REF!</v>
      </c>
      <c r="AG119" t="e">
        <f>AND(Bills!D364,"AAAAADt//yA=")</f>
        <v>#VALUE!</v>
      </c>
      <c r="AH119" t="e">
        <f>AND(Bills!#REF!,"AAAAADt//yE=")</f>
        <v>#REF!</v>
      </c>
      <c r="AI119" t="e">
        <f>AND(Bills!E364,"AAAAADt//yI=")</f>
        <v>#VALUE!</v>
      </c>
      <c r="AJ119" t="e">
        <f>AND(Bills!F364,"AAAAADt//yM=")</f>
        <v>#VALUE!</v>
      </c>
      <c r="AK119" t="e">
        <f>AND(Bills!G364,"AAAAADt//yQ=")</f>
        <v>#VALUE!</v>
      </c>
      <c r="AL119" t="e">
        <f>AND(Bills!H364,"AAAAADt//yU=")</f>
        <v>#VALUE!</v>
      </c>
      <c r="AM119" t="e">
        <f>AND(Bills!I364,"AAAAADt//yY=")</f>
        <v>#VALUE!</v>
      </c>
      <c r="AN119" t="e">
        <f>AND(Bills!J364,"AAAAADt//yc=")</f>
        <v>#VALUE!</v>
      </c>
      <c r="AO119" t="e">
        <f>AND(Bills!#REF!,"AAAAADt//yg=")</f>
        <v>#REF!</v>
      </c>
      <c r="AP119" t="e">
        <f>AND(Bills!K364,"AAAAADt//yk=")</f>
        <v>#VALUE!</v>
      </c>
      <c r="AQ119" t="e">
        <f>AND(Bills!L364,"AAAAADt//yo=")</f>
        <v>#VALUE!</v>
      </c>
      <c r="AR119" t="e">
        <f>AND(Bills!M364,"AAAAADt//ys=")</f>
        <v>#VALUE!</v>
      </c>
      <c r="AS119" t="e">
        <f>AND(Bills!N364,"AAAAADt//yw=")</f>
        <v>#VALUE!</v>
      </c>
      <c r="AT119" t="e">
        <f>AND(Bills!O364,"AAAAADt//y0=")</f>
        <v>#VALUE!</v>
      </c>
      <c r="AU119" t="e">
        <f>AND(Bills!P364,"AAAAADt//y4=")</f>
        <v>#VALUE!</v>
      </c>
      <c r="AV119" t="e">
        <f>AND(Bills!Q364,"AAAAADt//y8=")</f>
        <v>#VALUE!</v>
      </c>
      <c r="AW119" t="e">
        <f>AND(Bills!R364,"AAAAADt//zA=")</f>
        <v>#VALUE!</v>
      </c>
      <c r="AX119" t="e">
        <f>AND(Bills!#REF!,"AAAAADt//zE=")</f>
        <v>#REF!</v>
      </c>
      <c r="AY119" t="e">
        <f>AND(Bills!S364,"AAAAADt//zI=")</f>
        <v>#VALUE!</v>
      </c>
      <c r="AZ119" t="e">
        <f>AND(Bills!T364,"AAAAADt//zM=")</f>
        <v>#VALUE!</v>
      </c>
      <c r="BA119" t="e">
        <f>AND(Bills!U364,"AAAAADt//zQ=")</f>
        <v>#VALUE!</v>
      </c>
      <c r="BB119" t="e">
        <f>AND(Bills!#REF!,"AAAAADt//zU=")</f>
        <v>#REF!</v>
      </c>
      <c r="BC119" t="e">
        <f>AND(Bills!#REF!,"AAAAADt//zY=")</f>
        <v>#REF!</v>
      </c>
      <c r="BD119" t="e">
        <f>AND(Bills!W364,"AAAAADt//zc=")</f>
        <v>#VALUE!</v>
      </c>
      <c r="BE119" t="e">
        <f>AND(Bills!X364,"AAAAADt//zg=")</f>
        <v>#VALUE!</v>
      </c>
      <c r="BF119" t="e">
        <f>AND(Bills!#REF!,"AAAAADt//zk=")</f>
        <v>#REF!</v>
      </c>
      <c r="BG119" t="e">
        <f>AND(Bills!#REF!,"AAAAADt//zo=")</f>
        <v>#REF!</v>
      </c>
      <c r="BH119" t="e">
        <f>AND(Bills!#REF!,"AAAAADt//zs=")</f>
        <v>#REF!</v>
      </c>
      <c r="BI119" t="e">
        <f>AND(Bills!#REF!,"AAAAADt//zw=")</f>
        <v>#REF!</v>
      </c>
      <c r="BJ119" t="e">
        <f>AND(Bills!#REF!,"AAAAADt//z0=")</f>
        <v>#REF!</v>
      </c>
      <c r="BK119" t="e">
        <f>AND(Bills!#REF!,"AAAAADt//z4=")</f>
        <v>#REF!</v>
      </c>
      <c r="BL119" t="e">
        <f>AND(Bills!#REF!,"AAAAADt//z8=")</f>
        <v>#REF!</v>
      </c>
      <c r="BM119" t="e">
        <f>AND(Bills!#REF!,"AAAAADt//0A=")</f>
        <v>#REF!</v>
      </c>
      <c r="BN119" t="e">
        <f>AND(Bills!#REF!,"AAAAADt//0E=")</f>
        <v>#REF!</v>
      </c>
      <c r="BO119" t="e">
        <f>AND(Bills!Y364,"AAAAADt//0I=")</f>
        <v>#VALUE!</v>
      </c>
      <c r="BP119" t="e">
        <f>AND(Bills!Z364,"AAAAADt//0M=")</f>
        <v>#VALUE!</v>
      </c>
      <c r="BQ119" t="e">
        <f>AND(Bills!#REF!,"AAAAADt//0Q=")</f>
        <v>#REF!</v>
      </c>
      <c r="BR119" t="e">
        <f>AND(Bills!#REF!,"AAAAADt//0U=")</f>
        <v>#REF!</v>
      </c>
      <c r="BS119" t="e">
        <f>AND(Bills!#REF!,"AAAAADt//0Y=")</f>
        <v>#REF!</v>
      </c>
      <c r="BT119" t="e">
        <f>AND(Bills!AA364,"AAAAADt//0c=")</f>
        <v>#VALUE!</v>
      </c>
      <c r="BU119" t="e">
        <f>AND(Bills!AB364,"AAAAADt//0g=")</f>
        <v>#VALUE!</v>
      </c>
      <c r="BV119" t="e">
        <f>AND(Bills!#REF!,"AAAAADt//0k=")</f>
        <v>#REF!</v>
      </c>
      <c r="BW119">
        <f>IF(Bills!365:365,"AAAAADt//0o=",0)</f>
        <v>0</v>
      </c>
      <c r="BX119" t="e">
        <f>AND(Bills!B365,"AAAAADt//0s=")</f>
        <v>#VALUE!</v>
      </c>
      <c r="BY119" t="e">
        <f>AND(Bills!#REF!,"AAAAADt//0w=")</f>
        <v>#REF!</v>
      </c>
      <c r="BZ119" t="e">
        <f>AND(Bills!C365,"AAAAADt//00=")</f>
        <v>#VALUE!</v>
      </c>
      <c r="CA119" t="e">
        <f>AND(Bills!#REF!,"AAAAADt//04=")</f>
        <v>#REF!</v>
      </c>
      <c r="CB119" t="e">
        <f>AND(Bills!#REF!,"AAAAADt//08=")</f>
        <v>#REF!</v>
      </c>
      <c r="CC119" t="e">
        <f>AND(Bills!#REF!,"AAAAADt//1A=")</f>
        <v>#REF!</v>
      </c>
      <c r="CD119" t="e">
        <f>AND(Bills!#REF!,"AAAAADt//1E=")</f>
        <v>#REF!</v>
      </c>
      <c r="CE119" t="e">
        <f>AND(Bills!#REF!,"AAAAADt//1I=")</f>
        <v>#REF!</v>
      </c>
      <c r="CF119" t="e">
        <f>AND(Bills!D365,"AAAAADt//1M=")</f>
        <v>#VALUE!</v>
      </c>
      <c r="CG119" t="e">
        <f>AND(Bills!#REF!,"AAAAADt//1Q=")</f>
        <v>#REF!</v>
      </c>
      <c r="CH119" t="e">
        <f>AND(Bills!E365,"AAAAADt//1U=")</f>
        <v>#VALUE!</v>
      </c>
      <c r="CI119" t="e">
        <f>AND(Bills!F365,"AAAAADt//1Y=")</f>
        <v>#VALUE!</v>
      </c>
      <c r="CJ119" t="e">
        <f>AND(Bills!G365,"AAAAADt//1c=")</f>
        <v>#VALUE!</v>
      </c>
      <c r="CK119" t="e">
        <f>AND(Bills!H365,"AAAAADt//1g=")</f>
        <v>#VALUE!</v>
      </c>
      <c r="CL119" t="e">
        <f>AND(Bills!I365,"AAAAADt//1k=")</f>
        <v>#VALUE!</v>
      </c>
      <c r="CM119" t="e">
        <f>AND(Bills!J365,"AAAAADt//1o=")</f>
        <v>#VALUE!</v>
      </c>
      <c r="CN119" t="e">
        <f>AND(Bills!#REF!,"AAAAADt//1s=")</f>
        <v>#REF!</v>
      </c>
      <c r="CO119" t="e">
        <f>AND(Bills!K365,"AAAAADt//1w=")</f>
        <v>#VALUE!</v>
      </c>
      <c r="CP119" t="e">
        <f>AND(Bills!L365,"AAAAADt//10=")</f>
        <v>#VALUE!</v>
      </c>
      <c r="CQ119" t="e">
        <f>AND(Bills!M365,"AAAAADt//14=")</f>
        <v>#VALUE!</v>
      </c>
      <c r="CR119" t="e">
        <f>AND(Bills!N365,"AAAAADt//18=")</f>
        <v>#VALUE!</v>
      </c>
      <c r="CS119" t="e">
        <f>AND(Bills!O365,"AAAAADt//2A=")</f>
        <v>#VALUE!</v>
      </c>
      <c r="CT119" t="e">
        <f>AND(Bills!P365,"AAAAADt//2E=")</f>
        <v>#VALUE!</v>
      </c>
      <c r="CU119" t="e">
        <f>AND(Bills!Q365,"AAAAADt//2I=")</f>
        <v>#VALUE!</v>
      </c>
      <c r="CV119" t="e">
        <f>AND(Bills!R365,"AAAAADt//2M=")</f>
        <v>#VALUE!</v>
      </c>
      <c r="CW119" t="e">
        <f>AND(Bills!#REF!,"AAAAADt//2Q=")</f>
        <v>#REF!</v>
      </c>
      <c r="CX119" t="e">
        <f>AND(Bills!S365,"AAAAADt//2U=")</f>
        <v>#VALUE!</v>
      </c>
      <c r="CY119" t="e">
        <f>AND(Bills!T365,"AAAAADt//2Y=")</f>
        <v>#VALUE!</v>
      </c>
      <c r="CZ119" t="e">
        <f>AND(Bills!U365,"AAAAADt//2c=")</f>
        <v>#VALUE!</v>
      </c>
      <c r="DA119" t="e">
        <f>AND(Bills!#REF!,"AAAAADt//2g=")</f>
        <v>#REF!</v>
      </c>
      <c r="DB119" t="e">
        <f>AND(Bills!#REF!,"AAAAADt//2k=")</f>
        <v>#REF!</v>
      </c>
      <c r="DC119" t="e">
        <f>AND(Bills!W365,"AAAAADt//2o=")</f>
        <v>#VALUE!</v>
      </c>
      <c r="DD119" t="e">
        <f>AND(Bills!X365,"AAAAADt//2s=")</f>
        <v>#VALUE!</v>
      </c>
      <c r="DE119" t="e">
        <f>AND(Bills!#REF!,"AAAAADt//2w=")</f>
        <v>#REF!</v>
      </c>
      <c r="DF119" t="e">
        <f>AND(Bills!#REF!,"AAAAADt//20=")</f>
        <v>#REF!</v>
      </c>
      <c r="DG119" t="e">
        <f>AND(Bills!#REF!,"AAAAADt//24=")</f>
        <v>#REF!</v>
      </c>
      <c r="DH119" t="e">
        <f>AND(Bills!#REF!,"AAAAADt//28=")</f>
        <v>#REF!</v>
      </c>
      <c r="DI119" t="e">
        <f>AND(Bills!#REF!,"AAAAADt//3A=")</f>
        <v>#REF!</v>
      </c>
      <c r="DJ119" t="e">
        <f>AND(Bills!#REF!,"AAAAADt//3E=")</f>
        <v>#REF!</v>
      </c>
      <c r="DK119" t="e">
        <f>AND(Bills!#REF!,"AAAAADt//3I=")</f>
        <v>#REF!</v>
      </c>
      <c r="DL119" t="e">
        <f>AND(Bills!#REF!,"AAAAADt//3M=")</f>
        <v>#REF!</v>
      </c>
      <c r="DM119" t="e">
        <f>AND(Bills!#REF!,"AAAAADt//3Q=")</f>
        <v>#REF!</v>
      </c>
      <c r="DN119" t="e">
        <f>AND(Bills!Y365,"AAAAADt//3U=")</f>
        <v>#VALUE!</v>
      </c>
      <c r="DO119" t="e">
        <f>AND(Bills!Z365,"AAAAADt//3Y=")</f>
        <v>#VALUE!</v>
      </c>
      <c r="DP119" t="e">
        <f>AND(Bills!#REF!,"AAAAADt//3c=")</f>
        <v>#REF!</v>
      </c>
      <c r="DQ119" t="e">
        <f>AND(Bills!#REF!,"AAAAADt//3g=")</f>
        <v>#REF!</v>
      </c>
      <c r="DR119" t="e">
        <f>AND(Bills!#REF!,"AAAAADt//3k=")</f>
        <v>#REF!</v>
      </c>
      <c r="DS119" t="e">
        <f>AND(Bills!AA365,"AAAAADt//3o=")</f>
        <v>#VALUE!</v>
      </c>
      <c r="DT119" t="e">
        <f>AND(Bills!AB365,"AAAAADt//3s=")</f>
        <v>#VALUE!</v>
      </c>
      <c r="DU119" t="e">
        <f>AND(Bills!#REF!,"AAAAADt//3w=")</f>
        <v>#REF!</v>
      </c>
      <c r="DV119">
        <f>IF(Bills!366:366,"AAAAADt//30=",0)</f>
        <v>0</v>
      </c>
      <c r="DW119" t="e">
        <f>AND(Bills!B366,"AAAAADt//34=")</f>
        <v>#VALUE!</v>
      </c>
      <c r="DX119" t="e">
        <f>AND(Bills!#REF!,"AAAAADt//38=")</f>
        <v>#REF!</v>
      </c>
      <c r="DY119" t="e">
        <f>AND(Bills!C366,"AAAAADt//4A=")</f>
        <v>#VALUE!</v>
      </c>
      <c r="DZ119" t="e">
        <f>AND(Bills!#REF!,"AAAAADt//4E=")</f>
        <v>#REF!</v>
      </c>
      <c r="EA119" t="e">
        <f>AND(Bills!#REF!,"AAAAADt//4I=")</f>
        <v>#REF!</v>
      </c>
      <c r="EB119" t="e">
        <f>AND(Bills!#REF!,"AAAAADt//4M=")</f>
        <v>#REF!</v>
      </c>
      <c r="EC119" t="e">
        <f>AND(Bills!#REF!,"AAAAADt//4Q=")</f>
        <v>#REF!</v>
      </c>
      <c r="ED119" t="e">
        <f>AND(Bills!#REF!,"AAAAADt//4U=")</f>
        <v>#REF!</v>
      </c>
      <c r="EE119" t="e">
        <f>AND(Bills!D366,"AAAAADt//4Y=")</f>
        <v>#VALUE!</v>
      </c>
      <c r="EF119" t="e">
        <f>AND(Bills!#REF!,"AAAAADt//4c=")</f>
        <v>#REF!</v>
      </c>
      <c r="EG119" t="e">
        <f>AND(Bills!E366,"AAAAADt//4g=")</f>
        <v>#VALUE!</v>
      </c>
      <c r="EH119" t="e">
        <f>AND(Bills!F366,"AAAAADt//4k=")</f>
        <v>#VALUE!</v>
      </c>
      <c r="EI119" t="e">
        <f>AND(Bills!G366,"AAAAADt//4o=")</f>
        <v>#VALUE!</v>
      </c>
      <c r="EJ119" t="e">
        <f>AND(Bills!H366,"AAAAADt//4s=")</f>
        <v>#VALUE!</v>
      </c>
      <c r="EK119" t="e">
        <f>AND(Bills!I366,"AAAAADt//4w=")</f>
        <v>#VALUE!</v>
      </c>
      <c r="EL119" t="e">
        <f>AND(Bills!J366,"AAAAADt//40=")</f>
        <v>#VALUE!</v>
      </c>
      <c r="EM119" t="e">
        <f>AND(Bills!#REF!,"AAAAADt//44=")</f>
        <v>#REF!</v>
      </c>
      <c r="EN119" t="e">
        <f>AND(Bills!K366,"AAAAADt//48=")</f>
        <v>#VALUE!</v>
      </c>
      <c r="EO119" t="e">
        <f>AND(Bills!L366,"AAAAADt//5A=")</f>
        <v>#VALUE!</v>
      </c>
      <c r="EP119" t="e">
        <f>AND(Bills!M366,"AAAAADt//5E=")</f>
        <v>#VALUE!</v>
      </c>
      <c r="EQ119" t="e">
        <f>AND(Bills!N366,"AAAAADt//5I=")</f>
        <v>#VALUE!</v>
      </c>
      <c r="ER119" t="e">
        <f>AND(Bills!O366,"AAAAADt//5M=")</f>
        <v>#VALUE!</v>
      </c>
      <c r="ES119" t="e">
        <f>AND(Bills!P366,"AAAAADt//5Q=")</f>
        <v>#VALUE!</v>
      </c>
      <c r="ET119" t="e">
        <f>AND(Bills!Q366,"AAAAADt//5U=")</f>
        <v>#VALUE!</v>
      </c>
      <c r="EU119" t="e">
        <f>AND(Bills!R366,"AAAAADt//5Y=")</f>
        <v>#VALUE!</v>
      </c>
      <c r="EV119" t="e">
        <f>AND(Bills!#REF!,"AAAAADt//5c=")</f>
        <v>#REF!</v>
      </c>
      <c r="EW119" t="e">
        <f>AND(Bills!S366,"AAAAADt//5g=")</f>
        <v>#VALUE!</v>
      </c>
      <c r="EX119" t="e">
        <f>AND(Bills!T366,"AAAAADt//5k=")</f>
        <v>#VALUE!</v>
      </c>
      <c r="EY119" t="e">
        <f>AND(Bills!U366,"AAAAADt//5o=")</f>
        <v>#VALUE!</v>
      </c>
      <c r="EZ119" t="e">
        <f>AND(Bills!#REF!,"AAAAADt//5s=")</f>
        <v>#REF!</v>
      </c>
      <c r="FA119" t="e">
        <f>AND(Bills!#REF!,"AAAAADt//5w=")</f>
        <v>#REF!</v>
      </c>
      <c r="FB119" t="e">
        <f>AND(Bills!W366,"AAAAADt//50=")</f>
        <v>#VALUE!</v>
      </c>
      <c r="FC119" t="e">
        <f>AND(Bills!X366,"AAAAADt//54=")</f>
        <v>#VALUE!</v>
      </c>
      <c r="FD119" t="e">
        <f>AND(Bills!#REF!,"AAAAADt//58=")</f>
        <v>#REF!</v>
      </c>
      <c r="FE119" t="e">
        <f>AND(Bills!#REF!,"AAAAADt//6A=")</f>
        <v>#REF!</v>
      </c>
      <c r="FF119" t="e">
        <f>AND(Bills!#REF!,"AAAAADt//6E=")</f>
        <v>#REF!</v>
      </c>
      <c r="FG119" t="e">
        <f>AND(Bills!#REF!,"AAAAADt//6I=")</f>
        <v>#REF!</v>
      </c>
      <c r="FH119" t="e">
        <f>AND(Bills!#REF!,"AAAAADt//6M=")</f>
        <v>#REF!</v>
      </c>
      <c r="FI119" t="e">
        <f>AND(Bills!#REF!,"AAAAADt//6Q=")</f>
        <v>#REF!</v>
      </c>
      <c r="FJ119" t="e">
        <f>AND(Bills!#REF!,"AAAAADt//6U=")</f>
        <v>#REF!</v>
      </c>
      <c r="FK119" t="e">
        <f>AND(Bills!#REF!,"AAAAADt//6Y=")</f>
        <v>#REF!</v>
      </c>
      <c r="FL119" t="e">
        <f>AND(Bills!#REF!,"AAAAADt//6c=")</f>
        <v>#REF!</v>
      </c>
      <c r="FM119" t="e">
        <f>AND(Bills!Y366,"AAAAADt//6g=")</f>
        <v>#VALUE!</v>
      </c>
      <c r="FN119" t="e">
        <f>AND(Bills!Z366,"AAAAADt//6k=")</f>
        <v>#VALUE!</v>
      </c>
      <c r="FO119" t="e">
        <f>AND(Bills!#REF!,"AAAAADt//6o=")</f>
        <v>#REF!</v>
      </c>
      <c r="FP119" t="e">
        <f>AND(Bills!#REF!,"AAAAADt//6s=")</f>
        <v>#REF!</v>
      </c>
      <c r="FQ119" t="e">
        <f>AND(Bills!#REF!,"AAAAADt//6w=")</f>
        <v>#REF!</v>
      </c>
      <c r="FR119" t="e">
        <f>AND(Bills!AA366,"AAAAADt//60=")</f>
        <v>#VALUE!</v>
      </c>
      <c r="FS119" t="e">
        <f>AND(Bills!AB366,"AAAAADt//64=")</f>
        <v>#VALUE!</v>
      </c>
      <c r="FT119" t="e">
        <f>AND(Bills!#REF!,"AAAAADt//68=")</f>
        <v>#REF!</v>
      </c>
      <c r="FU119">
        <f>IF(Bills!367:367,"AAAAADt//7A=",0)</f>
        <v>0</v>
      </c>
      <c r="FV119" t="e">
        <f>AND(Bills!B367,"AAAAADt//7E=")</f>
        <v>#VALUE!</v>
      </c>
      <c r="FW119" t="e">
        <f>AND(Bills!#REF!,"AAAAADt//7I=")</f>
        <v>#REF!</v>
      </c>
      <c r="FX119" t="e">
        <f>AND(Bills!C367,"AAAAADt//7M=")</f>
        <v>#VALUE!</v>
      </c>
      <c r="FY119" t="e">
        <f>AND(Bills!#REF!,"AAAAADt//7Q=")</f>
        <v>#REF!</v>
      </c>
      <c r="FZ119" t="e">
        <f>AND(Bills!#REF!,"AAAAADt//7U=")</f>
        <v>#REF!</v>
      </c>
      <c r="GA119" t="e">
        <f>AND(Bills!#REF!,"AAAAADt//7Y=")</f>
        <v>#REF!</v>
      </c>
      <c r="GB119" t="e">
        <f>AND(Bills!#REF!,"AAAAADt//7c=")</f>
        <v>#REF!</v>
      </c>
      <c r="GC119" t="e">
        <f>AND(Bills!#REF!,"AAAAADt//7g=")</f>
        <v>#REF!</v>
      </c>
      <c r="GD119" t="e">
        <f>AND(Bills!D367,"AAAAADt//7k=")</f>
        <v>#VALUE!</v>
      </c>
      <c r="GE119" t="e">
        <f>AND(Bills!#REF!,"AAAAADt//7o=")</f>
        <v>#REF!</v>
      </c>
      <c r="GF119" t="e">
        <f>AND(Bills!E367,"AAAAADt//7s=")</f>
        <v>#VALUE!</v>
      </c>
      <c r="GG119" t="e">
        <f>AND(Bills!F367,"AAAAADt//7w=")</f>
        <v>#VALUE!</v>
      </c>
      <c r="GH119" t="e">
        <f>AND(Bills!G367,"AAAAADt//70=")</f>
        <v>#VALUE!</v>
      </c>
      <c r="GI119" t="e">
        <f>AND(Bills!H367,"AAAAADt//74=")</f>
        <v>#VALUE!</v>
      </c>
      <c r="GJ119" t="e">
        <f>AND(Bills!I367,"AAAAADt//78=")</f>
        <v>#VALUE!</v>
      </c>
      <c r="GK119" t="e">
        <f>AND(Bills!J367,"AAAAADt//8A=")</f>
        <v>#VALUE!</v>
      </c>
      <c r="GL119" t="e">
        <f>AND(Bills!#REF!,"AAAAADt//8E=")</f>
        <v>#REF!</v>
      </c>
      <c r="GM119" t="e">
        <f>AND(Bills!K367,"AAAAADt//8I=")</f>
        <v>#VALUE!</v>
      </c>
      <c r="GN119" t="e">
        <f>AND(Bills!L367,"AAAAADt//8M=")</f>
        <v>#VALUE!</v>
      </c>
      <c r="GO119" t="e">
        <f>AND(Bills!M367,"AAAAADt//8Q=")</f>
        <v>#VALUE!</v>
      </c>
      <c r="GP119" t="e">
        <f>AND(Bills!N367,"AAAAADt//8U=")</f>
        <v>#VALUE!</v>
      </c>
      <c r="GQ119" t="e">
        <f>AND(Bills!O367,"AAAAADt//8Y=")</f>
        <v>#VALUE!</v>
      </c>
      <c r="GR119" t="e">
        <f>AND(Bills!P367,"AAAAADt//8c=")</f>
        <v>#VALUE!</v>
      </c>
      <c r="GS119" t="e">
        <f>AND(Bills!Q367,"AAAAADt//8g=")</f>
        <v>#VALUE!</v>
      </c>
      <c r="GT119" t="e">
        <f>AND(Bills!R367,"AAAAADt//8k=")</f>
        <v>#VALUE!</v>
      </c>
      <c r="GU119" t="e">
        <f>AND(Bills!#REF!,"AAAAADt//8o=")</f>
        <v>#REF!</v>
      </c>
      <c r="GV119" t="e">
        <f>AND(Bills!S367,"AAAAADt//8s=")</f>
        <v>#VALUE!</v>
      </c>
      <c r="GW119" t="e">
        <f>AND(Bills!T367,"AAAAADt//8w=")</f>
        <v>#VALUE!</v>
      </c>
      <c r="GX119" t="e">
        <f>AND(Bills!U367,"AAAAADt//80=")</f>
        <v>#VALUE!</v>
      </c>
      <c r="GY119" t="e">
        <f>AND(Bills!#REF!,"AAAAADt//84=")</f>
        <v>#REF!</v>
      </c>
      <c r="GZ119" t="e">
        <f>AND(Bills!#REF!,"AAAAADt//88=")</f>
        <v>#REF!</v>
      </c>
      <c r="HA119" t="e">
        <f>AND(Bills!W367,"AAAAADt//9A=")</f>
        <v>#VALUE!</v>
      </c>
      <c r="HB119" t="e">
        <f>AND(Bills!X367,"AAAAADt//9E=")</f>
        <v>#VALUE!</v>
      </c>
      <c r="HC119" t="e">
        <f>AND(Bills!#REF!,"AAAAADt//9I=")</f>
        <v>#REF!</v>
      </c>
      <c r="HD119" t="e">
        <f>AND(Bills!#REF!,"AAAAADt//9M=")</f>
        <v>#REF!</v>
      </c>
      <c r="HE119" t="e">
        <f>AND(Bills!#REF!,"AAAAADt//9Q=")</f>
        <v>#REF!</v>
      </c>
      <c r="HF119" t="e">
        <f>AND(Bills!#REF!,"AAAAADt//9U=")</f>
        <v>#REF!</v>
      </c>
      <c r="HG119" t="e">
        <f>AND(Bills!#REF!,"AAAAADt//9Y=")</f>
        <v>#REF!</v>
      </c>
      <c r="HH119" t="e">
        <f>AND(Bills!#REF!,"AAAAADt//9c=")</f>
        <v>#REF!</v>
      </c>
      <c r="HI119" t="e">
        <f>AND(Bills!#REF!,"AAAAADt//9g=")</f>
        <v>#REF!</v>
      </c>
      <c r="HJ119" t="e">
        <f>AND(Bills!#REF!,"AAAAADt//9k=")</f>
        <v>#REF!</v>
      </c>
      <c r="HK119" t="e">
        <f>AND(Bills!#REF!,"AAAAADt//9o=")</f>
        <v>#REF!</v>
      </c>
      <c r="HL119" t="e">
        <f>AND(Bills!Y367,"AAAAADt//9s=")</f>
        <v>#VALUE!</v>
      </c>
      <c r="HM119" t="e">
        <f>AND(Bills!Z367,"AAAAADt//9w=")</f>
        <v>#VALUE!</v>
      </c>
      <c r="HN119" t="e">
        <f>AND(Bills!#REF!,"AAAAADt//90=")</f>
        <v>#REF!</v>
      </c>
      <c r="HO119" t="e">
        <f>AND(Bills!#REF!,"AAAAADt//94=")</f>
        <v>#REF!</v>
      </c>
      <c r="HP119" t="e">
        <f>AND(Bills!#REF!,"AAAAADt//98=")</f>
        <v>#REF!</v>
      </c>
      <c r="HQ119" t="e">
        <f>AND(Bills!AA367,"AAAAADt//+A=")</f>
        <v>#VALUE!</v>
      </c>
      <c r="HR119" t="e">
        <f>AND(Bills!AB367,"AAAAADt//+E=")</f>
        <v>#VALUE!</v>
      </c>
      <c r="HS119" t="e">
        <f>AND(Bills!#REF!,"AAAAADt//+I=")</f>
        <v>#REF!</v>
      </c>
      <c r="HT119">
        <f>IF(Bills!368:368,"AAAAADt//+M=",0)</f>
        <v>0</v>
      </c>
      <c r="HU119" t="e">
        <f>AND(Bills!B368,"AAAAADt//+Q=")</f>
        <v>#VALUE!</v>
      </c>
      <c r="HV119" t="e">
        <f>AND(Bills!#REF!,"AAAAADt//+U=")</f>
        <v>#REF!</v>
      </c>
      <c r="HW119" t="e">
        <f>AND(Bills!C368,"AAAAADt//+Y=")</f>
        <v>#VALUE!</v>
      </c>
      <c r="HX119" t="e">
        <f>AND(Bills!#REF!,"AAAAADt//+c=")</f>
        <v>#REF!</v>
      </c>
      <c r="HY119" t="e">
        <f>AND(Bills!#REF!,"AAAAADt//+g=")</f>
        <v>#REF!</v>
      </c>
      <c r="HZ119" t="e">
        <f>AND(Bills!#REF!,"AAAAADt//+k=")</f>
        <v>#REF!</v>
      </c>
      <c r="IA119" t="e">
        <f>AND(Bills!#REF!,"AAAAADt//+o=")</f>
        <v>#REF!</v>
      </c>
      <c r="IB119" t="e">
        <f>AND(Bills!#REF!,"AAAAADt//+s=")</f>
        <v>#REF!</v>
      </c>
      <c r="IC119" t="e">
        <f>AND(Bills!D368,"AAAAADt//+w=")</f>
        <v>#VALUE!</v>
      </c>
      <c r="ID119" t="e">
        <f>AND(Bills!#REF!,"AAAAADt//+0=")</f>
        <v>#REF!</v>
      </c>
      <c r="IE119" t="e">
        <f>AND(Bills!E368,"AAAAADt//+4=")</f>
        <v>#VALUE!</v>
      </c>
      <c r="IF119" t="e">
        <f>AND(Bills!F368,"AAAAADt//+8=")</f>
        <v>#VALUE!</v>
      </c>
      <c r="IG119" t="e">
        <f>AND(Bills!G368,"AAAAADt///A=")</f>
        <v>#VALUE!</v>
      </c>
      <c r="IH119" t="e">
        <f>AND(Bills!H368,"AAAAADt///E=")</f>
        <v>#VALUE!</v>
      </c>
      <c r="II119" t="e">
        <f>AND(Bills!I368,"AAAAADt///I=")</f>
        <v>#VALUE!</v>
      </c>
      <c r="IJ119" t="e">
        <f>AND(Bills!J368,"AAAAADt///M=")</f>
        <v>#VALUE!</v>
      </c>
      <c r="IK119" t="e">
        <f>AND(Bills!#REF!,"AAAAADt///Q=")</f>
        <v>#REF!</v>
      </c>
      <c r="IL119" t="e">
        <f>AND(Bills!K368,"AAAAADt///U=")</f>
        <v>#VALUE!</v>
      </c>
      <c r="IM119" t="e">
        <f>AND(Bills!L368,"AAAAADt///Y=")</f>
        <v>#VALUE!</v>
      </c>
      <c r="IN119" t="e">
        <f>AND(Bills!M368,"AAAAADt///c=")</f>
        <v>#VALUE!</v>
      </c>
      <c r="IO119" t="e">
        <f>AND(Bills!N368,"AAAAADt///g=")</f>
        <v>#VALUE!</v>
      </c>
      <c r="IP119" t="e">
        <f>AND(Bills!O368,"AAAAADt///k=")</f>
        <v>#VALUE!</v>
      </c>
      <c r="IQ119" t="e">
        <f>AND(Bills!P368,"AAAAADt///o=")</f>
        <v>#VALUE!</v>
      </c>
      <c r="IR119" t="e">
        <f>AND(Bills!Q368,"AAAAADt///s=")</f>
        <v>#VALUE!</v>
      </c>
      <c r="IS119" t="e">
        <f>AND(Bills!R368,"AAAAADt///w=")</f>
        <v>#VALUE!</v>
      </c>
      <c r="IT119" t="e">
        <f>AND(Bills!#REF!,"AAAAADt///0=")</f>
        <v>#REF!</v>
      </c>
      <c r="IU119" t="e">
        <f>AND(Bills!S368,"AAAAADt///4=")</f>
        <v>#VALUE!</v>
      </c>
      <c r="IV119" t="e">
        <f>AND(Bills!T368,"AAAAADt///8=")</f>
        <v>#VALUE!</v>
      </c>
    </row>
    <row r="120" spans="1:256">
      <c r="A120" t="e">
        <f>AND(Bills!U368,"AAAAAAX3dwA=")</f>
        <v>#VALUE!</v>
      </c>
      <c r="B120" t="e">
        <f>AND(Bills!#REF!,"AAAAAAX3dwE=")</f>
        <v>#REF!</v>
      </c>
      <c r="C120" t="e">
        <f>AND(Bills!#REF!,"AAAAAAX3dwI=")</f>
        <v>#REF!</v>
      </c>
      <c r="D120" t="e">
        <f>AND(Bills!W368,"AAAAAAX3dwM=")</f>
        <v>#VALUE!</v>
      </c>
      <c r="E120" t="e">
        <f>AND(Bills!X368,"AAAAAAX3dwQ=")</f>
        <v>#VALUE!</v>
      </c>
      <c r="F120" t="e">
        <f>AND(Bills!#REF!,"AAAAAAX3dwU=")</f>
        <v>#REF!</v>
      </c>
      <c r="G120" t="e">
        <f>AND(Bills!#REF!,"AAAAAAX3dwY=")</f>
        <v>#REF!</v>
      </c>
      <c r="H120" t="e">
        <f>AND(Bills!#REF!,"AAAAAAX3dwc=")</f>
        <v>#REF!</v>
      </c>
      <c r="I120" t="e">
        <f>AND(Bills!#REF!,"AAAAAAX3dwg=")</f>
        <v>#REF!</v>
      </c>
      <c r="J120" t="e">
        <f>AND(Bills!#REF!,"AAAAAAX3dwk=")</f>
        <v>#REF!</v>
      </c>
      <c r="K120" t="e">
        <f>AND(Bills!#REF!,"AAAAAAX3dwo=")</f>
        <v>#REF!</v>
      </c>
      <c r="L120" t="e">
        <f>AND(Bills!#REF!,"AAAAAAX3dws=")</f>
        <v>#REF!</v>
      </c>
      <c r="M120" t="e">
        <f>AND(Bills!#REF!,"AAAAAAX3dww=")</f>
        <v>#REF!</v>
      </c>
      <c r="N120" t="e">
        <f>AND(Bills!#REF!,"AAAAAAX3dw0=")</f>
        <v>#REF!</v>
      </c>
      <c r="O120" t="e">
        <f>AND(Bills!Y368,"AAAAAAX3dw4=")</f>
        <v>#VALUE!</v>
      </c>
      <c r="P120" t="e">
        <f>AND(Bills!Z368,"AAAAAAX3dw8=")</f>
        <v>#VALUE!</v>
      </c>
      <c r="Q120" t="e">
        <f>AND(Bills!#REF!,"AAAAAAX3dxA=")</f>
        <v>#REF!</v>
      </c>
      <c r="R120" t="e">
        <f>AND(Bills!#REF!,"AAAAAAX3dxE=")</f>
        <v>#REF!</v>
      </c>
      <c r="S120" t="e">
        <f>AND(Bills!#REF!,"AAAAAAX3dxI=")</f>
        <v>#REF!</v>
      </c>
      <c r="T120" t="e">
        <f>AND(Bills!AA368,"AAAAAAX3dxM=")</f>
        <v>#VALUE!</v>
      </c>
      <c r="U120" t="e">
        <f>AND(Bills!AB368,"AAAAAAX3dxQ=")</f>
        <v>#VALUE!</v>
      </c>
      <c r="V120" t="e">
        <f>AND(Bills!#REF!,"AAAAAAX3dxU=")</f>
        <v>#REF!</v>
      </c>
      <c r="W120">
        <f>IF(Bills!369:369,"AAAAAAX3dxY=",0)</f>
        <v>0</v>
      </c>
      <c r="X120" t="e">
        <f>AND(Bills!B369,"AAAAAAX3dxc=")</f>
        <v>#VALUE!</v>
      </c>
      <c r="Y120" t="e">
        <f>AND(Bills!#REF!,"AAAAAAX3dxg=")</f>
        <v>#REF!</v>
      </c>
      <c r="Z120" t="e">
        <f>AND(Bills!C369,"AAAAAAX3dxk=")</f>
        <v>#VALUE!</v>
      </c>
      <c r="AA120" t="e">
        <f>AND(Bills!#REF!,"AAAAAAX3dxo=")</f>
        <v>#REF!</v>
      </c>
      <c r="AB120" t="e">
        <f>AND(Bills!#REF!,"AAAAAAX3dxs=")</f>
        <v>#REF!</v>
      </c>
      <c r="AC120" t="e">
        <f>AND(Bills!#REF!,"AAAAAAX3dxw=")</f>
        <v>#REF!</v>
      </c>
      <c r="AD120" t="e">
        <f>AND(Bills!#REF!,"AAAAAAX3dx0=")</f>
        <v>#REF!</v>
      </c>
      <c r="AE120" t="e">
        <f>AND(Bills!#REF!,"AAAAAAX3dx4=")</f>
        <v>#REF!</v>
      </c>
      <c r="AF120" t="e">
        <f>AND(Bills!D369,"AAAAAAX3dx8=")</f>
        <v>#VALUE!</v>
      </c>
      <c r="AG120" t="e">
        <f>AND(Bills!#REF!,"AAAAAAX3dyA=")</f>
        <v>#REF!</v>
      </c>
      <c r="AH120" t="e">
        <f>AND(Bills!E369,"AAAAAAX3dyE=")</f>
        <v>#VALUE!</v>
      </c>
      <c r="AI120" t="e">
        <f>AND(Bills!F369,"AAAAAAX3dyI=")</f>
        <v>#VALUE!</v>
      </c>
      <c r="AJ120" t="e">
        <f>AND(Bills!G369,"AAAAAAX3dyM=")</f>
        <v>#VALUE!</v>
      </c>
      <c r="AK120" t="e">
        <f>AND(Bills!H369,"AAAAAAX3dyQ=")</f>
        <v>#VALUE!</v>
      </c>
      <c r="AL120" t="e">
        <f>AND(Bills!I369,"AAAAAAX3dyU=")</f>
        <v>#VALUE!</v>
      </c>
      <c r="AM120" t="e">
        <f>AND(Bills!J369,"AAAAAAX3dyY=")</f>
        <v>#VALUE!</v>
      </c>
      <c r="AN120" t="e">
        <f>AND(Bills!#REF!,"AAAAAAX3dyc=")</f>
        <v>#REF!</v>
      </c>
      <c r="AO120" t="e">
        <f>AND(Bills!K369,"AAAAAAX3dyg=")</f>
        <v>#VALUE!</v>
      </c>
      <c r="AP120" t="e">
        <f>AND(Bills!L369,"AAAAAAX3dyk=")</f>
        <v>#VALUE!</v>
      </c>
      <c r="AQ120" t="e">
        <f>AND(Bills!M369,"AAAAAAX3dyo=")</f>
        <v>#VALUE!</v>
      </c>
      <c r="AR120" t="e">
        <f>AND(Bills!N369,"AAAAAAX3dys=")</f>
        <v>#VALUE!</v>
      </c>
      <c r="AS120" t="e">
        <f>AND(Bills!O369,"AAAAAAX3dyw=")</f>
        <v>#VALUE!</v>
      </c>
      <c r="AT120" t="e">
        <f>AND(Bills!P369,"AAAAAAX3dy0=")</f>
        <v>#VALUE!</v>
      </c>
      <c r="AU120" t="e">
        <f>AND(Bills!Q369,"AAAAAAX3dy4=")</f>
        <v>#VALUE!</v>
      </c>
      <c r="AV120" t="e">
        <f>AND(Bills!R369,"AAAAAAX3dy8=")</f>
        <v>#VALUE!</v>
      </c>
      <c r="AW120" t="e">
        <f>AND(Bills!#REF!,"AAAAAAX3dzA=")</f>
        <v>#REF!</v>
      </c>
      <c r="AX120" t="e">
        <f>AND(Bills!S369,"AAAAAAX3dzE=")</f>
        <v>#VALUE!</v>
      </c>
      <c r="AY120" t="e">
        <f>AND(Bills!T369,"AAAAAAX3dzI=")</f>
        <v>#VALUE!</v>
      </c>
      <c r="AZ120" t="e">
        <f>AND(Bills!U369,"AAAAAAX3dzM=")</f>
        <v>#VALUE!</v>
      </c>
      <c r="BA120" t="e">
        <f>AND(Bills!#REF!,"AAAAAAX3dzQ=")</f>
        <v>#REF!</v>
      </c>
      <c r="BB120" t="e">
        <f>AND(Bills!#REF!,"AAAAAAX3dzU=")</f>
        <v>#REF!</v>
      </c>
      <c r="BC120" t="e">
        <f>AND(Bills!W369,"AAAAAAX3dzY=")</f>
        <v>#VALUE!</v>
      </c>
      <c r="BD120" t="e">
        <f>AND(Bills!X369,"AAAAAAX3dzc=")</f>
        <v>#VALUE!</v>
      </c>
      <c r="BE120" t="e">
        <f>AND(Bills!#REF!,"AAAAAAX3dzg=")</f>
        <v>#REF!</v>
      </c>
      <c r="BF120" t="e">
        <f>AND(Bills!#REF!,"AAAAAAX3dzk=")</f>
        <v>#REF!</v>
      </c>
      <c r="BG120" t="e">
        <f>AND(Bills!#REF!,"AAAAAAX3dzo=")</f>
        <v>#REF!</v>
      </c>
      <c r="BH120" t="e">
        <f>AND(Bills!#REF!,"AAAAAAX3dzs=")</f>
        <v>#REF!</v>
      </c>
      <c r="BI120" t="e">
        <f>AND(Bills!#REF!,"AAAAAAX3dzw=")</f>
        <v>#REF!</v>
      </c>
      <c r="BJ120" t="e">
        <f>AND(Bills!#REF!,"AAAAAAX3dz0=")</f>
        <v>#REF!</v>
      </c>
      <c r="BK120" t="e">
        <f>AND(Bills!#REF!,"AAAAAAX3dz4=")</f>
        <v>#REF!</v>
      </c>
      <c r="BL120" t="e">
        <f>AND(Bills!#REF!,"AAAAAAX3dz8=")</f>
        <v>#REF!</v>
      </c>
      <c r="BM120" t="e">
        <f>AND(Bills!#REF!,"AAAAAAX3d0A=")</f>
        <v>#REF!</v>
      </c>
      <c r="BN120" t="e">
        <f>AND(Bills!Y369,"AAAAAAX3d0E=")</f>
        <v>#VALUE!</v>
      </c>
      <c r="BO120" t="e">
        <f>AND(Bills!Z369,"AAAAAAX3d0I=")</f>
        <v>#VALUE!</v>
      </c>
      <c r="BP120" t="e">
        <f>AND(Bills!#REF!,"AAAAAAX3d0M=")</f>
        <v>#REF!</v>
      </c>
      <c r="BQ120" t="e">
        <f>AND(Bills!#REF!,"AAAAAAX3d0Q=")</f>
        <v>#REF!</v>
      </c>
      <c r="BR120" t="e">
        <f>AND(Bills!#REF!,"AAAAAAX3d0U=")</f>
        <v>#REF!</v>
      </c>
      <c r="BS120" t="e">
        <f>AND(Bills!AA369,"AAAAAAX3d0Y=")</f>
        <v>#VALUE!</v>
      </c>
      <c r="BT120" t="e">
        <f>AND(Bills!AB369,"AAAAAAX3d0c=")</f>
        <v>#VALUE!</v>
      </c>
      <c r="BU120" t="e">
        <f>AND(Bills!#REF!,"AAAAAAX3d0g=")</f>
        <v>#REF!</v>
      </c>
      <c r="BV120">
        <f>IF(Bills!370:370,"AAAAAAX3d0k=",0)</f>
        <v>0</v>
      </c>
      <c r="BW120" t="e">
        <f>AND(Bills!B370,"AAAAAAX3d0o=")</f>
        <v>#VALUE!</v>
      </c>
      <c r="BX120" t="e">
        <f>AND(Bills!#REF!,"AAAAAAX3d0s=")</f>
        <v>#REF!</v>
      </c>
      <c r="BY120" t="e">
        <f>AND(Bills!C370,"AAAAAAX3d0w=")</f>
        <v>#VALUE!</v>
      </c>
      <c r="BZ120" t="e">
        <f>AND(Bills!#REF!,"AAAAAAX3d00=")</f>
        <v>#REF!</v>
      </c>
      <c r="CA120" t="e">
        <f>AND(Bills!#REF!,"AAAAAAX3d04=")</f>
        <v>#REF!</v>
      </c>
      <c r="CB120" t="e">
        <f>AND(Bills!#REF!,"AAAAAAX3d08=")</f>
        <v>#REF!</v>
      </c>
      <c r="CC120" t="e">
        <f>AND(Bills!#REF!,"AAAAAAX3d1A=")</f>
        <v>#REF!</v>
      </c>
      <c r="CD120" t="e">
        <f>AND(Bills!#REF!,"AAAAAAX3d1E=")</f>
        <v>#REF!</v>
      </c>
      <c r="CE120" t="e">
        <f>AND(Bills!D370,"AAAAAAX3d1I=")</f>
        <v>#VALUE!</v>
      </c>
      <c r="CF120" t="e">
        <f>AND(Bills!#REF!,"AAAAAAX3d1M=")</f>
        <v>#REF!</v>
      </c>
      <c r="CG120" t="e">
        <f>AND(Bills!E370,"AAAAAAX3d1Q=")</f>
        <v>#VALUE!</v>
      </c>
      <c r="CH120" t="e">
        <f>AND(Bills!F370,"AAAAAAX3d1U=")</f>
        <v>#VALUE!</v>
      </c>
      <c r="CI120" t="e">
        <f>AND(Bills!G370,"AAAAAAX3d1Y=")</f>
        <v>#VALUE!</v>
      </c>
      <c r="CJ120" t="e">
        <f>AND(Bills!H370,"AAAAAAX3d1c=")</f>
        <v>#VALUE!</v>
      </c>
      <c r="CK120" t="e">
        <f>AND(Bills!I370,"AAAAAAX3d1g=")</f>
        <v>#VALUE!</v>
      </c>
      <c r="CL120" t="e">
        <f>AND(Bills!J370,"AAAAAAX3d1k=")</f>
        <v>#VALUE!</v>
      </c>
      <c r="CM120" t="e">
        <f>AND(Bills!#REF!,"AAAAAAX3d1o=")</f>
        <v>#REF!</v>
      </c>
      <c r="CN120" t="e">
        <f>AND(Bills!K370,"AAAAAAX3d1s=")</f>
        <v>#VALUE!</v>
      </c>
      <c r="CO120" t="e">
        <f>AND(Bills!L370,"AAAAAAX3d1w=")</f>
        <v>#VALUE!</v>
      </c>
      <c r="CP120" t="e">
        <f>AND(Bills!M370,"AAAAAAX3d10=")</f>
        <v>#VALUE!</v>
      </c>
      <c r="CQ120" t="e">
        <f>AND(Bills!N370,"AAAAAAX3d14=")</f>
        <v>#VALUE!</v>
      </c>
      <c r="CR120" t="e">
        <f>AND(Bills!O370,"AAAAAAX3d18=")</f>
        <v>#VALUE!</v>
      </c>
      <c r="CS120" t="e">
        <f>AND(Bills!P370,"AAAAAAX3d2A=")</f>
        <v>#VALUE!</v>
      </c>
      <c r="CT120" t="e">
        <f>AND(Bills!Q370,"AAAAAAX3d2E=")</f>
        <v>#VALUE!</v>
      </c>
      <c r="CU120" t="e">
        <f>AND(Bills!R370,"AAAAAAX3d2I=")</f>
        <v>#VALUE!</v>
      </c>
      <c r="CV120" t="e">
        <f>AND(Bills!#REF!,"AAAAAAX3d2M=")</f>
        <v>#REF!</v>
      </c>
      <c r="CW120" t="e">
        <f>AND(Bills!S370,"AAAAAAX3d2Q=")</f>
        <v>#VALUE!</v>
      </c>
      <c r="CX120" t="e">
        <f>AND(Bills!T370,"AAAAAAX3d2U=")</f>
        <v>#VALUE!</v>
      </c>
      <c r="CY120" t="e">
        <f>AND(Bills!U370,"AAAAAAX3d2Y=")</f>
        <v>#VALUE!</v>
      </c>
      <c r="CZ120" t="e">
        <f>AND(Bills!#REF!,"AAAAAAX3d2c=")</f>
        <v>#REF!</v>
      </c>
      <c r="DA120" t="e">
        <f>AND(Bills!#REF!,"AAAAAAX3d2g=")</f>
        <v>#REF!</v>
      </c>
      <c r="DB120" t="e">
        <f>AND(Bills!W370,"AAAAAAX3d2k=")</f>
        <v>#VALUE!</v>
      </c>
      <c r="DC120" t="e">
        <f>AND(Bills!X370,"AAAAAAX3d2o=")</f>
        <v>#VALUE!</v>
      </c>
      <c r="DD120" t="e">
        <f>AND(Bills!#REF!,"AAAAAAX3d2s=")</f>
        <v>#REF!</v>
      </c>
      <c r="DE120" t="e">
        <f>AND(Bills!#REF!,"AAAAAAX3d2w=")</f>
        <v>#REF!</v>
      </c>
      <c r="DF120" t="e">
        <f>AND(Bills!#REF!,"AAAAAAX3d20=")</f>
        <v>#REF!</v>
      </c>
      <c r="DG120" t="e">
        <f>AND(Bills!#REF!,"AAAAAAX3d24=")</f>
        <v>#REF!</v>
      </c>
      <c r="DH120" t="e">
        <f>AND(Bills!#REF!,"AAAAAAX3d28=")</f>
        <v>#REF!</v>
      </c>
      <c r="DI120" t="e">
        <f>AND(Bills!#REF!,"AAAAAAX3d3A=")</f>
        <v>#REF!</v>
      </c>
      <c r="DJ120" t="e">
        <f>AND(Bills!#REF!,"AAAAAAX3d3E=")</f>
        <v>#REF!</v>
      </c>
      <c r="DK120" t="e">
        <f>AND(Bills!#REF!,"AAAAAAX3d3I=")</f>
        <v>#REF!</v>
      </c>
      <c r="DL120" t="e">
        <f>AND(Bills!#REF!,"AAAAAAX3d3M=")</f>
        <v>#REF!</v>
      </c>
      <c r="DM120" t="e">
        <f>AND(Bills!Y370,"AAAAAAX3d3Q=")</f>
        <v>#VALUE!</v>
      </c>
      <c r="DN120" t="e">
        <f>AND(Bills!Z370,"AAAAAAX3d3U=")</f>
        <v>#VALUE!</v>
      </c>
      <c r="DO120" t="e">
        <f>AND(Bills!#REF!,"AAAAAAX3d3Y=")</f>
        <v>#REF!</v>
      </c>
      <c r="DP120" t="e">
        <f>AND(Bills!#REF!,"AAAAAAX3d3c=")</f>
        <v>#REF!</v>
      </c>
      <c r="DQ120" t="e">
        <f>AND(Bills!#REF!,"AAAAAAX3d3g=")</f>
        <v>#REF!</v>
      </c>
      <c r="DR120" t="e">
        <f>AND(Bills!AA370,"AAAAAAX3d3k=")</f>
        <v>#VALUE!</v>
      </c>
      <c r="DS120" t="e">
        <f>AND(Bills!AB370,"AAAAAAX3d3o=")</f>
        <v>#VALUE!</v>
      </c>
      <c r="DT120" t="e">
        <f>AND(Bills!#REF!,"AAAAAAX3d3s=")</f>
        <v>#REF!</v>
      </c>
      <c r="DU120">
        <f>IF(Bills!371:371,"AAAAAAX3d3w=",0)</f>
        <v>0</v>
      </c>
      <c r="DV120" t="e">
        <f>AND(Bills!B371,"AAAAAAX3d30=")</f>
        <v>#VALUE!</v>
      </c>
      <c r="DW120" t="e">
        <f>AND(Bills!#REF!,"AAAAAAX3d34=")</f>
        <v>#REF!</v>
      </c>
      <c r="DX120" t="e">
        <f>AND(Bills!C371,"AAAAAAX3d38=")</f>
        <v>#VALUE!</v>
      </c>
      <c r="DY120" t="e">
        <f>AND(Bills!#REF!,"AAAAAAX3d4A=")</f>
        <v>#REF!</v>
      </c>
      <c r="DZ120" t="e">
        <f>AND(Bills!#REF!,"AAAAAAX3d4E=")</f>
        <v>#REF!</v>
      </c>
      <c r="EA120" t="e">
        <f>AND(Bills!#REF!,"AAAAAAX3d4I=")</f>
        <v>#REF!</v>
      </c>
      <c r="EB120" t="e">
        <f>AND(Bills!#REF!,"AAAAAAX3d4M=")</f>
        <v>#REF!</v>
      </c>
      <c r="EC120" t="e">
        <f>AND(Bills!#REF!,"AAAAAAX3d4Q=")</f>
        <v>#REF!</v>
      </c>
      <c r="ED120" t="e">
        <f>AND(Bills!D371,"AAAAAAX3d4U=")</f>
        <v>#VALUE!</v>
      </c>
      <c r="EE120" t="e">
        <f>AND(Bills!#REF!,"AAAAAAX3d4Y=")</f>
        <v>#REF!</v>
      </c>
      <c r="EF120" t="e">
        <f>AND(Bills!E371,"AAAAAAX3d4c=")</f>
        <v>#VALUE!</v>
      </c>
      <c r="EG120" t="e">
        <f>AND(Bills!F371,"AAAAAAX3d4g=")</f>
        <v>#VALUE!</v>
      </c>
      <c r="EH120" t="e">
        <f>AND(Bills!G371,"AAAAAAX3d4k=")</f>
        <v>#VALUE!</v>
      </c>
      <c r="EI120" t="e">
        <f>AND(Bills!H371,"AAAAAAX3d4o=")</f>
        <v>#VALUE!</v>
      </c>
      <c r="EJ120" t="e">
        <f>AND(Bills!I371,"AAAAAAX3d4s=")</f>
        <v>#VALUE!</v>
      </c>
      <c r="EK120" t="e">
        <f>AND(Bills!J371,"AAAAAAX3d4w=")</f>
        <v>#VALUE!</v>
      </c>
      <c r="EL120" t="e">
        <f>AND(Bills!#REF!,"AAAAAAX3d40=")</f>
        <v>#REF!</v>
      </c>
      <c r="EM120" t="e">
        <f>AND(Bills!K371,"AAAAAAX3d44=")</f>
        <v>#VALUE!</v>
      </c>
      <c r="EN120" t="e">
        <f>AND(Bills!L371,"AAAAAAX3d48=")</f>
        <v>#VALUE!</v>
      </c>
      <c r="EO120" t="e">
        <f>AND(Bills!M371,"AAAAAAX3d5A=")</f>
        <v>#VALUE!</v>
      </c>
      <c r="EP120" t="e">
        <f>AND(Bills!N371,"AAAAAAX3d5E=")</f>
        <v>#VALUE!</v>
      </c>
      <c r="EQ120" t="e">
        <f>AND(Bills!O371,"AAAAAAX3d5I=")</f>
        <v>#VALUE!</v>
      </c>
      <c r="ER120" t="e">
        <f>AND(Bills!P371,"AAAAAAX3d5M=")</f>
        <v>#VALUE!</v>
      </c>
      <c r="ES120" t="e">
        <f>AND(Bills!Q371,"AAAAAAX3d5Q=")</f>
        <v>#VALUE!</v>
      </c>
      <c r="ET120" t="e">
        <f>AND(Bills!R371,"AAAAAAX3d5U=")</f>
        <v>#VALUE!</v>
      </c>
      <c r="EU120" t="e">
        <f>AND(Bills!#REF!,"AAAAAAX3d5Y=")</f>
        <v>#REF!</v>
      </c>
      <c r="EV120" t="e">
        <f>AND(Bills!S371,"AAAAAAX3d5c=")</f>
        <v>#VALUE!</v>
      </c>
      <c r="EW120" t="e">
        <f>AND(Bills!T371,"AAAAAAX3d5g=")</f>
        <v>#VALUE!</v>
      </c>
      <c r="EX120" t="e">
        <f>AND(Bills!U371,"AAAAAAX3d5k=")</f>
        <v>#VALUE!</v>
      </c>
      <c r="EY120" t="e">
        <f>AND(Bills!#REF!,"AAAAAAX3d5o=")</f>
        <v>#REF!</v>
      </c>
      <c r="EZ120" t="e">
        <f>AND(Bills!#REF!,"AAAAAAX3d5s=")</f>
        <v>#REF!</v>
      </c>
      <c r="FA120" t="e">
        <f>AND(Bills!W371,"AAAAAAX3d5w=")</f>
        <v>#VALUE!</v>
      </c>
      <c r="FB120" t="e">
        <f>AND(Bills!X371,"AAAAAAX3d50=")</f>
        <v>#VALUE!</v>
      </c>
      <c r="FC120" t="e">
        <f>AND(Bills!#REF!,"AAAAAAX3d54=")</f>
        <v>#REF!</v>
      </c>
      <c r="FD120" t="e">
        <f>AND(Bills!#REF!,"AAAAAAX3d58=")</f>
        <v>#REF!</v>
      </c>
      <c r="FE120" t="e">
        <f>AND(Bills!#REF!,"AAAAAAX3d6A=")</f>
        <v>#REF!</v>
      </c>
      <c r="FF120" t="e">
        <f>AND(Bills!#REF!,"AAAAAAX3d6E=")</f>
        <v>#REF!</v>
      </c>
      <c r="FG120" t="e">
        <f>AND(Bills!#REF!,"AAAAAAX3d6I=")</f>
        <v>#REF!</v>
      </c>
      <c r="FH120" t="e">
        <f>AND(Bills!#REF!,"AAAAAAX3d6M=")</f>
        <v>#REF!</v>
      </c>
      <c r="FI120" t="e">
        <f>AND(Bills!#REF!,"AAAAAAX3d6Q=")</f>
        <v>#REF!</v>
      </c>
      <c r="FJ120" t="e">
        <f>AND(Bills!#REF!,"AAAAAAX3d6U=")</f>
        <v>#REF!</v>
      </c>
      <c r="FK120" t="e">
        <f>AND(Bills!#REF!,"AAAAAAX3d6Y=")</f>
        <v>#REF!</v>
      </c>
      <c r="FL120" t="e">
        <f>AND(Bills!Y371,"AAAAAAX3d6c=")</f>
        <v>#VALUE!</v>
      </c>
      <c r="FM120" t="e">
        <f>AND(Bills!Z371,"AAAAAAX3d6g=")</f>
        <v>#VALUE!</v>
      </c>
      <c r="FN120" t="e">
        <f>AND(Bills!#REF!,"AAAAAAX3d6k=")</f>
        <v>#REF!</v>
      </c>
      <c r="FO120" t="e">
        <f>AND(Bills!#REF!,"AAAAAAX3d6o=")</f>
        <v>#REF!</v>
      </c>
      <c r="FP120" t="e">
        <f>AND(Bills!#REF!,"AAAAAAX3d6s=")</f>
        <v>#REF!</v>
      </c>
      <c r="FQ120" t="e">
        <f>AND(Bills!AA371,"AAAAAAX3d6w=")</f>
        <v>#VALUE!</v>
      </c>
      <c r="FR120" t="e">
        <f>AND(Bills!AB371,"AAAAAAX3d60=")</f>
        <v>#VALUE!</v>
      </c>
      <c r="FS120" t="e">
        <f>AND(Bills!#REF!,"AAAAAAX3d64=")</f>
        <v>#REF!</v>
      </c>
      <c r="FT120">
        <f>IF(Bills!372:372,"AAAAAAX3d68=",0)</f>
        <v>0</v>
      </c>
      <c r="FU120" t="e">
        <f>AND(Bills!B372,"AAAAAAX3d7A=")</f>
        <v>#VALUE!</v>
      </c>
      <c r="FV120" t="e">
        <f>AND(Bills!#REF!,"AAAAAAX3d7E=")</f>
        <v>#REF!</v>
      </c>
      <c r="FW120" t="e">
        <f>AND(Bills!C372,"AAAAAAX3d7I=")</f>
        <v>#VALUE!</v>
      </c>
      <c r="FX120" t="e">
        <f>AND(Bills!#REF!,"AAAAAAX3d7M=")</f>
        <v>#REF!</v>
      </c>
      <c r="FY120" t="e">
        <f>AND(Bills!#REF!,"AAAAAAX3d7Q=")</f>
        <v>#REF!</v>
      </c>
      <c r="FZ120" t="e">
        <f>AND(Bills!#REF!,"AAAAAAX3d7U=")</f>
        <v>#REF!</v>
      </c>
      <c r="GA120" t="e">
        <f>AND(Bills!#REF!,"AAAAAAX3d7Y=")</f>
        <v>#REF!</v>
      </c>
      <c r="GB120" t="e">
        <f>AND(Bills!#REF!,"AAAAAAX3d7c=")</f>
        <v>#REF!</v>
      </c>
      <c r="GC120" t="e">
        <f>AND(Bills!D372,"AAAAAAX3d7g=")</f>
        <v>#VALUE!</v>
      </c>
      <c r="GD120" t="e">
        <f>AND(Bills!#REF!,"AAAAAAX3d7k=")</f>
        <v>#REF!</v>
      </c>
      <c r="GE120" t="e">
        <f>AND(Bills!E372,"AAAAAAX3d7o=")</f>
        <v>#VALUE!</v>
      </c>
      <c r="GF120" t="e">
        <f>AND(Bills!F372,"AAAAAAX3d7s=")</f>
        <v>#VALUE!</v>
      </c>
      <c r="GG120" t="e">
        <f>AND(Bills!G372,"AAAAAAX3d7w=")</f>
        <v>#VALUE!</v>
      </c>
      <c r="GH120" t="e">
        <f>AND(Bills!H372,"AAAAAAX3d70=")</f>
        <v>#VALUE!</v>
      </c>
      <c r="GI120" t="e">
        <f>AND(Bills!I372,"AAAAAAX3d74=")</f>
        <v>#VALUE!</v>
      </c>
      <c r="GJ120" t="e">
        <f>AND(Bills!J372,"AAAAAAX3d78=")</f>
        <v>#VALUE!</v>
      </c>
      <c r="GK120" t="e">
        <f>AND(Bills!#REF!,"AAAAAAX3d8A=")</f>
        <v>#REF!</v>
      </c>
      <c r="GL120" t="e">
        <f>AND(Bills!K372,"AAAAAAX3d8E=")</f>
        <v>#VALUE!</v>
      </c>
      <c r="GM120" t="e">
        <f>AND(Bills!L372,"AAAAAAX3d8I=")</f>
        <v>#VALUE!</v>
      </c>
      <c r="GN120" t="e">
        <f>AND(Bills!M372,"AAAAAAX3d8M=")</f>
        <v>#VALUE!</v>
      </c>
      <c r="GO120" t="e">
        <f>AND(Bills!N372,"AAAAAAX3d8Q=")</f>
        <v>#VALUE!</v>
      </c>
      <c r="GP120" t="e">
        <f>AND(Bills!O372,"AAAAAAX3d8U=")</f>
        <v>#VALUE!</v>
      </c>
      <c r="GQ120" t="e">
        <f>AND(Bills!P372,"AAAAAAX3d8Y=")</f>
        <v>#VALUE!</v>
      </c>
      <c r="GR120" t="e">
        <f>AND(Bills!Q372,"AAAAAAX3d8c=")</f>
        <v>#VALUE!</v>
      </c>
      <c r="GS120" t="e">
        <f>AND(Bills!R372,"AAAAAAX3d8g=")</f>
        <v>#VALUE!</v>
      </c>
      <c r="GT120" t="e">
        <f>AND(Bills!#REF!,"AAAAAAX3d8k=")</f>
        <v>#REF!</v>
      </c>
      <c r="GU120" t="e">
        <f>AND(Bills!S372,"AAAAAAX3d8o=")</f>
        <v>#VALUE!</v>
      </c>
      <c r="GV120" t="e">
        <f>AND(Bills!T372,"AAAAAAX3d8s=")</f>
        <v>#VALUE!</v>
      </c>
      <c r="GW120" t="e">
        <f>AND(Bills!U372,"AAAAAAX3d8w=")</f>
        <v>#VALUE!</v>
      </c>
      <c r="GX120" t="e">
        <f>AND(Bills!#REF!,"AAAAAAX3d80=")</f>
        <v>#REF!</v>
      </c>
      <c r="GY120" t="e">
        <f>AND(Bills!#REF!,"AAAAAAX3d84=")</f>
        <v>#REF!</v>
      </c>
      <c r="GZ120" t="e">
        <f>AND(Bills!W372,"AAAAAAX3d88=")</f>
        <v>#VALUE!</v>
      </c>
      <c r="HA120" t="e">
        <f>AND(Bills!X372,"AAAAAAX3d9A=")</f>
        <v>#VALUE!</v>
      </c>
      <c r="HB120" t="e">
        <f>AND(Bills!#REF!,"AAAAAAX3d9E=")</f>
        <v>#REF!</v>
      </c>
      <c r="HC120" t="e">
        <f>AND(Bills!#REF!,"AAAAAAX3d9I=")</f>
        <v>#REF!</v>
      </c>
      <c r="HD120" t="e">
        <f>AND(Bills!#REF!,"AAAAAAX3d9M=")</f>
        <v>#REF!</v>
      </c>
      <c r="HE120" t="e">
        <f>AND(Bills!#REF!,"AAAAAAX3d9Q=")</f>
        <v>#REF!</v>
      </c>
      <c r="HF120" t="e">
        <f>AND(Bills!#REF!,"AAAAAAX3d9U=")</f>
        <v>#REF!</v>
      </c>
      <c r="HG120" t="e">
        <f>AND(Bills!#REF!,"AAAAAAX3d9Y=")</f>
        <v>#REF!</v>
      </c>
      <c r="HH120" t="e">
        <f>AND(Bills!#REF!,"AAAAAAX3d9c=")</f>
        <v>#REF!</v>
      </c>
      <c r="HI120" t="e">
        <f>AND(Bills!#REF!,"AAAAAAX3d9g=")</f>
        <v>#REF!</v>
      </c>
      <c r="HJ120" t="e">
        <f>AND(Bills!#REF!,"AAAAAAX3d9k=")</f>
        <v>#REF!</v>
      </c>
      <c r="HK120" t="e">
        <f>AND(Bills!Y372,"AAAAAAX3d9o=")</f>
        <v>#VALUE!</v>
      </c>
      <c r="HL120" t="e">
        <f>AND(Bills!Z372,"AAAAAAX3d9s=")</f>
        <v>#VALUE!</v>
      </c>
      <c r="HM120" t="e">
        <f>AND(Bills!#REF!,"AAAAAAX3d9w=")</f>
        <v>#REF!</v>
      </c>
      <c r="HN120" t="e">
        <f>AND(Bills!#REF!,"AAAAAAX3d90=")</f>
        <v>#REF!</v>
      </c>
      <c r="HO120" t="e">
        <f>AND(Bills!#REF!,"AAAAAAX3d94=")</f>
        <v>#REF!</v>
      </c>
      <c r="HP120" t="e">
        <f>AND(Bills!AA372,"AAAAAAX3d98=")</f>
        <v>#VALUE!</v>
      </c>
      <c r="HQ120" t="e">
        <f>AND(Bills!AB372,"AAAAAAX3d+A=")</f>
        <v>#VALUE!</v>
      </c>
      <c r="HR120" t="e">
        <f>AND(Bills!#REF!,"AAAAAAX3d+E=")</f>
        <v>#REF!</v>
      </c>
      <c r="HS120">
        <f>IF(Bills!373:373,"AAAAAAX3d+I=",0)</f>
        <v>0</v>
      </c>
      <c r="HT120" t="e">
        <f>AND(Bills!B373,"AAAAAAX3d+M=")</f>
        <v>#VALUE!</v>
      </c>
      <c r="HU120" t="e">
        <f>AND(Bills!#REF!,"AAAAAAX3d+Q=")</f>
        <v>#REF!</v>
      </c>
      <c r="HV120" t="e">
        <f>AND(Bills!C373,"AAAAAAX3d+U=")</f>
        <v>#VALUE!</v>
      </c>
      <c r="HW120" t="e">
        <f>AND(Bills!#REF!,"AAAAAAX3d+Y=")</f>
        <v>#REF!</v>
      </c>
      <c r="HX120" t="e">
        <f>AND(Bills!#REF!,"AAAAAAX3d+c=")</f>
        <v>#REF!</v>
      </c>
      <c r="HY120" t="e">
        <f>AND(Bills!#REF!,"AAAAAAX3d+g=")</f>
        <v>#REF!</v>
      </c>
      <c r="HZ120" t="e">
        <f>AND(Bills!#REF!,"AAAAAAX3d+k=")</f>
        <v>#REF!</v>
      </c>
      <c r="IA120" t="e">
        <f>AND(Bills!#REF!,"AAAAAAX3d+o=")</f>
        <v>#REF!</v>
      </c>
      <c r="IB120" t="e">
        <f>AND(Bills!D373,"AAAAAAX3d+s=")</f>
        <v>#VALUE!</v>
      </c>
      <c r="IC120" t="e">
        <f>AND(Bills!#REF!,"AAAAAAX3d+w=")</f>
        <v>#REF!</v>
      </c>
      <c r="ID120" t="e">
        <f>AND(Bills!E373,"AAAAAAX3d+0=")</f>
        <v>#VALUE!</v>
      </c>
      <c r="IE120" t="e">
        <f>AND(Bills!F373,"AAAAAAX3d+4=")</f>
        <v>#VALUE!</v>
      </c>
      <c r="IF120" t="e">
        <f>AND(Bills!G373,"AAAAAAX3d+8=")</f>
        <v>#VALUE!</v>
      </c>
      <c r="IG120" t="e">
        <f>AND(Bills!H373,"AAAAAAX3d/A=")</f>
        <v>#VALUE!</v>
      </c>
      <c r="IH120" t="e">
        <f>AND(Bills!I373,"AAAAAAX3d/E=")</f>
        <v>#VALUE!</v>
      </c>
      <c r="II120" t="e">
        <f>AND(Bills!J373,"AAAAAAX3d/I=")</f>
        <v>#VALUE!</v>
      </c>
      <c r="IJ120" t="e">
        <f>AND(Bills!#REF!,"AAAAAAX3d/M=")</f>
        <v>#REF!</v>
      </c>
      <c r="IK120" t="e">
        <f>AND(Bills!K373,"AAAAAAX3d/Q=")</f>
        <v>#VALUE!</v>
      </c>
      <c r="IL120" t="e">
        <f>AND(Bills!L373,"AAAAAAX3d/U=")</f>
        <v>#VALUE!</v>
      </c>
      <c r="IM120" t="e">
        <f>AND(Bills!M373,"AAAAAAX3d/Y=")</f>
        <v>#VALUE!</v>
      </c>
      <c r="IN120" t="e">
        <f>AND(Bills!N373,"AAAAAAX3d/c=")</f>
        <v>#VALUE!</v>
      </c>
      <c r="IO120" t="e">
        <f>AND(Bills!O373,"AAAAAAX3d/g=")</f>
        <v>#VALUE!</v>
      </c>
      <c r="IP120" t="e">
        <f>AND(Bills!P373,"AAAAAAX3d/k=")</f>
        <v>#VALUE!</v>
      </c>
      <c r="IQ120" t="e">
        <f>AND(Bills!Q373,"AAAAAAX3d/o=")</f>
        <v>#VALUE!</v>
      </c>
      <c r="IR120" t="e">
        <f>AND(Bills!R373,"AAAAAAX3d/s=")</f>
        <v>#VALUE!</v>
      </c>
      <c r="IS120" t="e">
        <f>AND(Bills!#REF!,"AAAAAAX3d/w=")</f>
        <v>#REF!</v>
      </c>
      <c r="IT120" t="e">
        <f>AND(Bills!S373,"AAAAAAX3d/0=")</f>
        <v>#VALUE!</v>
      </c>
      <c r="IU120" t="e">
        <f>AND(Bills!T373,"AAAAAAX3d/4=")</f>
        <v>#VALUE!</v>
      </c>
      <c r="IV120" t="e">
        <f>AND(Bills!U373,"AAAAAAX3d/8=")</f>
        <v>#VALUE!</v>
      </c>
    </row>
    <row r="121" spans="1:256">
      <c r="A121" t="e">
        <f>AND(Bills!#REF!,"AAAAAH7e5wA=")</f>
        <v>#REF!</v>
      </c>
      <c r="B121" t="e">
        <f>AND(Bills!#REF!,"AAAAAH7e5wE=")</f>
        <v>#REF!</v>
      </c>
      <c r="C121" t="e">
        <f>AND(Bills!W373,"AAAAAH7e5wI=")</f>
        <v>#VALUE!</v>
      </c>
      <c r="D121" t="e">
        <f>AND(Bills!X373,"AAAAAH7e5wM=")</f>
        <v>#VALUE!</v>
      </c>
      <c r="E121" t="e">
        <f>AND(Bills!#REF!,"AAAAAH7e5wQ=")</f>
        <v>#REF!</v>
      </c>
      <c r="F121" t="e">
        <f>AND(Bills!#REF!,"AAAAAH7e5wU=")</f>
        <v>#REF!</v>
      </c>
      <c r="G121" t="e">
        <f>AND(Bills!#REF!,"AAAAAH7e5wY=")</f>
        <v>#REF!</v>
      </c>
      <c r="H121" t="e">
        <f>AND(Bills!#REF!,"AAAAAH7e5wc=")</f>
        <v>#REF!</v>
      </c>
      <c r="I121" t="e">
        <f>AND(Bills!#REF!,"AAAAAH7e5wg=")</f>
        <v>#REF!</v>
      </c>
      <c r="J121" t="e">
        <f>AND(Bills!#REF!,"AAAAAH7e5wk=")</f>
        <v>#REF!</v>
      </c>
      <c r="K121" t="e">
        <f>AND(Bills!#REF!,"AAAAAH7e5wo=")</f>
        <v>#REF!</v>
      </c>
      <c r="L121" t="e">
        <f>AND(Bills!#REF!,"AAAAAH7e5ws=")</f>
        <v>#REF!</v>
      </c>
      <c r="M121" t="e">
        <f>AND(Bills!#REF!,"AAAAAH7e5ww=")</f>
        <v>#REF!</v>
      </c>
      <c r="N121" t="e">
        <f>AND(Bills!Y373,"AAAAAH7e5w0=")</f>
        <v>#VALUE!</v>
      </c>
      <c r="O121" t="e">
        <f>AND(Bills!Z373,"AAAAAH7e5w4=")</f>
        <v>#VALUE!</v>
      </c>
      <c r="P121" t="e">
        <f>AND(Bills!#REF!,"AAAAAH7e5w8=")</f>
        <v>#REF!</v>
      </c>
      <c r="Q121" t="e">
        <f>AND(Bills!#REF!,"AAAAAH7e5xA=")</f>
        <v>#REF!</v>
      </c>
      <c r="R121" t="e">
        <f>AND(Bills!#REF!,"AAAAAH7e5xE=")</f>
        <v>#REF!</v>
      </c>
      <c r="S121" t="e">
        <f>AND(Bills!AA373,"AAAAAH7e5xI=")</f>
        <v>#VALUE!</v>
      </c>
      <c r="T121" t="e">
        <f>AND(Bills!AB373,"AAAAAH7e5xM=")</f>
        <v>#VALUE!</v>
      </c>
      <c r="U121" t="e">
        <f>AND(Bills!#REF!,"AAAAAH7e5xQ=")</f>
        <v>#REF!</v>
      </c>
      <c r="V121">
        <f>IF(Bills!374:374,"AAAAAH7e5xU=",0)</f>
        <v>0</v>
      </c>
      <c r="W121" t="e">
        <f>AND(Bills!B374,"AAAAAH7e5xY=")</f>
        <v>#VALUE!</v>
      </c>
      <c r="X121" t="e">
        <f>AND(Bills!#REF!,"AAAAAH7e5xc=")</f>
        <v>#REF!</v>
      </c>
      <c r="Y121" t="e">
        <f>AND(Bills!C374,"AAAAAH7e5xg=")</f>
        <v>#VALUE!</v>
      </c>
      <c r="Z121" t="e">
        <f>AND(Bills!#REF!,"AAAAAH7e5xk=")</f>
        <v>#REF!</v>
      </c>
      <c r="AA121" t="e">
        <f>AND(Bills!#REF!,"AAAAAH7e5xo=")</f>
        <v>#REF!</v>
      </c>
      <c r="AB121" t="e">
        <f>AND(Bills!#REF!,"AAAAAH7e5xs=")</f>
        <v>#REF!</v>
      </c>
      <c r="AC121" t="e">
        <f>AND(Bills!#REF!,"AAAAAH7e5xw=")</f>
        <v>#REF!</v>
      </c>
      <c r="AD121" t="e">
        <f>AND(Bills!#REF!,"AAAAAH7e5x0=")</f>
        <v>#REF!</v>
      </c>
      <c r="AE121" t="e">
        <f>AND(Bills!D374,"AAAAAH7e5x4=")</f>
        <v>#VALUE!</v>
      </c>
      <c r="AF121" t="e">
        <f>AND(Bills!#REF!,"AAAAAH7e5x8=")</f>
        <v>#REF!</v>
      </c>
      <c r="AG121" t="e">
        <f>AND(Bills!E374,"AAAAAH7e5yA=")</f>
        <v>#VALUE!</v>
      </c>
      <c r="AH121" t="e">
        <f>AND(Bills!F374,"AAAAAH7e5yE=")</f>
        <v>#VALUE!</v>
      </c>
      <c r="AI121" t="e">
        <f>AND(Bills!G374,"AAAAAH7e5yI=")</f>
        <v>#VALUE!</v>
      </c>
      <c r="AJ121" t="e">
        <f>AND(Bills!H374,"AAAAAH7e5yM=")</f>
        <v>#VALUE!</v>
      </c>
      <c r="AK121" t="e">
        <f>AND(Bills!I374,"AAAAAH7e5yQ=")</f>
        <v>#VALUE!</v>
      </c>
      <c r="AL121" t="e">
        <f>AND(Bills!J374,"AAAAAH7e5yU=")</f>
        <v>#VALUE!</v>
      </c>
      <c r="AM121" t="e">
        <f>AND(Bills!#REF!,"AAAAAH7e5yY=")</f>
        <v>#REF!</v>
      </c>
      <c r="AN121" t="e">
        <f>AND(Bills!K374,"AAAAAH7e5yc=")</f>
        <v>#VALUE!</v>
      </c>
      <c r="AO121" t="e">
        <f>AND(Bills!L374,"AAAAAH7e5yg=")</f>
        <v>#VALUE!</v>
      </c>
      <c r="AP121" t="e">
        <f>AND(Bills!M374,"AAAAAH7e5yk=")</f>
        <v>#VALUE!</v>
      </c>
      <c r="AQ121" t="e">
        <f>AND(Bills!N374,"AAAAAH7e5yo=")</f>
        <v>#VALUE!</v>
      </c>
      <c r="AR121" t="e">
        <f>AND(Bills!O374,"AAAAAH7e5ys=")</f>
        <v>#VALUE!</v>
      </c>
      <c r="AS121" t="e">
        <f>AND(Bills!P374,"AAAAAH7e5yw=")</f>
        <v>#VALUE!</v>
      </c>
      <c r="AT121" t="e">
        <f>AND(Bills!Q374,"AAAAAH7e5y0=")</f>
        <v>#VALUE!</v>
      </c>
      <c r="AU121" t="e">
        <f>AND(Bills!R374,"AAAAAH7e5y4=")</f>
        <v>#VALUE!</v>
      </c>
      <c r="AV121" t="e">
        <f>AND(Bills!#REF!,"AAAAAH7e5y8=")</f>
        <v>#REF!</v>
      </c>
      <c r="AW121" t="e">
        <f>AND(Bills!S374,"AAAAAH7e5zA=")</f>
        <v>#VALUE!</v>
      </c>
      <c r="AX121" t="e">
        <f>AND(Bills!T374,"AAAAAH7e5zE=")</f>
        <v>#VALUE!</v>
      </c>
      <c r="AY121" t="e">
        <f>AND(Bills!U374,"AAAAAH7e5zI=")</f>
        <v>#VALUE!</v>
      </c>
      <c r="AZ121" t="e">
        <f>AND(Bills!#REF!,"AAAAAH7e5zM=")</f>
        <v>#REF!</v>
      </c>
      <c r="BA121" t="e">
        <f>AND(Bills!#REF!,"AAAAAH7e5zQ=")</f>
        <v>#REF!</v>
      </c>
      <c r="BB121" t="e">
        <f>AND(Bills!W374,"AAAAAH7e5zU=")</f>
        <v>#VALUE!</v>
      </c>
      <c r="BC121" t="e">
        <f>AND(Bills!X374,"AAAAAH7e5zY=")</f>
        <v>#VALUE!</v>
      </c>
      <c r="BD121" t="e">
        <f>AND(Bills!#REF!,"AAAAAH7e5zc=")</f>
        <v>#REF!</v>
      </c>
      <c r="BE121" t="e">
        <f>AND(Bills!#REF!,"AAAAAH7e5zg=")</f>
        <v>#REF!</v>
      </c>
      <c r="BF121" t="e">
        <f>AND(Bills!#REF!,"AAAAAH7e5zk=")</f>
        <v>#REF!</v>
      </c>
      <c r="BG121" t="e">
        <f>AND(Bills!#REF!,"AAAAAH7e5zo=")</f>
        <v>#REF!</v>
      </c>
      <c r="BH121" t="e">
        <f>AND(Bills!#REF!,"AAAAAH7e5zs=")</f>
        <v>#REF!</v>
      </c>
      <c r="BI121" t="e">
        <f>AND(Bills!#REF!,"AAAAAH7e5zw=")</f>
        <v>#REF!</v>
      </c>
      <c r="BJ121" t="e">
        <f>AND(Bills!#REF!,"AAAAAH7e5z0=")</f>
        <v>#REF!</v>
      </c>
      <c r="BK121" t="e">
        <f>AND(Bills!#REF!,"AAAAAH7e5z4=")</f>
        <v>#REF!</v>
      </c>
      <c r="BL121" t="e">
        <f>AND(Bills!#REF!,"AAAAAH7e5z8=")</f>
        <v>#REF!</v>
      </c>
      <c r="BM121" t="e">
        <f>AND(Bills!Y374,"AAAAAH7e50A=")</f>
        <v>#VALUE!</v>
      </c>
      <c r="BN121" t="e">
        <f>AND(Bills!Z374,"AAAAAH7e50E=")</f>
        <v>#VALUE!</v>
      </c>
      <c r="BO121" t="e">
        <f>AND(Bills!#REF!,"AAAAAH7e50I=")</f>
        <v>#REF!</v>
      </c>
      <c r="BP121" t="e">
        <f>AND(Bills!#REF!,"AAAAAH7e50M=")</f>
        <v>#REF!</v>
      </c>
      <c r="BQ121" t="e">
        <f>AND(Bills!#REF!,"AAAAAH7e50Q=")</f>
        <v>#REF!</v>
      </c>
      <c r="BR121" t="e">
        <f>AND(Bills!AA374,"AAAAAH7e50U=")</f>
        <v>#VALUE!</v>
      </c>
      <c r="BS121" t="e">
        <f>AND(Bills!AB374,"AAAAAH7e50Y=")</f>
        <v>#VALUE!</v>
      </c>
      <c r="BT121" t="e">
        <f>AND(Bills!#REF!,"AAAAAH7e50c=")</f>
        <v>#REF!</v>
      </c>
      <c r="BU121">
        <f>IF(Bills!375:375,"AAAAAH7e50g=",0)</f>
        <v>0</v>
      </c>
      <c r="BV121" t="e">
        <f>AND(Bills!B375,"AAAAAH7e50k=")</f>
        <v>#VALUE!</v>
      </c>
      <c r="BW121" t="e">
        <f>AND(Bills!#REF!,"AAAAAH7e50o=")</f>
        <v>#REF!</v>
      </c>
      <c r="BX121" t="e">
        <f>AND(Bills!C375,"AAAAAH7e50s=")</f>
        <v>#VALUE!</v>
      </c>
      <c r="BY121" t="e">
        <f>AND(Bills!#REF!,"AAAAAH7e50w=")</f>
        <v>#REF!</v>
      </c>
      <c r="BZ121" t="e">
        <f>AND(Bills!#REF!,"AAAAAH7e500=")</f>
        <v>#REF!</v>
      </c>
      <c r="CA121" t="e">
        <f>AND(Bills!#REF!,"AAAAAH7e504=")</f>
        <v>#REF!</v>
      </c>
      <c r="CB121" t="e">
        <f>AND(Bills!#REF!,"AAAAAH7e508=")</f>
        <v>#REF!</v>
      </c>
      <c r="CC121" t="e">
        <f>AND(Bills!#REF!,"AAAAAH7e51A=")</f>
        <v>#REF!</v>
      </c>
      <c r="CD121" t="e">
        <f>AND(Bills!D375,"AAAAAH7e51E=")</f>
        <v>#VALUE!</v>
      </c>
      <c r="CE121" t="e">
        <f>AND(Bills!#REF!,"AAAAAH7e51I=")</f>
        <v>#REF!</v>
      </c>
      <c r="CF121" t="e">
        <f>AND(Bills!E375,"AAAAAH7e51M=")</f>
        <v>#VALUE!</v>
      </c>
      <c r="CG121" t="e">
        <f>AND(Bills!F375,"AAAAAH7e51Q=")</f>
        <v>#VALUE!</v>
      </c>
      <c r="CH121" t="e">
        <f>AND(Bills!G375,"AAAAAH7e51U=")</f>
        <v>#VALUE!</v>
      </c>
      <c r="CI121" t="e">
        <f>AND(Bills!H375,"AAAAAH7e51Y=")</f>
        <v>#VALUE!</v>
      </c>
      <c r="CJ121" t="e">
        <f>AND(Bills!I375,"AAAAAH7e51c=")</f>
        <v>#VALUE!</v>
      </c>
      <c r="CK121" t="e">
        <f>AND(Bills!J375,"AAAAAH7e51g=")</f>
        <v>#VALUE!</v>
      </c>
      <c r="CL121" t="e">
        <f>AND(Bills!#REF!,"AAAAAH7e51k=")</f>
        <v>#REF!</v>
      </c>
      <c r="CM121" t="e">
        <f>AND(Bills!K375,"AAAAAH7e51o=")</f>
        <v>#VALUE!</v>
      </c>
      <c r="CN121" t="e">
        <f>AND(Bills!L375,"AAAAAH7e51s=")</f>
        <v>#VALUE!</v>
      </c>
      <c r="CO121" t="e">
        <f>AND(Bills!M375,"AAAAAH7e51w=")</f>
        <v>#VALUE!</v>
      </c>
      <c r="CP121" t="e">
        <f>AND(Bills!N375,"AAAAAH7e510=")</f>
        <v>#VALUE!</v>
      </c>
      <c r="CQ121" t="e">
        <f>AND(Bills!O375,"AAAAAH7e514=")</f>
        <v>#VALUE!</v>
      </c>
      <c r="CR121" t="e">
        <f>AND(Bills!P375,"AAAAAH7e518=")</f>
        <v>#VALUE!</v>
      </c>
      <c r="CS121" t="e">
        <f>AND(Bills!Q375,"AAAAAH7e52A=")</f>
        <v>#VALUE!</v>
      </c>
      <c r="CT121" t="e">
        <f>AND(Bills!R375,"AAAAAH7e52E=")</f>
        <v>#VALUE!</v>
      </c>
      <c r="CU121" t="e">
        <f>AND(Bills!#REF!,"AAAAAH7e52I=")</f>
        <v>#REF!</v>
      </c>
      <c r="CV121" t="e">
        <f>AND(Bills!S375,"AAAAAH7e52M=")</f>
        <v>#VALUE!</v>
      </c>
      <c r="CW121" t="e">
        <f>AND(Bills!T375,"AAAAAH7e52Q=")</f>
        <v>#VALUE!</v>
      </c>
      <c r="CX121" t="e">
        <f>AND(Bills!U375,"AAAAAH7e52U=")</f>
        <v>#VALUE!</v>
      </c>
      <c r="CY121" t="e">
        <f>AND(Bills!#REF!,"AAAAAH7e52Y=")</f>
        <v>#REF!</v>
      </c>
      <c r="CZ121" t="e">
        <f>AND(Bills!#REF!,"AAAAAH7e52c=")</f>
        <v>#REF!</v>
      </c>
      <c r="DA121" t="e">
        <f>AND(Bills!W375,"AAAAAH7e52g=")</f>
        <v>#VALUE!</v>
      </c>
      <c r="DB121" t="e">
        <f>AND(Bills!X375,"AAAAAH7e52k=")</f>
        <v>#VALUE!</v>
      </c>
      <c r="DC121" t="e">
        <f>AND(Bills!#REF!,"AAAAAH7e52o=")</f>
        <v>#REF!</v>
      </c>
      <c r="DD121" t="e">
        <f>AND(Bills!#REF!,"AAAAAH7e52s=")</f>
        <v>#REF!</v>
      </c>
      <c r="DE121" t="e">
        <f>AND(Bills!#REF!,"AAAAAH7e52w=")</f>
        <v>#REF!</v>
      </c>
      <c r="DF121" t="e">
        <f>AND(Bills!#REF!,"AAAAAH7e520=")</f>
        <v>#REF!</v>
      </c>
      <c r="DG121" t="e">
        <f>AND(Bills!#REF!,"AAAAAH7e524=")</f>
        <v>#REF!</v>
      </c>
      <c r="DH121" t="e">
        <f>AND(Bills!#REF!,"AAAAAH7e528=")</f>
        <v>#REF!</v>
      </c>
      <c r="DI121" t="e">
        <f>AND(Bills!#REF!,"AAAAAH7e53A=")</f>
        <v>#REF!</v>
      </c>
      <c r="DJ121" t="e">
        <f>AND(Bills!#REF!,"AAAAAH7e53E=")</f>
        <v>#REF!</v>
      </c>
      <c r="DK121" t="e">
        <f>AND(Bills!#REF!,"AAAAAH7e53I=")</f>
        <v>#REF!</v>
      </c>
      <c r="DL121" t="e">
        <f>AND(Bills!Y375,"AAAAAH7e53M=")</f>
        <v>#VALUE!</v>
      </c>
      <c r="DM121" t="e">
        <f>AND(Bills!Z375,"AAAAAH7e53Q=")</f>
        <v>#VALUE!</v>
      </c>
      <c r="DN121" t="e">
        <f>AND(Bills!#REF!,"AAAAAH7e53U=")</f>
        <v>#REF!</v>
      </c>
      <c r="DO121" t="e">
        <f>AND(Bills!#REF!,"AAAAAH7e53Y=")</f>
        <v>#REF!</v>
      </c>
      <c r="DP121" t="e">
        <f>AND(Bills!#REF!,"AAAAAH7e53c=")</f>
        <v>#REF!</v>
      </c>
      <c r="DQ121" t="e">
        <f>AND(Bills!AA375,"AAAAAH7e53g=")</f>
        <v>#VALUE!</v>
      </c>
      <c r="DR121" t="e">
        <f>AND(Bills!AB375,"AAAAAH7e53k=")</f>
        <v>#VALUE!</v>
      </c>
      <c r="DS121" t="e">
        <f>AND(Bills!#REF!,"AAAAAH7e53o=")</f>
        <v>#REF!</v>
      </c>
      <c r="DT121">
        <f>IF(Bills!376:376,"AAAAAH7e53s=",0)</f>
        <v>0</v>
      </c>
      <c r="DU121" t="e">
        <f>AND(Bills!B376,"AAAAAH7e53w=")</f>
        <v>#VALUE!</v>
      </c>
      <c r="DV121" t="e">
        <f>AND(Bills!#REF!,"AAAAAH7e530=")</f>
        <v>#REF!</v>
      </c>
      <c r="DW121" t="e">
        <f>AND(Bills!C376,"AAAAAH7e534=")</f>
        <v>#VALUE!</v>
      </c>
      <c r="DX121" t="e">
        <f>AND(Bills!#REF!,"AAAAAH7e538=")</f>
        <v>#REF!</v>
      </c>
      <c r="DY121" t="e">
        <f>AND(Bills!#REF!,"AAAAAH7e54A=")</f>
        <v>#REF!</v>
      </c>
      <c r="DZ121" t="e">
        <f>AND(Bills!#REF!,"AAAAAH7e54E=")</f>
        <v>#REF!</v>
      </c>
      <c r="EA121" t="e">
        <f>AND(Bills!#REF!,"AAAAAH7e54I=")</f>
        <v>#REF!</v>
      </c>
      <c r="EB121" t="e">
        <f>AND(Bills!#REF!,"AAAAAH7e54M=")</f>
        <v>#REF!</v>
      </c>
      <c r="EC121" t="e">
        <f>AND(Bills!D376,"AAAAAH7e54Q=")</f>
        <v>#VALUE!</v>
      </c>
      <c r="ED121" t="e">
        <f>AND(Bills!#REF!,"AAAAAH7e54U=")</f>
        <v>#REF!</v>
      </c>
      <c r="EE121" t="e">
        <f>AND(Bills!E376,"AAAAAH7e54Y=")</f>
        <v>#VALUE!</v>
      </c>
      <c r="EF121" t="e">
        <f>AND(Bills!F376,"AAAAAH7e54c=")</f>
        <v>#VALUE!</v>
      </c>
      <c r="EG121" t="e">
        <f>AND(Bills!G376,"AAAAAH7e54g=")</f>
        <v>#VALUE!</v>
      </c>
      <c r="EH121" t="e">
        <f>AND(Bills!H376,"AAAAAH7e54k=")</f>
        <v>#VALUE!</v>
      </c>
      <c r="EI121" t="e">
        <f>AND(Bills!I376,"AAAAAH7e54o=")</f>
        <v>#VALUE!</v>
      </c>
      <c r="EJ121" t="e">
        <f>AND(Bills!J376,"AAAAAH7e54s=")</f>
        <v>#VALUE!</v>
      </c>
      <c r="EK121" t="e">
        <f>AND(Bills!#REF!,"AAAAAH7e54w=")</f>
        <v>#REF!</v>
      </c>
      <c r="EL121" t="e">
        <f>AND(Bills!K376,"AAAAAH7e540=")</f>
        <v>#VALUE!</v>
      </c>
      <c r="EM121" t="e">
        <f>AND(Bills!L376,"AAAAAH7e544=")</f>
        <v>#VALUE!</v>
      </c>
      <c r="EN121" t="e">
        <f>AND(Bills!M376,"AAAAAH7e548=")</f>
        <v>#VALUE!</v>
      </c>
      <c r="EO121" t="e">
        <f>AND(Bills!N376,"AAAAAH7e55A=")</f>
        <v>#VALUE!</v>
      </c>
      <c r="EP121" t="e">
        <f>AND(Bills!O376,"AAAAAH7e55E=")</f>
        <v>#VALUE!</v>
      </c>
      <c r="EQ121" t="e">
        <f>AND(Bills!P376,"AAAAAH7e55I=")</f>
        <v>#VALUE!</v>
      </c>
      <c r="ER121" t="e">
        <f>AND(Bills!Q376,"AAAAAH7e55M=")</f>
        <v>#VALUE!</v>
      </c>
      <c r="ES121" t="e">
        <f>AND(Bills!R376,"AAAAAH7e55Q=")</f>
        <v>#VALUE!</v>
      </c>
      <c r="ET121" t="e">
        <f>AND(Bills!#REF!,"AAAAAH7e55U=")</f>
        <v>#REF!</v>
      </c>
      <c r="EU121" t="e">
        <f>AND(Bills!S376,"AAAAAH7e55Y=")</f>
        <v>#VALUE!</v>
      </c>
      <c r="EV121" t="e">
        <f>AND(Bills!T376,"AAAAAH7e55c=")</f>
        <v>#VALUE!</v>
      </c>
      <c r="EW121" t="e">
        <f>AND(Bills!U376,"AAAAAH7e55g=")</f>
        <v>#VALUE!</v>
      </c>
      <c r="EX121" t="e">
        <f>AND(Bills!#REF!,"AAAAAH7e55k=")</f>
        <v>#REF!</v>
      </c>
      <c r="EY121" t="e">
        <f>AND(Bills!#REF!,"AAAAAH7e55o=")</f>
        <v>#REF!</v>
      </c>
      <c r="EZ121" t="e">
        <f>AND(Bills!W376,"AAAAAH7e55s=")</f>
        <v>#VALUE!</v>
      </c>
      <c r="FA121" t="e">
        <f>AND(Bills!X376,"AAAAAH7e55w=")</f>
        <v>#VALUE!</v>
      </c>
      <c r="FB121" t="e">
        <f>AND(Bills!#REF!,"AAAAAH7e550=")</f>
        <v>#REF!</v>
      </c>
      <c r="FC121" t="e">
        <f>AND(Bills!#REF!,"AAAAAH7e554=")</f>
        <v>#REF!</v>
      </c>
      <c r="FD121" t="e">
        <f>AND(Bills!#REF!,"AAAAAH7e558=")</f>
        <v>#REF!</v>
      </c>
      <c r="FE121" t="e">
        <f>AND(Bills!#REF!,"AAAAAH7e56A=")</f>
        <v>#REF!</v>
      </c>
      <c r="FF121" t="e">
        <f>AND(Bills!#REF!,"AAAAAH7e56E=")</f>
        <v>#REF!</v>
      </c>
      <c r="FG121" t="e">
        <f>AND(Bills!#REF!,"AAAAAH7e56I=")</f>
        <v>#REF!</v>
      </c>
      <c r="FH121" t="e">
        <f>AND(Bills!#REF!,"AAAAAH7e56M=")</f>
        <v>#REF!</v>
      </c>
      <c r="FI121" t="e">
        <f>AND(Bills!#REF!,"AAAAAH7e56Q=")</f>
        <v>#REF!</v>
      </c>
      <c r="FJ121" t="e">
        <f>AND(Bills!#REF!,"AAAAAH7e56U=")</f>
        <v>#REF!</v>
      </c>
      <c r="FK121" t="e">
        <f>AND(Bills!Y376,"AAAAAH7e56Y=")</f>
        <v>#VALUE!</v>
      </c>
      <c r="FL121" t="e">
        <f>AND(Bills!Z376,"AAAAAH7e56c=")</f>
        <v>#VALUE!</v>
      </c>
      <c r="FM121" t="e">
        <f>AND(Bills!#REF!,"AAAAAH7e56g=")</f>
        <v>#REF!</v>
      </c>
      <c r="FN121" t="e">
        <f>AND(Bills!#REF!,"AAAAAH7e56k=")</f>
        <v>#REF!</v>
      </c>
      <c r="FO121" t="e">
        <f>AND(Bills!#REF!,"AAAAAH7e56o=")</f>
        <v>#REF!</v>
      </c>
      <c r="FP121" t="e">
        <f>AND(Bills!AA376,"AAAAAH7e56s=")</f>
        <v>#VALUE!</v>
      </c>
      <c r="FQ121" t="e">
        <f>AND(Bills!AB376,"AAAAAH7e56w=")</f>
        <v>#VALUE!</v>
      </c>
      <c r="FR121" t="e">
        <f>AND(Bills!#REF!,"AAAAAH7e560=")</f>
        <v>#REF!</v>
      </c>
      <c r="FS121">
        <f>IF(Bills!377:377,"AAAAAH7e564=",0)</f>
        <v>0</v>
      </c>
      <c r="FT121" t="e">
        <f>AND(Bills!B377,"AAAAAH7e568=")</f>
        <v>#VALUE!</v>
      </c>
      <c r="FU121" t="e">
        <f>AND(Bills!#REF!,"AAAAAH7e57A=")</f>
        <v>#REF!</v>
      </c>
      <c r="FV121" t="e">
        <f>AND(Bills!C377,"AAAAAH7e57E=")</f>
        <v>#VALUE!</v>
      </c>
      <c r="FW121" t="e">
        <f>AND(Bills!#REF!,"AAAAAH7e57I=")</f>
        <v>#REF!</v>
      </c>
      <c r="FX121" t="e">
        <f>AND(Bills!#REF!,"AAAAAH7e57M=")</f>
        <v>#REF!</v>
      </c>
      <c r="FY121" t="e">
        <f>AND(Bills!#REF!,"AAAAAH7e57Q=")</f>
        <v>#REF!</v>
      </c>
      <c r="FZ121" t="e">
        <f>AND(Bills!#REF!,"AAAAAH7e57U=")</f>
        <v>#REF!</v>
      </c>
      <c r="GA121" t="e">
        <f>AND(Bills!#REF!,"AAAAAH7e57Y=")</f>
        <v>#REF!</v>
      </c>
      <c r="GB121" t="e">
        <f>AND(Bills!D377,"AAAAAH7e57c=")</f>
        <v>#VALUE!</v>
      </c>
      <c r="GC121" t="e">
        <f>AND(Bills!#REF!,"AAAAAH7e57g=")</f>
        <v>#REF!</v>
      </c>
      <c r="GD121" t="e">
        <f>AND(Bills!E377,"AAAAAH7e57k=")</f>
        <v>#VALUE!</v>
      </c>
      <c r="GE121" t="e">
        <f>AND(Bills!F377,"AAAAAH7e57o=")</f>
        <v>#VALUE!</v>
      </c>
      <c r="GF121" t="e">
        <f>AND(Bills!G377,"AAAAAH7e57s=")</f>
        <v>#VALUE!</v>
      </c>
      <c r="GG121" t="e">
        <f>AND(Bills!H377,"AAAAAH7e57w=")</f>
        <v>#VALUE!</v>
      </c>
      <c r="GH121" t="e">
        <f>AND(Bills!I377,"AAAAAH7e570=")</f>
        <v>#VALUE!</v>
      </c>
      <c r="GI121" t="e">
        <f>AND(Bills!J377,"AAAAAH7e574=")</f>
        <v>#VALUE!</v>
      </c>
      <c r="GJ121" t="e">
        <f>AND(Bills!#REF!,"AAAAAH7e578=")</f>
        <v>#REF!</v>
      </c>
      <c r="GK121" t="e">
        <f>AND(Bills!K377,"AAAAAH7e58A=")</f>
        <v>#VALUE!</v>
      </c>
      <c r="GL121" t="e">
        <f>AND(Bills!L377,"AAAAAH7e58E=")</f>
        <v>#VALUE!</v>
      </c>
      <c r="GM121" t="e">
        <f>AND(Bills!M377,"AAAAAH7e58I=")</f>
        <v>#VALUE!</v>
      </c>
      <c r="GN121" t="e">
        <f>AND(Bills!N377,"AAAAAH7e58M=")</f>
        <v>#VALUE!</v>
      </c>
      <c r="GO121" t="e">
        <f>AND(Bills!O377,"AAAAAH7e58Q=")</f>
        <v>#VALUE!</v>
      </c>
      <c r="GP121" t="e">
        <f>AND(Bills!P377,"AAAAAH7e58U=")</f>
        <v>#VALUE!</v>
      </c>
      <c r="GQ121" t="e">
        <f>AND(Bills!Q377,"AAAAAH7e58Y=")</f>
        <v>#VALUE!</v>
      </c>
      <c r="GR121" t="e">
        <f>AND(Bills!R377,"AAAAAH7e58c=")</f>
        <v>#VALUE!</v>
      </c>
      <c r="GS121" t="e">
        <f>AND(Bills!#REF!,"AAAAAH7e58g=")</f>
        <v>#REF!</v>
      </c>
      <c r="GT121" t="e">
        <f>AND(Bills!S377,"AAAAAH7e58k=")</f>
        <v>#VALUE!</v>
      </c>
      <c r="GU121" t="e">
        <f>AND(Bills!T377,"AAAAAH7e58o=")</f>
        <v>#VALUE!</v>
      </c>
      <c r="GV121" t="e">
        <f>AND(Bills!U377,"AAAAAH7e58s=")</f>
        <v>#VALUE!</v>
      </c>
      <c r="GW121" t="e">
        <f>AND(Bills!#REF!,"AAAAAH7e58w=")</f>
        <v>#REF!</v>
      </c>
      <c r="GX121" t="e">
        <f>AND(Bills!#REF!,"AAAAAH7e580=")</f>
        <v>#REF!</v>
      </c>
      <c r="GY121" t="e">
        <f>AND(Bills!W377,"AAAAAH7e584=")</f>
        <v>#VALUE!</v>
      </c>
      <c r="GZ121" t="e">
        <f>AND(Bills!X377,"AAAAAH7e588=")</f>
        <v>#VALUE!</v>
      </c>
      <c r="HA121" t="e">
        <f>AND(Bills!#REF!,"AAAAAH7e59A=")</f>
        <v>#REF!</v>
      </c>
      <c r="HB121" t="e">
        <f>AND(Bills!#REF!,"AAAAAH7e59E=")</f>
        <v>#REF!</v>
      </c>
      <c r="HC121" t="e">
        <f>AND(Bills!#REF!,"AAAAAH7e59I=")</f>
        <v>#REF!</v>
      </c>
      <c r="HD121" t="e">
        <f>AND(Bills!#REF!,"AAAAAH7e59M=")</f>
        <v>#REF!</v>
      </c>
      <c r="HE121" t="e">
        <f>AND(Bills!#REF!,"AAAAAH7e59Q=")</f>
        <v>#REF!</v>
      </c>
      <c r="HF121" t="e">
        <f>AND(Bills!#REF!,"AAAAAH7e59U=")</f>
        <v>#REF!</v>
      </c>
      <c r="HG121" t="e">
        <f>AND(Bills!#REF!,"AAAAAH7e59Y=")</f>
        <v>#REF!</v>
      </c>
      <c r="HH121" t="e">
        <f>AND(Bills!#REF!,"AAAAAH7e59c=")</f>
        <v>#REF!</v>
      </c>
      <c r="HI121" t="e">
        <f>AND(Bills!#REF!,"AAAAAH7e59g=")</f>
        <v>#REF!</v>
      </c>
      <c r="HJ121" t="e">
        <f>AND(Bills!Y377,"AAAAAH7e59k=")</f>
        <v>#VALUE!</v>
      </c>
      <c r="HK121" t="e">
        <f>AND(Bills!Z377,"AAAAAH7e59o=")</f>
        <v>#VALUE!</v>
      </c>
      <c r="HL121" t="e">
        <f>AND(Bills!#REF!,"AAAAAH7e59s=")</f>
        <v>#REF!</v>
      </c>
      <c r="HM121" t="e">
        <f>AND(Bills!#REF!,"AAAAAH7e59w=")</f>
        <v>#REF!</v>
      </c>
      <c r="HN121" t="e">
        <f>AND(Bills!#REF!,"AAAAAH7e590=")</f>
        <v>#REF!</v>
      </c>
      <c r="HO121" t="e">
        <f>AND(Bills!AA377,"AAAAAH7e594=")</f>
        <v>#VALUE!</v>
      </c>
      <c r="HP121" t="e">
        <f>AND(Bills!AB377,"AAAAAH7e598=")</f>
        <v>#VALUE!</v>
      </c>
      <c r="HQ121" t="e">
        <f>AND(Bills!#REF!,"AAAAAH7e5+A=")</f>
        <v>#REF!</v>
      </c>
      <c r="HR121">
        <f>IF(Bills!378:378,"AAAAAH7e5+E=",0)</f>
        <v>0</v>
      </c>
      <c r="HS121" t="e">
        <f>AND(Bills!B378,"AAAAAH7e5+I=")</f>
        <v>#VALUE!</v>
      </c>
      <c r="HT121" t="e">
        <f>AND(Bills!#REF!,"AAAAAH7e5+M=")</f>
        <v>#REF!</v>
      </c>
      <c r="HU121" t="e">
        <f>AND(Bills!C378,"AAAAAH7e5+Q=")</f>
        <v>#VALUE!</v>
      </c>
      <c r="HV121" t="e">
        <f>AND(Bills!#REF!,"AAAAAH7e5+U=")</f>
        <v>#REF!</v>
      </c>
      <c r="HW121" t="e">
        <f>AND(Bills!#REF!,"AAAAAH7e5+Y=")</f>
        <v>#REF!</v>
      </c>
      <c r="HX121" t="e">
        <f>AND(Bills!#REF!,"AAAAAH7e5+c=")</f>
        <v>#REF!</v>
      </c>
      <c r="HY121" t="e">
        <f>AND(Bills!#REF!,"AAAAAH7e5+g=")</f>
        <v>#REF!</v>
      </c>
      <c r="HZ121" t="e">
        <f>AND(Bills!#REF!,"AAAAAH7e5+k=")</f>
        <v>#REF!</v>
      </c>
      <c r="IA121" t="e">
        <f>AND(Bills!D378,"AAAAAH7e5+o=")</f>
        <v>#VALUE!</v>
      </c>
      <c r="IB121" t="e">
        <f>AND(Bills!#REF!,"AAAAAH7e5+s=")</f>
        <v>#REF!</v>
      </c>
      <c r="IC121" t="e">
        <f>AND(Bills!E378,"AAAAAH7e5+w=")</f>
        <v>#VALUE!</v>
      </c>
      <c r="ID121" t="e">
        <f>AND(Bills!F378,"AAAAAH7e5+0=")</f>
        <v>#VALUE!</v>
      </c>
      <c r="IE121" t="e">
        <f>AND(Bills!G378,"AAAAAH7e5+4=")</f>
        <v>#VALUE!</v>
      </c>
      <c r="IF121" t="e">
        <f>AND(Bills!H378,"AAAAAH7e5+8=")</f>
        <v>#VALUE!</v>
      </c>
      <c r="IG121" t="e">
        <f>AND(Bills!I378,"AAAAAH7e5/A=")</f>
        <v>#VALUE!</v>
      </c>
      <c r="IH121" t="e">
        <f>AND(Bills!J378,"AAAAAH7e5/E=")</f>
        <v>#VALUE!</v>
      </c>
      <c r="II121" t="e">
        <f>AND(Bills!#REF!,"AAAAAH7e5/I=")</f>
        <v>#REF!</v>
      </c>
      <c r="IJ121" t="e">
        <f>AND(Bills!K378,"AAAAAH7e5/M=")</f>
        <v>#VALUE!</v>
      </c>
      <c r="IK121" t="e">
        <f>AND(Bills!L378,"AAAAAH7e5/Q=")</f>
        <v>#VALUE!</v>
      </c>
      <c r="IL121" t="e">
        <f>AND(Bills!M378,"AAAAAH7e5/U=")</f>
        <v>#VALUE!</v>
      </c>
      <c r="IM121" t="e">
        <f>AND(Bills!N378,"AAAAAH7e5/Y=")</f>
        <v>#VALUE!</v>
      </c>
      <c r="IN121" t="e">
        <f>AND(Bills!O378,"AAAAAH7e5/c=")</f>
        <v>#VALUE!</v>
      </c>
      <c r="IO121" t="e">
        <f>AND(Bills!P378,"AAAAAH7e5/g=")</f>
        <v>#VALUE!</v>
      </c>
      <c r="IP121" t="e">
        <f>AND(Bills!Q378,"AAAAAH7e5/k=")</f>
        <v>#VALUE!</v>
      </c>
      <c r="IQ121" t="e">
        <f>AND(Bills!R378,"AAAAAH7e5/o=")</f>
        <v>#VALUE!</v>
      </c>
      <c r="IR121" t="e">
        <f>AND(Bills!#REF!,"AAAAAH7e5/s=")</f>
        <v>#REF!</v>
      </c>
      <c r="IS121" t="e">
        <f>AND(Bills!S378,"AAAAAH7e5/w=")</f>
        <v>#VALUE!</v>
      </c>
      <c r="IT121" t="e">
        <f>AND(Bills!T378,"AAAAAH7e5/0=")</f>
        <v>#VALUE!</v>
      </c>
      <c r="IU121" t="e">
        <f>AND(Bills!U378,"AAAAAH7e5/4=")</f>
        <v>#VALUE!</v>
      </c>
      <c r="IV121" t="e">
        <f>AND(Bills!#REF!,"AAAAAH7e5/8=")</f>
        <v>#REF!</v>
      </c>
    </row>
    <row r="122" spans="1:256">
      <c r="A122" t="e">
        <f>AND(Bills!#REF!,"AAAAAGzM6wA=")</f>
        <v>#REF!</v>
      </c>
      <c r="B122" t="e">
        <f>AND(Bills!W378,"AAAAAGzM6wE=")</f>
        <v>#VALUE!</v>
      </c>
      <c r="C122" t="e">
        <f>AND(Bills!X378,"AAAAAGzM6wI=")</f>
        <v>#VALUE!</v>
      </c>
      <c r="D122" t="e">
        <f>AND(Bills!#REF!,"AAAAAGzM6wM=")</f>
        <v>#REF!</v>
      </c>
      <c r="E122" t="e">
        <f>AND(Bills!#REF!,"AAAAAGzM6wQ=")</f>
        <v>#REF!</v>
      </c>
      <c r="F122" t="e">
        <f>AND(Bills!#REF!,"AAAAAGzM6wU=")</f>
        <v>#REF!</v>
      </c>
      <c r="G122" t="e">
        <f>AND(Bills!#REF!,"AAAAAGzM6wY=")</f>
        <v>#REF!</v>
      </c>
      <c r="H122" t="e">
        <f>AND(Bills!#REF!,"AAAAAGzM6wc=")</f>
        <v>#REF!</v>
      </c>
      <c r="I122" t="e">
        <f>AND(Bills!#REF!,"AAAAAGzM6wg=")</f>
        <v>#REF!</v>
      </c>
      <c r="J122" t="e">
        <f>AND(Bills!#REF!,"AAAAAGzM6wk=")</f>
        <v>#REF!</v>
      </c>
      <c r="K122" t="e">
        <f>AND(Bills!#REF!,"AAAAAGzM6wo=")</f>
        <v>#REF!</v>
      </c>
      <c r="L122" t="e">
        <f>AND(Bills!#REF!,"AAAAAGzM6ws=")</f>
        <v>#REF!</v>
      </c>
      <c r="M122" t="e">
        <f>AND(Bills!Y378,"AAAAAGzM6ww=")</f>
        <v>#VALUE!</v>
      </c>
      <c r="N122" t="e">
        <f>AND(Bills!Z378,"AAAAAGzM6w0=")</f>
        <v>#VALUE!</v>
      </c>
      <c r="O122" t="e">
        <f>AND(Bills!#REF!,"AAAAAGzM6w4=")</f>
        <v>#REF!</v>
      </c>
      <c r="P122" t="e">
        <f>AND(Bills!#REF!,"AAAAAGzM6w8=")</f>
        <v>#REF!</v>
      </c>
      <c r="Q122" t="e">
        <f>AND(Bills!#REF!,"AAAAAGzM6xA=")</f>
        <v>#REF!</v>
      </c>
      <c r="R122" t="e">
        <f>AND(Bills!AA378,"AAAAAGzM6xE=")</f>
        <v>#VALUE!</v>
      </c>
      <c r="S122" t="e">
        <f>AND(Bills!AB378,"AAAAAGzM6xI=")</f>
        <v>#VALUE!</v>
      </c>
      <c r="T122" t="e">
        <f>AND(Bills!#REF!,"AAAAAGzM6xM=")</f>
        <v>#REF!</v>
      </c>
      <c r="U122">
        <f>IF(Bills!379:379,"AAAAAGzM6xQ=",0)</f>
        <v>0</v>
      </c>
      <c r="V122" t="e">
        <f>AND(Bills!B379,"AAAAAGzM6xU=")</f>
        <v>#VALUE!</v>
      </c>
      <c r="W122" t="e">
        <f>AND(Bills!#REF!,"AAAAAGzM6xY=")</f>
        <v>#REF!</v>
      </c>
      <c r="X122" t="e">
        <f>AND(Bills!C379,"AAAAAGzM6xc=")</f>
        <v>#VALUE!</v>
      </c>
      <c r="Y122" t="e">
        <f>AND(Bills!#REF!,"AAAAAGzM6xg=")</f>
        <v>#REF!</v>
      </c>
      <c r="Z122" t="e">
        <f>AND(Bills!#REF!,"AAAAAGzM6xk=")</f>
        <v>#REF!</v>
      </c>
      <c r="AA122" t="e">
        <f>AND(Bills!#REF!,"AAAAAGzM6xo=")</f>
        <v>#REF!</v>
      </c>
      <c r="AB122" t="e">
        <f>AND(Bills!#REF!,"AAAAAGzM6xs=")</f>
        <v>#REF!</v>
      </c>
      <c r="AC122" t="e">
        <f>AND(Bills!#REF!,"AAAAAGzM6xw=")</f>
        <v>#REF!</v>
      </c>
      <c r="AD122" t="e">
        <f>AND(Bills!D379,"AAAAAGzM6x0=")</f>
        <v>#VALUE!</v>
      </c>
      <c r="AE122" t="e">
        <f>AND(Bills!#REF!,"AAAAAGzM6x4=")</f>
        <v>#REF!</v>
      </c>
      <c r="AF122" t="e">
        <f>AND(Bills!E379,"AAAAAGzM6x8=")</f>
        <v>#VALUE!</v>
      </c>
      <c r="AG122" t="e">
        <f>AND(Bills!F379,"AAAAAGzM6yA=")</f>
        <v>#VALUE!</v>
      </c>
      <c r="AH122" t="e">
        <f>AND(Bills!G379,"AAAAAGzM6yE=")</f>
        <v>#VALUE!</v>
      </c>
      <c r="AI122" t="e">
        <f>AND(Bills!H379,"AAAAAGzM6yI=")</f>
        <v>#VALUE!</v>
      </c>
      <c r="AJ122" t="e">
        <f>AND(Bills!I379,"AAAAAGzM6yM=")</f>
        <v>#VALUE!</v>
      </c>
      <c r="AK122" t="e">
        <f>AND(Bills!J379,"AAAAAGzM6yQ=")</f>
        <v>#VALUE!</v>
      </c>
      <c r="AL122" t="e">
        <f>AND(Bills!#REF!,"AAAAAGzM6yU=")</f>
        <v>#REF!</v>
      </c>
      <c r="AM122" t="e">
        <f>AND(Bills!K379,"AAAAAGzM6yY=")</f>
        <v>#VALUE!</v>
      </c>
      <c r="AN122" t="e">
        <f>AND(Bills!L379,"AAAAAGzM6yc=")</f>
        <v>#VALUE!</v>
      </c>
      <c r="AO122" t="e">
        <f>AND(Bills!M379,"AAAAAGzM6yg=")</f>
        <v>#VALUE!</v>
      </c>
      <c r="AP122" t="e">
        <f>AND(Bills!N379,"AAAAAGzM6yk=")</f>
        <v>#VALUE!</v>
      </c>
      <c r="AQ122" t="e">
        <f>AND(Bills!O379,"AAAAAGzM6yo=")</f>
        <v>#VALUE!</v>
      </c>
      <c r="AR122" t="e">
        <f>AND(Bills!P379,"AAAAAGzM6ys=")</f>
        <v>#VALUE!</v>
      </c>
      <c r="AS122" t="e">
        <f>AND(Bills!Q379,"AAAAAGzM6yw=")</f>
        <v>#VALUE!</v>
      </c>
      <c r="AT122" t="e">
        <f>AND(Bills!R379,"AAAAAGzM6y0=")</f>
        <v>#VALUE!</v>
      </c>
      <c r="AU122" t="e">
        <f>AND(Bills!#REF!,"AAAAAGzM6y4=")</f>
        <v>#REF!</v>
      </c>
      <c r="AV122" t="e">
        <f>AND(Bills!S379,"AAAAAGzM6y8=")</f>
        <v>#VALUE!</v>
      </c>
      <c r="AW122" t="e">
        <f>AND(Bills!T379,"AAAAAGzM6zA=")</f>
        <v>#VALUE!</v>
      </c>
      <c r="AX122" t="e">
        <f>AND(Bills!U379,"AAAAAGzM6zE=")</f>
        <v>#VALUE!</v>
      </c>
      <c r="AY122" t="e">
        <f>AND(Bills!#REF!,"AAAAAGzM6zI=")</f>
        <v>#REF!</v>
      </c>
      <c r="AZ122" t="e">
        <f>AND(Bills!#REF!,"AAAAAGzM6zM=")</f>
        <v>#REF!</v>
      </c>
      <c r="BA122" t="e">
        <f>AND(Bills!W379,"AAAAAGzM6zQ=")</f>
        <v>#VALUE!</v>
      </c>
      <c r="BB122" t="e">
        <f>AND(Bills!X379,"AAAAAGzM6zU=")</f>
        <v>#VALUE!</v>
      </c>
      <c r="BC122" t="e">
        <f>AND(Bills!#REF!,"AAAAAGzM6zY=")</f>
        <v>#REF!</v>
      </c>
      <c r="BD122" t="e">
        <f>AND(Bills!#REF!,"AAAAAGzM6zc=")</f>
        <v>#REF!</v>
      </c>
      <c r="BE122" t="e">
        <f>AND(Bills!#REF!,"AAAAAGzM6zg=")</f>
        <v>#REF!</v>
      </c>
      <c r="BF122" t="e">
        <f>AND(Bills!#REF!,"AAAAAGzM6zk=")</f>
        <v>#REF!</v>
      </c>
      <c r="BG122" t="e">
        <f>AND(Bills!#REF!,"AAAAAGzM6zo=")</f>
        <v>#REF!</v>
      </c>
      <c r="BH122" t="e">
        <f>AND(Bills!#REF!,"AAAAAGzM6zs=")</f>
        <v>#REF!</v>
      </c>
      <c r="BI122" t="e">
        <f>AND(Bills!#REF!,"AAAAAGzM6zw=")</f>
        <v>#REF!</v>
      </c>
      <c r="BJ122" t="e">
        <f>AND(Bills!#REF!,"AAAAAGzM6z0=")</f>
        <v>#REF!</v>
      </c>
      <c r="BK122" t="e">
        <f>AND(Bills!#REF!,"AAAAAGzM6z4=")</f>
        <v>#REF!</v>
      </c>
      <c r="BL122" t="e">
        <f>AND(Bills!Y379,"AAAAAGzM6z8=")</f>
        <v>#VALUE!</v>
      </c>
      <c r="BM122" t="e">
        <f>AND(Bills!Z379,"AAAAAGzM60A=")</f>
        <v>#VALUE!</v>
      </c>
      <c r="BN122" t="e">
        <f>AND(Bills!#REF!,"AAAAAGzM60E=")</f>
        <v>#REF!</v>
      </c>
      <c r="BO122" t="e">
        <f>AND(Bills!#REF!,"AAAAAGzM60I=")</f>
        <v>#REF!</v>
      </c>
      <c r="BP122" t="e">
        <f>AND(Bills!#REF!,"AAAAAGzM60M=")</f>
        <v>#REF!</v>
      </c>
      <c r="BQ122" t="e">
        <f>AND(Bills!AA379,"AAAAAGzM60Q=")</f>
        <v>#VALUE!</v>
      </c>
      <c r="BR122" t="e">
        <f>AND(Bills!AB379,"AAAAAGzM60U=")</f>
        <v>#VALUE!</v>
      </c>
      <c r="BS122" t="e">
        <f>AND(Bills!#REF!,"AAAAAGzM60Y=")</f>
        <v>#REF!</v>
      </c>
      <c r="BT122">
        <f>IF(Bills!380:380,"AAAAAGzM60c=",0)</f>
        <v>0</v>
      </c>
      <c r="BU122" t="e">
        <f>AND(Bills!B380,"AAAAAGzM60g=")</f>
        <v>#VALUE!</v>
      </c>
      <c r="BV122" t="e">
        <f>AND(Bills!#REF!,"AAAAAGzM60k=")</f>
        <v>#REF!</v>
      </c>
      <c r="BW122" t="e">
        <f>AND(Bills!C380,"AAAAAGzM60o=")</f>
        <v>#VALUE!</v>
      </c>
      <c r="BX122" t="e">
        <f>AND(Bills!#REF!,"AAAAAGzM60s=")</f>
        <v>#REF!</v>
      </c>
      <c r="BY122" t="e">
        <f>AND(Bills!#REF!,"AAAAAGzM60w=")</f>
        <v>#REF!</v>
      </c>
      <c r="BZ122" t="e">
        <f>AND(Bills!#REF!,"AAAAAGzM600=")</f>
        <v>#REF!</v>
      </c>
      <c r="CA122" t="e">
        <f>AND(Bills!#REF!,"AAAAAGzM604=")</f>
        <v>#REF!</v>
      </c>
      <c r="CB122" t="e">
        <f>AND(Bills!#REF!,"AAAAAGzM608=")</f>
        <v>#REF!</v>
      </c>
      <c r="CC122" t="e">
        <f>AND(Bills!D380,"AAAAAGzM61A=")</f>
        <v>#VALUE!</v>
      </c>
      <c r="CD122" t="e">
        <f>AND(Bills!#REF!,"AAAAAGzM61E=")</f>
        <v>#REF!</v>
      </c>
      <c r="CE122" t="e">
        <f>AND(Bills!E380,"AAAAAGzM61I=")</f>
        <v>#VALUE!</v>
      </c>
      <c r="CF122" t="e">
        <f>AND(Bills!F380,"AAAAAGzM61M=")</f>
        <v>#VALUE!</v>
      </c>
      <c r="CG122" t="e">
        <f>AND(Bills!G380,"AAAAAGzM61Q=")</f>
        <v>#VALUE!</v>
      </c>
      <c r="CH122" t="e">
        <f>AND(Bills!H380,"AAAAAGzM61U=")</f>
        <v>#VALUE!</v>
      </c>
      <c r="CI122" t="e">
        <f>AND(Bills!I380,"AAAAAGzM61Y=")</f>
        <v>#VALUE!</v>
      </c>
      <c r="CJ122" t="e">
        <f>AND(Bills!J380,"AAAAAGzM61c=")</f>
        <v>#VALUE!</v>
      </c>
      <c r="CK122" t="e">
        <f>AND(Bills!#REF!,"AAAAAGzM61g=")</f>
        <v>#REF!</v>
      </c>
      <c r="CL122" t="e">
        <f>AND(Bills!K380,"AAAAAGzM61k=")</f>
        <v>#VALUE!</v>
      </c>
      <c r="CM122" t="e">
        <f>AND(Bills!L380,"AAAAAGzM61o=")</f>
        <v>#VALUE!</v>
      </c>
      <c r="CN122" t="e">
        <f>AND(Bills!M380,"AAAAAGzM61s=")</f>
        <v>#VALUE!</v>
      </c>
      <c r="CO122" t="e">
        <f>AND(Bills!N380,"AAAAAGzM61w=")</f>
        <v>#VALUE!</v>
      </c>
      <c r="CP122" t="e">
        <f>AND(Bills!O380,"AAAAAGzM610=")</f>
        <v>#VALUE!</v>
      </c>
      <c r="CQ122" t="e">
        <f>AND(Bills!P380,"AAAAAGzM614=")</f>
        <v>#VALUE!</v>
      </c>
      <c r="CR122" t="e">
        <f>AND(Bills!Q380,"AAAAAGzM618=")</f>
        <v>#VALUE!</v>
      </c>
      <c r="CS122" t="e">
        <f>AND(Bills!R380,"AAAAAGzM62A=")</f>
        <v>#VALUE!</v>
      </c>
      <c r="CT122" t="e">
        <f>AND(Bills!#REF!,"AAAAAGzM62E=")</f>
        <v>#REF!</v>
      </c>
      <c r="CU122" t="e">
        <f>AND(Bills!S380,"AAAAAGzM62I=")</f>
        <v>#VALUE!</v>
      </c>
      <c r="CV122" t="e">
        <f>AND(Bills!T380,"AAAAAGzM62M=")</f>
        <v>#VALUE!</v>
      </c>
      <c r="CW122" t="e">
        <f>AND(Bills!U380,"AAAAAGzM62Q=")</f>
        <v>#VALUE!</v>
      </c>
      <c r="CX122" t="e">
        <f>AND(Bills!#REF!,"AAAAAGzM62U=")</f>
        <v>#REF!</v>
      </c>
      <c r="CY122" t="e">
        <f>AND(Bills!#REF!,"AAAAAGzM62Y=")</f>
        <v>#REF!</v>
      </c>
      <c r="CZ122" t="e">
        <f>AND(Bills!W380,"AAAAAGzM62c=")</f>
        <v>#VALUE!</v>
      </c>
      <c r="DA122" t="e">
        <f>AND(Bills!X380,"AAAAAGzM62g=")</f>
        <v>#VALUE!</v>
      </c>
      <c r="DB122" t="e">
        <f>AND(Bills!#REF!,"AAAAAGzM62k=")</f>
        <v>#REF!</v>
      </c>
      <c r="DC122" t="e">
        <f>AND(Bills!#REF!,"AAAAAGzM62o=")</f>
        <v>#REF!</v>
      </c>
      <c r="DD122" t="e">
        <f>AND(Bills!#REF!,"AAAAAGzM62s=")</f>
        <v>#REF!</v>
      </c>
      <c r="DE122" t="e">
        <f>AND(Bills!#REF!,"AAAAAGzM62w=")</f>
        <v>#REF!</v>
      </c>
      <c r="DF122" t="e">
        <f>AND(Bills!#REF!,"AAAAAGzM620=")</f>
        <v>#REF!</v>
      </c>
      <c r="DG122" t="e">
        <f>AND(Bills!#REF!,"AAAAAGzM624=")</f>
        <v>#REF!</v>
      </c>
      <c r="DH122" t="e">
        <f>AND(Bills!#REF!,"AAAAAGzM628=")</f>
        <v>#REF!</v>
      </c>
      <c r="DI122" t="e">
        <f>AND(Bills!#REF!,"AAAAAGzM63A=")</f>
        <v>#REF!</v>
      </c>
      <c r="DJ122" t="e">
        <f>AND(Bills!#REF!,"AAAAAGzM63E=")</f>
        <v>#REF!</v>
      </c>
      <c r="DK122" t="e">
        <f>AND(Bills!Y380,"AAAAAGzM63I=")</f>
        <v>#VALUE!</v>
      </c>
      <c r="DL122" t="e">
        <f>AND(Bills!Z380,"AAAAAGzM63M=")</f>
        <v>#VALUE!</v>
      </c>
      <c r="DM122" t="e">
        <f>AND(Bills!#REF!,"AAAAAGzM63Q=")</f>
        <v>#REF!</v>
      </c>
      <c r="DN122" t="e">
        <f>AND(Bills!#REF!,"AAAAAGzM63U=")</f>
        <v>#REF!</v>
      </c>
      <c r="DO122" t="e">
        <f>AND(Bills!#REF!,"AAAAAGzM63Y=")</f>
        <v>#REF!</v>
      </c>
      <c r="DP122" t="e">
        <f>AND(Bills!AA380,"AAAAAGzM63c=")</f>
        <v>#VALUE!</v>
      </c>
      <c r="DQ122" t="e">
        <f>AND(Bills!AB380,"AAAAAGzM63g=")</f>
        <v>#VALUE!</v>
      </c>
      <c r="DR122" t="e">
        <f>AND(Bills!#REF!,"AAAAAGzM63k=")</f>
        <v>#REF!</v>
      </c>
      <c r="DS122">
        <f>IF(Bills!381:381,"AAAAAGzM63o=",0)</f>
        <v>0</v>
      </c>
      <c r="DT122" t="e">
        <f>AND(Bills!B381,"AAAAAGzM63s=")</f>
        <v>#VALUE!</v>
      </c>
      <c r="DU122" t="e">
        <f>AND(Bills!#REF!,"AAAAAGzM63w=")</f>
        <v>#REF!</v>
      </c>
      <c r="DV122" t="e">
        <f>AND(Bills!C381,"AAAAAGzM630=")</f>
        <v>#VALUE!</v>
      </c>
      <c r="DW122" t="e">
        <f>AND(Bills!#REF!,"AAAAAGzM634=")</f>
        <v>#REF!</v>
      </c>
      <c r="DX122" t="e">
        <f>AND(Bills!#REF!,"AAAAAGzM638=")</f>
        <v>#REF!</v>
      </c>
      <c r="DY122" t="e">
        <f>AND(Bills!#REF!,"AAAAAGzM64A=")</f>
        <v>#REF!</v>
      </c>
      <c r="DZ122" t="e">
        <f>AND(Bills!#REF!,"AAAAAGzM64E=")</f>
        <v>#REF!</v>
      </c>
      <c r="EA122" t="e">
        <f>AND(Bills!#REF!,"AAAAAGzM64I=")</f>
        <v>#REF!</v>
      </c>
      <c r="EB122" t="e">
        <f>AND(Bills!D381,"AAAAAGzM64M=")</f>
        <v>#VALUE!</v>
      </c>
      <c r="EC122" t="e">
        <f>AND(Bills!#REF!,"AAAAAGzM64Q=")</f>
        <v>#REF!</v>
      </c>
      <c r="ED122" t="e">
        <f>AND(Bills!E381,"AAAAAGzM64U=")</f>
        <v>#VALUE!</v>
      </c>
      <c r="EE122" t="e">
        <f>AND(Bills!F381,"AAAAAGzM64Y=")</f>
        <v>#VALUE!</v>
      </c>
      <c r="EF122" t="e">
        <f>AND(Bills!G381,"AAAAAGzM64c=")</f>
        <v>#VALUE!</v>
      </c>
      <c r="EG122" t="e">
        <f>AND(Bills!H381,"AAAAAGzM64g=")</f>
        <v>#VALUE!</v>
      </c>
      <c r="EH122" t="e">
        <f>AND(Bills!I381,"AAAAAGzM64k=")</f>
        <v>#VALUE!</v>
      </c>
      <c r="EI122" t="e">
        <f>AND(Bills!J381,"AAAAAGzM64o=")</f>
        <v>#VALUE!</v>
      </c>
      <c r="EJ122" t="e">
        <f>AND(Bills!#REF!,"AAAAAGzM64s=")</f>
        <v>#REF!</v>
      </c>
      <c r="EK122" t="e">
        <f>AND(Bills!K381,"AAAAAGzM64w=")</f>
        <v>#VALUE!</v>
      </c>
      <c r="EL122" t="e">
        <f>AND(Bills!L381,"AAAAAGzM640=")</f>
        <v>#VALUE!</v>
      </c>
      <c r="EM122" t="e">
        <f>AND(Bills!M381,"AAAAAGzM644=")</f>
        <v>#VALUE!</v>
      </c>
      <c r="EN122" t="e">
        <f>AND(Bills!N381,"AAAAAGzM648=")</f>
        <v>#VALUE!</v>
      </c>
      <c r="EO122" t="e">
        <f>AND(Bills!O381,"AAAAAGzM65A=")</f>
        <v>#VALUE!</v>
      </c>
      <c r="EP122" t="e">
        <f>AND(Bills!P381,"AAAAAGzM65E=")</f>
        <v>#VALUE!</v>
      </c>
      <c r="EQ122" t="e">
        <f>AND(Bills!Q381,"AAAAAGzM65I=")</f>
        <v>#VALUE!</v>
      </c>
      <c r="ER122" t="e">
        <f>AND(Bills!R381,"AAAAAGzM65M=")</f>
        <v>#VALUE!</v>
      </c>
      <c r="ES122" t="e">
        <f>AND(Bills!#REF!,"AAAAAGzM65Q=")</f>
        <v>#REF!</v>
      </c>
      <c r="ET122" t="e">
        <f>AND(Bills!S381,"AAAAAGzM65U=")</f>
        <v>#VALUE!</v>
      </c>
      <c r="EU122" t="e">
        <f>AND(Bills!T381,"AAAAAGzM65Y=")</f>
        <v>#VALUE!</v>
      </c>
      <c r="EV122" t="e">
        <f>AND(Bills!U381,"AAAAAGzM65c=")</f>
        <v>#VALUE!</v>
      </c>
      <c r="EW122" t="e">
        <f>AND(Bills!#REF!,"AAAAAGzM65g=")</f>
        <v>#REF!</v>
      </c>
      <c r="EX122" t="e">
        <f>AND(Bills!#REF!,"AAAAAGzM65k=")</f>
        <v>#REF!</v>
      </c>
      <c r="EY122" t="e">
        <f>AND(Bills!W381,"AAAAAGzM65o=")</f>
        <v>#VALUE!</v>
      </c>
      <c r="EZ122" t="e">
        <f>AND(Bills!X381,"AAAAAGzM65s=")</f>
        <v>#VALUE!</v>
      </c>
      <c r="FA122" t="e">
        <f>AND(Bills!#REF!,"AAAAAGzM65w=")</f>
        <v>#REF!</v>
      </c>
      <c r="FB122" t="e">
        <f>AND(Bills!#REF!,"AAAAAGzM650=")</f>
        <v>#REF!</v>
      </c>
      <c r="FC122" t="e">
        <f>AND(Bills!#REF!,"AAAAAGzM654=")</f>
        <v>#REF!</v>
      </c>
      <c r="FD122" t="e">
        <f>AND(Bills!#REF!,"AAAAAGzM658=")</f>
        <v>#REF!</v>
      </c>
      <c r="FE122" t="e">
        <f>AND(Bills!#REF!,"AAAAAGzM66A=")</f>
        <v>#REF!</v>
      </c>
      <c r="FF122" t="e">
        <f>AND(Bills!#REF!,"AAAAAGzM66E=")</f>
        <v>#REF!</v>
      </c>
      <c r="FG122" t="e">
        <f>AND(Bills!#REF!,"AAAAAGzM66I=")</f>
        <v>#REF!</v>
      </c>
      <c r="FH122" t="e">
        <f>AND(Bills!#REF!,"AAAAAGzM66M=")</f>
        <v>#REF!</v>
      </c>
      <c r="FI122" t="e">
        <f>AND(Bills!#REF!,"AAAAAGzM66Q=")</f>
        <v>#REF!</v>
      </c>
      <c r="FJ122" t="e">
        <f>AND(Bills!Y381,"AAAAAGzM66U=")</f>
        <v>#VALUE!</v>
      </c>
      <c r="FK122" t="e">
        <f>AND(Bills!Z381,"AAAAAGzM66Y=")</f>
        <v>#VALUE!</v>
      </c>
      <c r="FL122" t="e">
        <f>AND(Bills!#REF!,"AAAAAGzM66c=")</f>
        <v>#REF!</v>
      </c>
      <c r="FM122" t="e">
        <f>AND(Bills!#REF!,"AAAAAGzM66g=")</f>
        <v>#REF!</v>
      </c>
      <c r="FN122" t="e">
        <f>AND(Bills!#REF!,"AAAAAGzM66k=")</f>
        <v>#REF!</v>
      </c>
      <c r="FO122" t="e">
        <f>AND(Bills!AA381,"AAAAAGzM66o=")</f>
        <v>#VALUE!</v>
      </c>
      <c r="FP122" t="e">
        <f>AND(Bills!AB381,"AAAAAGzM66s=")</f>
        <v>#VALUE!</v>
      </c>
      <c r="FQ122" t="e">
        <f>AND(Bills!#REF!,"AAAAAGzM66w=")</f>
        <v>#REF!</v>
      </c>
      <c r="FR122">
        <f>IF(Bills!382:382,"AAAAAGzM660=",0)</f>
        <v>0</v>
      </c>
      <c r="FS122" t="e">
        <f>AND(Bills!B382,"AAAAAGzM664=")</f>
        <v>#VALUE!</v>
      </c>
      <c r="FT122" t="e">
        <f>AND(Bills!#REF!,"AAAAAGzM668=")</f>
        <v>#REF!</v>
      </c>
      <c r="FU122" t="e">
        <f>AND(Bills!C382,"AAAAAGzM67A=")</f>
        <v>#VALUE!</v>
      </c>
      <c r="FV122" t="e">
        <f>AND(Bills!#REF!,"AAAAAGzM67E=")</f>
        <v>#REF!</v>
      </c>
      <c r="FW122" t="e">
        <f>AND(Bills!#REF!,"AAAAAGzM67I=")</f>
        <v>#REF!</v>
      </c>
      <c r="FX122" t="e">
        <f>AND(Bills!#REF!,"AAAAAGzM67M=")</f>
        <v>#REF!</v>
      </c>
      <c r="FY122" t="e">
        <f>AND(Bills!#REF!,"AAAAAGzM67Q=")</f>
        <v>#REF!</v>
      </c>
      <c r="FZ122" t="e">
        <f>AND(Bills!#REF!,"AAAAAGzM67U=")</f>
        <v>#REF!</v>
      </c>
      <c r="GA122" t="e">
        <f>AND(Bills!D382,"AAAAAGzM67Y=")</f>
        <v>#VALUE!</v>
      </c>
      <c r="GB122" t="e">
        <f>AND(Bills!#REF!,"AAAAAGzM67c=")</f>
        <v>#REF!</v>
      </c>
      <c r="GC122" t="e">
        <f>AND(Bills!E382,"AAAAAGzM67g=")</f>
        <v>#VALUE!</v>
      </c>
      <c r="GD122" t="e">
        <f>AND(Bills!F382,"AAAAAGzM67k=")</f>
        <v>#VALUE!</v>
      </c>
      <c r="GE122" t="e">
        <f>AND(Bills!G382,"AAAAAGzM67o=")</f>
        <v>#VALUE!</v>
      </c>
      <c r="GF122" t="e">
        <f>AND(Bills!H382,"AAAAAGzM67s=")</f>
        <v>#VALUE!</v>
      </c>
      <c r="GG122" t="e">
        <f>AND(Bills!I382,"AAAAAGzM67w=")</f>
        <v>#VALUE!</v>
      </c>
      <c r="GH122" t="e">
        <f>AND(Bills!J382,"AAAAAGzM670=")</f>
        <v>#VALUE!</v>
      </c>
      <c r="GI122" t="e">
        <f>AND(Bills!#REF!,"AAAAAGzM674=")</f>
        <v>#REF!</v>
      </c>
      <c r="GJ122" t="e">
        <f>AND(Bills!K382,"AAAAAGzM678=")</f>
        <v>#VALUE!</v>
      </c>
      <c r="GK122" t="e">
        <f>AND(Bills!L382,"AAAAAGzM68A=")</f>
        <v>#VALUE!</v>
      </c>
      <c r="GL122" t="e">
        <f>AND(Bills!M382,"AAAAAGzM68E=")</f>
        <v>#VALUE!</v>
      </c>
      <c r="GM122" t="e">
        <f>AND(Bills!N382,"AAAAAGzM68I=")</f>
        <v>#VALUE!</v>
      </c>
      <c r="GN122" t="e">
        <f>AND(Bills!O382,"AAAAAGzM68M=")</f>
        <v>#VALUE!</v>
      </c>
      <c r="GO122" t="e">
        <f>AND(Bills!P382,"AAAAAGzM68Q=")</f>
        <v>#VALUE!</v>
      </c>
      <c r="GP122" t="e">
        <f>AND(Bills!Q382,"AAAAAGzM68U=")</f>
        <v>#VALUE!</v>
      </c>
      <c r="GQ122" t="e">
        <f>AND(Bills!R382,"AAAAAGzM68Y=")</f>
        <v>#VALUE!</v>
      </c>
      <c r="GR122" t="e">
        <f>AND(Bills!#REF!,"AAAAAGzM68c=")</f>
        <v>#REF!</v>
      </c>
      <c r="GS122" t="e">
        <f>AND(Bills!S382,"AAAAAGzM68g=")</f>
        <v>#VALUE!</v>
      </c>
      <c r="GT122" t="e">
        <f>AND(Bills!T382,"AAAAAGzM68k=")</f>
        <v>#VALUE!</v>
      </c>
      <c r="GU122" t="e">
        <f>AND(Bills!U382,"AAAAAGzM68o=")</f>
        <v>#VALUE!</v>
      </c>
      <c r="GV122" t="e">
        <f>AND(Bills!#REF!,"AAAAAGzM68s=")</f>
        <v>#REF!</v>
      </c>
      <c r="GW122" t="e">
        <f>AND(Bills!#REF!,"AAAAAGzM68w=")</f>
        <v>#REF!</v>
      </c>
      <c r="GX122" t="e">
        <f>AND(Bills!W382,"AAAAAGzM680=")</f>
        <v>#VALUE!</v>
      </c>
      <c r="GY122" t="e">
        <f>AND(Bills!X382,"AAAAAGzM684=")</f>
        <v>#VALUE!</v>
      </c>
      <c r="GZ122" t="e">
        <f>AND(Bills!#REF!,"AAAAAGzM688=")</f>
        <v>#REF!</v>
      </c>
      <c r="HA122" t="e">
        <f>AND(Bills!#REF!,"AAAAAGzM69A=")</f>
        <v>#REF!</v>
      </c>
      <c r="HB122" t="e">
        <f>AND(Bills!#REF!,"AAAAAGzM69E=")</f>
        <v>#REF!</v>
      </c>
      <c r="HC122" t="e">
        <f>AND(Bills!#REF!,"AAAAAGzM69I=")</f>
        <v>#REF!</v>
      </c>
      <c r="HD122" t="e">
        <f>AND(Bills!#REF!,"AAAAAGzM69M=")</f>
        <v>#REF!</v>
      </c>
      <c r="HE122" t="e">
        <f>AND(Bills!#REF!,"AAAAAGzM69Q=")</f>
        <v>#REF!</v>
      </c>
      <c r="HF122" t="e">
        <f>AND(Bills!#REF!,"AAAAAGzM69U=")</f>
        <v>#REF!</v>
      </c>
      <c r="HG122" t="e">
        <f>AND(Bills!#REF!,"AAAAAGzM69Y=")</f>
        <v>#REF!</v>
      </c>
      <c r="HH122" t="e">
        <f>AND(Bills!#REF!,"AAAAAGzM69c=")</f>
        <v>#REF!</v>
      </c>
      <c r="HI122" t="e">
        <f>AND(Bills!Y382,"AAAAAGzM69g=")</f>
        <v>#VALUE!</v>
      </c>
      <c r="HJ122" t="e">
        <f>AND(Bills!Z382,"AAAAAGzM69k=")</f>
        <v>#VALUE!</v>
      </c>
      <c r="HK122" t="e">
        <f>AND(Bills!#REF!,"AAAAAGzM69o=")</f>
        <v>#REF!</v>
      </c>
      <c r="HL122" t="e">
        <f>AND(Bills!#REF!,"AAAAAGzM69s=")</f>
        <v>#REF!</v>
      </c>
      <c r="HM122" t="e">
        <f>AND(Bills!#REF!,"AAAAAGzM69w=")</f>
        <v>#REF!</v>
      </c>
      <c r="HN122" t="e">
        <f>AND(Bills!AA382,"AAAAAGzM690=")</f>
        <v>#VALUE!</v>
      </c>
      <c r="HO122" t="e">
        <f>AND(Bills!AB382,"AAAAAGzM694=")</f>
        <v>#VALUE!</v>
      </c>
      <c r="HP122" t="e">
        <f>AND(Bills!#REF!,"AAAAAGzM698=")</f>
        <v>#REF!</v>
      </c>
      <c r="HQ122">
        <f>IF(Bills!383:383,"AAAAAGzM6+A=",0)</f>
        <v>0</v>
      </c>
      <c r="HR122" t="e">
        <f>AND(Bills!B383,"AAAAAGzM6+E=")</f>
        <v>#VALUE!</v>
      </c>
      <c r="HS122" t="e">
        <f>AND(Bills!#REF!,"AAAAAGzM6+I=")</f>
        <v>#REF!</v>
      </c>
      <c r="HT122" t="e">
        <f>AND(Bills!C383,"AAAAAGzM6+M=")</f>
        <v>#VALUE!</v>
      </c>
      <c r="HU122" t="e">
        <f>AND(Bills!#REF!,"AAAAAGzM6+Q=")</f>
        <v>#REF!</v>
      </c>
      <c r="HV122" t="e">
        <f>AND(Bills!#REF!,"AAAAAGzM6+U=")</f>
        <v>#REF!</v>
      </c>
      <c r="HW122" t="e">
        <f>AND(Bills!#REF!,"AAAAAGzM6+Y=")</f>
        <v>#REF!</v>
      </c>
      <c r="HX122" t="e">
        <f>AND(Bills!#REF!,"AAAAAGzM6+c=")</f>
        <v>#REF!</v>
      </c>
      <c r="HY122" t="e">
        <f>AND(Bills!#REF!,"AAAAAGzM6+g=")</f>
        <v>#REF!</v>
      </c>
      <c r="HZ122" t="e">
        <f>AND(Bills!D383,"AAAAAGzM6+k=")</f>
        <v>#VALUE!</v>
      </c>
      <c r="IA122" t="e">
        <f>AND(Bills!#REF!,"AAAAAGzM6+o=")</f>
        <v>#REF!</v>
      </c>
      <c r="IB122" t="e">
        <f>AND(Bills!E383,"AAAAAGzM6+s=")</f>
        <v>#VALUE!</v>
      </c>
      <c r="IC122" t="e">
        <f>AND(Bills!F383,"AAAAAGzM6+w=")</f>
        <v>#VALUE!</v>
      </c>
      <c r="ID122" t="e">
        <f>AND(Bills!G383,"AAAAAGzM6+0=")</f>
        <v>#VALUE!</v>
      </c>
      <c r="IE122" t="e">
        <f>AND(Bills!H383,"AAAAAGzM6+4=")</f>
        <v>#VALUE!</v>
      </c>
      <c r="IF122" t="e">
        <f>AND(Bills!I383,"AAAAAGzM6+8=")</f>
        <v>#VALUE!</v>
      </c>
      <c r="IG122" t="e">
        <f>AND(Bills!J383,"AAAAAGzM6/A=")</f>
        <v>#VALUE!</v>
      </c>
      <c r="IH122" t="e">
        <f>AND(Bills!#REF!,"AAAAAGzM6/E=")</f>
        <v>#REF!</v>
      </c>
      <c r="II122" t="e">
        <f>AND(Bills!K383,"AAAAAGzM6/I=")</f>
        <v>#VALUE!</v>
      </c>
      <c r="IJ122" t="e">
        <f>AND(Bills!L383,"AAAAAGzM6/M=")</f>
        <v>#VALUE!</v>
      </c>
      <c r="IK122" t="e">
        <f>AND(Bills!M383,"AAAAAGzM6/Q=")</f>
        <v>#VALUE!</v>
      </c>
      <c r="IL122" t="e">
        <f>AND(Bills!N383,"AAAAAGzM6/U=")</f>
        <v>#VALUE!</v>
      </c>
      <c r="IM122" t="e">
        <f>AND(Bills!O383,"AAAAAGzM6/Y=")</f>
        <v>#VALUE!</v>
      </c>
      <c r="IN122" t="e">
        <f>AND(Bills!P383,"AAAAAGzM6/c=")</f>
        <v>#VALUE!</v>
      </c>
      <c r="IO122" t="e">
        <f>AND(Bills!Q383,"AAAAAGzM6/g=")</f>
        <v>#VALUE!</v>
      </c>
      <c r="IP122" t="e">
        <f>AND(Bills!R383,"AAAAAGzM6/k=")</f>
        <v>#VALUE!</v>
      </c>
      <c r="IQ122" t="e">
        <f>AND(Bills!#REF!,"AAAAAGzM6/o=")</f>
        <v>#REF!</v>
      </c>
      <c r="IR122" t="e">
        <f>AND(Bills!S383,"AAAAAGzM6/s=")</f>
        <v>#VALUE!</v>
      </c>
      <c r="IS122" t="e">
        <f>AND(Bills!T383,"AAAAAGzM6/w=")</f>
        <v>#VALUE!</v>
      </c>
      <c r="IT122" t="e">
        <f>AND(Bills!U383,"AAAAAGzM6/0=")</f>
        <v>#VALUE!</v>
      </c>
      <c r="IU122" t="e">
        <f>AND(Bills!#REF!,"AAAAAGzM6/4=")</f>
        <v>#REF!</v>
      </c>
      <c r="IV122" t="e">
        <f>AND(Bills!#REF!,"AAAAAGzM6/8=")</f>
        <v>#REF!</v>
      </c>
    </row>
    <row r="123" spans="1:256">
      <c r="A123" t="e">
        <f>AND(Bills!W383,"AAAAAD/9/QA=")</f>
        <v>#VALUE!</v>
      </c>
      <c r="B123" t="e">
        <f>AND(Bills!X383,"AAAAAD/9/QE=")</f>
        <v>#VALUE!</v>
      </c>
      <c r="C123" t="e">
        <f>AND(Bills!#REF!,"AAAAAD/9/QI=")</f>
        <v>#REF!</v>
      </c>
      <c r="D123" t="e">
        <f>AND(Bills!#REF!,"AAAAAD/9/QM=")</f>
        <v>#REF!</v>
      </c>
      <c r="E123" t="e">
        <f>AND(Bills!#REF!,"AAAAAD/9/QQ=")</f>
        <v>#REF!</v>
      </c>
      <c r="F123" t="e">
        <f>AND(Bills!#REF!,"AAAAAD/9/QU=")</f>
        <v>#REF!</v>
      </c>
      <c r="G123" t="e">
        <f>AND(Bills!#REF!,"AAAAAD/9/QY=")</f>
        <v>#REF!</v>
      </c>
      <c r="H123" t="e">
        <f>AND(Bills!#REF!,"AAAAAD/9/Qc=")</f>
        <v>#REF!</v>
      </c>
      <c r="I123" t="e">
        <f>AND(Bills!#REF!,"AAAAAD/9/Qg=")</f>
        <v>#REF!</v>
      </c>
      <c r="J123" t="e">
        <f>AND(Bills!#REF!,"AAAAAD/9/Qk=")</f>
        <v>#REF!</v>
      </c>
      <c r="K123" t="e">
        <f>AND(Bills!#REF!,"AAAAAD/9/Qo=")</f>
        <v>#REF!</v>
      </c>
      <c r="L123" t="e">
        <f>AND(Bills!Y383,"AAAAAD/9/Qs=")</f>
        <v>#VALUE!</v>
      </c>
      <c r="M123" t="e">
        <f>AND(Bills!Z383,"AAAAAD/9/Qw=")</f>
        <v>#VALUE!</v>
      </c>
      <c r="N123" t="e">
        <f>AND(Bills!#REF!,"AAAAAD/9/Q0=")</f>
        <v>#REF!</v>
      </c>
      <c r="O123" t="e">
        <f>AND(Bills!#REF!,"AAAAAD/9/Q4=")</f>
        <v>#REF!</v>
      </c>
      <c r="P123" t="e">
        <f>AND(Bills!#REF!,"AAAAAD/9/Q8=")</f>
        <v>#REF!</v>
      </c>
      <c r="Q123" t="e">
        <f>AND(Bills!AA383,"AAAAAD/9/RA=")</f>
        <v>#VALUE!</v>
      </c>
      <c r="R123" t="e">
        <f>AND(Bills!AB383,"AAAAAD/9/RE=")</f>
        <v>#VALUE!</v>
      </c>
      <c r="S123" t="e">
        <f>AND(Bills!#REF!,"AAAAAD/9/RI=")</f>
        <v>#REF!</v>
      </c>
      <c r="T123">
        <f>IF(Bills!384:384,"AAAAAD/9/RM=",0)</f>
        <v>0</v>
      </c>
      <c r="U123" t="e">
        <f>AND(Bills!B384,"AAAAAD/9/RQ=")</f>
        <v>#VALUE!</v>
      </c>
      <c r="V123" t="e">
        <f>AND(Bills!#REF!,"AAAAAD/9/RU=")</f>
        <v>#REF!</v>
      </c>
      <c r="W123" t="e">
        <f>AND(Bills!C384,"AAAAAD/9/RY=")</f>
        <v>#VALUE!</v>
      </c>
      <c r="X123" t="e">
        <f>AND(Bills!#REF!,"AAAAAD/9/Rc=")</f>
        <v>#REF!</v>
      </c>
      <c r="Y123" t="e">
        <f>AND(Bills!#REF!,"AAAAAD/9/Rg=")</f>
        <v>#REF!</v>
      </c>
      <c r="Z123" t="e">
        <f>AND(Bills!#REF!,"AAAAAD/9/Rk=")</f>
        <v>#REF!</v>
      </c>
      <c r="AA123" t="e">
        <f>AND(Bills!#REF!,"AAAAAD/9/Ro=")</f>
        <v>#REF!</v>
      </c>
      <c r="AB123" t="e">
        <f>AND(Bills!#REF!,"AAAAAD/9/Rs=")</f>
        <v>#REF!</v>
      </c>
      <c r="AC123" t="e">
        <f>AND(Bills!D384,"AAAAAD/9/Rw=")</f>
        <v>#VALUE!</v>
      </c>
      <c r="AD123" t="e">
        <f>AND(Bills!#REF!,"AAAAAD/9/R0=")</f>
        <v>#REF!</v>
      </c>
      <c r="AE123" t="e">
        <f>AND(Bills!E384,"AAAAAD/9/R4=")</f>
        <v>#VALUE!</v>
      </c>
      <c r="AF123" t="e">
        <f>AND(Bills!F384,"AAAAAD/9/R8=")</f>
        <v>#VALUE!</v>
      </c>
      <c r="AG123" t="e">
        <f>AND(Bills!G384,"AAAAAD/9/SA=")</f>
        <v>#VALUE!</v>
      </c>
      <c r="AH123" t="e">
        <f>AND(Bills!H384,"AAAAAD/9/SE=")</f>
        <v>#VALUE!</v>
      </c>
      <c r="AI123" t="e">
        <f>AND(Bills!I384,"AAAAAD/9/SI=")</f>
        <v>#VALUE!</v>
      </c>
      <c r="AJ123" t="e">
        <f>AND(Bills!J384,"AAAAAD/9/SM=")</f>
        <v>#VALUE!</v>
      </c>
      <c r="AK123" t="e">
        <f>AND(Bills!#REF!,"AAAAAD/9/SQ=")</f>
        <v>#REF!</v>
      </c>
      <c r="AL123" t="e">
        <f>AND(Bills!K384,"AAAAAD/9/SU=")</f>
        <v>#VALUE!</v>
      </c>
      <c r="AM123" t="e">
        <f>AND(Bills!L384,"AAAAAD/9/SY=")</f>
        <v>#VALUE!</v>
      </c>
      <c r="AN123" t="e">
        <f>AND(Bills!M384,"AAAAAD/9/Sc=")</f>
        <v>#VALUE!</v>
      </c>
      <c r="AO123" t="e">
        <f>AND(Bills!N384,"AAAAAD/9/Sg=")</f>
        <v>#VALUE!</v>
      </c>
      <c r="AP123" t="e">
        <f>AND(Bills!O384,"AAAAAD/9/Sk=")</f>
        <v>#VALUE!</v>
      </c>
      <c r="AQ123" t="e">
        <f>AND(Bills!P384,"AAAAAD/9/So=")</f>
        <v>#VALUE!</v>
      </c>
      <c r="AR123" t="e">
        <f>AND(Bills!Q384,"AAAAAD/9/Ss=")</f>
        <v>#VALUE!</v>
      </c>
      <c r="AS123" t="e">
        <f>AND(Bills!R384,"AAAAAD/9/Sw=")</f>
        <v>#VALUE!</v>
      </c>
      <c r="AT123" t="e">
        <f>AND(Bills!#REF!,"AAAAAD/9/S0=")</f>
        <v>#REF!</v>
      </c>
      <c r="AU123" t="e">
        <f>AND(Bills!S384,"AAAAAD/9/S4=")</f>
        <v>#VALUE!</v>
      </c>
      <c r="AV123" t="e">
        <f>AND(Bills!T384,"AAAAAD/9/S8=")</f>
        <v>#VALUE!</v>
      </c>
      <c r="AW123" t="e">
        <f>AND(Bills!U384,"AAAAAD/9/TA=")</f>
        <v>#VALUE!</v>
      </c>
      <c r="AX123" t="e">
        <f>AND(Bills!#REF!,"AAAAAD/9/TE=")</f>
        <v>#REF!</v>
      </c>
      <c r="AY123" t="e">
        <f>AND(Bills!#REF!,"AAAAAD/9/TI=")</f>
        <v>#REF!</v>
      </c>
      <c r="AZ123" t="e">
        <f>AND(Bills!W384,"AAAAAD/9/TM=")</f>
        <v>#VALUE!</v>
      </c>
      <c r="BA123" t="e">
        <f>AND(Bills!X384,"AAAAAD/9/TQ=")</f>
        <v>#VALUE!</v>
      </c>
      <c r="BB123" t="e">
        <f>AND(Bills!#REF!,"AAAAAD/9/TU=")</f>
        <v>#REF!</v>
      </c>
      <c r="BC123" t="e">
        <f>AND(Bills!#REF!,"AAAAAD/9/TY=")</f>
        <v>#REF!</v>
      </c>
      <c r="BD123" t="e">
        <f>AND(Bills!#REF!,"AAAAAD/9/Tc=")</f>
        <v>#REF!</v>
      </c>
      <c r="BE123" t="e">
        <f>AND(Bills!#REF!,"AAAAAD/9/Tg=")</f>
        <v>#REF!</v>
      </c>
      <c r="BF123" t="e">
        <f>AND(Bills!#REF!,"AAAAAD/9/Tk=")</f>
        <v>#REF!</v>
      </c>
      <c r="BG123" t="e">
        <f>AND(Bills!#REF!,"AAAAAD/9/To=")</f>
        <v>#REF!</v>
      </c>
      <c r="BH123" t="e">
        <f>AND(Bills!#REF!,"AAAAAD/9/Ts=")</f>
        <v>#REF!</v>
      </c>
      <c r="BI123" t="e">
        <f>AND(Bills!#REF!,"AAAAAD/9/Tw=")</f>
        <v>#REF!</v>
      </c>
      <c r="BJ123" t="e">
        <f>AND(Bills!#REF!,"AAAAAD/9/T0=")</f>
        <v>#REF!</v>
      </c>
      <c r="BK123" t="e">
        <f>AND(Bills!Y384,"AAAAAD/9/T4=")</f>
        <v>#VALUE!</v>
      </c>
      <c r="BL123" t="e">
        <f>AND(Bills!Z384,"AAAAAD/9/T8=")</f>
        <v>#VALUE!</v>
      </c>
      <c r="BM123" t="e">
        <f>AND(Bills!#REF!,"AAAAAD/9/UA=")</f>
        <v>#REF!</v>
      </c>
      <c r="BN123" t="e">
        <f>AND(Bills!#REF!,"AAAAAD/9/UE=")</f>
        <v>#REF!</v>
      </c>
      <c r="BO123" t="e">
        <f>AND(Bills!#REF!,"AAAAAD/9/UI=")</f>
        <v>#REF!</v>
      </c>
      <c r="BP123" t="e">
        <f>AND(Bills!AA384,"AAAAAD/9/UM=")</f>
        <v>#VALUE!</v>
      </c>
      <c r="BQ123" t="e">
        <f>AND(Bills!AB384,"AAAAAD/9/UQ=")</f>
        <v>#VALUE!</v>
      </c>
      <c r="BR123" t="e">
        <f>AND(Bills!#REF!,"AAAAAD/9/UU=")</f>
        <v>#REF!</v>
      </c>
      <c r="BS123">
        <f>IF(Bills!385:385,"AAAAAD/9/UY=",0)</f>
        <v>0</v>
      </c>
      <c r="BT123" t="e">
        <f>AND(Bills!B385,"AAAAAD/9/Uc=")</f>
        <v>#VALUE!</v>
      </c>
      <c r="BU123" t="e">
        <f>AND(Bills!#REF!,"AAAAAD/9/Ug=")</f>
        <v>#REF!</v>
      </c>
      <c r="BV123" t="e">
        <f>AND(Bills!C385,"AAAAAD/9/Uk=")</f>
        <v>#VALUE!</v>
      </c>
      <c r="BW123" t="e">
        <f>AND(Bills!#REF!,"AAAAAD/9/Uo=")</f>
        <v>#REF!</v>
      </c>
      <c r="BX123" t="e">
        <f>AND(Bills!#REF!,"AAAAAD/9/Us=")</f>
        <v>#REF!</v>
      </c>
      <c r="BY123" t="e">
        <f>AND(Bills!#REF!,"AAAAAD/9/Uw=")</f>
        <v>#REF!</v>
      </c>
      <c r="BZ123" t="e">
        <f>AND(Bills!#REF!,"AAAAAD/9/U0=")</f>
        <v>#REF!</v>
      </c>
      <c r="CA123" t="e">
        <f>AND(Bills!#REF!,"AAAAAD/9/U4=")</f>
        <v>#REF!</v>
      </c>
      <c r="CB123" t="e">
        <f>AND(Bills!D385,"AAAAAD/9/U8=")</f>
        <v>#VALUE!</v>
      </c>
      <c r="CC123" t="e">
        <f>AND(Bills!#REF!,"AAAAAD/9/VA=")</f>
        <v>#REF!</v>
      </c>
      <c r="CD123" t="e">
        <f>AND(Bills!E385,"AAAAAD/9/VE=")</f>
        <v>#VALUE!</v>
      </c>
      <c r="CE123" t="e">
        <f>AND(Bills!F385,"AAAAAD/9/VI=")</f>
        <v>#VALUE!</v>
      </c>
      <c r="CF123" t="e">
        <f>AND(Bills!G385,"AAAAAD/9/VM=")</f>
        <v>#VALUE!</v>
      </c>
      <c r="CG123" t="e">
        <f>AND(Bills!H385,"AAAAAD/9/VQ=")</f>
        <v>#VALUE!</v>
      </c>
      <c r="CH123" t="e">
        <f>AND(Bills!I385,"AAAAAD/9/VU=")</f>
        <v>#VALUE!</v>
      </c>
      <c r="CI123" t="e">
        <f>AND(Bills!J385,"AAAAAD/9/VY=")</f>
        <v>#VALUE!</v>
      </c>
      <c r="CJ123" t="e">
        <f>AND(Bills!#REF!,"AAAAAD/9/Vc=")</f>
        <v>#REF!</v>
      </c>
      <c r="CK123" t="e">
        <f>AND(Bills!K385,"AAAAAD/9/Vg=")</f>
        <v>#VALUE!</v>
      </c>
      <c r="CL123" t="e">
        <f>AND(Bills!L385,"AAAAAD/9/Vk=")</f>
        <v>#VALUE!</v>
      </c>
      <c r="CM123" t="e">
        <f>AND(Bills!M385,"AAAAAD/9/Vo=")</f>
        <v>#VALUE!</v>
      </c>
      <c r="CN123" t="e">
        <f>AND(Bills!N385,"AAAAAD/9/Vs=")</f>
        <v>#VALUE!</v>
      </c>
      <c r="CO123" t="e">
        <f>AND(Bills!O385,"AAAAAD/9/Vw=")</f>
        <v>#VALUE!</v>
      </c>
      <c r="CP123" t="e">
        <f>AND(Bills!P385,"AAAAAD/9/V0=")</f>
        <v>#VALUE!</v>
      </c>
      <c r="CQ123" t="e">
        <f>AND(Bills!Q385,"AAAAAD/9/V4=")</f>
        <v>#VALUE!</v>
      </c>
      <c r="CR123" t="e">
        <f>AND(Bills!R385,"AAAAAD/9/V8=")</f>
        <v>#VALUE!</v>
      </c>
      <c r="CS123" t="e">
        <f>AND(Bills!#REF!,"AAAAAD/9/WA=")</f>
        <v>#REF!</v>
      </c>
      <c r="CT123" t="e">
        <f>AND(Bills!S385,"AAAAAD/9/WE=")</f>
        <v>#VALUE!</v>
      </c>
      <c r="CU123" t="e">
        <f>AND(Bills!T385,"AAAAAD/9/WI=")</f>
        <v>#VALUE!</v>
      </c>
      <c r="CV123" t="e">
        <f>AND(Bills!U385,"AAAAAD/9/WM=")</f>
        <v>#VALUE!</v>
      </c>
      <c r="CW123" t="e">
        <f>AND(Bills!#REF!,"AAAAAD/9/WQ=")</f>
        <v>#REF!</v>
      </c>
      <c r="CX123" t="e">
        <f>AND(Bills!#REF!,"AAAAAD/9/WU=")</f>
        <v>#REF!</v>
      </c>
      <c r="CY123" t="e">
        <f>AND(Bills!W385,"AAAAAD/9/WY=")</f>
        <v>#VALUE!</v>
      </c>
      <c r="CZ123" t="e">
        <f>AND(Bills!X385,"AAAAAD/9/Wc=")</f>
        <v>#VALUE!</v>
      </c>
      <c r="DA123" t="e">
        <f>AND(Bills!#REF!,"AAAAAD/9/Wg=")</f>
        <v>#REF!</v>
      </c>
      <c r="DB123" t="e">
        <f>AND(Bills!#REF!,"AAAAAD/9/Wk=")</f>
        <v>#REF!</v>
      </c>
      <c r="DC123" t="e">
        <f>AND(Bills!#REF!,"AAAAAD/9/Wo=")</f>
        <v>#REF!</v>
      </c>
      <c r="DD123" t="e">
        <f>AND(Bills!#REF!,"AAAAAD/9/Ws=")</f>
        <v>#REF!</v>
      </c>
      <c r="DE123" t="e">
        <f>AND(Bills!#REF!,"AAAAAD/9/Ww=")</f>
        <v>#REF!</v>
      </c>
      <c r="DF123" t="e">
        <f>AND(Bills!#REF!,"AAAAAD/9/W0=")</f>
        <v>#REF!</v>
      </c>
      <c r="DG123" t="e">
        <f>AND(Bills!#REF!,"AAAAAD/9/W4=")</f>
        <v>#REF!</v>
      </c>
      <c r="DH123" t="e">
        <f>AND(Bills!#REF!,"AAAAAD/9/W8=")</f>
        <v>#REF!</v>
      </c>
      <c r="DI123" t="e">
        <f>AND(Bills!#REF!,"AAAAAD/9/XA=")</f>
        <v>#REF!</v>
      </c>
      <c r="DJ123" t="e">
        <f>AND(Bills!Y385,"AAAAAD/9/XE=")</f>
        <v>#VALUE!</v>
      </c>
      <c r="DK123" t="e">
        <f>AND(Bills!Z385,"AAAAAD/9/XI=")</f>
        <v>#VALUE!</v>
      </c>
      <c r="DL123" t="e">
        <f>AND(Bills!#REF!,"AAAAAD/9/XM=")</f>
        <v>#REF!</v>
      </c>
      <c r="DM123" t="e">
        <f>AND(Bills!#REF!,"AAAAAD/9/XQ=")</f>
        <v>#REF!</v>
      </c>
      <c r="DN123" t="e">
        <f>AND(Bills!#REF!,"AAAAAD/9/XU=")</f>
        <v>#REF!</v>
      </c>
      <c r="DO123" t="e">
        <f>AND(Bills!AA385,"AAAAAD/9/XY=")</f>
        <v>#VALUE!</v>
      </c>
      <c r="DP123" t="e">
        <f>AND(Bills!AB385,"AAAAAD/9/Xc=")</f>
        <v>#VALUE!</v>
      </c>
      <c r="DQ123" t="e">
        <f>AND(Bills!#REF!,"AAAAAD/9/Xg=")</f>
        <v>#REF!</v>
      </c>
      <c r="DR123">
        <f>IF(Bills!386:386,"AAAAAD/9/Xk=",0)</f>
        <v>0</v>
      </c>
      <c r="DS123" t="e">
        <f>AND(Bills!B386,"AAAAAD/9/Xo=")</f>
        <v>#VALUE!</v>
      </c>
      <c r="DT123" t="e">
        <f>AND(Bills!#REF!,"AAAAAD/9/Xs=")</f>
        <v>#REF!</v>
      </c>
      <c r="DU123" t="e">
        <f>AND(Bills!C386,"AAAAAD/9/Xw=")</f>
        <v>#VALUE!</v>
      </c>
      <c r="DV123" t="e">
        <f>AND(Bills!#REF!,"AAAAAD/9/X0=")</f>
        <v>#REF!</v>
      </c>
      <c r="DW123" t="e">
        <f>AND(Bills!#REF!,"AAAAAD/9/X4=")</f>
        <v>#REF!</v>
      </c>
      <c r="DX123" t="e">
        <f>AND(Bills!#REF!,"AAAAAD/9/X8=")</f>
        <v>#REF!</v>
      </c>
      <c r="DY123" t="e">
        <f>AND(Bills!#REF!,"AAAAAD/9/YA=")</f>
        <v>#REF!</v>
      </c>
      <c r="DZ123" t="e">
        <f>AND(Bills!#REF!,"AAAAAD/9/YE=")</f>
        <v>#REF!</v>
      </c>
      <c r="EA123" t="e">
        <f>AND(Bills!D386,"AAAAAD/9/YI=")</f>
        <v>#VALUE!</v>
      </c>
      <c r="EB123" t="e">
        <f>AND(Bills!#REF!,"AAAAAD/9/YM=")</f>
        <v>#REF!</v>
      </c>
      <c r="EC123" t="e">
        <f>AND(Bills!E386,"AAAAAD/9/YQ=")</f>
        <v>#VALUE!</v>
      </c>
      <c r="ED123" t="e">
        <f>AND(Bills!F386,"AAAAAD/9/YU=")</f>
        <v>#VALUE!</v>
      </c>
      <c r="EE123" t="e">
        <f>AND(Bills!G386,"AAAAAD/9/YY=")</f>
        <v>#VALUE!</v>
      </c>
      <c r="EF123" t="e">
        <f>AND(Bills!H386,"AAAAAD/9/Yc=")</f>
        <v>#VALUE!</v>
      </c>
      <c r="EG123" t="e">
        <f>AND(Bills!I386,"AAAAAD/9/Yg=")</f>
        <v>#VALUE!</v>
      </c>
      <c r="EH123" t="e">
        <f>AND(Bills!J386,"AAAAAD/9/Yk=")</f>
        <v>#VALUE!</v>
      </c>
      <c r="EI123" t="e">
        <f>AND(Bills!#REF!,"AAAAAD/9/Yo=")</f>
        <v>#REF!</v>
      </c>
      <c r="EJ123" t="e">
        <f>AND(Bills!K386,"AAAAAD/9/Ys=")</f>
        <v>#VALUE!</v>
      </c>
      <c r="EK123" t="e">
        <f>AND(Bills!L386,"AAAAAD/9/Yw=")</f>
        <v>#VALUE!</v>
      </c>
      <c r="EL123" t="e">
        <f>AND(Bills!M386,"AAAAAD/9/Y0=")</f>
        <v>#VALUE!</v>
      </c>
      <c r="EM123" t="e">
        <f>AND(Bills!N386,"AAAAAD/9/Y4=")</f>
        <v>#VALUE!</v>
      </c>
      <c r="EN123" t="e">
        <f>AND(Bills!O386,"AAAAAD/9/Y8=")</f>
        <v>#VALUE!</v>
      </c>
      <c r="EO123" t="e">
        <f>AND(Bills!P386,"AAAAAD/9/ZA=")</f>
        <v>#VALUE!</v>
      </c>
      <c r="EP123" t="e">
        <f>AND(Bills!Q386,"AAAAAD/9/ZE=")</f>
        <v>#VALUE!</v>
      </c>
      <c r="EQ123" t="e">
        <f>AND(Bills!R386,"AAAAAD/9/ZI=")</f>
        <v>#VALUE!</v>
      </c>
      <c r="ER123" t="e">
        <f>AND(Bills!#REF!,"AAAAAD/9/ZM=")</f>
        <v>#REF!</v>
      </c>
      <c r="ES123" t="e">
        <f>AND(Bills!S386,"AAAAAD/9/ZQ=")</f>
        <v>#VALUE!</v>
      </c>
      <c r="ET123" t="e">
        <f>AND(Bills!T386,"AAAAAD/9/ZU=")</f>
        <v>#VALUE!</v>
      </c>
      <c r="EU123" t="e">
        <f>AND(Bills!U386,"AAAAAD/9/ZY=")</f>
        <v>#VALUE!</v>
      </c>
      <c r="EV123" t="e">
        <f>AND(Bills!#REF!,"AAAAAD/9/Zc=")</f>
        <v>#REF!</v>
      </c>
      <c r="EW123" t="e">
        <f>AND(Bills!#REF!,"AAAAAD/9/Zg=")</f>
        <v>#REF!</v>
      </c>
      <c r="EX123" t="e">
        <f>AND(Bills!W386,"AAAAAD/9/Zk=")</f>
        <v>#VALUE!</v>
      </c>
      <c r="EY123" t="e">
        <f>AND(Bills!X386,"AAAAAD/9/Zo=")</f>
        <v>#VALUE!</v>
      </c>
      <c r="EZ123" t="e">
        <f>AND(Bills!#REF!,"AAAAAD/9/Zs=")</f>
        <v>#REF!</v>
      </c>
      <c r="FA123" t="e">
        <f>AND(Bills!#REF!,"AAAAAD/9/Zw=")</f>
        <v>#REF!</v>
      </c>
      <c r="FB123" t="e">
        <f>AND(Bills!#REF!,"AAAAAD/9/Z0=")</f>
        <v>#REF!</v>
      </c>
      <c r="FC123" t="e">
        <f>AND(Bills!#REF!,"AAAAAD/9/Z4=")</f>
        <v>#REF!</v>
      </c>
      <c r="FD123" t="e">
        <f>AND(Bills!#REF!,"AAAAAD/9/Z8=")</f>
        <v>#REF!</v>
      </c>
      <c r="FE123" t="e">
        <f>AND(Bills!#REF!,"AAAAAD/9/aA=")</f>
        <v>#REF!</v>
      </c>
      <c r="FF123" t="e">
        <f>AND(Bills!#REF!,"AAAAAD/9/aE=")</f>
        <v>#REF!</v>
      </c>
      <c r="FG123" t="e">
        <f>AND(Bills!#REF!,"AAAAAD/9/aI=")</f>
        <v>#REF!</v>
      </c>
      <c r="FH123" t="e">
        <f>AND(Bills!#REF!,"AAAAAD/9/aM=")</f>
        <v>#REF!</v>
      </c>
      <c r="FI123" t="e">
        <f>AND(Bills!Y386,"AAAAAD/9/aQ=")</f>
        <v>#VALUE!</v>
      </c>
      <c r="FJ123" t="e">
        <f>AND(Bills!Z386,"AAAAAD/9/aU=")</f>
        <v>#VALUE!</v>
      </c>
      <c r="FK123" t="e">
        <f>AND(Bills!#REF!,"AAAAAD/9/aY=")</f>
        <v>#REF!</v>
      </c>
      <c r="FL123" t="e">
        <f>AND(Bills!#REF!,"AAAAAD/9/ac=")</f>
        <v>#REF!</v>
      </c>
      <c r="FM123" t="e">
        <f>AND(Bills!#REF!,"AAAAAD/9/ag=")</f>
        <v>#REF!</v>
      </c>
      <c r="FN123" t="e">
        <f>AND(Bills!AA386,"AAAAAD/9/ak=")</f>
        <v>#VALUE!</v>
      </c>
      <c r="FO123" t="e">
        <f>AND(Bills!AB386,"AAAAAD/9/ao=")</f>
        <v>#VALUE!</v>
      </c>
      <c r="FP123" t="e">
        <f>AND(Bills!#REF!,"AAAAAD/9/as=")</f>
        <v>#REF!</v>
      </c>
      <c r="FQ123">
        <f>IF(Bills!387:387,"AAAAAD/9/aw=",0)</f>
        <v>0</v>
      </c>
      <c r="FR123" t="e">
        <f>AND(Bills!B387,"AAAAAD/9/a0=")</f>
        <v>#VALUE!</v>
      </c>
      <c r="FS123" t="e">
        <f>AND(Bills!#REF!,"AAAAAD/9/a4=")</f>
        <v>#REF!</v>
      </c>
      <c r="FT123" t="e">
        <f>AND(Bills!C387,"AAAAAD/9/a8=")</f>
        <v>#VALUE!</v>
      </c>
      <c r="FU123" t="e">
        <f>AND(Bills!#REF!,"AAAAAD/9/bA=")</f>
        <v>#REF!</v>
      </c>
      <c r="FV123" t="e">
        <f>AND(Bills!#REF!,"AAAAAD/9/bE=")</f>
        <v>#REF!</v>
      </c>
      <c r="FW123" t="e">
        <f>AND(Bills!#REF!,"AAAAAD/9/bI=")</f>
        <v>#REF!</v>
      </c>
      <c r="FX123" t="e">
        <f>AND(Bills!#REF!,"AAAAAD/9/bM=")</f>
        <v>#REF!</v>
      </c>
      <c r="FY123" t="e">
        <f>AND(Bills!#REF!,"AAAAAD/9/bQ=")</f>
        <v>#REF!</v>
      </c>
      <c r="FZ123" t="e">
        <f>AND(Bills!D387,"AAAAAD/9/bU=")</f>
        <v>#VALUE!</v>
      </c>
      <c r="GA123" t="e">
        <f>AND(Bills!#REF!,"AAAAAD/9/bY=")</f>
        <v>#REF!</v>
      </c>
      <c r="GB123" t="e">
        <f>AND(Bills!E387,"AAAAAD/9/bc=")</f>
        <v>#VALUE!</v>
      </c>
      <c r="GC123" t="e">
        <f>AND(Bills!F387,"AAAAAD/9/bg=")</f>
        <v>#VALUE!</v>
      </c>
      <c r="GD123" t="e">
        <f>AND(Bills!G387,"AAAAAD/9/bk=")</f>
        <v>#VALUE!</v>
      </c>
      <c r="GE123" t="e">
        <f>AND(Bills!H387,"AAAAAD/9/bo=")</f>
        <v>#VALUE!</v>
      </c>
      <c r="GF123" t="e">
        <f>AND(Bills!I387,"AAAAAD/9/bs=")</f>
        <v>#VALUE!</v>
      </c>
      <c r="GG123" t="e">
        <f>AND(Bills!J387,"AAAAAD/9/bw=")</f>
        <v>#VALUE!</v>
      </c>
      <c r="GH123" t="e">
        <f>AND(Bills!#REF!,"AAAAAD/9/b0=")</f>
        <v>#REF!</v>
      </c>
      <c r="GI123" t="e">
        <f>AND(Bills!K387,"AAAAAD/9/b4=")</f>
        <v>#VALUE!</v>
      </c>
      <c r="GJ123" t="e">
        <f>AND(Bills!L387,"AAAAAD/9/b8=")</f>
        <v>#VALUE!</v>
      </c>
      <c r="GK123" t="e">
        <f>AND(Bills!M387,"AAAAAD/9/cA=")</f>
        <v>#VALUE!</v>
      </c>
      <c r="GL123" t="e">
        <f>AND(Bills!N387,"AAAAAD/9/cE=")</f>
        <v>#VALUE!</v>
      </c>
      <c r="GM123" t="e">
        <f>AND(Bills!O387,"AAAAAD/9/cI=")</f>
        <v>#VALUE!</v>
      </c>
      <c r="GN123" t="e">
        <f>AND(Bills!P387,"AAAAAD/9/cM=")</f>
        <v>#VALUE!</v>
      </c>
      <c r="GO123" t="e">
        <f>AND(Bills!Q387,"AAAAAD/9/cQ=")</f>
        <v>#VALUE!</v>
      </c>
      <c r="GP123" t="e">
        <f>AND(Bills!R387,"AAAAAD/9/cU=")</f>
        <v>#VALUE!</v>
      </c>
      <c r="GQ123" t="e">
        <f>AND(Bills!#REF!,"AAAAAD/9/cY=")</f>
        <v>#REF!</v>
      </c>
      <c r="GR123" t="e">
        <f>AND(Bills!S387,"AAAAAD/9/cc=")</f>
        <v>#VALUE!</v>
      </c>
      <c r="GS123" t="e">
        <f>AND(Bills!T387,"AAAAAD/9/cg=")</f>
        <v>#VALUE!</v>
      </c>
      <c r="GT123" t="e">
        <f>AND(Bills!U387,"AAAAAD/9/ck=")</f>
        <v>#VALUE!</v>
      </c>
      <c r="GU123" t="e">
        <f>AND(Bills!#REF!,"AAAAAD/9/co=")</f>
        <v>#REF!</v>
      </c>
      <c r="GV123" t="e">
        <f>AND(Bills!#REF!,"AAAAAD/9/cs=")</f>
        <v>#REF!</v>
      </c>
      <c r="GW123" t="e">
        <f>AND(Bills!W387,"AAAAAD/9/cw=")</f>
        <v>#VALUE!</v>
      </c>
      <c r="GX123" t="e">
        <f>AND(Bills!X387,"AAAAAD/9/c0=")</f>
        <v>#VALUE!</v>
      </c>
      <c r="GY123" t="e">
        <f>AND(Bills!#REF!,"AAAAAD/9/c4=")</f>
        <v>#REF!</v>
      </c>
      <c r="GZ123" t="e">
        <f>AND(Bills!#REF!,"AAAAAD/9/c8=")</f>
        <v>#REF!</v>
      </c>
      <c r="HA123" t="e">
        <f>AND(Bills!#REF!,"AAAAAD/9/dA=")</f>
        <v>#REF!</v>
      </c>
      <c r="HB123" t="e">
        <f>AND(Bills!#REF!,"AAAAAD/9/dE=")</f>
        <v>#REF!</v>
      </c>
      <c r="HC123" t="e">
        <f>AND(Bills!#REF!,"AAAAAD/9/dI=")</f>
        <v>#REF!</v>
      </c>
      <c r="HD123" t="e">
        <f>AND(Bills!#REF!,"AAAAAD/9/dM=")</f>
        <v>#REF!</v>
      </c>
      <c r="HE123" t="e">
        <f>AND(Bills!#REF!,"AAAAAD/9/dQ=")</f>
        <v>#REF!</v>
      </c>
      <c r="HF123" t="e">
        <f>AND(Bills!#REF!,"AAAAAD/9/dU=")</f>
        <v>#REF!</v>
      </c>
      <c r="HG123" t="e">
        <f>AND(Bills!#REF!,"AAAAAD/9/dY=")</f>
        <v>#REF!</v>
      </c>
      <c r="HH123" t="e">
        <f>AND(Bills!Y387,"AAAAAD/9/dc=")</f>
        <v>#VALUE!</v>
      </c>
      <c r="HI123" t="e">
        <f>AND(Bills!Z387,"AAAAAD/9/dg=")</f>
        <v>#VALUE!</v>
      </c>
      <c r="HJ123" t="e">
        <f>AND(Bills!#REF!,"AAAAAD/9/dk=")</f>
        <v>#REF!</v>
      </c>
      <c r="HK123" t="e">
        <f>AND(Bills!#REF!,"AAAAAD/9/do=")</f>
        <v>#REF!</v>
      </c>
      <c r="HL123" t="e">
        <f>AND(Bills!#REF!,"AAAAAD/9/ds=")</f>
        <v>#REF!</v>
      </c>
      <c r="HM123" t="e">
        <f>AND(Bills!AA387,"AAAAAD/9/dw=")</f>
        <v>#VALUE!</v>
      </c>
      <c r="HN123" t="e">
        <f>AND(Bills!AB387,"AAAAAD/9/d0=")</f>
        <v>#VALUE!</v>
      </c>
      <c r="HO123" t="e">
        <f>AND(Bills!#REF!,"AAAAAD/9/d4=")</f>
        <v>#REF!</v>
      </c>
      <c r="HP123">
        <f>IF(Bills!388:388,"AAAAAD/9/d8=",0)</f>
        <v>0</v>
      </c>
      <c r="HQ123" t="e">
        <f>AND(Bills!B388,"AAAAAD/9/eA=")</f>
        <v>#VALUE!</v>
      </c>
      <c r="HR123" t="e">
        <f>AND(Bills!#REF!,"AAAAAD/9/eE=")</f>
        <v>#REF!</v>
      </c>
      <c r="HS123" t="e">
        <f>AND(Bills!C388,"AAAAAD/9/eI=")</f>
        <v>#VALUE!</v>
      </c>
      <c r="HT123" t="e">
        <f>AND(Bills!#REF!,"AAAAAD/9/eM=")</f>
        <v>#REF!</v>
      </c>
      <c r="HU123" t="e">
        <f>AND(Bills!#REF!,"AAAAAD/9/eQ=")</f>
        <v>#REF!</v>
      </c>
      <c r="HV123" t="e">
        <f>AND(Bills!#REF!,"AAAAAD/9/eU=")</f>
        <v>#REF!</v>
      </c>
      <c r="HW123" t="e">
        <f>AND(Bills!#REF!,"AAAAAD/9/eY=")</f>
        <v>#REF!</v>
      </c>
      <c r="HX123" t="e">
        <f>AND(Bills!#REF!,"AAAAAD/9/ec=")</f>
        <v>#REF!</v>
      </c>
      <c r="HY123" t="e">
        <f>AND(Bills!D388,"AAAAAD/9/eg=")</f>
        <v>#VALUE!</v>
      </c>
      <c r="HZ123" t="e">
        <f>AND(Bills!#REF!,"AAAAAD/9/ek=")</f>
        <v>#REF!</v>
      </c>
      <c r="IA123" t="e">
        <f>AND(Bills!E388,"AAAAAD/9/eo=")</f>
        <v>#VALUE!</v>
      </c>
      <c r="IB123" t="e">
        <f>AND(Bills!F388,"AAAAAD/9/es=")</f>
        <v>#VALUE!</v>
      </c>
      <c r="IC123" t="e">
        <f>AND(Bills!G388,"AAAAAD/9/ew=")</f>
        <v>#VALUE!</v>
      </c>
      <c r="ID123" t="e">
        <f>AND(Bills!H388,"AAAAAD/9/e0=")</f>
        <v>#VALUE!</v>
      </c>
      <c r="IE123" t="e">
        <f>AND(Bills!I388,"AAAAAD/9/e4=")</f>
        <v>#VALUE!</v>
      </c>
      <c r="IF123" t="e">
        <f>AND(Bills!J388,"AAAAAD/9/e8=")</f>
        <v>#VALUE!</v>
      </c>
      <c r="IG123" t="e">
        <f>AND(Bills!#REF!,"AAAAAD/9/fA=")</f>
        <v>#REF!</v>
      </c>
      <c r="IH123" t="e">
        <f>AND(Bills!K388,"AAAAAD/9/fE=")</f>
        <v>#VALUE!</v>
      </c>
      <c r="II123" t="e">
        <f>AND(Bills!L388,"AAAAAD/9/fI=")</f>
        <v>#VALUE!</v>
      </c>
      <c r="IJ123" t="e">
        <f>AND(Bills!M388,"AAAAAD/9/fM=")</f>
        <v>#VALUE!</v>
      </c>
      <c r="IK123" t="e">
        <f>AND(Bills!N388,"AAAAAD/9/fQ=")</f>
        <v>#VALUE!</v>
      </c>
      <c r="IL123" t="e">
        <f>AND(Bills!O388,"AAAAAD/9/fU=")</f>
        <v>#VALUE!</v>
      </c>
      <c r="IM123" t="e">
        <f>AND(Bills!P388,"AAAAAD/9/fY=")</f>
        <v>#VALUE!</v>
      </c>
      <c r="IN123" t="e">
        <f>AND(Bills!Q388,"AAAAAD/9/fc=")</f>
        <v>#VALUE!</v>
      </c>
      <c r="IO123" t="e">
        <f>AND(Bills!R388,"AAAAAD/9/fg=")</f>
        <v>#VALUE!</v>
      </c>
      <c r="IP123" t="e">
        <f>AND(Bills!#REF!,"AAAAAD/9/fk=")</f>
        <v>#REF!</v>
      </c>
      <c r="IQ123" t="e">
        <f>AND(Bills!S388,"AAAAAD/9/fo=")</f>
        <v>#VALUE!</v>
      </c>
      <c r="IR123" t="e">
        <f>AND(Bills!T388,"AAAAAD/9/fs=")</f>
        <v>#VALUE!</v>
      </c>
      <c r="IS123" t="e">
        <f>AND(Bills!U388,"AAAAAD/9/fw=")</f>
        <v>#VALUE!</v>
      </c>
      <c r="IT123" t="e">
        <f>AND(Bills!#REF!,"AAAAAD/9/f0=")</f>
        <v>#REF!</v>
      </c>
      <c r="IU123" t="e">
        <f>AND(Bills!#REF!,"AAAAAD/9/f4=")</f>
        <v>#REF!</v>
      </c>
      <c r="IV123" t="e">
        <f>AND(Bills!W388,"AAAAAD/9/f8=")</f>
        <v>#VALUE!</v>
      </c>
    </row>
    <row r="124" spans="1:256">
      <c r="A124" t="e">
        <f>AND(Bills!X388,"AAAAAG/9fgA=")</f>
        <v>#VALUE!</v>
      </c>
      <c r="B124" t="e">
        <f>AND(Bills!#REF!,"AAAAAG/9fgE=")</f>
        <v>#REF!</v>
      </c>
      <c r="C124" t="e">
        <f>AND(Bills!#REF!,"AAAAAG/9fgI=")</f>
        <v>#REF!</v>
      </c>
      <c r="D124" t="e">
        <f>AND(Bills!#REF!,"AAAAAG/9fgM=")</f>
        <v>#REF!</v>
      </c>
      <c r="E124" t="e">
        <f>AND(Bills!#REF!,"AAAAAG/9fgQ=")</f>
        <v>#REF!</v>
      </c>
      <c r="F124" t="e">
        <f>AND(Bills!#REF!,"AAAAAG/9fgU=")</f>
        <v>#REF!</v>
      </c>
      <c r="G124" t="e">
        <f>AND(Bills!#REF!,"AAAAAG/9fgY=")</f>
        <v>#REF!</v>
      </c>
      <c r="H124" t="e">
        <f>AND(Bills!#REF!,"AAAAAG/9fgc=")</f>
        <v>#REF!</v>
      </c>
      <c r="I124" t="e">
        <f>AND(Bills!#REF!,"AAAAAG/9fgg=")</f>
        <v>#REF!</v>
      </c>
      <c r="J124" t="e">
        <f>AND(Bills!#REF!,"AAAAAG/9fgk=")</f>
        <v>#REF!</v>
      </c>
      <c r="K124" t="e">
        <f>AND(Bills!Y388,"AAAAAG/9fgo=")</f>
        <v>#VALUE!</v>
      </c>
      <c r="L124" t="e">
        <f>AND(Bills!Z388,"AAAAAG/9fgs=")</f>
        <v>#VALUE!</v>
      </c>
      <c r="M124" t="e">
        <f>AND(Bills!#REF!,"AAAAAG/9fgw=")</f>
        <v>#REF!</v>
      </c>
      <c r="N124" t="e">
        <f>AND(Bills!#REF!,"AAAAAG/9fg0=")</f>
        <v>#REF!</v>
      </c>
      <c r="O124" t="e">
        <f>AND(Bills!#REF!,"AAAAAG/9fg4=")</f>
        <v>#REF!</v>
      </c>
      <c r="P124" t="e">
        <f>AND(Bills!AA388,"AAAAAG/9fg8=")</f>
        <v>#VALUE!</v>
      </c>
      <c r="Q124" t="e">
        <f>AND(Bills!AB388,"AAAAAG/9fhA=")</f>
        <v>#VALUE!</v>
      </c>
      <c r="R124" t="e">
        <f>AND(Bills!#REF!,"AAAAAG/9fhE=")</f>
        <v>#REF!</v>
      </c>
      <c r="S124">
        <f>IF(Bills!389:389,"AAAAAG/9fhI=",0)</f>
        <v>0</v>
      </c>
      <c r="T124" t="e">
        <f>AND(Bills!B389,"AAAAAG/9fhM=")</f>
        <v>#VALUE!</v>
      </c>
      <c r="U124" t="e">
        <f>AND(Bills!#REF!,"AAAAAG/9fhQ=")</f>
        <v>#REF!</v>
      </c>
      <c r="V124" t="e">
        <f>AND(Bills!C389,"AAAAAG/9fhU=")</f>
        <v>#VALUE!</v>
      </c>
      <c r="W124" t="e">
        <f>AND(Bills!#REF!,"AAAAAG/9fhY=")</f>
        <v>#REF!</v>
      </c>
      <c r="X124" t="e">
        <f>AND(Bills!#REF!,"AAAAAG/9fhc=")</f>
        <v>#REF!</v>
      </c>
      <c r="Y124" t="e">
        <f>AND(Bills!#REF!,"AAAAAG/9fhg=")</f>
        <v>#REF!</v>
      </c>
      <c r="Z124" t="e">
        <f>AND(Bills!#REF!,"AAAAAG/9fhk=")</f>
        <v>#REF!</v>
      </c>
      <c r="AA124" t="e">
        <f>AND(Bills!#REF!,"AAAAAG/9fho=")</f>
        <v>#REF!</v>
      </c>
      <c r="AB124" t="e">
        <f>AND(Bills!D389,"AAAAAG/9fhs=")</f>
        <v>#VALUE!</v>
      </c>
      <c r="AC124" t="e">
        <f>AND(Bills!#REF!,"AAAAAG/9fhw=")</f>
        <v>#REF!</v>
      </c>
      <c r="AD124" t="e">
        <f>AND(Bills!E389,"AAAAAG/9fh0=")</f>
        <v>#VALUE!</v>
      </c>
      <c r="AE124" t="e">
        <f>AND(Bills!F389,"AAAAAG/9fh4=")</f>
        <v>#VALUE!</v>
      </c>
      <c r="AF124" t="e">
        <f>AND(Bills!G389,"AAAAAG/9fh8=")</f>
        <v>#VALUE!</v>
      </c>
      <c r="AG124" t="e">
        <f>AND(Bills!H389,"AAAAAG/9fiA=")</f>
        <v>#VALUE!</v>
      </c>
      <c r="AH124" t="e">
        <f>AND(Bills!I389,"AAAAAG/9fiE=")</f>
        <v>#VALUE!</v>
      </c>
      <c r="AI124" t="e">
        <f>AND(Bills!J389,"AAAAAG/9fiI=")</f>
        <v>#VALUE!</v>
      </c>
      <c r="AJ124" t="e">
        <f>AND(Bills!#REF!,"AAAAAG/9fiM=")</f>
        <v>#REF!</v>
      </c>
      <c r="AK124" t="e">
        <f>AND(Bills!K389,"AAAAAG/9fiQ=")</f>
        <v>#VALUE!</v>
      </c>
      <c r="AL124" t="e">
        <f>AND(Bills!L389,"AAAAAG/9fiU=")</f>
        <v>#VALUE!</v>
      </c>
      <c r="AM124" t="e">
        <f>AND(Bills!M389,"AAAAAG/9fiY=")</f>
        <v>#VALUE!</v>
      </c>
      <c r="AN124" t="e">
        <f>AND(Bills!N389,"AAAAAG/9fic=")</f>
        <v>#VALUE!</v>
      </c>
      <c r="AO124" t="e">
        <f>AND(Bills!O389,"AAAAAG/9fig=")</f>
        <v>#VALUE!</v>
      </c>
      <c r="AP124" t="e">
        <f>AND(Bills!P389,"AAAAAG/9fik=")</f>
        <v>#VALUE!</v>
      </c>
      <c r="AQ124" t="e">
        <f>AND(Bills!Q389,"AAAAAG/9fio=")</f>
        <v>#VALUE!</v>
      </c>
      <c r="AR124" t="e">
        <f>AND(Bills!R389,"AAAAAG/9fis=")</f>
        <v>#VALUE!</v>
      </c>
      <c r="AS124" t="e">
        <f>AND(Bills!#REF!,"AAAAAG/9fiw=")</f>
        <v>#REF!</v>
      </c>
      <c r="AT124" t="e">
        <f>AND(Bills!S389,"AAAAAG/9fi0=")</f>
        <v>#VALUE!</v>
      </c>
      <c r="AU124" t="e">
        <f>AND(Bills!T389,"AAAAAG/9fi4=")</f>
        <v>#VALUE!</v>
      </c>
      <c r="AV124" t="e">
        <f>AND(Bills!U389,"AAAAAG/9fi8=")</f>
        <v>#VALUE!</v>
      </c>
      <c r="AW124" t="e">
        <f>AND(Bills!#REF!,"AAAAAG/9fjA=")</f>
        <v>#REF!</v>
      </c>
      <c r="AX124" t="e">
        <f>AND(Bills!#REF!,"AAAAAG/9fjE=")</f>
        <v>#REF!</v>
      </c>
      <c r="AY124" t="e">
        <f>AND(Bills!W389,"AAAAAG/9fjI=")</f>
        <v>#VALUE!</v>
      </c>
      <c r="AZ124" t="e">
        <f>AND(Bills!X389,"AAAAAG/9fjM=")</f>
        <v>#VALUE!</v>
      </c>
      <c r="BA124" t="e">
        <f>AND(Bills!#REF!,"AAAAAG/9fjQ=")</f>
        <v>#REF!</v>
      </c>
      <c r="BB124" t="e">
        <f>AND(Bills!#REF!,"AAAAAG/9fjU=")</f>
        <v>#REF!</v>
      </c>
      <c r="BC124" t="e">
        <f>AND(Bills!#REF!,"AAAAAG/9fjY=")</f>
        <v>#REF!</v>
      </c>
      <c r="BD124" t="e">
        <f>AND(Bills!#REF!,"AAAAAG/9fjc=")</f>
        <v>#REF!</v>
      </c>
      <c r="BE124" t="e">
        <f>AND(Bills!#REF!,"AAAAAG/9fjg=")</f>
        <v>#REF!</v>
      </c>
      <c r="BF124" t="e">
        <f>AND(Bills!#REF!,"AAAAAG/9fjk=")</f>
        <v>#REF!</v>
      </c>
      <c r="BG124" t="e">
        <f>AND(Bills!#REF!,"AAAAAG/9fjo=")</f>
        <v>#REF!</v>
      </c>
      <c r="BH124" t="e">
        <f>AND(Bills!#REF!,"AAAAAG/9fjs=")</f>
        <v>#REF!</v>
      </c>
      <c r="BI124" t="e">
        <f>AND(Bills!#REF!,"AAAAAG/9fjw=")</f>
        <v>#REF!</v>
      </c>
      <c r="BJ124" t="e">
        <f>AND(Bills!Y389,"AAAAAG/9fj0=")</f>
        <v>#VALUE!</v>
      </c>
      <c r="BK124" t="e">
        <f>AND(Bills!Z389,"AAAAAG/9fj4=")</f>
        <v>#VALUE!</v>
      </c>
      <c r="BL124" t="e">
        <f>AND(Bills!#REF!,"AAAAAG/9fj8=")</f>
        <v>#REF!</v>
      </c>
      <c r="BM124" t="e">
        <f>AND(Bills!#REF!,"AAAAAG/9fkA=")</f>
        <v>#REF!</v>
      </c>
      <c r="BN124" t="e">
        <f>AND(Bills!#REF!,"AAAAAG/9fkE=")</f>
        <v>#REF!</v>
      </c>
      <c r="BO124" t="e">
        <f>AND(Bills!AA389,"AAAAAG/9fkI=")</f>
        <v>#VALUE!</v>
      </c>
      <c r="BP124" t="e">
        <f>AND(Bills!AB389,"AAAAAG/9fkM=")</f>
        <v>#VALUE!</v>
      </c>
      <c r="BQ124" t="e">
        <f>AND(Bills!#REF!,"AAAAAG/9fkQ=")</f>
        <v>#REF!</v>
      </c>
      <c r="BR124">
        <f>IF(Bills!390:390,"AAAAAG/9fkU=",0)</f>
        <v>0</v>
      </c>
      <c r="BS124" t="e">
        <f>AND(Bills!B390,"AAAAAG/9fkY=")</f>
        <v>#VALUE!</v>
      </c>
      <c r="BT124" t="e">
        <f>AND(Bills!#REF!,"AAAAAG/9fkc=")</f>
        <v>#REF!</v>
      </c>
      <c r="BU124" t="e">
        <f>AND(Bills!C390,"AAAAAG/9fkg=")</f>
        <v>#VALUE!</v>
      </c>
      <c r="BV124" t="e">
        <f>AND(Bills!#REF!,"AAAAAG/9fkk=")</f>
        <v>#REF!</v>
      </c>
      <c r="BW124" t="e">
        <f>AND(Bills!#REF!,"AAAAAG/9fko=")</f>
        <v>#REF!</v>
      </c>
      <c r="BX124" t="e">
        <f>AND(Bills!#REF!,"AAAAAG/9fks=")</f>
        <v>#REF!</v>
      </c>
      <c r="BY124" t="e">
        <f>AND(Bills!#REF!,"AAAAAG/9fkw=")</f>
        <v>#REF!</v>
      </c>
      <c r="BZ124" t="e">
        <f>AND(Bills!#REF!,"AAAAAG/9fk0=")</f>
        <v>#REF!</v>
      </c>
      <c r="CA124" t="e">
        <f>AND(Bills!D390,"AAAAAG/9fk4=")</f>
        <v>#VALUE!</v>
      </c>
      <c r="CB124" t="e">
        <f>AND(Bills!#REF!,"AAAAAG/9fk8=")</f>
        <v>#REF!</v>
      </c>
      <c r="CC124" t="e">
        <f>AND(Bills!E390,"AAAAAG/9flA=")</f>
        <v>#VALUE!</v>
      </c>
      <c r="CD124" t="e">
        <f>AND(Bills!F390,"AAAAAG/9flE=")</f>
        <v>#VALUE!</v>
      </c>
      <c r="CE124" t="e">
        <f>AND(Bills!G390,"AAAAAG/9flI=")</f>
        <v>#VALUE!</v>
      </c>
      <c r="CF124" t="e">
        <f>AND(Bills!H390,"AAAAAG/9flM=")</f>
        <v>#VALUE!</v>
      </c>
      <c r="CG124" t="e">
        <f>AND(Bills!I390,"AAAAAG/9flQ=")</f>
        <v>#VALUE!</v>
      </c>
      <c r="CH124" t="e">
        <f>AND(Bills!J390,"AAAAAG/9flU=")</f>
        <v>#VALUE!</v>
      </c>
      <c r="CI124" t="e">
        <f>AND(Bills!#REF!,"AAAAAG/9flY=")</f>
        <v>#REF!</v>
      </c>
      <c r="CJ124" t="e">
        <f>AND(Bills!K390,"AAAAAG/9flc=")</f>
        <v>#VALUE!</v>
      </c>
      <c r="CK124" t="e">
        <f>AND(Bills!L390,"AAAAAG/9flg=")</f>
        <v>#VALUE!</v>
      </c>
      <c r="CL124" t="e">
        <f>AND(Bills!M390,"AAAAAG/9flk=")</f>
        <v>#VALUE!</v>
      </c>
      <c r="CM124" t="e">
        <f>AND(Bills!N390,"AAAAAG/9flo=")</f>
        <v>#VALUE!</v>
      </c>
      <c r="CN124" t="e">
        <f>AND(Bills!O390,"AAAAAG/9fls=")</f>
        <v>#VALUE!</v>
      </c>
      <c r="CO124" t="e">
        <f>AND(Bills!P390,"AAAAAG/9flw=")</f>
        <v>#VALUE!</v>
      </c>
      <c r="CP124" t="e">
        <f>AND(Bills!Q390,"AAAAAG/9fl0=")</f>
        <v>#VALUE!</v>
      </c>
      <c r="CQ124" t="e">
        <f>AND(Bills!R390,"AAAAAG/9fl4=")</f>
        <v>#VALUE!</v>
      </c>
      <c r="CR124" t="e">
        <f>AND(Bills!#REF!,"AAAAAG/9fl8=")</f>
        <v>#REF!</v>
      </c>
      <c r="CS124" t="e">
        <f>AND(Bills!S390,"AAAAAG/9fmA=")</f>
        <v>#VALUE!</v>
      </c>
      <c r="CT124" t="e">
        <f>AND(Bills!T390,"AAAAAG/9fmE=")</f>
        <v>#VALUE!</v>
      </c>
      <c r="CU124" t="e">
        <f>AND(Bills!U390,"AAAAAG/9fmI=")</f>
        <v>#VALUE!</v>
      </c>
      <c r="CV124" t="e">
        <f>AND(Bills!#REF!,"AAAAAG/9fmM=")</f>
        <v>#REF!</v>
      </c>
      <c r="CW124" t="e">
        <f>AND(Bills!#REF!,"AAAAAG/9fmQ=")</f>
        <v>#REF!</v>
      </c>
      <c r="CX124" t="e">
        <f>AND(Bills!W390,"AAAAAG/9fmU=")</f>
        <v>#VALUE!</v>
      </c>
      <c r="CY124" t="e">
        <f>AND(Bills!X390,"AAAAAG/9fmY=")</f>
        <v>#VALUE!</v>
      </c>
      <c r="CZ124" t="e">
        <f>AND(Bills!#REF!,"AAAAAG/9fmc=")</f>
        <v>#REF!</v>
      </c>
      <c r="DA124" t="e">
        <f>AND(Bills!#REF!,"AAAAAG/9fmg=")</f>
        <v>#REF!</v>
      </c>
      <c r="DB124" t="e">
        <f>AND(Bills!#REF!,"AAAAAG/9fmk=")</f>
        <v>#REF!</v>
      </c>
      <c r="DC124" t="e">
        <f>AND(Bills!#REF!,"AAAAAG/9fmo=")</f>
        <v>#REF!</v>
      </c>
      <c r="DD124" t="e">
        <f>AND(Bills!#REF!,"AAAAAG/9fms=")</f>
        <v>#REF!</v>
      </c>
      <c r="DE124" t="e">
        <f>AND(Bills!#REF!,"AAAAAG/9fmw=")</f>
        <v>#REF!</v>
      </c>
      <c r="DF124" t="e">
        <f>AND(Bills!#REF!,"AAAAAG/9fm0=")</f>
        <v>#REF!</v>
      </c>
      <c r="DG124" t="e">
        <f>AND(Bills!#REF!,"AAAAAG/9fm4=")</f>
        <v>#REF!</v>
      </c>
      <c r="DH124" t="e">
        <f>AND(Bills!#REF!,"AAAAAG/9fm8=")</f>
        <v>#REF!</v>
      </c>
      <c r="DI124" t="e">
        <f>AND(Bills!Y390,"AAAAAG/9fnA=")</f>
        <v>#VALUE!</v>
      </c>
      <c r="DJ124" t="e">
        <f>AND(Bills!Z390,"AAAAAG/9fnE=")</f>
        <v>#VALUE!</v>
      </c>
      <c r="DK124" t="e">
        <f>AND(Bills!#REF!,"AAAAAG/9fnI=")</f>
        <v>#REF!</v>
      </c>
      <c r="DL124" t="e">
        <f>AND(Bills!#REF!,"AAAAAG/9fnM=")</f>
        <v>#REF!</v>
      </c>
      <c r="DM124" t="e">
        <f>AND(Bills!#REF!,"AAAAAG/9fnQ=")</f>
        <v>#REF!</v>
      </c>
      <c r="DN124" t="e">
        <f>AND(Bills!AA390,"AAAAAG/9fnU=")</f>
        <v>#VALUE!</v>
      </c>
      <c r="DO124" t="e">
        <f>AND(Bills!AB390,"AAAAAG/9fnY=")</f>
        <v>#VALUE!</v>
      </c>
      <c r="DP124" t="e">
        <f>AND(Bills!#REF!,"AAAAAG/9fnc=")</f>
        <v>#REF!</v>
      </c>
      <c r="DQ124">
        <f>IF(Bills!391:391,"AAAAAG/9fng=",0)</f>
        <v>0</v>
      </c>
      <c r="DR124" t="e">
        <f>AND(Bills!B391,"AAAAAG/9fnk=")</f>
        <v>#VALUE!</v>
      </c>
      <c r="DS124" t="e">
        <f>AND(Bills!#REF!,"AAAAAG/9fno=")</f>
        <v>#REF!</v>
      </c>
      <c r="DT124" t="e">
        <f>AND(Bills!C391,"AAAAAG/9fns=")</f>
        <v>#VALUE!</v>
      </c>
      <c r="DU124" t="e">
        <f>AND(Bills!#REF!,"AAAAAG/9fnw=")</f>
        <v>#REF!</v>
      </c>
      <c r="DV124" t="e">
        <f>AND(Bills!#REF!,"AAAAAG/9fn0=")</f>
        <v>#REF!</v>
      </c>
      <c r="DW124" t="e">
        <f>AND(Bills!#REF!,"AAAAAG/9fn4=")</f>
        <v>#REF!</v>
      </c>
      <c r="DX124" t="e">
        <f>AND(Bills!#REF!,"AAAAAG/9fn8=")</f>
        <v>#REF!</v>
      </c>
      <c r="DY124" t="e">
        <f>AND(Bills!#REF!,"AAAAAG/9foA=")</f>
        <v>#REF!</v>
      </c>
      <c r="DZ124" t="e">
        <f>AND(Bills!D391,"AAAAAG/9foE=")</f>
        <v>#VALUE!</v>
      </c>
      <c r="EA124" t="e">
        <f>AND(Bills!#REF!,"AAAAAG/9foI=")</f>
        <v>#REF!</v>
      </c>
      <c r="EB124" t="e">
        <f>AND(Bills!E391,"AAAAAG/9foM=")</f>
        <v>#VALUE!</v>
      </c>
      <c r="EC124" t="e">
        <f>AND(Bills!F391,"AAAAAG/9foQ=")</f>
        <v>#VALUE!</v>
      </c>
      <c r="ED124" t="e">
        <f>AND(Bills!G391,"AAAAAG/9foU=")</f>
        <v>#VALUE!</v>
      </c>
      <c r="EE124" t="e">
        <f>AND(Bills!H391,"AAAAAG/9foY=")</f>
        <v>#VALUE!</v>
      </c>
      <c r="EF124" t="e">
        <f>AND(Bills!I391,"AAAAAG/9foc=")</f>
        <v>#VALUE!</v>
      </c>
      <c r="EG124" t="e">
        <f>AND(Bills!J391,"AAAAAG/9fog=")</f>
        <v>#VALUE!</v>
      </c>
      <c r="EH124" t="e">
        <f>AND(Bills!#REF!,"AAAAAG/9fok=")</f>
        <v>#REF!</v>
      </c>
      <c r="EI124" t="e">
        <f>AND(Bills!K391,"AAAAAG/9foo=")</f>
        <v>#VALUE!</v>
      </c>
      <c r="EJ124" t="e">
        <f>AND(Bills!L391,"AAAAAG/9fos=")</f>
        <v>#VALUE!</v>
      </c>
      <c r="EK124" t="e">
        <f>AND(Bills!M391,"AAAAAG/9fow=")</f>
        <v>#VALUE!</v>
      </c>
      <c r="EL124" t="e">
        <f>AND(Bills!N391,"AAAAAG/9fo0=")</f>
        <v>#VALUE!</v>
      </c>
      <c r="EM124" t="e">
        <f>AND(Bills!O391,"AAAAAG/9fo4=")</f>
        <v>#VALUE!</v>
      </c>
      <c r="EN124" t="e">
        <f>AND(Bills!P391,"AAAAAG/9fo8=")</f>
        <v>#VALUE!</v>
      </c>
      <c r="EO124" t="e">
        <f>AND(Bills!Q391,"AAAAAG/9fpA=")</f>
        <v>#VALUE!</v>
      </c>
      <c r="EP124" t="e">
        <f>AND(Bills!R391,"AAAAAG/9fpE=")</f>
        <v>#VALUE!</v>
      </c>
      <c r="EQ124" t="e">
        <f>AND(Bills!#REF!,"AAAAAG/9fpI=")</f>
        <v>#REF!</v>
      </c>
      <c r="ER124" t="e">
        <f>AND(Bills!S391,"AAAAAG/9fpM=")</f>
        <v>#VALUE!</v>
      </c>
      <c r="ES124" t="e">
        <f>AND(Bills!T391,"AAAAAG/9fpQ=")</f>
        <v>#VALUE!</v>
      </c>
      <c r="ET124" t="e">
        <f>AND(Bills!U391,"AAAAAG/9fpU=")</f>
        <v>#VALUE!</v>
      </c>
      <c r="EU124" t="e">
        <f>AND(Bills!#REF!,"AAAAAG/9fpY=")</f>
        <v>#REF!</v>
      </c>
      <c r="EV124" t="e">
        <f>AND(Bills!#REF!,"AAAAAG/9fpc=")</f>
        <v>#REF!</v>
      </c>
      <c r="EW124" t="e">
        <f>AND(Bills!W391,"AAAAAG/9fpg=")</f>
        <v>#VALUE!</v>
      </c>
      <c r="EX124" t="e">
        <f>AND(Bills!X391,"AAAAAG/9fpk=")</f>
        <v>#VALUE!</v>
      </c>
      <c r="EY124" t="e">
        <f>AND(Bills!#REF!,"AAAAAG/9fpo=")</f>
        <v>#REF!</v>
      </c>
      <c r="EZ124" t="e">
        <f>AND(Bills!#REF!,"AAAAAG/9fps=")</f>
        <v>#REF!</v>
      </c>
      <c r="FA124" t="e">
        <f>AND(Bills!#REF!,"AAAAAG/9fpw=")</f>
        <v>#REF!</v>
      </c>
      <c r="FB124" t="e">
        <f>AND(Bills!#REF!,"AAAAAG/9fp0=")</f>
        <v>#REF!</v>
      </c>
      <c r="FC124" t="e">
        <f>AND(Bills!#REF!,"AAAAAG/9fp4=")</f>
        <v>#REF!</v>
      </c>
      <c r="FD124" t="e">
        <f>AND(Bills!#REF!,"AAAAAG/9fp8=")</f>
        <v>#REF!</v>
      </c>
      <c r="FE124" t="e">
        <f>AND(Bills!#REF!,"AAAAAG/9fqA=")</f>
        <v>#REF!</v>
      </c>
      <c r="FF124" t="e">
        <f>AND(Bills!#REF!,"AAAAAG/9fqE=")</f>
        <v>#REF!</v>
      </c>
      <c r="FG124" t="e">
        <f>AND(Bills!#REF!,"AAAAAG/9fqI=")</f>
        <v>#REF!</v>
      </c>
      <c r="FH124" t="e">
        <f>AND(Bills!Y391,"AAAAAG/9fqM=")</f>
        <v>#VALUE!</v>
      </c>
      <c r="FI124" t="e">
        <f>AND(Bills!Z391,"AAAAAG/9fqQ=")</f>
        <v>#VALUE!</v>
      </c>
      <c r="FJ124" t="e">
        <f>AND(Bills!#REF!,"AAAAAG/9fqU=")</f>
        <v>#REF!</v>
      </c>
      <c r="FK124" t="e">
        <f>AND(Bills!#REF!,"AAAAAG/9fqY=")</f>
        <v>#REF!</v>
      </c>
      <c r="FL124" t="e">
        <f>AND(Bills!#REF!,"AAAAAG/9fqc=")</f>
        <v>#REF!</v>
      </c>
      <c r="FM124" t="e">
        <f>AND(Bills!AA391,"AAAAAG/9fqg=")</f>
        <v>#VALUE!</v>
      </c>
      <c r="FN124" t="e">
        <f>AND(Bills!AB391,"AAAAAG/9fqk=")</f>
        <v>#VALUE!</v>
      </c>
      <c r="FO124" t="e">
        <f>AND(Bills!#REF!,"AAAAAG/9fqo=")</f>
        <v>#REF!</v>
      </c>
      <c r="FP124">
        <f>IF(Bills!392:392,"AAAAAG/9fqs=",0)</f>
        <v>0</v>
      </c>
      <c r="FQ124" t="e">
        <f>AND(Bills!B392,"AAAAAG/9fqw=")</f>
        <v>#VALUE!</v>
      </c>
      <c r="FR124" t="e">
        <f>AND(Bills!#REF!,"AAAAAG/9fq0=")</f>
        <v>#REF!</v>
      </c>
      <c r="FS124" t="e">
        <f>AND(Bills!C392,"AAAAAG/9fq4=")</f>
        <v>#VALUE!</v>
      </c>
      <c r="FT124" t="e">
        <f>AND(Bills!#REF!,"AAAAAG/9fq8=")</f>
        <v>#REF!</v>
      </c>
      <c r="FU124" t="e">
        <f>AND(Bills!#REF!,"AAAAAG/9frA=")</f>
        <v>#REF!</v>
      </c>
      <c r="FV124" t="e">
        <f>AND(Bills!#REF!,"AAAAAG/9frE=")</f>
        <v>#REF!</v>
      </c>
      <c r="FW124" t="e">
        <f>AND(Bills!#REF!,"AAAAAG/9frI=")</f>
        <v>#REF!</v>
      </c>
      <c r="FX124" t="e">
        <f>AND(Bills!#REF!,"AAAAAG/9frM=")</f>
        <v>#REF!</v>
      </c>
      <c r="FY124" t="e">
        <f>AND(Bills!D392,"AAAAAG/9frQ=")</f>
        <v>#VALUE!</v>
      </c>
      <c r="FZ124" t="e">
        <f>AND(Bills!#REF!,"AAAAAG/9frU=")</f>
        <v>#REF!</v>
      </c>
      <c r="GA124" t="e">
        <f>AND(Bills!E392,"AAAAAG/9frY=")</f>
        <v>#VALUE!</v>
      </c>
      <c r="GB124" t="e">
        <f>AND(Bills!F392,"AAAAAG/9frc=")</f>
        <v>#VALUE!</v>
      </c>
      <c r="GC124" t="e">
        <f>AND(Bills!G392,"AAAAAG/9frg=")</f>
        <v>#VALUE!</v>
      </c>
      <c r="GD124" t="e">
        <f>AND(Bills!H392,"AAAAAG/9frk=")</f>
        <v>#VALUE!</v>
      </c>
      <c r="GE124" t="e">
        <f>AND(Bills!I392,"AAAAAG/9fro=")</f>
        <v>#VALUE!</v>
      </c>
      <c r="GF124" t="e">
        <f>AND(Bills!J392,"AAAAAG/9frs=")</f>
        <v>#VALUE!</v>
      </c>
      <c r="GG124" t="e">
        <f>AND(Bills!#REF!,"AAAAAG/9frw=")</f>
        <v>#REF!</v>
      </c>
      <c r="GH124" t="e">
        <f>AND(Bills!K392,"AAAAAG/9fr0=")</f>
        <v>#VALUE!</v>
      </c>
      <c r="GI124" t="e">
        <f>AND(Bills!L392,"AAAAAG/9fr4=")</f>
        <v>#VALUE!</v>
      </c>
      <c r="GJ124" t="e">
        <f>AND(Bills!M392,"AAAAAG/9fr8=")</f>
        <v>#VALUE!</v>
      </c>
      <c r="GK124" t="e">
        <f>AND(Bills!N392,"AAAAAG/9fsA=")</f>
        <v>#VALUE!</v>
      </c>
      <c r="GL124" t="e">
        <f>AND(Bills!O392,"AAAAAG/9fsE=")</f>
        <v>#VALUE!</v>
      </c>
      <c r="GM124" t="e">
        <f>AND(Bills!P392,"AAAAAG/9fsI=")</f>
        <v>#VALUE!</v>
      </c>
      <c r="GN124" t="e">
        <f>AND(Bills!Q392,"AAAAAG/9fsM=")</f>
        <v>#VALUE!</v>
      </c>
      <c r="GO124" t="e">
        <f>AND(Bills!R392,"AAAAAG/9fsQ=")</f>
        <v>#VALUE!</v>
      </c>
      <c r="GP124" t="e">
        <f>AND(Bills!#REF!,"AAAAAG/9fsU=")</f>
        <v>#REF!</v>
      </c>
      <c r="GQ124" t="e">
        <f>AND(Bills!S392,"AAAAAG/9fsY=")</f>
        <v>#VALUE!</v>
      </c>
      <c r="GR124" t="e">
        <f>AND(Bills!T392,"AAAAAG/9fsc=")</f>
        <v>#VALUE!</v>
      </c>
      <c r="GS124" t="e">
        <f>AND(Bills!U392,"AAAAAG/9fsg=")</f>
        <v>#VALUE!</v>
      </c>
      <c r="GT124" t="e">
        <f>AND(Bills!#REF!,"AAAAAG/9fsk=")</f>
        <v>#REF!</v>
      </c>
      <c r="GU124" t="e">
        <f>AND(Bills!#REF!,"AAAAAG/9fso=")</f>
        <v>#REF!</v>
      </c>
      <c r="GV124" t="e">
        <f>AND(Bills!W392,"AAAAAG/9fss=")</f>
        <v>#VALUE!</v>
      </c>
      <c r="GW124" t="e">
        <f>AND(Bills!X392,"AAAAAG/9fsw=")</f>
        <v>#VALUE!</v>
      </c>
      <c r="GX124" t="e">
        <f>AND(Bills!#REF!,"AAAAAG/9fs0=")</f>
        <v>#REF!</v>
      </c>
      <c r="GY124" t="e">
        <f>AND(Bills!#REF!,"AAAAAG/9fs4=")</f>
        <v>#REF!</v>
      </c>
      <c r="GZ124" t="e">
        <f>AND(Bills!#REF!,"AAAAAG/9fs8=")</f>
        <v>#REF!</v>
      </c>
      <c r="HA124" t="e">
        <f>AND(Bills!#REF!,"AAAAAG/9ftA=")</f>
        <v>#REF!</v>
      </c>
      <c r="HB124" t="e">
        <f>AND(Bills!#REF!,"AAAAAG/9ftE=")</f>
        <v>#REF!</v>
      </c>
      <c r="HC124" t="e">
        <f>AND(Bills!#REF!,"AAAAAG/9ftI=")</f>
        <v>#REF!</v>
      </c>
      <c r="HD124" t="e">
        <f>AND(Bills!#REF!,"AAAAAG/9ftM=")</f>
        <v>#REF!</v>
      </c>
      <c r="HE124" t="e">
        <f>AND(Bills!#REF!,"AAAAAG/9ftQ=")</f>
        <v>#REF!</v>
      </c>
      <c r="HF124" t="e">
        <f>AND(Bills!#REF!,"AAAAAG/9ftU=")</f>
        <v>#REF!</v>
      </c>
      <c r="HG124" t="e">
        <f>AND(Bills!Y392,"AAAAAG/9ftY=")</f>
        <v>#VALUE!</v>
      </c>
      <c r="HH124" t="e">
        <f>AND(Bills!Z392,"AAAAAG/9ftc=")</f>
        <v>#VALUE!</v>
      </c>
      <c r="HI124" t="e">
        <f>AND(Bills!#REF!,"AAAAAG/9ftg=")</f>
        <v>#REF!</v>
      </c>
      <c r="HJ124" t="e">
        <f>AND(Bills!#REF!,"AAAAAG/9ftk=")</f>
        <v>#REF!</v>
      </c>
      <c r="HK124" t="e">
        <f>AND(Bills!#REF!,"AAAAAG/9fto=")</f>
        <v>#REF!</v>
      </c>
      <c r="HL124" t="e">
        <f>AND(Bills!AA392,"AAAAAG/9fts=")</f>
        <v>#VALUE!</v>
      </c>
      <c r="HM124" t="e">
        <f>AND(Bills!AB392,"AAAAAG/9ftw=")</f>
        <v>#VALUE!</v>
      </c>
      <c r="HN124" t="e">
        <f>AND(Bills!#REF!,"AAAAAG/9ft0=")</f>
        <v>#REF!</v>
      </c>
      <c r="HO124">
        <f>IF(Bills!393:393,"AAAAAG/9ft4=",0)</f>
        <v>0</v>
      </c>
      <c r="HP124" t="e">
        <f>AND(Bills!B393,"AAAAAG/9ft8=")</f>
        <v>#VALUE!</v>
      </c>
      <c r="HQ124" t="e">
        <f>AND(Bills!#REF!,"AAAAAG/9fuA=")</f>
        <v>#REF!</v>
      </c>
      <c r="HR124" t="e">
        <f>AND(Bills!C393,"AAAAAG/9fuE=")</f>
        <v>#VALUE!</v>
      </c>
      <c r="HS124" t="e">
        <f>AND(Bills!#REF!,"AAAAAG/9fuI=")</f>
        <v>#REF!</v>
      </c>
      <c r="HT124" t="e">
        <f>AND(Bills!#REF!,"AAAAAG/9fuM=")</f>
        <v>#REF!</v>
      </c>
      <c r="HU124" t="e">
        <f>AND(Bills!#REF!,"AAAAAG/9fuQ=")</f>
        <v>#REF!</v>
      </c>
      <c r="HV124" t="e">
        <f>AND(Bills!#REF!,"AAAAAG/9fuU=")</f>
        <v>#REF!</v>
      </c>
      <c r="HW124" t="e">
        <f>AND(Bills!#REF!,"AAAAAG/9fuY=")</f>
        <v>#REF!</v>
      </c>
      <c r="HX124" t="e">
        <f>AND(Bills!D393,"AAAAAG/9fuc=")</f>
        <v>#VALUE!</v>
      </c>
      <c r="HY124" t="e">
        <f>AND(Bills!#REF!,"AAAAAG/9fug=")</f>
        <v>#REF!</v>
      </c>
      <c r="HZ124" t="e">
        <f>AND(Bills!E393,"AAAAAG/9fuk=")</f>
        <v>#VALUE!</v>
      </c>
      <c r="IA124" t="e">
        <f>AND(Bills!F393,"AAAAAG/9fuo=")</f>
        <v>#VALUE!</v>
      </c>
      <c r="IB124" t="e">
        <f>AND(Bills!G393,"AAAAAG/9fus=")</f>
        <v>#VALUE!</v>
      </c>
      <c r="IC124" t="e">
        <f>AND(Bills!H393,"AAAAAG/9fuw=")</f>
        <v>#VALUE!</v>
      </c>
      <c r="ID124" t="e">
        <f>AND(Bills!I393,"AAAAAG/9fu0=")</f>
        <v>#VALUE!</v>
      </c>
      <c r="IE124" t="e">
        <f>AND(Bills!J393,"AAAAAG/9fu4=")</f>
        <v>#VALUE!</v>
      </c>
      <c r="IF124" t="e">
        <f>AND(Bills!#REF!,"AAAAAG/9fu8=")</f>
        <v>#REF!</v>
      </c>
      <c r="IG124" t="e">
        <f>AND(Bills!K393,"AAAAAG/9fvA=")</f>
        <v>#VALUE!</v>
      </c>
      <c r="IH124" t="e">
        <f>AND(Bills!L393,"AAAAAG/9fvE=")</f>
        <v>#VALUE!</v>
      </c>
      <c r="II124" t="e">
        <f>AND(Bills!M393,"AAAAAG/9fvI=")</f>
        <v>#VALUE!</v>
      </c>
      <c r="IJ124" t="e">
        <f>AND(Bills!N393,"AAAAAG/9fvM=")</f>
        <v>#VALUE!</v>
      </c>
      <c r="IK124" t="e">
        <f>AND(Bills!O393,"AAAAAG/9fvQ=")</f>
        <v>#VALUE!</v>
      </c>
      <c r="IL124" t="e">
        <f>AND(Bills!P393,"AAAAAG/9fvU=")</f>
        <v>#VALUE!</v>
      </c>
      <c r="IM124" t="e">
        <f>AND(Bills!Q393,"AAAAAG/9fvY=")</f>
        <v>#VALUE!</v>
      </c>
      <c r="IN124" t="e">
        <f>AND(Bills!R393,"AAAAAG/9fvc=")</f>
        <v>#VALUE!</v>
      </c>
      <c r="IO124" t="e">
        <f>AND(Bills!#REF!,"AAAAAG/9fvg=")</f>
        <v>#REF!</v>
      </c>
      <c r="IP124" t="e">
        <f>AND(Bills!S393,"AAAAAG/9fvk=")</f>
        <v>#VALUE!</v>
      </c>
      <c r="IQ124" t="e">
        <f>AND(Bills!T393,"AAAAAG/9fvo=")</f>
        <v>#VALUE!</v>
      </c>
      <c r="IR124" t="e">
        <f>AND(Bills!U393,"AAAAAG/9fvs=")</f>
        <v>#VALUE!</v>
      </c>
      <c r="IS124" t="e">
        <f>AND(Bills!#REF!,"AAAAAG/9fvw=")</f>
        <v>#REF!</v>
      </c>
      <c r="IT124" t="e">
        <f>AND(Bills!#REF!,"AAAAAG/9fv0=")</f>
        <v>#REF!</v>
      </c>
      <c r="IU124" t="e">
        <f>AND(Bills!W393,"AAAAAG/9fv4=")</f>
        <v>#VALUE!</v>
      </c>
      <c r="IV124" t="e">
        <f>AND(Bills!X393,"AAAAAG/9fv8=")</f>
        <v>#VALUE!</v>
      </c>
    </row>
    <row r="125" spans="1:256">
      <c r="A125" t="e">
        <f>AND(Bills!#REF!,"AAAAAG1v4wA=")</f>
        <v>#REF!</v>
      </c>
      <c r="B125" t="e">
        <f>AND(Bills!#REF!,"AAAAAG1v4wE=")</f>
        <v>#REF!</v>
      </c>
      <c r="C125" t="e">
        <f>AND(Bills!#REF!,"AAAAAG1v4wI=")</f>
        <v>#REF!</v>
      </c>
      <c r="D125" t="e">
        <f>AND(Bills!#REF!,"AAAAAG1v4wM=")</f>
        <v>#REF!</v>
      </c>
      <c r="E125" t="e">
        <f>AND(Bills!#REF!,"AAAAAG1v4wQ=")</f>
        <v>#REF!</v>
      </c>
      <c r="F125" t="e">
        <f>AND(Bills!#REF!,"AAAAAG1v4wU=")</f>
        <v>#REF!</v>
      </c>
      <c r="G125" t="e">
        <f>AND(Bills!#REF!,"AAAAAG1v4wY=")</f>
        <v>#REF!</v>
      </c>
      <c r="H125" t="e">
        <f>AND(Bills!#REF!,"AAAAAG1v4wc=")</f>
        <v>#REF!</v>
      </c>
      <c r="I125" t="e">
        <f>AND(Bills!#REF!,"AAAAAG1v4wg=")</f>
        <v>#REF!</v>
      </c>
      <c r="J125" t="e">
        <f>AND(Bills!Y393,"AAAAAG1v4wk=")</f>
        <v>#VALUE!</v>
      </c>
      <c r="K125" t="e">
        <f>AND(Bills!Z393,"AAAAAG1v4wo=")</f>
        <v>#VALUE!</v>
      </c>
      <c r="L125" t="e">
        <f>AND(Bills!#REF!,"AAAAAG1v4ws=")</f>
        <v>#REF!</v>
      </c>
      <c r="M125" t="e">
        <f>AND(Bills!#REF!,"AAAAAG1v4ww=")</f>
        <v>#REF!</v>
      </c>
      <c r="N125" t="e">
        <f>AND(Bills!#REF!,"AAAAAG1v4w0=")</f>
        <v>#REF!</v>
      </c>
      <c r="O125" t="e">
        <f>AND(Bills!AA393,"AAAAAG1v4w4=")</f>
        <v>#VALUE!</v>
      </c>
      <c r="P125" t="e">
        <f>AND(Bills!AB393,"AAAAAG1v4w8=")</f>
        <v>#VALUE!</v>
      </c>
      <c r="Q125" t="e">
        <f>AND(Bills!#REF!,"AAAAAG1v4xA=")</f>
        <v>#REF!</v>
      </c>
      <c r="R125">
        <f>IF(Bills!394:394,"AAAAAG1v4xE=",0)</f>
        <v>0</v>
      </c>
      <c r="S125" t="e">
        <f>AND(Bills!B394,"AAAAAG1v4xI=")</f>
        <v>#VALUE!</v>
      </c>
      <c r="T125" t="e">
        <f>AND(Bills!#REF!,"AAAAAG1v4xM=")</f>
        <v>#REF!</v>
      </c>
      <c r="U125" t="e">
        <f>AND(Bills!C394,"AAAAAG1v4xQ=")</f>
        <v>#VALUE!</v>
      </c>
      <c r="V125" t="e">
        <f>AND(Bills!#REF!,"AAAAAG1v4xU=")</f>
        <v>#REF!</v>
      </c>
      <c r="W125" t="e">
        <f>AND(Bills!#REF!,"AAAAAG1v4xY=")</f>
        <v>#REF!</v>
      </c>
      <c r="X125" t="e">
        <f>AND(Bills!#REF!,"AAAAAG1v4xc=")</f>
        <v>#REF!</v>
      </c>
      <c r="Y125" t="e">
        <f>AND(Bills!#REF!,"AAAAAG1v4xg=")</f>
        <v>#REF!</v>
      </c>
      <c r="Z125" t="e">
        <f>AND(Bills!#REF!,"AAAAAG1v4xk=")</f>
        <v>#REF!</v>
      </c>
      <c r="AA125" t="e">
        <f>AND(Bills!D394,"AAAAAG1v4xo=")</f>
        <v>#VALUE!</v>
      </c>
      <c r="AB125" t="e">
        <f>AND(Bills!#REF!,"AAAAAG1v4xs=")</f>
        <v>#REF!</v>
      </c>
      <c r="AC125" t="e">
        <f>AND(Bills!E394,"AAAAAG1v4xw=")</f>
        <v>#VALUE!</v>
      </c>
      <c r="AD125" t="e">
        <f>AND(Bills!F394,"AAAAAG1v4x0=")</f>
        <v>#VALUE!</v>
      </c>
      <c r="AE125" t="e">
        <f>AND(Bills!G394,"AAAAAG1v4x4=")</f>
        <v>#VALUE!</v>
      </c>
      <c r="AF125" t="e">
        <f>AND(Bills!H394,"AAAAAG1v4x8=")</f>
        <v>#VALUE!</v>
      </c>
      <c r="AG125" t="e">
        <f>AND(Bills!I394,"AAAAAG1v4yA=")</f>
        <v>#VALUE!</v>
      </c>
      <c r="AH125" t="e">
        <f>AND(Bills!J394,"AAAAAG1v4yE=")</f>
        <v>#VALUE!</v>
      </c>
      <c r="AI125" t="e">
        <f>AND(Bills!#REF!,"AAAAAG1v4yI=")</f>
        <v>#REF!</v>
      </c>
      <c r="AJ125" t="e">
        <f>AND(Bills!K394,"AAAAAG1v4yM=")</f>
        <v>#VALUE!</v>
      </c>
      <c r="AK125" t="e">
        <f>AND(Bills!L394,"AAAAAG1v4yQ=")</f>
        <v>#VALUE!</v>
      </c>
      <c r="AL125" t="e">
        <f>AND(Bills!M394,"AAAAAG1v4yU=")</f>
        <v>#VALUE!</v>
      </c>
      <c r="AM125" t="e">
        <f>AND(Bills!N394,"AAAAAG1v4yY=")</f>
        <v>#VALUE!</v>
      </c>
      <c r="AN125" t="e">
        <f>AND(Bills!O394,"AAAAAG1v4yc=")</f>
        <v>#VALUE!</v>
      </c>
      <c r="AO125" t="e">
        <f>AND(Bills!P394,"AAAAAG1v4yg=")</f>
        <v>#VALUE!</v>
      </c>
      <c r="AP125" t="e">
        <f>AND(Bills!Q394,"AAAAAG1v4yk=")</f>
        <v>#VALUE!</v>
      </c>
      <c r="AQ125" t="e">
        <f>AND(Bills!R394,"AAAAAG1v4yo=")</f>
        <v>#VALUE!</v>
      </c>
      <c r="AR125" t="e">
        <f>AND(Bills!#REF!,"AAAAAG1v4ys=")</f>
        <v>#REF!</v>
      </c>
      <c r="AS125" t="e">
        <f>AND(Bills!S394,"AAAAAG1v4yw=")</f>
        <v>#VALUE!</v>
      </c>
      <c r="AT125" t="e">
        <f>AND(Bills!T394,"AAAAAG1v4y0=")</f>
        <v>#VALUE!</v>
      </c>
      <c r="AU125" t="e">
        <f>AND(Bills!U394,"AAAAAG1v4y4=")</f>
        <v>#VALUE!</v>
      </c>
      <c r="AV125" t="e">
        <f>AND(Bills!#REF!,"AAAAAG1v4y8=")</f>
        <v>#REF!</v>
      </c>
      <c r="AW125" t="e">
        <f>AND(Bills!#REF!,"AAAAAG1v4zA=")</f>
        <v>#REF!</v>
      </c>
      <c r="AX125" t="e">
        <f>AND(Bills!W394,"AAAAAG1v4zE=")</f>
        <v>#VALUE!</v>
      </c>
      <c r="AY125" t="e">
        <f>AND(Bills!X394,"AAAAAG1v4zI=")</f>
        <v>#VALUE!</v>
      </c>
      <c r="AZ125" t="e">
        <f>AND(Bills!#REF!,"AAAAAG1v4zM=")</f>
        <v>#REF!</v>
      </c>
      <c r="BA125" t="e">
        <f>AND(Bills!#REF!,"AAAAAG1v4zQ=")</f>
        <v>#REF!</v>
      </c>
      <c r="BB125" t="e">
        <f>AND(Bills!#REF!,"AAAAAG1v4zU=")</f>
        <v>#REF!</v>
      </c>
      <c r="BC125" t="e">
        <f>AND(Bills!#REF!,"AAAAAG1v4zY=")</f>
        <v>#REF!</v>
      </c>
      <c r="BD125" t="e">
        <f>AND(Bills!#REF!,"AAAAAG1v4zc=")</f>
        <v>#REF!</v>
      </c>
      <c r="BE125" t="e">
        <f>AND(Bills!#REF!,"AAAAAG1v4zg=")</f>
        <v>#REF!</v>
      </c>
      <c r="BF125" t="e">
        <f>AND(Bills!#REF!,"AAAAAG1v4zk=")</f>
        <v>#REF!</v>
      </c>
      <c r="BG125" t="e">
        <f>AND(Bills!#REF!,"AAAAAG1v4zo=")</f>
        <v>#REF!</v>
      </c>
      <c r="BH125" t="e">
        <f>AND(Bills!#REF!,"AAAAAG1v4zs=")</f>
        <v>#REF!</v>
      </c>
      <c r="BI125" t="e">
        <f>AND(Bills!Y394,"AAAAAG1v4zw=")</f>
        <v>#VALUE!</v>
      </c>
      <c r="BJ125" t="e">
        <f>AND(Bills!Z394,"AAAAAG1v4z0=")</f>
        <v>#VALUE!</v>
      </c>
      <c r="BK125" t="e">
        <f>AND(Bills!#REF!,"AAAAAG1v4z4=")</f>
        <v>#REF!</v>
      </c>
      <c r="BL125" t="e">
        <f>AND(Bills!#REF!,"AAAAAG1v4z8=")</f>
        <v>#REF!</v>
      </c>
      <c r="BM125" t="e">
        <f>AND(Bills!#REF!,"AAAAAG1v40A=")</f>
        <v>#REF!</v>
      </c>
      <c r="BN125" t="e">
        <f>AND(Bills!AA394,"AAAAAG1v40E=")</f>
        <v>#VALUE!</v>
      </c>
      <c r="BO125" t="e">
        <f>AND(Bills!AB394,"AAAAAG1v40I=")</f>
        <v>#VALUE!</v>
      </c>
      <c r="BP125" t="e">
        <f>AND(Bills!#REF!,"AAAAAG1v40M=")</f>
        <v>#REF!</v>
      </c>
      <c r="BQ125">
        <f>IF(Bills!395:395,"AAAAAG1v40Q=",0)</f>
        <v>0</v>
      </c>
      <c r="BR125" t="e">
        <f>AND(Bills!B395,"AAAAAG1v40U=")</f>
        <v>#VALUE!</v>
      </c>
      <c r="BS125" t="e">
        <f>AND(Bills!#REF!,"AAAAAG1v40Y=")</f>
        <v>#REF!</v>
      </c>
      <c r="BT125" t="e">
        <f>AND(Bills!C395,"AAAAAG1v40c=")</f>
        <v>#VALUE!</v>
      </c>
      <c r="BU125" t="e">
        <f>AND(Bills!#REF!,"AAAAAG1v40g=")</f>
        <v>#REF!</v>
      </c>
      <c r="BV125" t="e">
        <f>AND(Bills!#REF!,"AAAAAG1v40k=")</f>
        <v>#REF!</v>
      </c>
      <c r="BW125" t="e">
        <f>AND(Bills!#REF!,"AAAAAG1v40o=")</f>
        <v>#REF!</v>
      </c>
      <c r="BX125" t="e">
        <f>AND(Bills!#REF!,"AAAAAG1v40s=")</f>
        <v>#REF!</v>
      </c>
      <c r="BY125" t="e">
        <f>AND(Bills!#REF!,"AAAAAG1v40w=")</f>
        <v>#REF!</v>
      </c>
      <c r="BZ125" t="e">
        <f>AND(Bills!D395,"AAAAAG1v400=")</f>
        <v>#VALUE!</v>
      </c>
      <c r="CA125" t="e">
        <f>AND(Bills!#REF!,"AAAAAG1v404=")</f>
        <v>#REF!</v>
      </c>
      <c r="CB125" t="e">
        <f>AND(Bills!E395,"AAAAAG1v408=")</f>
        <v>#VALUE!</v>
      </c>
      <c r="CC125" t="e">
        <f>AND(Bills!F395,"AAAAAG1v41A=")</f>
        <v>#VALUE!</v>
      </c>
      <c r="CD125" t="e">
        <f>AND(Bills!G395,"AAAAAG1v41E=")</f>
        <v>#VALUE!</v>
      </c>
      <c r="CE125" t="e">
        <f>AND(Bills!H395,"AAAAAG1v41I=")</f>
        <v>#VALUE!</v>
      </c>
      <c r="CF125" t="e">
        <f>AND(Bills!I395,"AAAAAG1v41M=")</f>
        <v>#VALUE!</v>
      </c>
      <c r="CG125" t="e">
        <f>AND(Bills!J395,"AAAAAG1v41Q=")</f>
        <v>#VALUE!</v>
      </c>
      <c r="CH125" t="e">
        <f>AND(Bills!#REF!,"AAAAAG1v41U=")</f>
        <v>#REF!</v>
      </c>
      <c r="CI125" t="e">
        <f>AND(Bills!K395,"AAAAAG1v41Y=")</f>
        <v>#VALUE!</v>
      </c>
      <c r="CJ125" t="e">
        <f>AND(Bills!L395,"AAAAAG1v41c=")</f>
        <v>#VALUE!</v>
      </c>
      <c r="CK125" t="e">
        <f>AND(Bills!M395,"AAAAAG1v41g=")</f>
        <v>#VALUE!</v>
      </c>
      <c r="CL125" t="e">
        <f>AND(Bills!N395,"AAAAAG1v41k=")</f>
        <v>#VALUE!</v>
      </c>
      <c r="CM125" t="e">
        <f>AND(Bills!O395,"AAAAAG1v41o=")</f>
        <v>#VALUE!</v>
      </c>
      <c r="CN125" t="e">
        <f>AND(Bills!P395,"AAAAAG1v41s=")</f>
        <v>#VALUE!</v>
      </c>
      <c r="CO125" t="e">
        <f>AND(Bills!Q395,"AAAAAG1v41w=")</f>
        <v>#VALUE!</v>
      </c>
      <c r="CP125" t="e">
        <f>AND(Bills!R395,"AAAAAG1v410=")</f>
        <v>#VALUE!</v>
      </c>
      <c r="CQ125" t="e">
        <f>AND(Bills!#REF!,"AAAAAG1v414=")</f>
        <v>#REF!</v>
      </c>
      <c r="CR125" t="e">
        <f>AND(Bills!S395,"AAAAAG1v418=")</f>
        <v>#VALUE!</v>
      </c>
      <c r="CS125" t="e">
        <f>AND(Bills!T395,"AAAAAG1v42A=")</f>
        <v>#VALUE!</v>
      </c>
      <c r="CT125" t="e">
        <f>AND(Bills!U395,"AAAAAG1v42E=")</f>
        <v>#VALUE!</v>
      </c>
      <c r="CU125" t="e">
        <f>AND(Bills!#REF!,"AAAAAG1v42I=")</f>
        <v>#REF!</v>
      </c>
      <c r="CV125" t="e">
        <f>AND(Bills!#REF!,"AAAAAG1v42M=")</f>
        <v>#REF!</v>
      </c>
      <c r="CW125" t="e">
        <f>AND(Bills!W395,"AAAAAG1v42Q=")</f>
        <v>#VALUE!</v>
      </c>
      <c r="CX125" t="e">
        <f>AND(Bills!X395,"AAAAAG1v42U=")</f>
        <v>#VALUE!</v>
      </c>
      <c r="CY125" t="e">
        <f>AND(Bills!#REF!,"AAAAAG1v42Y=")</f>
        <v>#REF!</v>
      </c>
      <c r="CZ125" t="e">
        <f>AND(Bills!#REF!,"AAAAAG1v42c=")</f>
        <v>#REF!</v>
      </c>
      <c r="DA125" t="e">
        <f>AND(Bills!#REF!,"AAAAAG1v42g=")</f>
        <v>#REF!</v>
      </c>
      <c r="DB125" t="e">
        <f>AND(Bills!#REF!,"AAAAAG1v42k=")</f>
        <v>#REF!</v>
      </c>
      <c r="DC125" t="e">
        <f>AND(Bills!#REF!,"AAAAAG1v42o=")</f>
        <v>#REF!</v>
      </c>
      <c r="DD125" t="e">
        <f>AND(Bills!#REF!,"AAAAAG1v42s=")</f>
        <v>#REF!</v>
      </c>
      <c r="DE125" t="e">
        <f>AND(Bills!#REF!,"AAAAAG1v42w=")</f>
        <v>#REF!</v>
      </c>
      <c r="DF125" t="e">
        <f>AND(Bills!#REF!,"AAAAAG1v420=")</f>
        <v>#REF!</v>
      </c>
      <c r="DG125" t="e">
        <f>AND(Bills!#REF!,"AAAAAG1v424=")</f>
        <v>#REF!</v>
      </c>
      <c r="DH125" t="e">
        <f>AND(Bills!Y395,"AAAAAG1v428=")</f>
        <v>#VALUE!</v>
      </c>
      <c r="DI125" t="e">
        <f>AND(Bills!Z395,"AAAAAG1v43A=")</f>
        <v>#VALUE!</v>
      </c>
      <c r="DJ125" t="e">
        <f>AND(Bills!#REF!,"AAAAAG1v43E=")</f>
        <v>#REF!</v>
      </c>
      <c r="DK125" t="e">
        <f>AND(Bills!#REF!,"AAAAAG1v43I=")</f>
        <v>#REF!</v>
      </c>
      <c r="DL125" t="e">
        <f>AND(Bills!#REF!,"AAAAAG1v43M=")</f>
        <v>#REF!</v>
      </c>
      <c r="DM125" t="e">
        <f>AND(Bills!AA395,"AAAAAG1v43Q=")</f>
        <v>#VALUE!</v>
      </c>
      <c r="DN125" t="e">
        <f>AND(Bills!AB395,"AAAAAG1v43U=")</f>
        <v>#VALUE!</v>
      </c>
      <c r="DO125" t="e">
        <f>AND(Bills!#REF!,"AAAAAG1v43Y=")</f>
        <v>#REF!</v>
      </c>
      <c r="DP125">
        <f>IF(Bills!396:396,"AAAAAG1v43c=",0)</f>
        <v>0</v>
      </c>
      <c r="DQ125" t="e">
        <f>AND(Bills!B396,"AAAAAG1v43g=")</f>
        <v>#VALUE!</v>
      </c>
      <c r="DR125" t="e">
        <f>AND(Bills!#REF!,"AAAAAG1v43k=")</f>
        <v>#REF!</v>
      </c>
      <c r="DS125" t="e">
        <f>AND(Bills!C396,"AAAAAG1v43o=")</f>
        <v>#VALUE!</v>
      </c>
      <c r="DT125" t="e">
        <f>AND(Bills!#REF!,"AAAAAG1v43s=")</f>
        <v>#REF!</v>
      </c>
      <c r="DU125" t="e">
        <f>AND(Bills!#REF!,"AAAAAG1v43w=")</f>
        <v>#REF!</v>
      </c>
      <c r="DV125" t="e">
        <f>AND(Bills!#REF!,"AAAAAG1v430=")</f>
        <v>#REF!</v>
      </c>
      <c r="DW125" t="e">
        <f>AND(Bills!#REF!,"AAAAAG1v434=")</f>
        <v>#REF!</v>
      </c>
      <c r="DX125" t="e">
        <f>AND(Bills!#REF!,"AAAAAG1v438=")</f>
        <v>#REF!</v>
      </c>
      <c r="DY125" t="e">
        <f>AND(Bills!D396,"AAAAAG1v44A=")</f>
        <v>#VALUE!</v>
      </c>
      <c r="DZ125" t="e">
        <f>AND(Bills!#REF!,"AAAAAG1v44E=")</f>
        <v>#REF!</v>
      </c>
      <c r="EA125" t="e">
        <f>AND(Bills!E396,"AAAAAG1v44I=")</f>
        <v>#VALUE!</v>
      </c>
      <c r="EB125" t="e">
        <f>AND(Bills!F396,"AAAAAG1v44M=")</f>
        <v>#VALUE!</v>
      </c>
      <c r="EC125" t="e">
        <f>AND(Bills!G396,"AAAAAG1v44Q=")</f>
        <v>#VALUE!</v>
      </c>
      <c r="ED125" t="e">
        <f>AND(Bills!H396,"AAAAAG1v44U=")</f>
        <v>#VALUE!</v>
      </c>
      <c r="EE125" t="e">
        <f>AND(Bills!I396,"AAAAAG1v44Y=")</f>
        <v>#VALUE!</v>
      </c>
      <c r="EF125" t="e">
        <f>AND(Bills!J396,"AAAAAG1v44c=")</f>
        <v>#VALUE!</v>
      </c>
      <c r="EG125" t="e">
        <f>AND(Bills!#REF!,"AAAAAG1v44g=")</f>
        <v>#REF!</v>
      </c>
      <c r="EH125" t="e">
        <f>AND(Bills!K396,"AAAAAG1v44k=")</f>
        <v>#VALUE!</v>
      </c>
      <c r="EI125" t="e">
        <f>AND(Bills!L396,"AAAAAG1v44o=")</f>
        <v>#VALUE!</v>
      </c>
      <c r="EJ125" t="e">
        <f>AND(Bills!M396,"AAAAAG1v44s=")</f>
        <v>#VALUE!</v>
      </c>
      <c r="EK125" t="e">
        <f>AND(Bills!N396,"AAAAAG1v44w=")</f>
        <v>#VALUE!</v>
      </c>
      <c r="EL125" t="e">
        <f>AND(Bills!O396,"AAAAAG1v440=")</f>
        <v>#VALUE!</v>
      </c>
      <c r="EM125" t="e">
        <f>AND(Bills!P396,"AAAAAG1v444=")</f>
        <v>#VALUE!</v>
      </c>
      <c r="EN125" t="e">
        <f>AND(Bills!Q396,"AAAAAG1v448=")</f>
        <v>#VALUE!</v>
      </c>
      <c r="EO125" t="e">
        <f>AND(Bills!R396,"AAAAAG1v45A=")</f>
        <v>#VALUE!</v>
      </c>
      <c r="EP125" t="e">
        <f>AND(Bills!#REF!,"AAAAAG1v45E=")</f>
        <v>#REF!</v>
      </c>
      <c r="EQ125" t="e">
        <f>AND(Bills!S396,"AAAAAG1v45I=")</f>
        <v>#VALUE!</v>
      </c>
      <c r="ER125" t="e">
        <f>AND(Bills!T396,"AAAAAG1v45M=")</f>
        <v>#VALUE!</v>
      </c>
      <c r="ES125" t="e">
        <f>AND(Bills!U396,"AAAAAG1v45Q=")</f>
        <v>#VALUE!</v>
      </c>
      <c r="ET125" t="e">
        <f>AND(Bills!#REF!,"AAAAAG1v45U=")</f>
        <v>#REF!</v>
      </c>
      <c r="EU125" t="e">
        <f>AND(Bills!#REF!,"AAAAAG1v45Y=")</f>
        <v>#REF!</v>
      </c>
      <c r="EV125" t="e">
        <f>AND(Bills!W396,"AAAAAG1v45c=")</f>
        <v>#VALUE!</v>
      </c>
      <c r="EW125" t="e">
        <f>AND(Bills!X396,"AAAAAG1v45g=")</f>
        <v>#VALUE!</v>
      </c>
      <c r="EX125" t="e">
        <f>AND(Bills!#REF!,"AAAAAG1v45k=")</f>
        <v>#REF!</v>
      </c>
      <c r="EY125" t="e">
        <f>AND(Bills!#REF!,"AAAAAG1v45o=")</f>
        <v>#REF!</v>
      </c>
      <c r="EZ125" t="e">
        <f>AND(Bills!#REF!,"AAAAAG1v45s=")</f>
        <v>#REF!</v>
      </c>
      <c r="FA125" t="e">
        <f>AND(Bills!#REF!,"AAAAAG1v45w=")</f>
        <v>#REF!</v>
      </c>
      <c r="FB125" t="e">
        <f>AND(Bills!#REF!,"AAAAAG1v450=")</f>
        <v>#REF!</v>
      </c>
      <c r="FC125" t="e">
        <f>AND(Bills!#REF!,"AAAAAG1v454=")</f>
        <v>#REF!</v>
      </c>
      <c r="FD125" t="e">
        <f>AND(Bills!#REF!,"AAAAAG1v458=")</f>
        <v>#REF!</v>
      </c>
      <c r="FE125" t="e">
        <f>AND(Bills!#REF!,"AAAAAG1v46A=")</f>
        <v>#REF!</v>
      </c>
      <c r="FF125" t="e">
        <f>AND(Bills!#REF!,"AAAAAG1v46E=")</f>
        <v>#REF!</v>
      </c>
      <c r="FG125" t="e">
        <f>AND(Bills!Y396,"AAAAAG1v46I=")</f>
        <v>#VALUE!</v>
      </c>
      <c r="FH125" t="e">
        <f>AND(Bills!Z396,"AAAAAG1v46M=")</f>
        <v>#VALUE!</v>
      </c>
      <c r="FI125" t="e">
        <f>AND(Bills!#REF!,"AAAAAG1v46Q=")</f>
        <v>#REF!</v>
      </c>
      <c r="FJ125" t="e">
        <f>AND(Bills!#REF!,"AAAAAG1v46U=")</f>
        <v>#REF!</v>
      </c>
      <c r="FK125" t="e">
        <f>AND(Bills!#REF!,"AAAAAG1v46Y=")</f>
        <v>#REF!</v>
      </c>
      <c r="FL125" t="e">
        <f>AND(Bills!AA396,"AAAAAG1v46c=")</f>
        <v>#VALUE!</v>
      </c>
      <c r="FM125" t="e">
        <f>AND(Bills!AB396,"AAAAAG1v46g=")</f>
        <v>#VALUE!</v>
      </c>
      <c r="FN125" t="e">
        <f>AND(Bills!#REF!,"AAAAAG1v46k=")</f>
        <v>#REF!</v>
      </c>
      <c r="FO125">
        <f>IF(Bills!397:397,"AAAAAG1v46o=",0)</f>
        <v>0</v>
      </c>
      <c r="FP125" t="e">
        <f>AND(Bills!B397,"AAAAAG1v46s=")</f>
        <v>#VALUE!</v>
      </c>
      <c r="FQ125" t="e">
        <f>AND(Bills!#REF!,"AAAAAG1v46w=")</f>
        <v>#REF!</v>
      </c>
      <c r="FR125" t="e">
        <f>AND(Bills!C397,"AAAAAG1v460=")</f>
        <v>#VALUE!</v>
      </c>
      <c r="FS125" t="e">
        <f>AND(Bills!#REF!,"AAAAAG1v464=")</f>
        <v>#REF!</v>
      </c>
      <c r="FT125" t="e">
        <f>AND(Bills!#REF!,"AAAAAG1v468=")</f>
        <v>#REF!</v>
      </c>
      <c r="FU125" t="e">
        <f>AND(Bills!#REF!,"AAAAAG1v47A=")</f>
        <v>#REF!</v>
      </c>
      <c r="FV125" t="e">
        <f>AND(Bills!#REF!,"AAAAAG1v47E=")</f>
        <v>#REF!</v>
      </c>
      <c r="FW125" t="e">
        <f>AND(Bills!#REF!,"AAAAAG1v47I=")</f>
        <v>#REF!</v>
      </c>
      <c r="FX125" t="e">
        <f>AND(Bills!D397,"AAAAAG1v47M=")</f>
        <v>#VALUE!</v>
      </c>
      <c r="FY125" t="e">
        <f>AND(Bills!#REF!,"AAAAAG1v47Q=")</f>
        <v>#REF!</v>
      </c>
      <c r="FZ125" t="e">
        <f>AND(Bills!E397,"AAAAAG1v47U=")</f>
        <v>#VALUE!</v>
      </c>
      <c r="GA125" t="e">
        <f>AND(Bills!F397,"AAAAAG1v47Y=")</f>
        <v>#VALUE!</v>
      </c>
      <c r="GB125" t="e">
        <f>AND(Bills!G397,"AAAAAG1v47c=")</f>
        <v>#VALUE!</v>
      </c>
      <c r="GC125" t="e">
        <f>AND(Bills!H397,"AAAAAG1v47g=")</f>
        <v>#VALUE!</v>
      </c>
      <c r="GD125" t="e">
        <f>AND(Bills!I397,"AAAAAG1v47k=")</f>
        <v>#VALUE!</v>
      </c>
      <c r="GE125" t="e">
        <f>AND(Bills!J397,"AAAAAG1v47o=")</f>
        <v>#VALUE!</v>
      </c>
      <c r="GF125" t="e">
        <f>AND(Bills!#REF!,"AAAAAG1v47s=")</f>
        <v>#REF!</v>
      </c>
      <c r="GG125" t="e">
        <f>AND(Bills!K397,"AAAAAG1v47w=")</f>
        <v>#VALUE!</v>
      </c>
      <c r="GH125" t="e">
        <f>AND(Bills!L397,"AAAAAG1v470=")</f>
        <v>#VALUE!</v>
      </c>
      <c r="GI125" t="e">
        <f>AND(Bills!M397,"AAAAAG1v474=")</f>
        <v>#VALUE!</v>
      </c>
      <c r="GJ125" t="e">
        <f>AND(Bills!N397,"AAAAAG1v478=")</f>
        <v>#VALUE!</v>
      </c>
      <c r="GK125" t="e">
        <f>AND(Bills!O397,"AAAAAG1v48A=")</f>
        <v>#VALUE!</v>
      </c>
      <c r="GL125" t="e">
        <f>AND(Bills!P397,"AAAAAG1v48E=")</f>
        <v>#VALUE!</v>
      </c>
      <c r="GM125" t="e">
        <f>AND(Bills!Q397,"AAAAAG1v48I=")</f>
        <v>#VALUE!</v>
      </c>
      <c r="GN125" t="e">
        <f>AND(Bills!R397,"AAAAAG1v48M=")</f>
        <v>#VALUE!</v>
      </c>
      <c r="GO125" t="e">
        <f>AND(Bills!#REF!,"AAAAAG1v48Q=")</f>
        <v>#REF!</v>
      </c>
      <c r="GP125" t="e">
        <f>AND(Bills!S397,"AAAAAG1v48U=")</f>
        <v>#VALUE!</v>
      </c>
      <c r="GQ125" t="e">
        <f>AND(Bills!T397,"AAAAAG1v48Y=")</f>
        <v>#VALUE!</v>
      </c>
      <c r="GR125" t="e">
        <f>AND(Bills!U397,"AAAAAG1v48c=")</f>
        <v>#VALUE!</v>
      </c>
      <c r="GS125" t="e">
        <f>AND(Bills!#REF!,"AAAAAG1v48g=")</f>
        <v>#REF!</v>
      </c>
      <c r="GT125" t="e">
        <f>AND(Bills!#REF!,"AAAAAG1v48k=")</f>
        <v>#REF!</v>
      </c>
      <c r="GU125" t="e">
        <f>AND(Bills!W397,"AAAAAG1v48o=")</f>
        <v>#VALUE!</v>
      </c>
      <c r="GV125" t="e">
        <f>AND(Bills!X397,"AAAAAG1v48s=")</f>
        <v>#VALUE!</v>
      </c>
      <c r="GW125" t="e">
        <f>AND(Bills!#REF!,"AAAAAG1v48w=")</f>
        <v>#REF!</v>
      </c>
      <c r="GX125" t="e">
        <f>AND(Bills!#REF!,"AAAAAG1v480=")</f>
        <v>#REF!</v>
      </c>
      <c r="GY125" t="e">
        <f>AND(Bills!#REF!,"AAAAAG1v484=")</f>
        <v>#REF!</v>
      </c>
      <c r="GZ125" t="e">
        <f>AND(Bills!#REF!,"AAAAAG1v488=")</f>
        <v>#REF!</v>
      </c>
      <c r="HA125" t="e">
        <f>AND(Bills!#REF!,"AAAAAG1v49A=")</f>
        <v>#REF!</v>
      </c>
      <c r="HB125" t="e">
        <f>AND(Bills!#REF!,"AAAAAG1v49E=")</f>
        <v>#REF!</v>
      </c>
      <c r="HC125" t="e">
        <f>AND(Bills!#REF!,"AAAAAG1v49I=")</f>
        <v>#REF!</v>
      </c>
      <c r="HD125" t="e">
        <f>AND(Bills!#REF!,"AAAAAG1v49M=")</f>
        <v>#REF!</v>
      </c>
      <c r="HE125" t="e">
        <f>AND(Bills!#REF!,"AAAAAG1v49Q=")</f>
        <v>#REF!</v>
      </c>
      <c r="HF125" t="e">
        <f>AND(Bills!Y397,"AAAAAG1v49U=")</f>
        <v>#VALUE!</v>
      </c>
      <c r="HG125" t="e">
        <f>AND(Bills!Z397,"AAAAAG1v49Y=")</f>
        <v>#VALUE!</v>
      </c>
      <c r="HH125" t="e">
        <f>AND(Bills!#REF!,"AAAAAG1v49c=")</f>
        <v>#REF!</v>
      </c>
      <c r="HI125" t="e">
        <f>AND(Bills!#REF!,"AAAAAG1v49g=")</f>
        <v>#REF!</v>
      </c>
      <c r="HJ125" t="e">
        <f>AND(Bills!#REF!,"AAAAAG1v49k=")</f>
        <v>#REF!</v>
      </c>
      <c r="HK125" t="e">
        <f>AND(Bills!AA397,"AAAAAG1v49o=")</f>
        <v>#VALUE!</v>
      </c>
      <c r="HL125" t="e">
        <f>AND(Bills!AB397,"AAAAAG1v49s=")</f>
        <v>#VALUE!</v>
      </c>
      <c r="HM125" t="e">
        <f>AND(Bills!#REF!,"AAAAAG1v49w=")</f>
        <v>#REF!</v>
      </c>
      <c r="HN125">
        <f>IF(Bills!398:398,"AAAAAG1v490=",0)</f>
        <v>0</v>
      </c>
      <c r="HO125" t="e">
        <f>AND(Bills!B398,"AAAAAG1v494=")</f>
        <v>#VALUE!</v>
      </c>
      <c r="HP125" t="e">
        <f>AND(Bills!#REF!,"AAAAAG1v498=")</f>
        <v>#REF!</v>
      </c>
      <c r="HQ125" t="e">
        <f>AND(Bills!C398,"AAAAAG1v4+A=")</f>
        <v>#VALUE!</v>
      </c>
      <c r="HR125" t="e">
        <f>AND(Bills!#REF!,"AAAAAG1v4+E=")</f>
        <v>#REF!</v>
      </c>
      <c r="HS125" t="e">
        <f>AND(Bills!#REF!,"AAAAAG1v4+I=")</f>
        <v>#REF!</v>
      </c>
      <c r="HT125" t="e">
        <f>AND(Bills!#REF!,"AAAAAG1v4+M=")</f>
        <v>#REF!</v>
      </c>
      <c r="HU125" t="e">
        <f>AND(Bills!#REF!,"AAAAAG1v4+Q=")</f>
        <v>#REF!</v>
      </c>
      <c r="HV125" t="e">
        <f>AND(Bills!#REF!,"AAAAAG1v4+U=")</f>
        <v>#REF!</v>
      </c>
      <c r="HW125" t="e">
        <f>AND(Bills!D398,"AAAAAG1v4+Y=")</f>
        <v>#VALUE!</v>
      </c>
      <c r="HX125" t="e">
        <f>AND(Bills!#REF!,"AAAAAG1v4+c=")</f>
        <v>#REF!</v>
      </c>
      <c r="HY125" t="e">
        <f>AND(Bills!E398,"AAAAAG1v4+g=")</f>
        <v>#VALUE!</v>
      </c>
      <c r="HZ125" t="e">
        <f>AND(Bills!F398,"AAAAAG1v4+k=")</f>
        <v>#VALUE!</v>
      </c>
      <c r="IA125" t="e">
        <f>AND(Bills!G398,"AAAAAG1v4+o=")</f>
        <v>#VALUE!</v>
      </c>
      <c r="IB125" t="e">
        <f>AND(Bills!H398,"AAAAAG1v4+s=")</f>
        <v>#VALUE!</v>
      </c>
      <c r="IC125" t="e">
        <f>AND(Bills!I398,"AAAAAG1v4+w=")</f>
        <v>#VALUE!</v>
      </c>
      <c r="ID125" t="e">
        <f>AND(Bills!J398,"AAAAAG1v4+0=")</f>
        <v>#VALUE!</v>
      </c>
      <c r="IE125" t="e">
        <f>AND(Bills!#REF!,"AAAAAG1v4+4=")</f>
        <v>#REF!</v>
      </c>
      <c r="IF125" t="e">
        <f>AND(Bills!K398,"AAAAAG1v4+8=")</f>
        <v>#VALUE!</v>
      </c>
      <c r="IG125" t="e">
        <f>AND(Bills!L398,"AAAAAG1v4/A=")</f>
        <v>#VALUE!</v>
      </c>
      <c r="IH125" t="e">
        <f>AND(Bills!M398,"AAAAAG1v4/E=")</f>
        <v>#VALUE!</v>
      </c>
      <c r="II125" t="e">
        <f>AND(Bills!N398,"AAAAAG1v4/I=")</f>
        <v>#VALUE!</v>
      </c>
      <c r="IJ125" t="e">
        <f>AND(Bills!O398,"AAAAAG1v4/M=")</f>
        <v>#VALUE!</v>
      </c>
      <c r="IK125" t="e">
        <f>AND(Bills!P398,"AAAAAG1v4/Q=")</f>
        <v>#VALUE!</v>
      </c>
      <c r="IL125" t="e">
        <f>AND(Bills!Q398,"AAAAAG1v4/U=")</f>
        <v>#VALUE!</v>
      </c>
      <c r="IM125" t="e">
        <f>AND(Bills!R398,"AAAAAG1v4/Y=")</f>
        <v>#VALUE!</v>
      </c>
      <c r="IN125" t="e">
        <f>AND(Bills!#REF!,"AAAAAG1v4/c=")</f>
        <v>#REF!</v>
      </c>
      <c r="IO125" t="e">
        <f>AND(Bills!S398,"AAAAAG1v4/g=")</f>
        <v>#VALUE!</v>
      </c>
      <c r="IP125" t="e">
        <f>AND(Bills!T398,"AAAAAG1v4/k=")</f>
        <v>#VALUE!</v>
      </c>
      <c r="IQ125" t="e">
        <f>AND(Bills!U398,"AAAAAG1v4/o=")</f>
        <v>#VALUE!</v>
      </c>
      <c r="IR125" t="e">
        <f>AND(Bills!#REF!,"AAAAAG1v4/s=")</f>
        <v>#REF!</v>
      </c>
      <c r="IS125" t="e">
        <f>AND(Bills!#REF!,"AAAAAG1v4/w=")</f>
        <v>#REF!</v>
      </c>
      <c r="IT125" t="e">
        <f>AND(Bills!W398,"AAAAAG1v4/0=")</f>
        <v>#VALUE!</v>
      </c>
      <c r="IU125" t="e">
        <f>AND(Bills!X398,"AAAAAG1v4/4=")</f>
        <v>#VALUE!</v>
      </c>
      <c r="IV125" t="e">
        <f>AND(Bills!#REF!,"AAAAAG1v4/8=")</f>
        <v>#REF!</v>
      </c>
    </row>
    <row r="126" spans="1:256">
      <c r="A126" t="e">
        <f>AND(Bills!#REF!,"AAAAABX+/QA=")</f>
        <v>#REF!</v>
      </c>
      <c r="B126" t="e">
        <f>AND(Bills!#REF!,"AAAAABX+/QE=")</f>
        <v>#REF!</v>
      </c>
      <c r="C126" t="e">
        <f>AND(Bills!#REF!,"AAAAABX+/QI=")</f>
        <v>#REF!</v>
      </c>
      <c r="D126" t="e">
        <f>AND(Bills!#REF!,"AAAAABX+/QM=")</f>
        <v>#REF!</v>
      </c>
      <c r="E126" t="e">
        <f>AND(Bills!#REF!,"AAAAABX+/QQ=")</f>
        <v>#REF!</v>
      </c>
      <c r="F126" t="e">
        <f>AND(Bills!#REF!,"AAAAABX+/QU=")</f>
        <v>#REF!</v>
      </c>
      <c r="G126" t="e">
        <f>AND(Bills!#REF!,"AAAAABX+/QY=")</f>
        <v>#REF!</v>
      </c>
      <c r="H126" t="e">
        <f>AND(Bills!#REF!,"AAAAABX+/Qc=")</f>
        <v>#REF!</v>
      </c>
      <c r="I126" t="e">
        <f>AND(Bills!Y398,"AAAAABX+/Qg=")</f>
        <v>#VALUE!</v>
      </c>
      <c r="J126" t="e">
        <f>AND(Bills!Z398,"AAAAABX+/Qk=")</f>
        <v>#VALUE!</v>
      </c>
      <c r="K126" t="e">
        <f>AND(Bills!#REF!,"AAAAABX+/Qo=")</f>
        <v>#REF!</v>
      </c>
      <c r="L126" t="e">
        <f>AND(Bills!#REF!,"AAAAABX+/Qs=")</f>
        <v>#REF!</v>
      </c>
      <c r="M126" t="e">
        <f>AND(Bills!#REF!,"AAAAABX+/Qw=")</f>
        <v>#REF!</v>
      </c>
      <c r="N126" t="e">
        <f>AND(Bills!AA398,"AAAAABX+/Q0=")</f>
        <v>#VALUE!</v>
      </c>
      <c r="O126" t="e">
        <f>AND(Bills!AB398,"AAAAABX+/Q4=")</f>
        <v>#VALUE!</v>
      </c>
      <c r="P126" t="e">
        <f>AND(Bills!#REF!,"AAAAABX+/Q8=")</f>
        <v>#REF!</v>
      </c>
      <c r="Q126">
        <f>IF(Bills!399:399,"AAAAABX+/RA=",0)</f>
        <v>0</v>
      </c>
      <c r="R126" t="e">
        <f>AND(Bills!B399,"AAAAABX+/RE=")</f>
        <v>#VALUE!</v>
      </c>
      <c r="S126" t="e">
        <f>AND(Bills!#REF!,"AAAAABX+/RI=")</f>
        <v>#REF!</v>
      </c>
      <c r="T126" t="e">
        <f>AND(Bills!C399,"AAAAABX+/RM=")</f>
        <v>#VALUE!</v>
      </c>
      <c r="U126" t="e">
        <f>AND(Bills!#REF!,"AAAAABX+/RQ=")</f>
        <v>#REF!</v>
      </c>
      <c r="V126" t="e">
        <f>AND(Bills!#REF!,"AAAAABX+/RU=")</f>
        <v>#REF!</v>
      </c>
      <c r="W126" t="e">
        <f>AND(Bills!#REF!,"AAAAABX+/RY=")</f>
        <v>#REF!</v>
      </c>
      <c r="X126" t="e">
        <f>AND(Bills!#REF!,"AAAAABX+/Rc=")</f>
        <v>#REF!</v>
      </c>
      <c r="Y126" t="e">
        <f>AND(Bills!#REF!,"AAAAABX+/Rg=")</f>
        <v>#REF!</v>
      </c>
      <c r="Z126" t="e">
        <f>AND(Bills!D399,"AAAAABX+/Rk=")</f>
        <v>#VALUE!</v>
      </c>
      <c r="AA126" t="e">
        <f>AND(Bills!#REF!,"AAAAABX+/Ro=")</f>
        <v>#REF!</v>
      </c>
      <c r="AB126" t="e">
        <f>AND(Bills!E399,"AAAAABX+/Rs=")</f>
        <v>#VALUE!</v>
      </c>
      <c r="AC126" t="e">
        <f>AND(Bills!F399,"AAAAABX+/Rw=")</f>
        <v>#VALUE!</v>
      </c>
      <c r="AD126" t="e">
        <f>AND(Bills!G399,"AAAAABX+/R0=")</f>
        <v>#VALUE!</v>
      </c>
      <c r="AE126" t="e">
        <f>AND(Bills!H399,"AAAAABX+/R4=")</f>
        <v>#VALUE!</v>
      </c>
      <c r="AF126" t="e">
        <f>AND(Bills!I399,"AAAAABX+/R8=")</f>
        <v>#VALUE!</v>
      </c>
      <c r="AG126" t="e">
        <f>AND(Bills!J399,"AAAAABX+/SA=")</f>
        <v>#VALUE!</v>
      </c>
      <c r="AH126" t="e">
        <f>AND(Bills!#REF!,"AAAAABX+/SE=")</f>
        <v>#REF!</v>
      </c>
      <c r="AI126" t="e">
        <f>AND(Bills!K399,"AAAAABX+/SI=")</f>
        <v>#VALUE!</v>
      </c>
      <c r="AJ126" t="e">
        <f>AND(Bills!L399,"AAAAABX+/SM=")</f>
        <v>#VALUE!</v>
      </c>
      <c r="AK126" t="e">
        <f>AND(Bills!M399,"AAAAABX+/SQ=")</f>
        <v>#VALUE!</v>
      </c>
      <c r="AL126" t="e">
        <f>AND(Bills!N399,"AAAAABX+/SU=")</f>
        <v>#VALUE!</v>
      </c>
      <c r="AM126" t="e">
        <f>AND(Bills!O399,"AAAAABX+/SY=")</f>
        <v>#VALUE!</v>
      </c>
      <c r="AN126" t="e">
        <f>AND(Bills!P399,"AAAAABX+/Sc=")</f>
        <v>#VALUE!</v>
      </c>
      <c r="AO126" t="e">
        <f>AND(Bills!Q399,"AAAAABX+/Sg=")</f>
        <v>#VALUE!</v>
      </c>
      <c r="AP126" t="e">
        <f>AND(Bills!R399,"AAAAABX+/Sk=")</f>
        <v>#VALUE!</v>
      </c>
      <c r="AQ126" t="e">
        <f>AND(Bills!#REF!,"AAAAABX+/So=")</f>
        <v>#REF!</v>
      </c>
      <c r="AR126" t="e">
        <f>AND(Bills!S399,"AAAAABX+/Ss=")</f>
        <v>#VALUE!</v>
      </c>
      <c r="AS126" t="e">
        <f>AND(Bills!T399,"AAAAABX+/Sw=")</f>
        <v>#VALUE!</v>
      </c>
      <c r="AT126" t="e">
        <f>AND(Bills!U399,"AAAAABX+/S0=")</f>
        <v>#VALUE!</v>
      </c>
      <c r="AU126" t="e">
        <f>AND(Bills!#REF!,"AAAAABX+/S4=")</f>
        <v>#REF!</v>
      </c>
      <c r="AV126" t="e">
        <f>AND(Bills!#REF!,"AAAAABX+/S8=")</f>
        <v>#REF!</v>
      </c>
      <c r="AW126" t="e">
        <f>AND(Bills!W399,"AAAAABX+/TA=")</f>
        <v>#VALUE!</v>
      </c>
      <c r="AX126" t="e">
        <f>AND(Bills!X399,"AAAAABX+/TE=")</f>
        <v>#VALUE!</v>
      </c>
      <c r="AY126" t="e">
        <f>AND(Bills!#REF!,"AAAAABX+/TI=")</f>
        <v>#REF!</v>
      </c>
      <c r="AZ126" t="e">
        <f>AND(Bills!#REF!,"AAAAABX+/TM=")</f>
        <v>#REF!</v>
      </c>
      <c r="BA126" t="e">
        <f>AND(Bills!#REF!,"AAAAABX+/TQ=")</f>
        <v>#REF!</v>
      </c>
      <c r="BB126" t="e">
        <f>AND(Bills!#REF!,"AAAAABX+/TU=")</f>
        <v>#REF!</v>
      </c>
      <c r="BC126" t="e">
        <f>AND(Bills!#REF!,"AAAAABX+/TY=")</f>
        <v>#REF!</v>
      </c>
      <c r="BD126" t="e">
        <f>AND(Bills!#REF!,"AAAAABX+/Tc=")</f>
        <v>#REF!</v>
      </c>
      <c r="BE126" t="e">
        <f>AND(Bills!#REF!,"AAAAABX+/Tg=")</f>
        <v>#REF!</v>
      </c>
      <c r="BF126" t="e">
        <f>AND(Bills!#REF!,"AAAAABX+/Tk=")</f>
        <v>#REF!</v>
      </c>
      <c r="BG126" t="e">
        <f>AND(Bills!#REF!,"AAAAABX+/To=")</f>
        <v>#REF!</v>
      </c>
      <c r="BH126" t="e">
        <f>AND(Bills!Y399,"AAAAABX+/Ts=")</f>
        <v>#VALUE!</v>
      </c>
      <c r="BI126" t="e">
        <f>AND(Bills!Z399,"AAAAABX+/Tw=")</f>
        <v>#VALUE!</v>
      </c>
      <c r="BJ126" t="e">
        <f>AND(Bills!#REF!,"AAAAABX+/T0=")</f>
        <v>#REF!</v>
      </c>
      <c r="BK126" t="e">
        <f>AND(Bills!#REF!,"AAAAABX+/T4=")</f>
        <v>#REF!</v>
      </c>
      <c r="BL126" t="e">
        <f>AND(Bills!#REF!,"AAAAABX+/T8=")</f>
        <v>#REF!</v>
      </c>
      <c r="BM126" t="e">
        <f>AND(Bills!AA399,"AAAAABX+/UA=")</f>
        <v>#VALUE!</v>
      </c>
      <c r="BN126" t="e">
        <f>AND(Bills!AB399,"AAAAABX+/UE=")</f>
        <v>#VALUE!</v>
      </c>
      <c r="BO126" t="e">
        <f>AND(Bills!#REF!,"AAAAABX+/UI=")</f>
        <v>#REF!</v>
      </c>
      <c r="BP126">
        <f>IF(Bills!400:400,"AAAAABX+/UM=",0)</f>
        <v>0</v>
      </c>
      <c r="BQ126" t="e">
        <f>AND(Bills!B400,"AAAAABX+/UQ=")</f>
        <v>#VALUE!</v>
      </c>
      <c r="BR126" t="e">
        <f>AND(Bills!#REF!,"AAAAABX+/UU=")</f>
        <v>#REF!</v>
      </c>
      <c r="BS126" t="e">
        <f>AND(Bills!C400,"AAAAABX+/UY=")</f>
        <v>#VALUE!</v>
      </c>
      <c r="BT126" t="e">
        <f>AND(Bills!#REF!,"AAAAABX+/Uc=")</f>
        <v>#REF!</v>
      </c>
      <c r="BU126" t="e">
        <f>AND(Bills!#REF!,"AAAAABX+/Ug=")</f>
        <v>#REF!</v>
      </c>
      <c r="BV126" t="e">
        <f>AND(Bills!#REF!,"AAAAABX+/Uk=")</f>
        <v>#REF!</v>
      </c>
      <c r="BW126" t="e">
        <f>AND(Bills!#REF!,"AAAAABX+/Uo=")</f>
        <v>#REF!</v>
      </c>
      <c r="BX126" t="e">
        <f>AND(Bills!#REF!,"AAAAABX+/Us=")</f>
        <v>#REF!</v>
      </c>
      <c r="BY126" t="e">
        <f>AND(Bills!D400,"AAAAABX+/Uw=")</f>
        <v>#VALUE!</v>
      </c>
      <c r="BZ126" t="e">
        <f>AND(Bills!#REF!,"AAAAABX+/U0=")</f>
        <v>#REF!</v>
      </c>
      <c r="CA126" t="e">
        <f>AND(Bills!E400,"AAAAABX+/U4=")</f>
        <v>#VALUE!</v>
      </c>
      <c r="CB126" t="e">
        <f>AND(Bills!F400,"AAAAABX+/U8=")</f>
        <v>#VALUE!</v>
      </c>
      <c r="CC126" t="e">
        <f>AND(Bills!G400,"AAAAABX+/VA=")</f>
        <v>#VALUE!</v>
      </c>
      <c r="CD126" t="e">
        <f>AND(Bills!H400,"AAAAABX+/VE=")</f>
        <v>#VALUE!</v>
      </c>
      <c r="CE126" t="e">
        <f>AND(Bills!I400,"AAAAABX+/VI=")</f>
        <v>#VALUE!</v>
      </c>
      <c r="CF126" t="e">
        <f>AND(Bills!J400,"AAAAABX+/VM=")</f>
        <v>#VALUE!</v>
      </c>
      <c r="CG126" t="e">
        <f>AND(Bills!#REF!,"AAAAABX+/VQ=")</f>
        <v>#REF!</v>
      </c>
      <c r="CH126" t="e">
        <f>AND(Bills!K400,"AAAAABX+/VU=")</f>
        <v>#VALUE!</v>
      </c>
      <c r="CI126" t="e">
        <f>AND(Bills!L400,"AAAAABX+/VY=")</f>
        <v>#VALUE!</v>
      </c>
      <c r="CJ126" t="e">
        <f>AND(Bills!M400,"AAAAABX+/Vc=")</f>
        <v>#VALUE!</v>
      </c>
      <c r="CK126" t="e">
        <f>AND(Bills!N400,"AAAAABX+/Vg=")</f>
        <v>#VALUE!</v>
      </c>
      <c r="CL126" t="e">
        <f>AND(Bills!O400,"AAAAABX+/Vk=")</f>
        <v>#VALUE!</v>
      </c>
      <c r="CM126" t="e">
        <f>AND(Bills!P400,"AAAAABX+/Vo=")</f>
        <v>#VALUE!</v>
      </c>
      <c r="CN126" t="e">
        <f>AND(Bills!Q400,"AAAAABX+/Vs=")</f>
        <v>#VALUE!</v>
      </c>
      <c r="CO126" t="e">
        <f>AND(Bills!R400,"AAAAABX+/Vw=")</f>
        <v>#VALUE!</v>
      </c>
      <c r="CP126" t="e">
        <f>AND(Bills!#REF!,"AAAAABX+/V0=")</f>
        <v>#REF!</v>
      </c>
      <c r="CQ126" t="e">
        <f>AND(Bills!S400,"AAAAABX+/V4=")</f>
        <v>#VALUE!</v>
      </c>
      <c r="CR126" t="e">
        <f>AND(Bills!T400,"AAAAABX+/V8=")</f>
        <v>#VALUE!</v>
      </c>
      <c r="CS126" t="e">
        <f>AND(Bills!U400,"AAAAABX+/WA=")</f>
        <v>#VALUE!</v>
      </c>
      <c r="CT126" t="e">
        <f>AND(Bills!#REF!,"AAAAABX+/WE=")</f>
        <v>#REF!</v>
      </c>
      <c r="CU126" t="e">
        <f>AND(Bills!#REF!,"AAAAABX+/WI=")</f>
        <v>#REF!</v>
      </c>
      <c r="CV126" t="e">
        <f>AND(Bills!W400,"AAAAABX+/WM=")</f>
        <v>#VALUE!</v>
      </c>
      <c r="CW126" t="e">
        <f>AND(Bills!X400,"AAAAABX+/WQ=")</f>
        <v>#VALUE!</v>
      </c>
      <c r="CX126" t="e">
        <f>AND(Bills!#REF!,"AAAAABX+/WU=")</f>
        <v>#REF!</v>
      </c>
      <c r="CY126" t="e">
        <f>AND(Bills!#REF!,"AAAAABX+/WY=")</f>
        <v>#REF!</v>
      </c>
      <c r="CZ126" t="e">
        <f>AND(Bills!#REF!,"AAAAABX+/Wc=")</f>
        <v>#REF!</v>
      </c>
      <c r="DA126" t="e">
        <f>AND(Bills!#REF!,"AAAAABX+/Wg=")</f>
        <v>#REF!</v>
      </c>
      <c r="DB126" t="e">
        <f>AND(Bills!#REF!,"AAAAABX+/Wk=")</f>
        <v>#REF!</v>
      </c>
      <c r="DC126" t="e">
        <f>AND(Bills!#REF!,"AAAAABX+/Wo=")</f>
        <v>#REF!</v>
      </c>
      <c r="DD126" t="e">
        <f>AND(Bills!#REF!,"AAAAABX+/Ws=")</f>
        <v>#REF!</v>
      </c>
      <c r="DE126" t="e">
        <f>AND(Bills!#REF!,"AAAAABX+/Ww=")</f>
        <v>#REF!</v>
      </c>
      <c r="DF126" t="e">
        <f>AND(Bills!#REF!,"AAAAABX+/W0=")</f>
        <v>#REF!</v>
      </c>
      <c r="DG126" t="e">
        <f>AND(Bills!Y400,"AAAAABX+/W4=")</f>
        <v>#VALUE!</v>
      </c>
      <c r="DH126" t="e">
        <f>AND(Bills!Z400,"AAAAABX+/W8=")</f>
        <v>#VALUE!</v>
      </c>
      <c r="DI126" t="e">
        <f>AND(Bills!#REF!,"AAAAABX+/XA=")</f>
        <v>#REF!</v>
      </c>
      <c r="DJ126" t="e">
        <f>AND(Bills!#REF!,"AAAAABX+/XE=")</f>
        <v>#REF!</v>
      </c>
      <c r="DK126" t="e">
        <f>AND(Bills!#REF!,"AAAAABX+/XI=")</f>
        <v>#REF!</v>
      </c>
      <c r="DL126" t="e">
        <f>AND(Bills!AA400,"AAAAABX+/XM=")</f>
        <v>#VALUE!</v>
      </c>
      <c r="DM126" t="e">
        <f>AND(Bills!AB400,"AAAAABX+/XQ=")</f>
        <v>#VALUE!</v>
      </c>
      <c r="DN126" t="e">
        <f>AND(Bills!#REF!,"AAAAABX+/XU=")</f>
        <v>#REF!</v>
      </c>
      <c r="DO126">
        <f>IF(Bills!401:401,"AAAAABX+/XY=",0)</f>
        <v>0</v>
      </c>
      <c r="DP126" t="e">
        <f>AND(Bills!B401,"AAAAABX+/Xc=")</f>
        <v>#VALUE!</v>
      </c>
      <c r="DQ126" t="e">
        <f>AND(Bills!#REF!,"AAAAABX+/Xg=")</f>
        <v>#REF!</v>
      </c>
      <c r="DR126" t="e">
        <f>AND(Bills!C401,"AAAAABX+/Xk=")</f>
        <v>#VALUE!</v>
      </c>
      <c r="DS126" t="e">
        <f>AND(Bills!#REF!,"AAAAABX+/Xo=")</f>
        <v>#REF!</v>
      </c>
      <c r="DT126" t="e">
        <f>AND(Bills!#REF!,"AAAAABX+/Xs=")</f>
        <v>#REF!</v>
      </c>
      <c r="DU126" t="e">
        <f>AND(Bills!#REF!,"AAAAABX+/Xw=")</f>
        <v>#REF!</v>
      </c>
      <c r="DV126" t="e">
        <f>AND(Bills!#REF!,"AAAAABX+/X0=")</f>
        <v>#REF!</v>
      </c>
      <c r="DW126" t="e">
        <f>AND(Bills!#REF!,"AAAAABX+/X4=")</f>
        <v>#REF!</v>
      </c>
      <c r="DX126" t="e">
        <f>AND(Bills!D401,"AAAAABX+/X8=")</f>
        <v>#VALUE!</v>
      </c>
      <c r="DY126" t="e">
        <f>AND(Bills!#REF!,"AAAAABX+/YA=")</f>
        <v>#REF!</v>
      </c>
      <c r="DZ126" t="e">
        <f>AND(Bills!E401,"AAAAABX+/YE=")</f>
        <v>#VALUE!</v>
      </c>
      <c r="EA126" t="e">
        <f>AND(Bills!F401,"AAAAABX+/YI=")</f>
        <v>#VALUE!</v>
      </c>
      <c r="EB126" t="e">
        <f>AND(Bills!G401,"AAAAABX+/YM=")</f>
        <v>#VALUE!</v>
      </c>
      <c r="EC126" t="e">
        <f>AND(Bills!H401,"AAAAABX+/YQ=")</f>
        <v>#VALUE!</v>
      </c>
      <c r="ED126" t="e">
        <f>AND(Bills!I401,"AAAAABX+/YU=")</f>
        <v>#VALUE!</v>
      </c>
      <c r="EE126" t="e">
        <f>AND(Bills!J401,"AAAAABX+/YY=")</f>
        <v>#VALUE!</v>
      </c>
      <c r="EF126" t="e">
        <f>AND(Bills!#REF!,"AAAAABX+/Yc=")</f>
        <v>#REF!</v>
      </c>
      <c r="EG126" t="e">
        <f>AND(Bills!K401,"AAAAABX+/Yg=")</f>
        <v>#VALUE!</v>
      </c>
      <c r="EH126" t="e">
        <f>AND(Bills!L401,"AAAAABX+/Yk=")</f>
        <v>#VALUE!</v>
      </c>
      <c r="EI126" t="e">
        <f>AND(Bills!M401,"AAAAABX+/Yo=")</f>
        <v>#VALUE!</v>
      </c>
      <c r="EJ126" t="e">
        <f>AND(Bills!N401,"AAAAABX+/Ys=")</f>
        <v>#VALUE!</v>
      </c>
      <c r="EK126" t="e">
        <f>AND(Bills!O401,"AAAAABX+/Yw=")</f>
        <v>#VALUE!</v>
      </c>
      <c r="EL126" t="e">
        <f>AND(Bills!P401,"AAAAABX+/Y0=")</f>
        <v>#VALUE!</v>
      </c>
      <c r="EM126" t="e">
        <f>AND(Bills!Q401,"AAAAABX+/Y4=")</f>
        <v>#VALUE!</v>
      </c>
      <c r="EN126" t="e">
        <f>AND(Bills!R401,"AAAAABX+/Y8=")</f>
        <v>#VALUE!</v>
      </c>
      <c r="EO126" t="e">
        <f>AND(Bills!#REF!,"AAAAABX+/ZA=")</f>
        <v>#REF!</v>
      </c>
      <c r="EP126" t="e">
        <f>AND(Bills!S401,"AAAAABX+/ZE=")</f>
        <v>#VALUE!</v>
      </c>
      <c r="EQ126" t="e">
        <f>AND(Bills!T401,"AAAAABX+/ZI=")</f>
        <v>#VALUE!</v>
      </c>
      <c r="ER126" t="e">
        <f>AND(Bills!U401,"AAAAABX+/ZM=")</f>
        <v>#VALUE!</v>
      </c>
      <c r="ES126" t="e">
        <f>AND(Bills!#REF!,"AAAAABX+/ZQ=")</f>
        <v>#REF!</v>
      </c>
      <c r="ET126" t="e">
        <f>AND(Bills!#REF!,"AAAAABX+/ZU=")</f>
        <v>#REF!</v>
      </c>
      <c r="EU126" t="e">
        <f>AND(Bills!W401,"AAAAABX+/ZY=")</f>
        <v>#VALUE!</v>
      </c>
      <c r="EV126" t="e">
        <f>AND(Bills!X401,"AAAAABX+/Zc=")</f>
        <v>#VALUE!</v>
      </c>
      <c r="EW126" t="e">
        <f>AND(Bills!#REF!,"AAAAABX+/Zg=")</f>
        <v>#REF!</v>
      </c>
      <c r="EX126" t="e">
        <f>AND(Bills!#REF!,"AAAAABX+/Zk=")</f>
        <v>#REF!</v>
      </c>
      <c r="EY126" t="e">
        <f>AND(Bills!#REF!,"AAAAABX+/Zo=")</f>
        <v>#REF!</v>
      </c>
      <c r="EZ126" t="e">
        <f>AND(Bills!#REF!,"AAAAABX+/Zs=")</f>
        <v>#REF!</v>
      </c>
      <c r="FA126" t="e">
        <f>AND(Bills!#REF!,"AAAAABX+/Zw=")</f>
        <v>#REF!</v>
      </c>
      <c r="FB126" t="e">
        <f>AND(Bills!#REF!,"AAAAABX+/Z0=")</f>
        <v>#REF!</v>
      </c>
      <c r="FC126" t="e">
        <f>AND(Bills!#REF!,"AAAAABX+/Z4=")</f>
        <v>#REF!</v>
      </c>
      <c r="FD126" t="e">
        <f>AND(Bills!#REF!,"AAAAABX+/Z8=")</f>
        <v>#REF!</v>
      </c>
      <c r="FE126" t="e">
        <f>AND(Bills!#REF!,"AAAAABX+/aA=")</f>
        <v>#REF!</v>
      </c>
      <c r="FF126" t="e">
        <f>AND(Bills!Y401,"AAAAABX+/aE=")</f>
        <v>#VALUE!</v>
      </c>
      <c r="FG126" t="e">
        <f>AND(Bills!Z401,"AAAAABX+/aI=")</f>
        <v>#VALUE!</v>
      </c>
      <c r="FH126" t="e">
        <f>AND(Bills!#REF!,"AAAAABX+/aM=")</f>
        <v>#REF!</v>
      </c>
      <c r="FI126" t="e">
        <f>AND(Bills!#REF!,"AAAAABX+/aQ=")</f>
        <v>#REF!</v>
      </c>
      <c r="FJ126" t="e">
        <f>AND(Bills!#REF!,"AAAAABX+/aU=")</f>
        <v>#REF!</v>
      </c>
      <c r="FK126" t="e">
        <f>AND(Bills!AA401,"AAAAABX+/aY=")</f>
        <v>#VALUE!</v>
      </c>
      <c r="FL126" t="e">
        <f>AND(Bills!AB401,"AAAAABX+/ac=")</f>
        <v>#VALUE!</v>
      </c>
      <c r="FM126" t="e">
        <f>AND(Bills!#REF!,"AAAAABX+/ag=")</f>
        <v>#REF!</v>
      </c>
      <c r="FN126">
        <f>IF(Bills!402:402,"AAAAABX+/ak=",0)</f>
        <v>0</v>
      </c>
      <c r="FO126" t="e">
        <f>AND(Bills!B402,"AAAAABX+/ao=")</f>
        <v>#VALUE!</v>
      </c>
      <c r="FP126" t="e">
        <f>AND(Bills!#REF!,"AAAAABX+/as=")</f>
        <v>#REF!</v>
      </c>
      <c r="FQ126" t="e">
        <f>AND(Bills!C402,"AAAAABX+/aw=")</f>
        <v>#VALUE!</v>
      </c>
      <c r="FR126" t="e">
        <f>AND(Bills!#REF!,"AAAAABX+/a0=")</f>
        <v>#REF!</v>
      </c>
      <c r="FS126" t="e">
        <f>AND(Bills!#REF!,"AAAAABX+/a4=")</f>
        <v>#REF!</v>
      </c>
      <c r="FT126" t="e">
        <f>AND(Bills!#REF!,"AAAAABX+/a8=")</f>
        <v>#REF!</v>
      </c>
      <c r="FU126" t="e">
        <f>AND(Bills!#REF!,"AAAAABX+/bA=")</f>
        <v>#REF!</v>
      </c>
      <c r="FV126" t="e">
        <f>AND(Bills!#REF!,"AAAAABX+/bE=")</f>
        <v>#REF!</v>
      </c>
      <c r="FW126" t="e">
        <f>AND(Bills!D402,"AAAAABX+/bI=")</f>
        <v>#VALUE!</v>
      </c>
      <c r="FX126" t="e">
        <f>AND(Bills!#REF!,"AAAAABX+/bM=")</f>
        <v>#REF!</v>
      </c>
      <c r="FY126" t="e">
        <f>AND(Bills!E402,"AAAAABX+/bQ=")</f>
        <v>#VALUE!</v>
      </c>
      <c r="FZ126" t="e">
        <f>AND(Bills!F402,"AAAAABX+/bU=")</f>
        <v>#VALUE!</v>
      </c>
      <c r="GA126" t="e">
        <f>AND(Bills!G402,"AAAAABX+/bY=")</f>
        <v>#VALUE!</v>
      </c>
      <c r="GB126" t="e">
        <f>AND(Bills!H402,"AAAAABX+/bc=")</f>
        <v>#VALUE!</v>
      </c>
      <c r="GC126" t="e">
        <f>AND(Bills!I402,"AAAAABX+/bg=")</f>
        <v>#VALUE!</v>
      </c>
      <c r="GD126" t="e">
        <f>AND(Bills!J402,"AAAAABX+/bk=")</f>
        <v>#VALUE!</v>
      </c>
      <c r="GE126" t="e">
        <f>AND(Bills!#REF!,"AAAAABX+/bo=")</f>
        <v>#REF!</v>
      </c>
      <c r="GF126" t="e">
        <f>AND(Bills!K402,"AAAAABX+/bs=")</f>
        <v>#VALUE!</v>
      </c>
      <c r="GG126" t="e">
        <f>AND(Bills!L402,"AAAAABX+/bw=")</f>
        <v>#VALUE!</v>
      </c>
      <c r="GH126" t="e">
        <f>AND(Bills!M402,"AAAAABX+/b0=")</f>
        <v>#VALUE!</v>
      </c>
      <c r="GI126" t="e">
        <f>AND(Bills!N402,"AAAAABX+/b4=")</f>
        <v>#VALUE!</v>
      </c>
      <c r="GJ126" t="e">
        <f>AND(Bills!O402,"AAAAABX+/b8=")</f>
        <v>#VALUE!</v>
      </c>
      <c r="GK126" t="e">
        <f>AND(Bills!P402,"AAAAABX+/cA=")</f>
        <v>#VALUE!</v>
      </c>
      <c r="GL126" t="e">
        <f>AND(Bills!Q402,"AAAAABX+/cE=")</f>
        <v>#VALUE!</v>
      </c>
      <c r="GM126" t="e">
        <f>AND(Bills!R402,"AAAAABX+/cI=")</f>
        <v>#VALUE!</v>
      </c>
      <c r="GN126" t="e">
        <f>AND(Bills!#REF!,"AAAAABX+/cM=")</f>
        <v>#REF!</v>
      </c>
      <c r="GO126" t="e">
        <f>AND(Bills!S402,"AAAAABX+/cQ=")</f>
        <v>#VALUE!</v>
      </c>
      <c r="GP126" t="e">
        <f>AND(Bills!T402,"AAAAABX+/cU=")</f>
        <v>#VALUE!</v>
      </c>
      <c r="GQ126" t="e">
        <f>AND(Bills!U402,"AAAAABX+/cY=")</f>
        <v>#VALUE!</v>
      </c>
      <c r="GR126" t="e">
        <f>AND(Bills!#REF!,"AAAAABX+/cc=")</f>
        <v>#REF!</v>
      </c>
      <c r="GS126" t="e">
        <f>AND(Bills!#REF!,"AAAAABX+/cg=")</f>
        <v>#REF!</v>
      </c>
      <c r="GT126" t="e">
        <f>AND(Bills!W402,"AAAAABX+/ck=")</f>
        <v>#VALUE!</v>
      </c>
      <c r="GU126" t="e">
        <f>AND(Bills!X402,"AAAAABX+/co=")</f>
        <v>#VALUE!</v>
      </c>
      <c r="GV126" t="e">
        <f>AND(Bills!#REF!,"AAAAABX+/cs=")</f>
        <v>#REF!</v>
      </c>
      <c r="GW126" t="e">
        <f>AND(Bills!#REF!,"AAAAABX+/cw=")</f>
        <v>#REF!</v>
      </c>
      <c r="GX126" t="e">
        <f>AND(Bills!#REF!,"AAAAABX+/c0=")</f>
        <v>#REF!</v>
      </c>
      <c r="GY126" t="e">
        <f>AND(Bills!#REF!,"AAAAABX+/c4=")</f>
        <v>#REF!</v>
      </c>
      <c r="GZ126" t="e">
        <f>AND(Bills!#REF!,"AAAAABX+/c8=")</f>
        <v>#REF!</v>
      </c>
      <c r="HA126" t="e">
        <f>AND(Bills!#REF!,"AAAAABX+/dA=")</f>
        <v>#REF!</v>
      </c>
      <c r="HB126" t="e">
        <f>AND(Bills!#REF!,"AAAAABX+/dE=")</f>
        <v>#REF!</v>
      </c>
      <c r="HC126" t="e">
        <f>AND(Bills!#REF!,"AAAAABX+/dI=")</f>
        <v>#REF!</v>
      </c>
      <c r="HD126" t="e">
        <f>AND(Bills!#REF!,"AAAAABX+/dM=")</f>
        <v>#REF!</v>
      </c>
      <c r="HE126" t="e">
        <f>AND(Bills!Y402,"AAAAABX+/dQ=")</f>
        <v>#VALUE!</v>
      </c>
      <c r="HF126" t="e">
        <f>AND(Bills!Z402,"AAAAABX+/dU=")</f>
        <v>#VALUE!</v>
      </c>
      <c r="HG126" t="e">
        <f>AND(Bills!#REF!,"AAAAABX+/dY=")</f>
        <v>#REF!</v>
      </c>
      <c r="HH126" t="e">
        <f>AND(Bills!#REF!,"AAAAABX+/dc=")</f>
        <v>#REF!</v>
      </c>
      <c r="HI126" t="e">
        <f>AND(Bills!#REF!,"AAAAABX+/dg=")</f>
        <v>#REF!</v>
      </c>
      <c r="HJ126" t="e">
        <f>AND(Bills!AA402,"AAAAABX+/dk=")</f>
        <v>#VALUE!</v>
      </c>
      <c r="HK126" t="e">
        <f>AND(Bills!AB402,"AAAAABX+/do=")</f>
        <v>#VALUE!</v>
      </c>
      <c r="HL126" t="e">
        <f>AND(Bills!#REF!,"AAAAABX+/ds=")</f>
        <v>#REF!</v>
      </c>
      <c r="HM126">
        <f>IF(Bills!403:403,"AAAAABX+/dw=",0)</f>
        <v>0</v>
      </c>
      <c r="HN126" t="e">
        <f>AND(Bills!B403,"AAAAABX+/d0=")</f>
        <v>#VALUE!</v>
      </c>
      <c r="HO126" t="e">
        <f>AND(Bills!#REF!,"AAAAABX+/d4=")</f>
        <v>#REF!</v>
      </c>
      <c r="HP126" t="e">
        <f>AND(Bills!C403,"AAAAABX+/d8=")</f>
        <v>#VALUE!</v>
      </c>
      <c r="HQ126" t="e">
        <f>AND(Bills!#REF!,"AAAAABX+/eA=")</f>
        <v>#REF!</v>
      </c>
      <c r="HR126" t="e">
        <f>AND(Bills!#REF!,"AAAAABX+/eE=")</f>
        <v>#REF!</v>
      </c>
      <c r="HS126" t="e">
        <f>AND(Bills!#REF!,"AAAAABX+/eI=")</f>
        <v>#REF!</v>
      </c>
      <c r="HT126" t="e">
        <f>AND(Bills!#REF!,"AAAAABX+/eM=")</f>
        <v>#REF!</v>
      </c>
      <c r="HU126" t="e">
        <f>AND(Bills!#REF!,"AAAAABX+/eQ=")</f>
        <v>#REF!</v>
      </c>
      <c r="HV126" t="e">
        <f>AND(Bills!D403,"AAAAABX+/eU=")</f>
        <v>#VALUE!</v>
      </c>
      <c r="HW126" t="e">
        <f>AND(Bills!#REF!,"AAAAABX+/eY=")</f>
        <v>#REF!</v>
      </c>
      <c r="HX126" t="e">
        <f>AND(Bills!E403,"AAAAABX+/ec=")</f>
        <v>#VALUE!</v>
      </c>
      <c r="HY126" t="e">
        <f>AND(Bills!F403,"AAAAABX+/eg=")</f>
        <v>#VALUE!</v>
      </c>
      <c r="HZ126" t="e">
        <f>AND(Bills!G403,"AAAAABX+/ek=")</f>
        <v>#VALUE!</v>
      </c>
      <c r="IA126" t="e">
        <f>AND(Bills!H403,"AAAAABX+/eo=")</f>
        <v>#VALUE!</v>
      </c>
      <c r="IB126" t="e">
        <f>AND(Bills!I403,"AAAAABX+/es=")</f>
        <v>#VALUE!</v>
      </c>
      <c r="IC126" t="e">
        <f>AND(Bills!J403,"AAAAABX+/ew=")</f>
        <v>#VALUE!</v>
      </c>
      <c r="ID126" t="e">
        <f>AND(Bills!#REF!,"AAAAABX+/e0=")</f>
        <v>#REF!</v>
      </c>
      <c r="IE126" t="e">
        <f>AND(Bills!K403,"AAAAABX+/e4=")</f>
        <v>#VALUE!</v>
      </c>
      <c r="IF126" t="e">
        <f>AND(Bills!L403,"AAAAABX+/e8=")</f>
        <v>#VALUE!</v>
      </c>
      <c r="IG126" t="e">
        <f>AND(Bills!M403,"AAAAABX+/fA=")</f>
        <v>#VALUE!</v>
      </c>
      <c r="IH126" t="e">
        <f>AND(Bills!N403,"AAAAABX+/fE=")</f>
        <v>#VALUE!</v>
      </c>
      <c r="II126" t="e">
        <f>AND(Bills!O403,"AAAAABX+/fI=")</f>
        <v>#VALUE!</v>
      </c>
      <c r="IJ126" t="e">
        <f>AND(Bills!P403,"AAAAABX+/fM=")</f>
        <v>#VALUE!</v>
      </c>
      <c r="IK126" t="e">
        <f>AND(Bills!Q403,"AAAAABX+/fQ=")</f>
        <v>#VALUE!</v>
      </c>
      <c r="IL126" t="e">
        <f>AND(Bills!R403,"AAAAABX+/fU=")</f>
        <v>#VALUE!</v>
      </c>
      <c r="IM126" t="e">
        <f>AND(Bills!#REF!,"AAAAABX+/fY=")</f>
        <v>#REF!</v>
      </c>
      <c r="IN126" t="e">
        <f>AND(Bills!S403,"AAAAABX+/fc=")</f>
        <v>#VALUE!</v>
      </c>
      <c r="IO126" t="e">
        <f>AND(Bills!T403,"AAAAABX+/fg=")</f>
        <v>#VALUE!</v>
      </c>
      <c r="IP126" t="e">
        <f>AND(Bills!U403,"AAAAABX+/fk=")</f>
        <v>#VALUE!</v>
      </c>
      <c r="IQ126" t="e">
        <f>AND(Bills!#REF!,"AAAAABX+/fo=")</f>
        <v>#REF!</v>
      </c>
      <c r="IR126" t="e">
        <f>AND(Bills!#REF!,"AAAAABX+/fs=")</f>
        <v>#REF!</v>
      </c>
      <c r="IS126" t="e">
        <f>AND(Bills!W403,"AAAAABX+/fw=")</f>
        <v>#VALUE!</v>
      </c>
      <c r="IT126" t="e">
        <f>AND(Bills!X403,"AAAAABX+/f0=")</f>
        <v>#VALUE!</v>
      </c>
      <c r="IU126" t="e">
        <f>AND(Bills!#REF!,"AAAAABX+/f4=")</f>
        <v>#REF!</v>
      </c>
      <c r="IV126" t="e">
        <f>AND(Bills!#REF!,"AAAAABX+/f8=")</f>
        <v>#REF!</v>
      </c>
    </row>
    <row r="127" spans="1:256">
      <c r="A127" t="e">
        <f>AND(Bills!#REF!,"AAAAAF/5ewA=")</f>
        <v>#REF!</v>
      </c>
      <c r="B127" t="e">
        <f>AND(Bills!#REF!,"AAAAAF/5ewE=")</f>
        <v>#REF!</v>
      </c>
      <c r="C127" t="e">
        <f>AND(Bills!#REF!,"AAAAAF/5ewI=")</f>
        <v>#REF!</v>
      </c>
      <c r="D127" t="e">
        <f>AND(Bills!#REF!,"AAAAAF/5ewM=")</f>
        <v>#REF!</v>
      </c>
      <c r="E127" t="e">
        <f>AND(Bills!#REF!,"AAAAAF/5ewQ=")</f>
        <v>#REF!</v>
      </c>
      <c r="F127" t="e">
        <f>AND(Bills!#REF!,"AAAAAF/5ewU=")</f>
        <v>#REF!</v>
      </c>
      <c r="G127" t="e">
        <f>AND(Bills!#REF!,"AAAAAF/5ewY=")</f>
        <v>#REF!</v>
      </c>
      <c r="H127" t="e">
        <f>AND(Bills!Y403,"AAAAAF/5ewc=")</f>
        <v>#VALUE!</v>
      </c>
      <c r="I127" t="e">
        <f>AND(Bills!Z403,"AAAAAF/5ewg=")</f>
        <v>#VALUE!</v>
      </c>
      <c r="J127" t="e">
        <f>AND(Bills!#REF!,"AAAAAF/5ewk=")</f>
        <v>#REF!</v>
      </c>
      <c r="K127" t="e">
        <f>AND(Bills!#REF!,"AAAAAF/5ewo=")</f>
        <v>#REF!</v>
      </c>
      <c r="L127" t="e">
        <f>AND(Bills!#REF!,"AAAAAF/5ews=")</f>
        <v>#REF!</v>
      </c>
      <c r="M127" t="e">
        <f>AND(Bills!AA403,"AAAAAF/5eww=")</f>
        <v>#VALUE!</v>
      </c>
      <c r="N127" t="e">
        <f>AND(Bills!AB403,"AAAAAF/5ew0=")</f>
        <v>#VALUE!</v>
      </c>
      <c r="O127" t="e">
        <f>AND(Bills!#REF!,"AAAAAF/5ew4=")</f>
        <v>#REF!</v>
      </c>
      <c r="P127">
        <f>IF(Bills!404:404,"AAAAAF/5ew8=",0)</f>
        <v>0</v>
      </c>
      <c r="Q127" t="e">
        <f>AND(Bills!B404,"AAAAAF/5exA=")</f>
        <v>#VALUE!</v>
      </c>
      <c r="R127" t="e">
        <f>AND(Bills!#REF!,"AAAAAF/5exE=")</f>
        <v>#REF!</v>
      </c>
      <c r="S127" t="e">
        <f>AND(Bills!C404,"AAAAAF/5exI=")</f>
        <v>#VALUE!</v>
      </c>
      <c r="T127" t="e">
        <f>AND(Bills!#REF!,"AAAAAF/5exM=")</f>
        <v>#REF!</v>
      </c>
      <c r="U127" t="e">
        <f>AND(Bills!#REF!,"AAAAAF/5exQ=")</f>
        <v>#REF!</v>
      </c>
      <c r="V127" t="e">
        <f>AND(Bills!#REF!,"AAAAAF/5exU=")</f>
        <v>#REF!</v>
      </c>
      <c r="W127" t="e">
        <f>AND(Bills!#REF!,"AAAAAF/5exY=")</f>
        <v>#REF!</v>
      </c>
      <c r="X127" t="e">
        <f>AND(Bills!#REF!,"AAAAAF/5exc=")</f>
        <v>#REF!</v>
      </c>
      <c r="Y127" t="e">
        <f>AND(Bills!D404,"AAAAAF/5exg=")</f>
        <v>#VALUE!</v>
      </c>
      <c r="Z127" t="e">
        <f>AND(Bills!#REF!,"AAAAAF/5exk=")</f>
        <v>#REF!</v>
      </c>
      <c r="AA127" t="e">
        <f>AND(Bills!E404,"AAAAAF/5exo=")</f>
        <v>#VALUE!</v>
      </c>
      <c r="AB127" t="e">
        <f>AND(Bills!F404,"AAAAAF/5exs=")</f>
        <v>#VALUE!</v>
      </c>
      <c r="AC127" t="e">
        <f>AND(Bills!G404,"AAAAAF/5exw=")</f>
        <v>#VALUE!</v>
      </c>
      <c r="AD127" t="e">
        <f>AND(Bills!H404,"AAAAAF/5ex0=")</f>
        <v>#VALUE!</v>
      </c>
      <c r="AE127" t="e">
        <f>AND(Bills!I404,"AAAAAF/5ex4=")</f>
        <v>#VALUE!</v>
      </c>
      <c r="AF127" t="e">
        <f>AND(Bills!J404,"AAAAAF/5ex8=")</f>
        <v>#VALUE!</v>
      </c>
      <c r="AG127" t="e">
        <f>AND(Bills!#REF!,"AAAAAF/5eyA=")</f>
        <v>#REF!</v>
      </c>
      <c r="AH127" t="e">
        <f>AND(Bills!K404,"AAAAAF/5eyE=")</f>
        <v>#VALUE!</v>
      </c>
      <c r="AI127" t="e">
        <f>AND(Bills!L404,"AAAAAF/5eyI=")</f>
        <v>#VALUE!</v>
      </c>
      <c r="AJ127" t="e">
        <f>AND(Bills!M404,"AAAAAF/5eyM=")</f>
        <v>#VALUE!</v>
      </c>
      <c r="AK127" t="e">
        <f>AND(Bills!N404,"AAAAAF/5eyQ=")</f>
        <v>#VALUE!</v>
      </c>
      <c r="AL127" t="e">
        <f>AND(Bills!O404,"AAAAAF/5eyU=")</f>
        <v>#VALUE!</v>
      </c>
      <c r="AM127" t="e">
        <f>AND(Bills!P404,"AAAAAF/5eyY=")</f>
        <v>#VALUE!</v>
      </c>
      <c r="AN127" t="e">
        <f>AND(Bills!Q404,"AAAAAF/5eyc=")</f>
        <v>#VALUE!</v>
      </c>
      <c r="AO127" t="e">
        <f>AND(Bills!R404,"AAAAAF/5eyg=")</f>
        <v>#VALUE!</v>
      </c>
      <c r="AP127" t="e">
        <f>AND(Bills!#REF!,"AAAAAF/5eyk=")</f>
        <v>#REF!</v>
      </c>
      <c r="AQ127" t="e">
        <f>AND(Bills!S404,"AAAAAF/5eyo=")</f>
        <v>#VALUE!</v>
      </c>
      <c r="AR127" t="e">
        <f>AND(Bills!T404,"AAAAAF/5eys=")</f>
        <v>#VALUE!</v>
      </c>
      <c r="AS127" t="e">
        <f>AND(Bills!U404,"AAAAAF/5eyw=")</f>
        <v>#VALUE!</v>
      </c>
      <c r="AT127" t="e">
        <f>AND(Bills!#REF!,"AAAAAF/5ey0=")</f>
        <v>#REF!</v>
      </c>
      <c r="AU127" t="e">
        <f>AND(Bills!#REF!,"AAAAAF/5ey4=")</f>
        <v>#REF!</v>
      </c>
      <c r="AV127" t="e">
        <f>AND(Bills!W404,"AAAAAF/5ey8=")</f>
        <v>#VALUE!</v>
      </c>
      <c r="AW127" t="e">
        <f>AND(Bills!X404,"AAAAAF/5ezA=")</f>
        <v>#VALUE!</v>
      </c>
      <c r="AX127" t="e">
        <f>AND(Bills!#REF!,"AAAAAF/5ezE=")</f>
        <v>#REF!</v>
      </c>
      <c r="AY127" t="e">
        <f>AND(Bills!#REF!,"AAAAAF/5ezI=")</f>
        <v>#REF!</v>
      </c>
      <c r="AZ127" t="e">
        <f>AND(Bills!#REF!,"AAAAAF/5ezM=")</f>
        <v>#REF!</v>
      </c>
      <c r="BA127" t="e">
        <f>AND(Bills!#REF!,"AAAAAF/5ezQ=")</f>
        <v>#REF!</v>
      </c>
      <c r="BB127" t="e">
        <f>AND(Bills!#REF!,"AAAAAF/5ezU=")</f>
        <v>#REF!</v>
      </c>
      <c r="BC127" t="e">
        <f>AND(Bills!#REF!,"AAAAAF/5ezY=")</f>
        <v>#REF!</v>
      </c>
      <c r="BD127" t="e">
        <f>AND(Bills!#REF!,"AAAAAF/5ezc=")</f>
        <v>#REF!</v>
      </c>
      <c r="BE127" t="e">
        <f>AND(Bills!#REF!,"AAAAAF/5ezg=")</f>
        <v>#REF!</v>
      </c>
      <c r="BF127" t="e">
        <f>AND(Bills!#REF!,"AAAAAF/5ezk=")</f>
        <v>#REF!</v>
      </c>
      <c r="BG127" t="e">
        <f>AND(Bills!Y404,"AAAAAF/5ezo=")</f>
        <v>#VALUE!</v>
      </c>
      <c r="BH127" t="e">
        <f>AND(Bills!Z404,"AAAAAF/5ezs=")</f>
        <v>#VALUE!</v>
      </c>
      <c r="BI127" t="e">
        <f>AND(Bills!#REF!,"AAAAAF/5ezw=")</f>
        <v>#REF!</v>
      </c>
      <c r="BJ127" t="e">
        <f>AND(Bills!#REF!,"AAAAAF/5ez0=")</f>
        <v>#REF!</v>
      </c>
      <c r="BK127" t="e">
        <f>AND(Bills!#REF!,"AAAAAF/5ez4=")</f>
        <v>#REF!</v>
      </c>
      <c r="BL127" t="e">
        <f>AND(Bills!AA404,"AAAAAF/5ez8=")</f>
        <v>#VALUE!</v>
      </c>
      <c r="BM127" t="e">
        <f>AND(Bills!AB404,"AAAAAF/5e0A=")</f>
        <v>#VALUE!</v>
      </c>
      <c r="BN127" t="e">
        <f>AND(Bills!#REF!,"AAAAAF/5e0E=")</f>
        <v>#REF!</v>
      </c>
      <c r="BO127">
        <f>IF(Bills!405:405,"AAAAAF/5e0I=",0)</f>
        <v>0</v>
      </c>
      <c r="BP127" t="e">
        <f>AND(Bills!B405,"AAAAAF/5e0M=")</f>
        <v>#VALUE!</v>
      </c>
      <c r="BQ127" t="e">
        <f>AND(Bills!#REF!,"AAAAAF/5e0Q=")</f>
        <v>#REF!</v>
      </c>
      <c r="BR127" t="e">
        <f>AND(Bills!C405,"AAAAAF/5e0U=")</f>
        <v>#VALUE!</v>
      </c>
      <c r="BS127" t="e">
        <f>AND(Bills!#REF!,"AAAAAF/5e0Y=")</f>
        <v>#REF!</v>
      </c>
      <c r="BT127" t="e">
        <f>AND(Bills!#REF!,"AAAAAF/5e0c=")</f>
        <v>#REF!</v>
      </c>
      <c r="BU127" t="e">
        <f>AND(Bills!#REF!,"AAAAAF/5e0g=")</f>
        <v>#REF!</v>
      </c>
      <c r="BV127" t="e">
        <f>AND(Bills!#REF!,"AAAAAF/5e0k=")</f>
        <v>#REF!</v>
      </c>
      <c r="BW127" t="e">
        <f>AND(Bills!#REF!,"AAAAAF/5e0o=")</f>
        <v>#REF!</v>
      </c>
      <c r="BX127" t="e">
        <f>AND(Bills!D405,"AAAAAF/5e0s=")</f>
        <v>#VALUE!</v>
      </c>
      <c r="BY127" t="e">
        <f>AND(Bills!#REF!,"AAAAAF/5e0w=")</f>
        <v>#REF!</v>
      </c>
      <c r="BZ127" t="e">
        <f>AND(Bills!E405,"AAAAAF/5e00=")</f>
        <v>#VALUE!</v>
      </c>
      <c r="CA127" t="e">
        <f>AND(Bills!F405,"AAAAAF/5e04=")</f>
        <v>#VALUE!</v>
      </c>
      <c r="CB127" t="e">
        <f>AND(Bills!G405,"AAAAAF/5e08=")</f>
        <v>#VALUE!</v>
      </c>
      <c r="CC127" t="e">
        <f>AND(Bills!H405,"AAAAAF/5e1A=")</f>
        <v>#VALUE!</v>
      </c>
      <c r="CD127" t="e">
        <f>AND(Bills!I405,"AAAAAF/5e1E=")</f>
        <v>#VALUE!</v>
      </c>
      <c r="CE127" t="e">
        <f>AND(Bills!J405,"AAAAAF/5e1I=")</f>
        <v>#VALUE!</v>
      </c>
      <c r="CF127" t="e">
        <f>AND(Bills!#REF!,"AAAAAF/5e1M=")</f>
        <v>#REF!</v>
      </c>
      <c r="CG127" t="e">
        <f>AND(Bills!K405,"AAAAAF/5e1Q=")</f>
        <v>#VALUE!</v>
      </c>
      <c r="CH127" t="e">
        <f>AND(Bills!L405,"AAAAAF/5e1U=")</f>
        <v>#VALUE!</v>
      </c>
      <c r="CI127" t="e">
        <f>AND(Bills!M405,"AAAAAF/5e1Y=")</f>
        <v>#VALUE!</v>
      </c>
      <c r="CJ127" t="e">
        <f>AND(Bills!N405,"AAAAAF/5e1c=")</f>
        <v>#VALUE!</v>
      </c>
      <c r="CK127" t="e">
        <f>AND(Bills!O405,"AAAAAF/5e1g=")</f>
        <v>#VALUE!</v>
      </c>
      <c r="CL127" t="e">
        <f>AND(Bills!P405,"AAAAAF/5e1k=")</f>
        <v>#VALUE!</v>
      </c>
      <c r="CM127" t="e">
        <f>AND(Bills!Q405,"AAAAAF/5e1o=")</f>
        <v>#VALUE!</v>
      </c>
      <c r="CN127" t="e">
        <f>AND(Bills!R405,"AAAAAF/5e1s=")</f>
        <v>#VALUE!</v>
      </c>
      <c r="CO127" t="e">
        <f>AND(Bills!#REF!,"AAAAAF/5e1w=")</f>
        <v>#REF!</v>
      </c>
      <c r="CP127" t="e">
        <f>AND(Bills!S405,"AAAAAF/5e10=")</f>
        <v>#VALUE!</v>
      </c>
      <c r="CQ127" t="e">
        <f>AND(Bills!T405,"AAAAAF/5e14=")</f>
        <v>#VALUE!</v>
      </c>
      <c r="CR127" t="e">
        <f>AND(Bills!U405,"AAAAAF/5e18=")</f>
        <v>#VALUE!</v>
      </c>
      <c r="CS127" t="e">
        <f>AND(Bills!#REF!,"AAAAAF/5e2A=")</f>
        <v>#REF!</v>
      </c>
      <c r="CT127" t="e">
        <f>AND(Bills!#REF!,"AAAAAF/5e2E=")</f>
        <v>#REF!</v>
      </c>
      <c r="CU127" t="e">
        <f>AND(Bills!W405,"AAAAAF/5e2I=")</f>
        <v>#VALUE!</v>
      </c>
      <c r="CV127" t="e">
        <f>AND(Bills!X405,"AAAAAF/5e2M=")</f>
        <v>#VALUE!</v>
      </c>
      <c r="CW127" t="e">
        <f>AND(Bills!#REF!,"AAAAAF/5e2Q=")</f>
        <v>#REF!</v>
      </c>
      <c r="CX127" t="e">
        <f>AND(Bills!#REF!,"AAAAAF/5e2U=")</f>
        <v>#REF!</v>
      </c>
      <c r="CY127" t="e">
        <f>AND(Bills!#REF!,"AAAAAF/5e2Y=")</f>
        <v>#REF!</v>
      </c>
      <c r="CZ127" t="e">
        <f>AND(Bills!#REF!,"AAAAAF/5e2c=")</f>
        <v>#REF!</v>
      </c>
      <c r="DA127" t="e">
        <f>AND(Bills!#REF!,"AAAAAF/5e2g=")</f>
        <v>#REF!</v>
      </c>
      <c r="DB127" t="e">
        <f>AND(Bills!#REF!,"AAAAAF/5e2k=")</f>
        <v>#REF!</v>
      </c>
      <c r="DC127" t="e">
        <f>AND(Bills!#REF!,"AAAAAF/5e2o=")</f>
        <v>#REF!</v>
      </c>
      <c r="DD127" t="e">
        <f>AND(Bills!#REF!,"AAAAAF/5e2s=")</f>
        <v>#REF!</v>
      </c>
      <c r="DE127" t="e">
        <f>AND(Bills!#REF!,"AAAAAF/5e2w=")</f>
        <v>#REF!</v>
      </c>
      <c r="DF127" t="e">
        <f>AND(Bills!Y405,"AAAAAF/5e20=")</f>
        <v>#VALUE!</v>
      </c>
      <c r="DG127" t="e">
        <f>AND(Bills!Z405,"AAAAAF/5e24=")</f>
        <v>#VALUE!</v>
      </c>
      <c r="DH127" t="e">
        <f>AND(Bills!#REF!,"AAAAAF/5e28=")</f>
        <v>#REF!</v>
      </c>
      <c r="DI127" t="e">
        <f>AND(Bills!#REF!,"AAAAAF/5e3A=")</f>
        <v>#REF!</v>
      </c>
      <c r="DJ127" t="e">
        <f>AND(Bills!#REF!,"AAAAAF/5e3E=")</f>
        <v>#REF!</v>
      </c>
      <c r="DK127" t="e">
        <f>AND(Bills!AA405,"AAAAAF/5e3I=")</f>
        <v>#VALUE!</v>
      </c>
      <c r="DL127" t="e">
        <f>AND(Bills!AB405,"AAAAAF/5e3M=")</f>
        <v>#VALUE!</v>
      </c>
      <c r="DM127" t="e">
        <f>AND(Bills!#REF!,"AAAAAF/5e3Q=")</f>
        <v>#REF!</v>
      </c>
      <c r="DN127">
        <f>IF(Bills!406:406,"AAAAAF/5e3U=",0)</f>
        <v>0</v>
      </c>
      <c r="DO127" t="e">
        <f>AND(Bills!B406,"AAAAAF/5e3Y=")</f>
        <v>#VALUE!</v>
      </c>
      <c r="DP127" t="e">
        <f>AND(Bills!#REF!,"AAAAAF/5e3c=")</f>
        <v>#REF!</v>
      </c>
      <c r="DQ127" t="e">
        <f>AND(Bills!C406,"AAAAAF/5e3g=")</f>
        <v>#VALUE!</v>
      </c>
      <c r="DR127" t="e">
        <f>AND(Bills!#REF!,"AAAAAF/5e3k=")</f>
        <v>#REF!</v>
      </c>
      <c r="DS127" t="e">
        <f>AND(Bills!#REF!,"AAAAAF/5e3o=")</f>
        <v>#REF!</v>
      </c>
      <c r="DT127" t="e">
        <f>AND(Bills!#REF!,"AAAAAF/5e3s=")</f>
        <v>#REF!</v>
      </c>
      <c r="DU127" t="e">
        <f>AND(Bills!#REF!,"AAAAAF/5e3w=")</f>
        <v>#REF!</v>
      </c>
      <c r="DV127" t="e">
        <f>AND(Bills!#REF!,"AAAAAF/5e30=")</f>
        <v>#REF!</v>
      </c>
      <c r="DW127" t="e">
        <f>AND(Bills!D406,"AAAAAF/5e34=")</f>
        <v>#VALUE!</v>
      </c>
      <c r="DX127" t="e">
        <f>AND(Bills!#REF!,"AAAAAF/5e38=")</f>
        <v>#REF!</v>
      </c>
      <c r="DY127" t="e">
        <f>AND(Bills!E406,"AAAAAF/5e4A=")</f>
        <v>#VALUE!</v>
      </c>
      <c r="DZ127" t="e">
        <f>AND(Bills!F406,"AAAAAF/5e4E=")</f>
        <v>#VALUE!</v>
      </c>
      <c r="EA127" t="e">
        <f>AND(Bills!G406,"AAAAAF/5e4I=")</f>
        <v>#VALUE!</v>
      </c>
      <c r="EB127" t="e">
        <f>AND(Bills!H406,"AAAAAF/5e4M=")</f>
        <v>#VALUE!</v>
      </c>
      <c r="EC127" t="e">
        <f>AND(Bills!I406,"AAAAAF/5e4Q=")</f>
        <v>#VALUE!</v>
      </c>
      <c r="ED127" t="e">
        <f>AND(Bills!J406,"AAAAAF/5e4U=")</f>
        <v>#VALUE!</v>
      </c>
      <c r="EE127" t="e">
        <f>AND(Bills!#REF!,"AAAAAF/5e4Y=")</f>
        <v>#REF!</v>
      </c>
      <c r="EF127" t="e">
        <f>AND(Bills!K406,"AAAAAF/5e4c=")</f>
        <v>#VALUE!</v>
      </c>
      <c r="EG127" t="e">
        <f>AND(Bills!L406,"AAAAAF/5e4g=")</f>
        <v>#VALUE!</v>
      </c>
      <c r="EH127" t="e">
        <f>AND(Bills!M406,"AAAAAF/5e4k=")</f>
        <v>#VALUE!</v>
      </c>
      <c r="EI127" t="e">
        <f>AND(Bills!N406,"AAAAAF/5e4o=")</f>
        <v>#VALUE!</v>
      </c>
      <c r="EJ127" t="e">
        <f>AND(Bills!O406,"AAAAAF/5e4s=")</f>
        <v>#VALUE!</v>
      </c>
      <c r="EK127" t="e">
        <f>AND(Bills!P406,"AAAAAF/5e4w=")</f>
        <v>#VALUE!</v>
      </c>
      <c r="EL127" t="e">
        <f>AND(Bills!Q406,"AAAAAF/5e40=")</f>
        <v>#VALUE!</v>
      </c>
      <c r="EM127" t="e">
        <f>AND(Bills!R406,"AAAAAF/5e44=")</f>
        <v>#VALUE!</v>
      </c>
      <c r="EN127" t="e">
        <f>AND(Bills!#REF!,"AAAAAF/5e48=")</f>
        <v>#REF!</v>
      </c>
      <c r="EO127" t="e">
        <f>AND(Bills!S406,"AAAAAF/5e5A=")</f>
        <v>#VALUE!</v>
      </c>
      <c r="EP127" t="e">
        <f>AND(Bills!T406,"AAAAAF/5e5E=")</f>
        <v>#VALUE!</v>
      </c>
      <c r="EQ127" t="e">
        <f>AND(Bills!U406,"AAAAAF/5e5I=")</f>
        <v>#VALUE!</v>
      </c>
      <c r="ER127" t="e">
        <f>AND(Bills!#REF!,"AAAAAF/5e5M=")</f>
        <v>#REF!</v>
      </c>
      <c r="ES127" t="e">
        <f>AND(Bills!#REF!,"AAAAAF/5e5Q=")</f>
        <v>#REF!</v>
      </c>
      <c r="ET127" t="e">
        <f>AND(Bills!W406,"AAAAAF/5e5U=")</f>
        <v>#VALUE!</v>
      </c>
      <c r="EU127" t="e">
        <f>AND(Bills!X406,"AAAAAF/5e5Y=")</f>
        <v>#VALUE!</v>
      </c>
      <c r="EV127" t="e">
        <f>AND(Bills!#REF!,"AAAAAF/5e5c=")</f>
        <v>#REF!</v>
      </c>
      <c r="EW127" t="e">
        <f>AND(Bills!#REF!,"AAAAAF/5e5g=")</f>
        <v>#REF!</v>
      </c>
      <c r="EX127" t="e">
        <f>AND(Bills!#REF!,"AAAAAF/5e5k=")</f>
        <v>#REF!</v>
      </c>
      <c r="EY127" t="e">
        <f>AND(Bills!#REF!,"AAAAAF/5e5o=")</f>
        <v>#REF!</v>
      </c>
      <c r="EZ127" t="e">
        <f>AND(Bills!#REF!,"AAAAAF/5e5s=")</f>
        <v>#REF!</v>
      </c>
      <c r="FA127" t="e">
        <f>AND(Bills!#REF!,"AAAAAF/5e5w=")</f>
        <v>#REF!</v>
      </c>
      <c r="FB127" t="e">
        <f>AND(Bills!#REF!,"AAAAAF/5e50=")</f>
        <v>#REF!</v>
      </c>
      <c r="FC127" t="e">
        <f>AND(Bills!#REF!,"AAAAAF/5e54=")</f>
        <v>#REF!</v>
      </c>
      <c r="FD127" t="e">
        <f>AND(Bills!#REF!,"AAAAAF/5e58=")</f>
        <v>#REF!</v>
      </c>
      <c r="FE127" t="e">
        <f>AND(Bills!Y406,"AAAAAF/5e6A=")</f>
        <v>#VALUE!</v>
      </c>
      <c r="FF127" t="e">
        <f>AND(Bills!Z406,"AAAAAF/5e6E=")</f>
        <v>#VALUE!</v>
      </c>
      <c r="FG127" t="e">
        <f>AND(Bills!#REF!,"AAAAAF/5e6I=")</f>
        <v>#REF!</v>
      </c>
      <c r="FH127" t="e">
        <f>AND(Bills!#REF!,"AAAAAF/5e6M=")</f>
        <v>#REF!</v>
      </c>
      <c r="FI127" t="e">
        <f>AND(Bills!#REF!,"AAAAAF/5e6Q=")</f>
        <v>#REF!</v>
      </c>
      <c r="FJ127" t="e">
        <f>AND(Bills!AA406,"AAAAAF/5e6U=")</f>
        <v>#VALUE!</v>
      </c>
      <c r="FK127" t="e">
        <f>AND(Bills!AB406,"AAAAAF/5e6Y=")</f>
        <v>#VALUE!</v>
      </c>
      <c r="FL127" t="e">
        <f>AND(Bills!#REF!,"AAAAAF/5e6c=")</f>
        <v>#REF!</v>
      </c>
      <c r="FM127">
        <f>IF(Bills!407:407,"AAAAAF/5e6g=",0)</f>
        <v>0</v>
      </c>
      <c r="FN127" t="e">
        <f>AND(Bills!B407,"AAAAAF/5e6k=")</f>
        <v>#VALUE!</v>
      </c>
      <c r="FO127" t="e">
        <f>AND(Bills!#REF!,"AAAAAF/5e6o=")</f>
        <v>#REF!</v>
      </c>
      <c r="FP127" t="e">
        <f>AND(Bills!C407,"AAAAAF/5e6s=")</f>
        <v>#VALUE!</v>
      </c>
      <c r="FQ127" t="e">
        <f>AND(Bills!#REF!,"AAAAAF/5e6w=")</f>
        <v>#REF!</v>
      </c>
      <c r="FR127" t="e">
        <f>AND(Bills!#REF!,"AAAAAF/5e60=")</f>
        <v>#REF!</v>
      </c>
      <c r="FS127" t="e">
        <f>AND(Bills!#REF!,"AAAAAF/5e64=")</f>
        <v>#REF!</v>
      </c>
      <c r="FT127" t="e">
        <f>AND(Bills!#REF!,"AAAAAF/5e68=")</f>
        <v>#REF!</v>
      </c>
      <c r="FU127" t="e">
        <f>AND(Bills!#REF!,"AAAAAF/5e7A=")</f>
        <v>#REF!</v>
      </c>
      <c r="FV127" t="e">
        <f>AND(Bills!D407,"AAAAAF/5e7E=")</f>
        <v>#VALUE!</v>
      </c>
      <c r="FW127" t="e">
        <f>AND(Bills!#REF!,"AAAAAF/5e7I=")</f>
        <v>#REF!</v>
      </c>
      <c r="FX127" t="e">
        <f>AND(Bills!E407,"AAAAAF/5e7M=")</f>
        <v>#VALUE!</v>
      </c>
      <c r="FY127" t="e">
        <f>AND(Bills!F407,"AAAAAF/5e7Q=")</f>
        <v>#VALUE!</v>
      </c>
      <c r="FZ127" t="e">
        <f>AND(Bills!G407,"AAAAAF/5e7U=")</f>
        <v>#VALUE!</v>
      </c>
      <c r="GA127" t="e">
        <f>AND(Bills!H407,"AAAAAF/5e7Y=")</f>
        <v>#VALUE!</v>
      </c>
      <c r="GB127" t="e">
        <f>AND(Bills!I407,"AAAAAF/5e7c=")</f>
        <v>#VALUE!</v>
      </c>
      <c r="GC127" t="e">
        <f>AND(Bills!J407,"AAAAAF/5e7g=")</f>
        <v>#VALUE!</v>
      </c>
      <c r="GD127" t="e">
        <f>AND(Bills!#REF!,"AAAAAF/5e7k=")</f>
        <v>#REF!</v>
      </c>
      <c r="GE127" t="e">
        <f>AND(Bills!K407,"AAAAAF/5e7o=")</f>
        <v>#VALUE!</v>
      </c>
      <c r="GF127" t="e">
        <f>AND(Bills!L407,"AAAAAF/5e7s=")</f>
        <v>#VALUE!</v>
      </c>
      <c r="GG127" t="e">
        <f>AND(Bills!M407,"AAAAAF/5e7w=")</f>
        <v>#VALUE!</v>
      </c>
      <c r="GH127" t="e">
        <f>AND(Bills!N407,"AAAAAF/5e70=")</f>
        <v>#VALUE!</v>
      </c>
      <c r="GI127" t="e">
        <f>AND(Bills!O407,"AAAAAF/5e74=")</f>
        <v>#VALUE!</v>
      </c>
      <c r="GJ127" t="e">
        <f>AND(Bills!P407,"AAAAAF/5e78=")</f>
        <v>#VALUE!</v>
      </c>
      <c r="GK127" t="e">
        <f>AND(Bills!Q407,"AAAAAF/5e8A=")</f>
        <v>#VALUE!</v>
      </c>
      <c r="GL127" t="e">
        <f>AND(Bills!R407,"AAAAAF/5e8E=")</f>
        <v>#VALUE!</v>
      </c>
      <c r="GM127" t="e">
        <f>AND(Bills!#REF!,"AAAAAF/5e8I=")</f>
        <v>#REF!</v>
      </c>
      <c r="GN127" t="e">
        <f>AND(Bills!S407,"AAAAAF/5e8M=")</f>
        <v>#VALUE!</v>
      </c>
      <c r="GO127" t="e">
        <f>AND(Bills!T407,"AAAAAF/5e8Q=")</f>
        <v>#VALUE!</v>
      </c>
      <c r="GP127" t="e">
        <f>AND(Bills!U407,"AAAAAF/5e8U=")</f>
        <v>#VALUE!</v>
      </c>
      <c r="GQ127" t="e">
        <f>AND(Bills!#REF!,"AAAAAF/5e8Y=")</f>
        <v>#REF!</v>
      </c>
      <c r="GR127" t="e">
        <f>AND(Bills!#REF!,"AAAAAF/5e8c=")</f>
        <v>#REF!</v>
      </c>
      <c r="GS127" t="e">
        <f>AND(Bills!W407,"AAAAAF/5e8g=")</f>
        <v>#VALUE!</v>
      </c>
      <c r="GT127" t="e">
        <f>AND(Bills!X407,"AAAAAF/5e8k=")</f>
        <v>#VALUE!</v>
      </c>
      <c r="GU127" t="e">
        <f>AND(Bills!#REF!,"AAAAAF/5e8o=")</f>
        <v>#REF!</v>
      </c>
      <c r="GV127" t="e">
        <f>AND(Bills!#REF!,"AAAAAF/5e8s=")</f>
        <v>#REF!</v>
      </c>
      <c r="GW127" t="e">
        <f>AND(Bills!#REF!,"AAAAAF/5e8w=")</f>
        <v>#REF!</v>
      </c>
      <c r="GX127" t="e">
        <f>AND(Bills!#REF!,"AAAAAF/5e80=")</f>
        <v>#REF!</v>
      </c>
      <c r="GY127" t="e">
        <f>AND(Bills!#REF!,"AAAAAF/5e84=")</f>
        <v>#REF!</v>
      </c>
      <c r="GZ127" t="e">
        <f>AND(Bills!#REF!,"AAAAAF/5e88=")</f>
        <v>#REF!</v>
      </c>
      <c r="HA127" t="e">
        <f>AND(Bills!#REF!,"AAAAAF/5e9A=")</f>
        <v>#REF!</v>
      </c>
      <c r="HB127" t="e">
        <f>AND(Bills!#REF!,"AAAAAF/5e9E=")</f>
        <v>#REF!</v>
      </c>
      <c r="HC127" t="e">
        <f>AND(Bills!#REF!,"AAAAAF/5e9I=")</f>
        <v>#REF!</v>
      </c>
      <c r="HD127" t="e">
        <f>AND(Bills!Y407,"AAAAAF/5e9M=")</f>
        <v>#VALUE!</v>
      </c>
      <c r="HE127" t="e">
        <f>AND(Bills!Z407,"AAAAAF/5e9Q=")</f>
        <v>#VALUE!</v>
      </c>
      <c r="HF127" t="e">
        <f>AND(Bills!#REF!,"AAAAAF/5e9U=")</f>
        <v>#REF!</v>
      </c>
      <c r="HG127" t="e">
        <f>AND(Bills!#REF!,"AAAAAF/5e9Y=")</f>
        <v>#REF!</v>
      </c>
      <c r="HH127" t="e">
        <f>AND(Bills!#REF!,"AAAAAF/5e9c=")</f>
        <v>#REF!</v>
      </c>
      <c r="HI127" t="e">
        <f>AND(Bills!AA407,"AAAAAF/5e9g=")</f>
        <v>#VALUE!</v>
      </c>
      <c r="HJ127" t="e">
        <f>AND(Bills!AB407,"AAAAAF/5e9k=")</f>
        <v>#VALUE!</v>
      </c>
      <c r="HK127" t="e">
        <f>AND(Bills!#REF!,"AAAAAF/5e9o=")</f>
        <v>#REF!</v>
      </c>
      <c r="HL127">
        <f>IF(Bills!408:408,"AAAAAF/5e9s=",0)</f>
        <v>0</v>
      </c>
      <c r="HM127" t="e">
        <f>AND(Bills!B408,"AAAAAF/5e9w=")</f>
        <v>#VALUE!</v>
      </c>
      <c r="HN127" t="e">
        <f>AND(Bills!#REF!,"AAAAAF/5e90=")</f>
        <v>#REF!</v>
      </c>
      <c r="HO127" t="e">
        <f>AND(Bills!C408,"AAAAAF/5e94=")</f>
        <v>#VALUE!</v>
      </c>
      <c r="HP127" t="e">
        <f>AND(Bills!#REF!,"AAAAAF/5e98=")</f>
        <v>#REF!</v>
      </c>
      <c r="HQ127" t="e">
        <f>AND(Bills!#REF!,"AAAAAF/5e+A=")</f>
        <v>#REF!</v>
      </c>
      <c r="HR127" t="e">
        <f>AND(Bills!#REF!,"AAAAAF/5e+E=")</f>
        <v>#REF!</v>
      </c>
      <c r="HS127" t="e">
        <f>AND(Bills!#REF!,"AAAAAF/5e+I=")</f>
        <v>#REF!</v>
      </c>
      <c r="HT127" t="e">
        <f>AND(Bills!#REF!,"AAAAAF/5e+M=")</f>
        <v>#REF!</v>
      </c>
      <c r="HU127" t="e">
        <f>AND(Bills!D408,"AAAAAF/5e+Q=")</f>
        <v>#VALUE!</v>
      </c>
      <c r="HV127" t="e">
        <f>AND(Bills!#REF!,"AAAAAF/5e+U=")</f>
        <v>#REF!</v>
      </c>
      <c r="HW127" t="e">
        <f>AND(Bills!E408,"AAAAAF/5e+Y=")</f>
        <v>#VALUE!</v>
      </c>
      <c r="HX127" t="e">
        <f>AND(Bills!F408,"AAAAAF/5e+c=")</f>
        <v>#VALUE!</v>
      </c>
      <c r="HY127" t="e">
        <f>AND(Bills!G408,"AAAAAF/5e+g=")</f>
        <v>#VALUE!</v>
      </c>
      <c r="HZ127" t="e">
        <f>AND(Bills!H408,"AAAAAF/5e+k=")</f>
        <v>#VALUE!</v>
      </c>
      <c r="IA127" t="e">
        <f>AND(Bills!I408,"AAAAAF/5e+o=")</f>
        <v>#VALUE!</v>
      </c>
      <c r="IB127" t="e">
        <f>AND(Bills!J408,"AAAAAF/5e+s=")</f>
        <v>#VALUE!</v>
      </c>
      <c r="IC127" t="e">
        <f>AND(Bills!#REF!,"AAAAAF/5e+w=")</f>
        <v>#REF!</v>
      </c>
      <c r="ID127" t="e">
        <f>AND(Bills!K408,"AAAAAF/5e+0=")</f>
        <v>#VALUE!</v>
      </c>
      <c r="IE127" t="e">
        <f>AND(Bills!L408,"AAAAAF/5e+4=")</f>
        <v>#VALUE!</v>
      </c>
      <c r="IF127" t="e">
        <f>AND(Bills!M408,"AAAAAF/5e+8=")</f>
        <v>#VALUE!</v>
      </c>
      <c r="IG127" t="e">
        <f>AND(Bills!N408,"AAAAAF/5e/A=")</f>
        <v>#VALUE!</v>
      </c>
      <c r="IH127" t="e">
        <f>AND(Bills!O408,"AAAAAF/5e/E=")</f>
        <v>#VALUE!</v>
      </c>
      <c r="II127" t="e">
        <f>AND(Bills!P408,"AAAAAF/5e/I=")</f>
        <v>#VALUE!</v>
      </c>
      <c r="IJ127" t="e">
        <f>AND(Bills!Q408,"AAAAAF/5e/M=")</f>
        <v>#VALUE!</v>
      </c>
      <c r="IK127" t="e">
        <f>AND(Bills!R408,"AAAAAF/5e/Q=")</f>
        <v>#VALUE!</v>
      </c>
      <c r="IL127" t="e">
        <f>AND(Bills!#REF!,"AAAAAF/5e/U=")</f>
        <v>#REF!</v>
      </c>
      <c r="IM127" t="e">
        <f>AND(Bills!S408,"AAAAAF/5e/Y=")</f>
        <v>#VALUE!</v>
      </c>
      <c r="IN127" t="e">
        <f>AND(Bills!T408,"AAAAAF/5e/c=")</f>
        <v>#VALUE!</v>
      </c>
      <c r="IO127" t="e">
        <f>AND(Bills!U408,"AAAAAF/5e/g=")</f>
        <v>#VALUE!</v>
      </c>
      <c r="IP127" t="e">
        <f>AND(Bills!#REF!,"AAAAAF/5e/k=")</f>
        <v>#REF!</v>
      </c>
      <c r="IQ127" t="e">
        <f>AND(Bills!#REF!,"AAAAAF/5e/o=")</f>
        <v>#REF!</v>
      </c>
      <c r="IR127" t="e">
        <f>AND(Bills!W408,"AAAAAF/5e/s=")</f>
        <v>#VALUE!</v>
      </c>
      <c r="IS127" t="e">
        <f>AND(Bills!X408,"AAAAAF/5e/w=")</f>
        <v>#VALUE!</v>
      </c>
      <c r="IT127" t="e">
        <f>AND(Bills!#REF!,"AAAAAF/5e/0=")</f>
        <v>#REF!</v>
      </c>
      <c r="IU127" t="e">
        <f>AND(Bills!#REF!,"AAAAAF/5e/4=")</f>
        <v>#REF!</v>
      </c>
      <c r="IV127" t="e">
        <f>AND(Bills!#REF!,"AAAAAF/5e/8=")</f>
        <v>#REF!</v>
      </c>
    </row>
    <row r="128" spans="1:256">
      <c r="A128" t="e">
        <f>AND(Bills!#REF!,"AAAAAHf03QA=")</f>
        <v>#REF!</v>
      </c>
      <c r="B128" t="e">
        <f>AND(Bills!#REF!,"AAAAAHf03QE=")</f>
        <v>#REF!</v>
      </c>
      <c r="C128" t="e">
        <f>AND(Bills!#REF!,"AAAAAHf03QI=")</f>
        <v>#REF!</v>
      </c>
      <c r="D128" t="e">
        <f>AND(Bills!#REF!,"AAAAAHf03QM=")</f>
        <v>#REF!</v>
      </c>
      <c r="E128" t="e">
        <f>AND(Bills!#REF!,"AAAAAHf03QQ=")</f>
        <v>#REF!</v>
      </c>
      <c r="F128" t="e">
        <f>AND(Bills!#REF!,"AAAAAHf03QU=")</f>
        <v>#REF!</v>
      </c>
      <c r="G128" t="e">
        <f>AND(Bills!Y408,"AAAAAHf03QY=")</f>
        <v>#VALUE!</v>
      </c>
      <c r="H128" t="e">
        <f>AND(Bills!Z408,"AAAAAHf03Qc=")</f>
        <v>#VALUE!</v>
      </c>
      <c r="I128" t="e">
        <f>AND(Bills!#REF!,"AAAAAHf03Qg=")</f>
        <v>#REF!</v>
      </c>
      <c r="J128" t="e">
        <f>AND(Bills!#REF!,"AAAAAHf03Qk=")</f>
        <v>#REF!</v>
      </c>
      <c r="K128" t="e">
        <f>AND(Bills!#REF!,"AAAAAHf03Qo=")</f>
        <v>#REF!</v>
      </c>
      <c r="L128" t="e">
        <f>AND(Bills!AA408,"AAAAAHf03Qs=")</f>
        <v>#VALUE!</v>
      </c>
      <c r="M128" t="e">
        <f>AND(Bills!AB408,"AAAAAHf03Qw=")</f>
        <v>#VALUE!</v>
      </c>
      <c r="N128" t="e">
        <f>AND(Bills!#REF!,"AAAAAHf03Q0=")</f>
        <v>#REF!</v>
      </c>
      <c r="O128">
        <f>IF(Bills!409:409,"AAAAAHf03Q4=",0)</f>
        <v>0</v>
      </c>
      <c r="P128" t="e">
        <f>AND(Bills!B409,"AAAAAHf03Q8=")</f>
        <v>#VALUE!</v>
      </c>
      <c r="Q128" t="e">
        <f>AND(Bills!#REF!,"AAAAAHf03RA=")</f>
        <v>#REF!</v>
      </c>
      <c r="R128" t="e">
        <f>AND(Bills!C409,"AAAAAHf03RE=")</f>
        <v>#VALUE!</v>
      </c>
      <c r="S128" t="e">
        <f>AND(Bills!#REF!,"AAAAAHf03RI=")</f>
        <v>#REF!</v>
      </c>
      <c r="T128" t="e">
        <f>AND(Bills!#REF!,"AAAAAHf03RM=")</f>
        <v>#REF!</v>
      </c>
      <c r="U128" t="e">
        <f>AND(Bills!#REF!,"AAAAAHf03RQ=")</f>
        <v>#REF!</v>
      </c>
      <c r="V128" t="e">
        <f>AND(Bills!#REF!,"AAAAAHf03RU=")</f>
        <v>#REF!</v>
      </c>
      <c r="W128" t="e">
        <f>AND(Bills!#REF!,"AAAAAHf03RY=")</f>
        <v>#REF!</v>
      </c>
      <c r="X128" t="e">
        <f>AND(Bills!D409,"AAAAAHf03Rc=")</f>
        <v>#VALUE!</v>
      </c>
      <c r="Y128" t="e">
        <f>AND(Bills!#REF!,"AAAAAHf03Rg=")</f>
        <v>#REF!</v>
      </c>
      <c r="Z128" t="e">
        <f>AND(Bills!E409,"AAAAAHf03Rk=")</f>
        <v>#VALUE!</v>
      </c>
      <c r="AA128" t="e">
        <f>AND(Bills!F409,"AAAAAHf03Ro=")</f>
        <v>#VALUE!</v>
      </c>
      <c r="AB128" t="e">
        <f>AND(Bills!G409,"AAAAAHf03Rs=")</f>
        <v>#VALUE!</v>
      </c>
      <c r="AC128" t="e">
        <f>AND(Bills!H409,"AAAAAHf03Rw=")</f>
        <v>#VALUE!</v>
      </c>
      <c r="AD128" t="e">
        <f>AND(Bills!I409,"AAAAAHf03R0=")</f>
        <v>#VALUE!</v>
      </c>
      <c r="AE128" t="e">
        <f>AND(Bills!J409,"AAAAAHf03R4=")</f>
        <v>#VALUE!</v>
      </c>
      <c r="AF128" t="e">
        <f>AND(Bills!#REF!,"AAAAAHf03R8=")</f>
        <v>#REF!</v>
      </c>
      <c r="AG128" t="e">
        <f>AND(Bills!K409,"AAAAAHf03SA=")</f>
        <v>#VALUE!</v>
      </c>
      <c r="AH128" t="e">
        <f>AND(Bills!L409,"AAAAAHf03SE=")</f>
        <v>#VALUE!</v>
      </c>
      <c r="AI128" t="e">
        <f>AND(Bills!M409,"AAAAAHf03SI=")</f>
        <v>#VALUE!</v>
      </c>
      <c r="AJ128" t="e">
        <f>AND(Bills!N409,"AAAAAHf03SM=")</f>
        <v>#VALUE!</v>
      </c>
      <c r="AK128" t="e">
        <f>AND(Bills!O409,"AAAAAHf03SQ=")</f>
        <v>#VALUE!</v>
      </c>
      <c r="AL128" t="e">
        <f>AND(Bills!P409,"AAAAAHf03SU=")</f>
        <v>#VALUE!</v>
      </c>
      <c r="AM128" t="e">
        <f>AND(Bills!Q409,"AAAAAHf03SY=")</f>
        <v>#VALUE!</v>
      </c>
      <c r="AN128" t="e">
        <f>AND(Bills!R409,"AAAAAHf03Sc=")</f>
        <v>#VALUE!</v>
      </c>
      <c r="AO128" t="e">
        <f>AND(Bills!#REF!,"AAAAAHf03Sg=")</f>
        <v>#REF!</v>
      </c>
      <c r="AP128" t="e">
        <f>AND(Bills!S409,"AAAAAHf03Sk=")</f>
        <v>#VALUE!</v>
      </c>
      <c r="AQ128" t="e">
        <f>AND(Bills!T409,"AAAAAHf03So=")</f>
        <v>#VALUE!</v>
      </c>
      <c r="AR128" t="e">
        <f>AND(Bills!U409,"AAAAAHf03Ss=")</f>
        <v>#VALUE!</v>
      </c>
      <c r="AS128" t="e">
        <f>AND(Bills!#REF!,"AAAAAHf03Sw=")</f>
        <v>#REF!</v>
      </c>
      <c r="AT128" t="e">
        <f>AND(Bills!#REF!,"AAAAAHf03S0=")</f>
        <v>#REF!</v>
      </c>
      <c r="AU128" t="e">
        <f>AND(Bills!W409,"AAAAAHf03S4=")</f>
        <v>#VALUE!</v>
      </c>
      <c r="AV128" t="e">
        <f>AND(Bills!X409,"AAAAAHf03S8=")</f>
        <v>#VALUE!</v>
      </c>
      <c r="AW128" t="e">
        <f>AND(Bills!#REF!,"AAAAAHf03TA=")</f>
        <v>#REF!</v>
      </c>
      <c r="AX128" t="e">
        <f>AND(Bills!#REF!,"AAAAAHf03TE=")</f>
        <v>#REF!</v>
      </c>
      <c r="AY128" t="e">
        <f>AND(Bills!#REF!,"AAAAAHf03TI=")</f>
        <v>#REF!</v>
      </c>
      <c r="AZ128" t="e">
        <f>AND(Bills!#REF!,"AAAAAHf03TM=")</f>
        <v>#REF!</v>
      </c>
      <c r="BA128" t="e">
        <f>AND(Bills!#REF!,"AAAAAHf03TQ=")</f>
        <v>#REF!</v>
      </c>
      <c r="BB128" t="e">
        <f>AND(Bills!#REF!,"AAAAAHf03TU=")</f>
        <v>#REF!</v>
      </c>
      <c r="BC128" t="e">
        <f>AND(Bills!#REF!,"AAAAAHf03TY=")</f>
        <v>#REF!</v>
      </c>
      <c r="BD128" t="e">
        <f>AND(Bills!#REF!,"AAAAAHf03Tc=")</f>
        <v>#REF!</v>
      </c>
      <c r="BE128" t="e">
        <f>AND(Bills!#REF!,"AAAAAHf03Tg=")</f>
        <v>#REF!</v>
      </c>
      <c r="BF128" t="e">
        <f>AND(Bills!Y409,"AAAAAHf03Tk=")</f>
        <v>#VALUE!</v>
      </c>
      <c r="BG128" t="e">
        <f>AND(Bills!Z409,"AAAAAHf03To=")</f>
        <v>#VALUE!</v>
      </c>
      <c r="BH128" t="e">
        <f>AND(Bills!#REF!,"AAAAAHf03Ts=")</f>
        <v>#REF!</v>
      </c>
      <c r="BI128" t="e">
        <f>AND(Bills!#REF!,"AAAAAHf03Tw=")</f>
        <v>#REF!</v>
      </c>
      <c r="BJ128" t="e">
        <f>AND(Bills!#REF!,"AAAAAHf03T0=")</f>
        <v>#REF!</v>
      </c>
      <c r="BK128" t="e">
        <f>AND(Bills!AA409,"AAAAAHf03T4=")</f>
        <v>#VALUE!</v>
      </c>
      <c r="BL128" t="e">
        <f>AND(Bills!AB409,"AAAAAHf03T8=")</f>
        <v>#VALUE!</v>
      </c>
      <c r="BM128" t="e">
        <f>AND(Bills!#REF!,"AAAAAHf03UA=")</f>
        <v>#REF!</v>
      </c>
      <c r="BN128">
        <f>IF(Bills!410:410,"AAAAAHf03UE=",0)</f>
        <v>0</v>
      </c>
      <c r="BO128" t="e">
        <f>AND(Bills!B410,"AAAAAHf03UI=")</f>
        <v>#VALUE!</v>
      </c>
      <c r="BP128" t="e">
        <f>AND(Bills!#REF!,"AAAAAHf03UM=")</f>
        <v>#REF!</v>
      </c>
      <c r="BQ128" t="e">
        <f>AND(Bills!C410,"AAAAAHf03UQ=")</f>
        <v>#VALUE!</v>
      </c>
      <c r="BR128" t="e">
        <f>AND(Bills!#REF!,"AAAAAHf03UU=")</f>
        <v>#REF!</v>
      </c>
      <c r="BS128" t="e">
        <f>AND(Bills!#REF!,"AAAAAHf03UY=")</f>
        <v>#REF!</v>
      </c>
      <c r="BT128" t="e">
        <f>AND(Bills!#REF!,"AAAAAHf03Uc=")</f>
        <v>#REF!</v>
      </c>
      <c r="BU128" t="e">
        <f>AND(Bills!#REF!,"AAAAAHf03Ug=")</f>
        <v>#REF!</v>
      </c>
      <c r="BV128" t="e">
        <f>AND(Bills!#REF!,"AAAAAHf03Uk=")</f>
        <v>#REF!</v>
      </c>
      <c r="BW128" t="e">
        <f>AND(Bills!D410,"AAAAAHf03Uo=")</f>
        <v>#VALUE!</v>
      </c>
      <c r="BX128" t="e">
        <f>AND(Bills!#REF!,"AAAAAHf03Us=")</f>
        <v>#REF!</v>
      </c>
      <c r="BY128" t="e">
        <f>AND(Bills!E410,"AAAAAHf03Uw=")</f>
        <v>#VALUE!</v>
      </c>
      <c r="BZ128" t="e">
        <f>AND(Bills!F410,"AAAAAHf03U0=")</f>
        <v>#VALUE!</v>
      </c>
      <c r="CA128" t="e">
        <f>AND(Bills!G410,"AAAAAHf03U4=")</f>
        <v>#VALUE!</v>
      </c>
      <c r="CB128" t="e">
        <f>AND(Bills!H410,"AAAAAHf03U8=")</f>
        <v>#VALUE!</v>
      </c>
      <c r="CC128" t="e">
        <f>AND(Bills!I410,"AAAAAHf03VA=")</f>
        <v>#VALUE!</v>
      </c>
      <c r="CD128" t="e">
        <f>AND(Bills!J410,"AAAAAHf03VE=")</f>
        <v>#VALUE!</v>
      </c>
      <c r="CE128" t="e">
        <f>AND(Bills!#REF!,"AAAAAHf03VI=")</f>
        <v>#REF!</v>
      </c>
      <c r="CF128" t="e">
        <f>AND(Bills!K410,"AAAAAHf03VM=")</f>
        <v>#VALUE!</v>
      </c>
      <c r="CG128" t="e">
        <f>AND(Bills!L410,"AAAAAHf03VQ=")</f>
        <v>#VALUE!</v>
      </c>
      <c r="CH128" t="e">
        <f>AND(Bills!M410,"AAAAAHf03VU=")</f>
        <v>#VALUE!</v>
      </c>
      <c r="CI128" t="e">
        <f>AND(Bills!N410,"AAAAAHf03VY=")</f>
        <v>#VALUE!</v>
      </c>
      <c r="CJ128" t="e">
        <f>AND(Bills!O410,"AAAAAHf03Vc=")</f>
        <v>#VALUE!</v>
      </c>
      <c r="CK128" t="e">
        <f>AND(Bills!P410,"AAAAAHf03Vg=")</f>
        <v>#VALUE!</v>
      </c>
      <c r="CL128" t="e">
        <f>AND(Bills!Q410,"AAAAAHf03Vk=")</f>
        <v>#VALUE!</v>
      </c>
      <c r="CM128" t="e">
        <f>AND(Bills!R410,"AAAAAHf03Vo=")</f>
        <v>#VALUE!</v>
      </c>
      <c r="CN128" t="e">
        <f>AND(Bills!#REF!,"AAAAAHf03Vs=")</f>
        <v>#REF!</v>
      </c>
      <c r="CO128" t="e">
        <f>AND(Bills!S410,"AAAAAHf03Vw=")</f>
        <v>#VALUE!</v>
      </c>
      <c r="CP128" t="e">
        <f>AND(Bills!T410,"AAAAAHf03V0=")</f>
        <v>#VALUE!</v>
      </c>
      <c r="CQ128" t="e">
        <f>AND(Bills!U410,"AAAAAHf03V4=")</f>
        <v>#VALUE!</v>
      </c>
      <c r="CR128" t="e">
        <f>AND(Bills!#REF!,"AAAAAHf03V8=")</f>
        <v>#REF!</v>
      </c>
      <c r="CS128" t="e">
        <f>AND(Bills!#REF!,"AAAAAHf03WA=")</f>
        <v>#REF!</v>
      </c>
      <c r="CT128" t="e">
        <f>AND(Bills!W410,"AAAAAHf03WE=")</f>
        <v>#VALUE!</v>
      </c>
      <c r="CU128" t="e">
        <f>AND(Bills!X410,"AAAAAHf03WI=")</f>
        <v>#VALUE!</v>
      </c>
      <c r="CV128" t="e">
        <f>AND(Bills!#REF!,"AAAAAHf03WM=")</f>
        <v>#REF!</v>
      </c>
      <c r="CW128" t="e">
        <f>AND(Bills!#REF!,"AAAAAHf03WQ=")</f>
        <v>#REF!</v>
      </c>
      <c r="CX128" t="e">
        <f>AND(Bills!#REF!,"AAAAAHf03WU=")</f>
        <v>#REF!</v>
      </c>
      <c r="CY128" t="e">
        <f>AND(Bills!#REF!,"AAAAAHf03WY=")</f>
        <v>#REF!</v>
      </c>
      <c r="CZ128" t="e">
        <f>AND(Bills!#REF!,"AAAAAHf03Wc=")</f>
        <v>#REF!</v>
      </c>
      <c r="DA128" t="e">
        <f>AND(Bills!#REF!,"AAAAAHf03Wg=")</f>
        <v>#REF!</v>
      </c>
      <c r="DB128" t="e">
        <f>AND(Bills!#REF!,"AAAAAHf03Wk=")</f>
        <v>#REF!</v>
      </c>
      <c r="DC128" t="e">
        <f>AND(Bills!#REF!,"AAAAAHf03Wo=")</f>
        <v>#REF!</v>
      </c>
      <c r="DD128" t="e">
        <f>AND(Bills!#REF!,"AAAAAHf03Ws=")</f>
        <v>#REF!</v>
      </c>
      <c r="DE128" t="e">
        <f>AND(Bills!Y410,"AAAAAHf03Ww=")</f>
        <v>#VALUE!</v>
      </c>
      <c r="DF128" t="e">
        <f>AND(Bills!Z410,"AAAAAHf03W0=")</f>
        <v>#VALUE!</v>
      </c>
      <c r="DG128" t="e">
        <f>AND(Bills!#REF!,"AAAAAHf03W4=")</f>
        <v>#REF!</v>
      </c>
      <c r="DH128" t="e">
        <f>AND(Bills!#REF!,"AAAAAHf03W8=")</f>
        <v>#REF!</v>
      </c>
      <c r="DI128" t="e">
        <f>AND(Bills!#REF!,"AAAAAHf03XA=")</f>
        <v>#REF!</v>
      </c>
      <c r="DJ128" t="e">
        <f>AND(Bills!AA410,"AAAAAHf03XE=")</f>
        <v>#VALUE!</v>
      </c>
      <c r="DK128" t="e">
        <f>AND(Bills!AB410,"AAAAAHf03XI=")</f>
        <v>#VALUE!</v>
      </c>
      <c r="DL128" t="e">
        <f>AND(Bills!#REF!,"AAAAAHf03XM=")</f>
        <v>#REF!</v>
      </c>
      <c r="DM128">
        <f>IF(Bills!411:411,"AAAAAHf03XQ=",0)</f>
        <v>0</v>
      </c>
      <c r="DN128" t="e">
        <f>AND(Bills!B411,"AAAAAHf03XU=")</f>
        <v>#VALUE!</v>
      </c>
      <c r="DO128" t="e">
        <f>AND(Bills!#REF!,"AAAAAHf03XY=")</f>
        <v>#REF!</v>
      </c>
      <c r="DP128" t="e">
        <f>AND(Bills!C411,"AAAAAHf03Xc=")</f>
        <v>#VALUE!</v>
      </c>
      <c r="DQ128" t="e">
        <f>AND(Bills!#REF!,"AAAAAHf03Xg=")</f>
        <v>#REF!</v>
      </c>
      <c r="DR128" t="e">
        <f>AND(Bills!#REF!,"AAAAAHf03Xk=")</f>
        <v>#REF!</v>
      </c>
      <c r="DS128" t="e">
        <f>AND(Bills!#REF!,"AAAAAHf03Xo=")</f>
        <v>#REF!</v>
      </c>
      <c r="DT128" t="e">
        <f>AND(Bills!#REF!,"AAAAAHf03Xs=")</f>
        <v>#REF!</v>
      </c>
      <c r="DU128" t="e">
        <f>AND(Bills!#REF!,"AAAAAHf03Xw=")</f>
        <v>#REF!</v>
      </c>
      <c r="DV128" t="e">
        <f>AND(Bills!D411,"AAAAAHf03X0=")</f>
        <v>#VALUE!</v>
      </c>
      <c r="DW128" t="e">
        <f>AND(Bills!#REF!,"AAAAAHf03X4=")</f>
        <v>#REF!</v>
      </c>
      <c r="DX128" t="e">
        <f>AND(Bills!E411,"AAAAAHf03X8=")</f>
        <v>#VALUE!</v>
      </c>
      <c r="DY128" t="e">
        <f>AND(Bills!F411,"AAAAAHf03YA=")</f>
        <v>#VALUE!</v>
      </c>
      <c r="DZ128" t="e">
        <f>AND(Bills!G411,"AAAAAHf03YE=")</f>
        <v>#VALUE!</v>
      </c>
      <c r="EA128" t="e">
        <f>AND(Bills!H411,"AAAAAHf03YI=")</f>
        <v>#VALUE!</v>
      </c>
      <c r="EB128" t="e">
        <f>AND(Bills!I411,"AAAAAHf03YM=")</f>
        <v>#VALUE!</v>
      </c>
      <c r="EC128" t="e">
        <f>AND(Bills!J411,"AAAAAHf03YQ=")</f>
        <v>#VALUE!</v>
      </c>
      <c r="ED128" t="e">
        <f>AND(Bills!#REF!,"AAAAAHf03YU=")</f>
        <v>#REF!</v>
      </c>
      <c r="EE128" t="e">
        <f>AND(Bills!K411,"AAAAAHf03YY=")</f>
        <v>#VALUE!</v>
      </c>
      <c r="EF128" t="e">
        <f>AND(Bills!L411,"AAAAAHf03Yc=")</f>
        <v>#VALUE!</v>
      </c>
      <c r="EG128" t="e">
        <f>AND(Bills!M411,"AAAAAHf03Yg=")</f>
        <v>#VALUE!</v>
      </c>
      <c r="EH128" t="e">
        <f>AND(Bills!N411,"AAAAAHf03Yk=")</f>
        <v>#VALUE!</v>
      </c>
      <c r="EI128" t="e">
        <f>AND(Bills!O411,"AAAAAHf03Yo=")</f>
        <v>#VALUE!</v>
      </c>
      <c r="EJ128" t="e">
        <f>AND(Bills!P411,"AAAAAHf03Ys=")</f>
        <v>#VALUE!</v>
      </c>
      <c r="EK128" t="e">
        <f>AND(Bills!Q411,"AAAAAHf03Yw=")</f>
        <v>#VALUE!</v>
      </c>
      <c r="EL128" t="e">
        <f>AND(Bills!R411,"AAAAAHf03Y0=")</f>
        <v>#VALUE!</v>
      </c>
      <c r="EM128" t="e">
        <f>AND(Bills!#REF!,"AAAAAHf03Y4=")</f>
        <v>#REF!</v>
      </c>
      <c r="EN128" t="e">
        <f>AND(Bills!S411,"AAAAAHf03Y8=")</f>
        <v>#VALUE!</v>
      </c>
      <c r="EO128" t="e">
        <f>AND(Bills!T411,"AAAAAHf03ZA=")</f>
        <v>#VALUE!</v>
      </c>
      <c r="EP128" t="e">
        <f>AND(Bills!U411,"AAAAAHf03ZE=")</f>
        <v>#VALUE!</v>
      </c>
      <c r="EQ128" t="e">
        <f>AND(Bills!#REF!,"AAAAAHf03ZI=")</f>
        <v>#REF!</v>
      </c>
      <c r="ER128" t="e">
        <f>AND(Bills!#REF!,"AAAAAHf03ZM=")</f>
        <v>#REF!</v>
      </c>
      <c r="ES128" t="e">
        <f>AND(Bills!W411,"AAAAAHf03ZQ=")</f>
        <v>#VALUE!</v>
      </c>
      <c r="ET128" t="e">
        <f>AND(Bills!X411,"AAAAAHf03ZU=")</f>
        <v>#VALUE!</v>
      </c>
      <c r="EU128" t="e">
        <f>AND(Bills!#REF!,"AAAAAHf03ZY=")</f>
        <v>#REF!</v>
      </c>
      <c r="EV128" t="e">
        <f>AND(Bills!#REF!,"AAAAAHf03Zc=")</f>
        <v>#REF!</v>
      </c>
      <c r="EW128" t="e">
        <f>AND(Bills!#REF!,"AAAAAHf03Zg=")</f>
        <v>#REF!</v>
      </c>
      <c r="EX128" t="e">
        <f>AND(Bills!#REF!,"AAAAAHf03Zk=")</f>
        <v>#REF!</v>
      </c>
      <c r="EY128" t="e">
        <f>AND(Bills!#REF!,"AAAAAHf03Zo=")</f>
        <v>#REF!</v>
      </c>
      <c r="EZ128" t="e">
        <f>AND(Bills!#REF!,"AAAAAHf03Zs=")</f>
        <v>#REF!</v>
      </c>
      <c r="FA128" t="e">
        <f>AND(Bills!#REF!,"AAAAAHf03Zw=")</f>
        <v>#REF!</v>
      </c>
      <c r="FB128" t="e">
        <f>AND(Bills!#REF!,"AAAAAHf03Z0=")</f>
        <v>#REF!</v>
      </c>
      <c r="FC128" t="e">
        <f>AND(Bills!#REF!,"AAAAAHf03Z4=")</f>
        <v>#REF!</v>
      </c>
      <c r="FD128" t="e">
        <f>AND(Bills!Y411,"AAAAAHf03Z8=")</f>
        <v>#VALUE!</v>
      </c>
      <c r="FE128" t="e">
        <f>AND(Bills!Z411,"AAAAAHf03aA=")</f>
        <v>#VALUE!</v>
      </c>
      <c r="FF128" t="e">
        <f>AND(Bills!#REF!,"AAAAAHf03aE=")</f>
        <v>#REF!</v>
      </c>
      <c r="FG128" t="e">
        <f>AND(Bills!#REF!,"AAAAAHf03aI=")</f>
        <v>#REF!</v>
      </c>
      <c r="FH128" t="e">
        <f>AND(Bills!#REF!,"AAAAAHf03aM=")</f>
        <v>#REF!</v>
      </c>
      <c r="FI128" t="e">
        <f>AND(Bills!AA411,"AAAAAHf03aQ=")</f>
        <v>#VALUE!</v>
      </c>
      <c r="FJ128" t="e">
        <f>AND(Bills!AB411,"AAAAAHf03aU=")</f>
        <v>#VALUE!</v>
      </c>
      <c r="FK128" t="e">
        <f>AND(Bills!#REF!,"AAAAAHf03aY=")</f>
        <v>#REF!</v>
      </c>
      <c r="FL128">
        <f>IF(Bills!412:412,"AAAAAHf03ac=",0)</f>
        <v>0</v>
      </c>
      <c r="FM128" t="e">
        <f>AND(Bills!B412,"AAAAAHf03ag=")</f>
        <v>#VALUE!</v>
      </c>
      <c r="FN128" t="e">
        <f>AND(Bills!#REF!,"AAAAAHf03ak=")</f>
        <v>#REF!</v>
      </c>
      <c r="FO128" t="e">
        <f>AND(Bills!C412,"AAAAAHf03ao=")</f>
        <v>#VALUE!</v>
      </c>
      <c r="FP128" t="e">
        <f>AND(Bills!#REF!,"AAAAAHf03as=")</f>
        <v>#REF!</v>
      </c>
      <c r="FQ128" t="e">
        <f>AND(Bills!#REF!,"AAAAAHf03aw=")</f>
        <v>#REF!</v>
      </c>
      <c r="FR128" t="e">
        <f>AND(Bills!#REF!,"AAAAAHf03a0=")</f>
        <v>#REF!</v>
      </c>
      <c r="FS128" t="e">
        <f>AND(Bills!#REF!,"AAAAAHf03a4=")</f>
        <v>#REF!</v>
      </c>
      <c r="FT128" t="e">
        <f>AND(Bills!#REF!,"AAAAAHf03a8=")</f>
        <v>#REF!</v>
      </c>
      <c r="FU128" t="e">
        <f>AND(Bills!D412,"AAAAAHf03bA=")</f>
        <v>#VALUE!</v>
      </c>
      <c r="FV128" t="e">
        <f>AND(Bills!#REF!,"AAAAAHf03bE=")</f>
        <v>#REF!</v>
      </c>
      <c r="FW128" t="e">
        <f>AND(Bills!E412,"AAAAAHf03bI=")</f>
        <v>#VALUE!</v>
      </c>
      <c r="FX128" t="e">
        <f>AND(Bills!F412,"AAAAAHf03bM=")</f>
        <v>#VALUE!</v>
      </c>
      <c r="FY128" t="e">
        <f>AND(Bills!G412,"AAAAAHf03bQ=")</f>
        <v>#VALUE!</v>
      </c>
      <c r="FZ128" t="e">
        <f>AND(Bills!H412,"AAAAAHf03bU=")</f>
        <v>#VALUE!</v>
      </c>
      <c r="GA128" t="e">
        <f>AND(Bills!I412,"AAAAAHf03bY=")</f>
        <v>#VALUE!</v>
      </c>
      <c r="GB128" t="e">
        <f>AND(Bills!J412,"AAAAAHf03bc=")</f>
        <v>#VALUE!</v>
      </c>
      <c r="GC128" t="e">
        <f>AND(Bills!#REF!,"AAAAAHf03bg=")</f>
        <v>#REF!</v>
      </c>
      <c r="GD128" t="e">
        <f>AND(Bills!K412,"AAAAAHf03bk=")</f>
        <v>#VALUE!</v>
      </c>
      <c r="GE128" t="e">
        <f>AND(Bills!L412,"AAAAAHf03bo=")</f>
        <v>#VALUE!</v>
      </c>
      <c r="GF128" t="e">
        <f>AND(Bills!M412,"AAAAAHf03bs=")</f>
        <v>#VALUE!</v>
      </c>
      <c r="GG128" t="e">
        <f>AND(Bills!N412,"AAAAAHf03bw=")</f>
        <v>#VALUE!</v>
      </c>
      <c r="GH128" t="e">
        <f>AND(Bills!O412,"AAAAAHf03b0=")</f>
        <v>#VALUE!</v>
      </c>
      <c r="GI128" t="e">
        <f>AND(Bills!P412,"AAAAAHf03b4=")</f>
        <v>#VALUE!</v>
      </c>
      <c r="GJ128" t="e">
        <f>AND(Bills!Q412,"AAAAAHf03b8=")</f>
        <v>#VALUE!</v>
      </c>
      <c r="GK128" t="e">
        <f>AND(Bills!R412,"AAAAAHf03cA=")</f>
        <v>#VALUE!</v>
      </c>
      <c r="GL128" t="e">
        <f>AND(Bills!#REF!,"AAAAAHf03cE=")</f>
        <v>#REF!</v>
      </c>
      <c r="GM128" t="e">
        <f>AND(Bills!S412,"AAAAAHf03cI=")</f>
        <v>#VALUE!</v>
      </c>
      <c r="GN128" t="e">
        <f>AND(Bills!T412,"AAAAAHf03cM=")</f>
        <v>#VALUE!</v>
      </c>
      <c r="GO128" t="e">
        <f>AND(Bills!U412,"AAAAAHf03cQ=")</f>
        <v>#VALUE!</v>
      </c>
      <c r="GP128" t="e">
        <f>AND(Bills!#REF!,"AAAAAHf03cU=")</f>
        <v>#REF!</v>
      </c>
      <c r="GQ128" t="e">
        <f>AND(Bills!#REF!,"AAAAAHf03cY=")</f>
        <v>#REF!</v>
      </c>
      <c r="GR128" t="e">
        <f>AND(Bills!W412,"AAAAAHf03cc=")</f>
        <v>#VALUE!</v>
      </c>
      <c r="GS128" t="e">
        <f>AND(Bills!X412,"AAAAAHf03cg=")</f>
        <v>#VALUE!</v>
      </c>
      <c r="GT128" t="e">
        <f>AND(Bills!#REF!,"AAAAAHf03ck=")</f>
        <v>#REF!</v>
      </c>
      <c r="GU128" t="e">
        <f>AND(Bills!#REF!,"AAAAAHf03co=")</f>
        <v>#REF!</v>
      </c>
      <c r="GV128" t="e">
        <f>AND(Bills!#REF!,"AAAAAHf03cs=")</f>
        <v>#REF!</v>
      </c>
      <c r="GW128" t="e">
        <f>AND(Bills!#REF!,"AAAAAHf03cw=")</f>
        <v>#REF!</v>
      </c>
      <c r="GX128" t="e">
        <f>AND(Bills!#REF!,"AAAAAHf03c0=")</f>
        <v>#REF!</v>
      </c>
      <c r="GY128" t="e">
        <f>AND(Bills!#REF!,"AAAAAHf03c4=")</f>
        <v>#REF!</v>
      </c>
      <c r="GZ128" t="e">
        <f>AND(Bills!#REF!,"AAAAAHf03c8=")</f>
        <v>#REF!</v>
      </c>
      <c r="HA128" t="e">
        <f>AND(Bills!#REF!,"AAAAAHf03dA=")</f>
        <v>#REF!</v>
      </c>
      <c r="HB128" t="e">
        <f>AND(Bills!#REF!,"AAAAAHf03dE=")</f>
        <v>#REF!</v>
      </c>
      <c r="HC128" t="e">
        <f>AND(Bills!Y412,"AAAAAHf03dI=")</f>
        <v>#VALUE!</v>
      </c>
      <c r="HD128" t="e">
        <f>AND(Bills!Z412,"AAAAAHf03dM=")</f>
        <v>#VALUE!</v>
      </c>
      <c r="HE128" t="e">
        <f>AND(Bills!#REF!,"AAAAAHf03dQ=")</f>
        <v>#REF!</v>
      </c>
      <c r="HF128" t="e">
        <f>AND(Bills!#REF!,"AAAAAHf03dU=")</f>
        <v>#REF!</v>
      </c>
      <c r="HG128" t="e">
        <f>AND(Bills!#REF!,"AAAAAHf03dY=")</f>
        <v>#REF!</v>
      </c>
      <c r="HH128" t="e">
        <f>AND(Bills!AA412,"AAAAAHf03dc=")</f>
        <v>#VALUE!</v>
      </c>
      <c r="HI128" t="e">
        <f>AND(Bills!AB412,"AAAAAHf03dg=")</f>
        <v>#VALUE!</v>
      </c>
      <c r="HJ128" t="e">
        <f>AND(Bills!#REF!,"AAAAAHf03dk=")</f>
        <v>#REF!</v>
      </c>
      <c r="HK128">
        <f>IF(Bills!413:413,"AAAAAHf03do=",0)</f>
        <v>0</v>
      </c>
      <c r="HL128" t="e">
        <f>AND(Bills!B413,"AAAAAHf03ds=")</f>
        <v>#VALUE!</v>
      </c>
      <c r="HM128" t="e">
        <f>AND(Bills!#REF!,"AAAAAHf03dw=")</f>
        <v>#REF!</v>
      </c>
      <c r="HN128" t="e">
        <f>AND(Bills!C413,"AAAAAHf03d0=")</f>
        <v>#VALUE!</v>
      </c>
      <c r="HO128" t="e">
        <f>AND(Bills!#REF!,"AAAAAHf03d4=")</f>
        <v>#REF!</v>
      </c>
      <c r="HP128" t="e">
        <f>AND(Bills!#REF!,"AAAAAHf03d8=")</f>
        <v>#REF!</v>
      </c>
      <c r="HQ128" t="e">
        <f>AND(Bills!#REF!,"AAAAAHf03eA=")</f>
        <v>#REF!</v>
      </c>
      <c r="HR128" t="e">
        <f>AND(Bills!#REF!,"AAAAAHf03eE=")</f>
        <v>#REF!</v>
      </c>
      <c r="HS128" t="e">
        <f>AND(Bills!#REF!,"AAAAAHf03eI=")</f>
        <v>#REF!</v>
      </c>
      <c r="HT128" t="e">
        <f>AND(Bills!D413,"AAAAAHf03eM=")</f>
        <v>#VALUE!</v>
      </c>
      <c r="HU128" t="e">
        <f>AND(Bills!#REF!,"AAAAAHf03eQ=")</f>
        <v>#REF!</v>
      </c>
      <c r="HV128" t="e">
        <f>AND(Bills!E413,"AAAAAHf03eU=")</f>
        <v>#VALUE!</v>
      </c>
      <c r="HW128" t="e">
        <f>AND(Bills!F413,"AAAAAHf03eY=")</f>
        <v>#VALUE!</v>
      </c>
      <c r="HX128" t="e">
        <f>AND(Bills!G413,"AAAAAHf03ec=")</f>
        <v>#VALUE!</v>
      </c>
      <c r="HY128" t="e">
        <f>AND(Bills!H413,"AAAAAHf03eg=")</f>
        <v>#VALUE!</v>
      </c>
      <c r="HZ128" t="e">
        <f>AND(Bills!I413,"AAAAAHf03ek=")</f>
        <v>#VALUE!</v>
      </c>
      <c r="IA128" t="e">
        <f>AND(Bills!J413,"AAAAAHf03eo=")</f>
        <v>#VALUE!</v>
      </c>
      <c r="IB128" t="e">
        <f>AND(Bills!#REF!,"AAAAAHf03es=")</f>
        <v>#REF!</v>
      </c>
      <c r="IC128" t="e">
        <f>AND(Bills!K413,"AAAAAHf03ew=")</f>
        <v>#VALUE!</v>
      </c>
      <c r="ID128" t="e">
        <f>AND(Bills!L413,"AAAAAHf03e0=")</f>
        <v>#VALUE!</v>
      </c>
      <c r="IE128" t="e">
        <f>AND(Bills!M413,"AAAAAHf03e4=")</f>
        <v>#VALUE!</v>
      </c>
      <c r="IF128" t="e">
        <f>AND(Bills!N413,"AAAAAHf03e8=")</f>
        <v>#VALUE!</v>
      </c>
      <c r="IG128" t="e">
        <f>AND(Bills!O413,"AAAAAHf03fA=")</f>
        <v>#VALUE!</v>
      </c>
      <c r="IH128" t="e">
        <f>AND(Bills!P413,"AAAAAHf03fE=")</f>
        <v>#VALUE!</v>
      </c>
      <c r="II128" t="e">
        <f>AND(Bills!Q413,"AAAAAHf03fI=")</f>
        <v>#VALUE!</v>
      </c>
      <c r="IJ128" t="e">
        <f>AND(Bills!R413,"AAAAAHf03fM=")</f>
        <v>#VALUE!</v>
      </c>
      <c r="IK128" t="e">
        <f>AND(Bills!#REF!,"AAAAAHf03fQ=")</f>
        <v>#REF!</v>
      </c>
      <c r="IL128" t="e">
        <f>AND(Bills!S413,"AAAAAHf03fU=")</f>
        <v>#VALUE!</v>
      </c>
      <c r="IM128" t="e">
        <f>AND(Bills!T413,"AAAAAHf03fY=")</f>
        <v>#VALUE!</v>
      </c>
      <c r="IN128" t="e">
        <f>AND(Bills!U413,"AAAAAHf03fc=")</f>
        <v>#VALUE!</v>
      </c>
      <c r="IO128" t="e">
        <f>AND(Bills!#REF!,"AAAAAHf03fg=")</f>
        <v>#REF!</v>
      </c>
      <c r="IP128" t="e">
        <f>AND(Bills!#REF!,"AAAAAHf03fk=")</f>
        <v>#REF!</v>
      </c>
      <c r="IQ128" t="e">
        <f>AND(Bills!W413,"AAAAAHf03fo=")</f>
        <v>#VALUE!</v>
      </c>
      <c r="IR128" t="e">
        <f>AND(Bills!X413,"AAAAAHf03fs=")</f>
        <v>#VALUE!</v>
      </c>
      <c r="IS128" t="e">
        <f>AND(Bills!#REF!,"AAAAAHf03fw=")</f>
        <v>#REF!</v>
      </c>
      <c r="IT128" t="e">
        <f>AND(Bills!#REF!,"AAAAAHf03f0=")</f>
        <v>#REF!</v>
      </c>
      <c r="IU128" t="e">
        <f>AND(Bills!#REF!,"AAAAAHf03f4=")</f>
        <v>#REF!</v>
      </c>
      <c r="IV128" t="e">
        <f>AND(Bills!#REF!,"AAAAAHf03f8=")</f>
        <v>#REF!</v>
      </c>
    </row>
    <row r="129" spans="1:256">
      <c r="A129" t="e">
        <f>AND(Bills!#REF!,"AAAAAH/5qAA=")</f>
        <v>#REF!</v>
      </c>
      <c r="B129" t="e">
        <f>AND(Bills!#REF!,"AAAAAH/5qAE=")</f>
        <v>#REF!</v>
      </c>
      <c r="C129" t="e">
        <f>AND(Bills!#REF!,"AAAAAH/5qAI=")</f>
        <v>#REF!</v>
      </c>
      <c r="D129" t="e">
        <f>AND(Bills!#REF!,"AAAAAH/5qAM=")</f>
        <v>#REF!</v>
      </c>
      <c r="E129" t="e">
        <f>AND(Bills!#REF!,"AAAAAH/5qAQ=")</f>
        <v>#REF!</v>
      </c>
      <c r="F129" t="e">
        <f>AND(Bills!Y413,"AAAAAH/5qAU=")</f>
        <v>#VALUE!</v>
      </c>
      <c r="G129" t="e">
        <f>AND(Bills!Z413,"AAAAAH/5qAY=")</f>
        <v>#VALUE!</v>
      </c>
      <c r="H129" t="e">
        <f>AND(Bills!#REF!,"AAAAAH/5qAc=")</f>
        <v>#REF!</v>
      </c>
      <c r="I129" t="e">
        <f>AND(Bills!#REF!,"AAAAAH/5qAg=")</f>
        <v>#REF!</v>
      </c>
      <c r="J129" t="e">
        <f>AND(Bills!#REF!,"AAAAAH/5qAk=")</f>
        <v>#REF!</v>
      </c>
      <c r="K129" t="e">
        <f>AND(Bills!AA413,"AAAAAH/5qAo=")</f>
        <v>#VALUE!</v>
      </c>
      <c r="L129" t="e">
        <f>AND(Bills!AB413,"AAAAAH/5qAs=")</f>
        <v>#VALUE!</v>
      </c>
      <c r="M129" t="e">
        <f>AND(Bills!#REF!,"AAAAAH/5qAw=")</f>
        <v>#REF!</v>
      </c>
      <c r="N129">
        <f>IF(Bills!414:414,"AAAAAH/5qA0=",0)</f>
        <v>0</v>
      </c>
      <c r="O129" t="e">
        <f>AND(Bills!B414,"AAAAAH/5qA4=")</f>
        <v>#VALUE!</v>
      </c>
      <c r="P129" t="e">
        <f>AND(Bills!#REF!,"AAAAAH/5qA8=")</f>
        <v>#REF!</v>
      </c>
      <c r="Q129" t="e">
        <f>AND(Bills!C414,"AAAAAH/5qBA=")</f>
        <v>#VALUE!</v>
      </c>
      <c r="R129" t="e">
        <f>AND(Bills!#REF!,"AAAAAH/5qBE=")</f>
        <v>#REF!</v>
      </c>
      <c r="S129" t="e">
        <f>AND(Bills!#REF!,"AAAAAH/5qBI=")</f>
        <v>#REF!</v>
      </c>
      <c r="T129" t="e">
        <f>AND(Bills!#REF!,"AAAAAH/5qBM=")</f>
        <v>#REF!</v>
      </c>
      <c r="U129" t="e">
        <f>AND(Bills!#REF!,"AAAAAH/5qBQ=")</f>
        <v>#REF!</v>
      </c>
      <c r="V129" t="e">
        <f>AND(Bills!#REF!,"AAAAAH/5qBU=")</f>
        <v>#REF!</v>
      </c>
      <c r="W129" t="e">
        <f>AND(Bills!D414,"AAAAAH/5qBY=")</f>
        <v>#VALUE!</v>
      </c>
      <c r="X129" t="e">
        <f>AND(Bills!#REF!,"AAAAAH/5qBc=")</f>
        <v>#REF!</v>
      </c>
      <c r="Y129" t="e">
        <f>AND(Bills!E414,"AAAAAH/5qBg=")</f>
        <v>#VALUE!</v>
      </c>
      <c r="Z129" t="e">
        <f>AND(Bills!F414,"AAAAAH/5qBk=")</f>
        <v>#VALUE!</v>
      </c>
      <c r="AA129" t="e">
        <f>AND(Bills!G414,"AAAAAH/5qBo=")</f>
        <v>#VALUE!</v>
      </c>
      <c r="AB129" t="e">
        <f>AND(Bills!H414,"AAAAAH/5qBs=")</f>
        <v>#VALUE!</v>
      </c>
      <c r="AC129" t="e">
        <f>AND(Bills!I414,"AAAAAH/5qBw=")</f>
        <v>#VALUE!</v>
      </c>
      <c r="AD129" t="e">
        <f>AND(Bills!J414,"AAAAAH/5qB0=")</f>
        <v>#VALUE!</v>
      </c>
      <c r="AE129" t="e">
        <f>AND(Bills!#REF!,"AAAAAH/5qB4=")</f>
        <v>#REF!</v>
      </c>
      <c r="AF129" t="e">
        <f>AND(Bills!K414,"AAAAAH/5qB8=")</f>
        <v>#VALUE!</v>
      </c>
      <c r="AG129" t="e">
        <f>AND(Bills!L414,"AAAAAH/5qCA=")</f>
        <v>#VALUE!</v>
      </c>
      <c r="AH129" t="e">
        <f>AND(Bills!M414,"AAAAAH/5qCE=")</f>
        <v>#VALUE!</v>
      </c>
      <c r="AI129" t="e">
        <f>AND(Bills!N414,"AAAAAH/5qCI=")</f>
        <v>#VALUE!</v>
      </c>
      <c r="AJ129" t="e">
        <f>AND(Bills!O414,"AAAAAH/5qCM=")</f>
        <v>#VALUE!</v>
      </c>
      <c r="AK129" t="e">
        <f>AND(Bills!P414,"AAAAAH/5qCQ=")</f>
        <v>#VALUE!</v>
      </c>
      <c r="AL129" t="e">
        <f>AND(Bills!Q414,"AAAAAH/5qCU=")</f>
        <v>#VALUE!</v>
      </c>
      <c r="AM129" t="e">
        <f>AND(Bills!R414,"AAAAAH/5qCY=")</f>
        <v>#VALUE!</v>
      </c>
      <c r="AN129" t="e">
        <f>AND(Bills!#REF!,"AAAAAH/5qCc=")</f>
        <v>#REF!</v>
      </c>
      <c r="AO129" t="e">
        <f>AND(Bills!S414,"AAAAAH/5qCg=")</f>
        <v>#VALUE!</v>
      </c>
      <c r="AP129" t="e">
        <f>AND(Bills!T414,"AAAAAH/5qCk=")</f>
        <v>#VALUE!</v>
      </c>
      <c r="AQ129" t="e">
        <f>AND(Bills!U414,"AAAAAH/5qCo=")</f>
        <v>#VALUE!</v>
      </c>
      <c r="AR129" t="e">
        <f>AND(Bills!#REF!,"AAAAAH/5qCs=")</f>
        <v>#REF!</v>
      </c>
      <c r="AS129" t="e">
        <f>AND(Bills!#REF!,"AAAAAH/5qCw=")</f>
        <v>#REF!</v>
      </c>
      <c r="AT129" t="e">
        <f>AND(Bills!W414,"AAAAAH/5qC0=")</f>
        <v>#VALUE!</v>
      </c>
      <c r="AU129" t="e">
        <f>AND(Bills!X414,"AAAAAH/5qC4=")</f>
        <v>#VALUE!</v>
      </c>
      <c r="AV129" t="e">
        <f>AND(Bills!#REF!,"AAAAAH/5qC8=")</f>
        <v>#REF!</v>
      </c>
      <c r="AW129" t="e">
        <f>AND(Bills!#REF!,"AAAAAH/5qDA=")</f>
        <v>#REF!</v>
      </c>
      <c r="AX129" t="e">
        <f>AND(Bills!#REF!,"AAAAAH/5qDE=")</f>
        <v>#REF!</v>
      </c>
      <c r="AY129" t="e">
        <f>AND(Bills!#REF!,"AAAAAH/5qDI=")</f>
        <v>#REF!</v>
      </c>
      <c r="AZ129" t="e">
        <f>AND(Bills!#REF!,"AAAAAH/5qDM=")</f>
        <v>#REF!</v>
      </c>
      <c r="BA129" t="e">
        <f>AND(Bills!#REF!,"AAAAAH/5qDQ=")</f>
        <v>#REF!</v>
      </c>
      <c r="BB129" t="e">
        <f>AND(Bills!#REF!,"AAAAAH/5qDU=")</f>
        <v>#REF!</v>
      </c>
      <c r="BC129" t="e">
        <f>AND(Bills!#REF!,"AAAAAH/5qDY=")</f>
        <v>#REF!</v>
      </c>
      <c r="BD129" t="e">
        <f>AND(Bills!#REF!,"AAAAAH/5qDc=")</f>
        <v>#REF!</v>
      </c>
      <c r="BE129" t="e">
        <f>AND(Bills!Y414,"AAAAAH/5qDg=")</f>
        <v>#VALUE!</v>
      </c>
      <c r="BF129" t="e">
        <f>AND(Bills!Z414,"AAAAAH/5qDk=")</f>
        <v>#VALUE!</v>
      </c>
      <c r="BG129" t="e">
        <f>AND(Bills!#REF!,"AAAAAH/5qDo=")</f>
        <v>#REF!</v>
      </c>
      <c r="BH129" t="e">
        <f>AND(Bills!#REF!,"AAAAAH/5qDs=")</f>
        <v>#REF!</v>
      </c>
      <c r="BI129" t="e">
        <f>AND(Bills!#REF!,"AAAAAH/5qDw=")</f>
        <v>#REF!</v>
      </c>
      <c r="BJ129" t="e">
        <f>AND(Bills!AA414,"AAAAAH/5qD0=")</f>
        <v>#VALUE!</v>
      </c>
      <c r="BK129" t="e">
        <f>AND(Bills!AB414,"AAAAAH/5qD4=")</f>
        <v>#VALUE!</v>
      </c>
      <c r="BL129" t="e">
        <f>AND(Bills!#REF!,"AAAAAH/5qD8=")</f>
        <v>#REF!</v>
      </c>
      <c r="BM129">
        <f>IF(Bills!415:415,"AAAAAH/5qEA=",0)</f>
        <v>0</v>
      </c>
      <c r="BN129" t="e">
        <f>AND(Bills!B415,"AAAAAH/5qEE=")</f>
        <v>#VALUE!</v>
      </c>
      <c r="BO129" t="e">
        <f>AND(Bills!#REF!,"AAAAAH/5qEI=")</f>
        <v>#REF!</v>
      </c>
      <c r="BP129" t="e">
        <f>AND(Bills!C415,"AAAAAH/5qEM=")</f>
        <v>#VALUE!</v>
      </c>
      <c r="BQ129" t="e">
        <f>AND(Bills!#REF!,"AAAAAH/5qEQ=")</f>
        <v>#REF!</v>
      </c>
      <c r="BR129" t="e">
        <f>AND(Bills!#REF!,"AAAAAH/5qEU=")</f>
        <v>#REF!</v>
      </c>
      <c r="BS129" t="e">
        <f>AND(Bills!#REF!,"AAAAAH/5qEY=")</f>
        <v>#REF!</v>
      </c>
      <c r="BT129" t="e">
        <f>AND(Bills!#REF!,"AAAAAH/5qEc=")</f>
        <v>#REF!</v>
      </c>
      <c r="BU129" t="e">
        <f>AND(Bills!#REF!,"AAAAAH/5qEg=")</f>
        <v>#REF!</v>
      </c>
      <c r="BV129" t="e">
        <f>AND(Bills!D415,"AAAAAH/5qEk=")</f>
        <v>#VALUE!</v>
      </c>
      <c r="BW129" t="e">
        <f>AND(Bills!#REF!,"AAAAAH/5qEo=")</f>
        <v>#REF!</v>
      </c>
      <c r="BX129" t="e">
        <f>AND(Bills!E415,"AAAAAH/5qEs=")</f>
        <v>#VALUE!</v>
      </c>
      <c r="BY129" t="e">
        <f>AND(Bills!F415,"AAAAAH/5qEw=")</f>
        <v>#VALUE!</v>
      </c>
      <c r="BZ129" t="e">
        <f>AND(Bills!G415,"AAAAAH/5qE0=")</f>
        <v>#VALUE!</v>
      </c>
      <c r="CA129" t="e">
        <f>AND(Bills!H415,"AAAAAH/5qE4=")</f>
        <v>#VALUE!</v>
      </c>
      <c r="CB129" t="e">
        <f>AND(Bills!I415,"AAAAAH/5qE8=")</f>
        <v>#VALUE!</v>
      </c>
      <c r="CC129" t="e">
        <f>AND(Bills!J415,"AAAAAH/5qFA=")</f>
        <v>#VALUE!</v>
      </c>
      <c r="CD129" t="e">
        <f>AND(Bills!#REF!,"AAAAAH/5qFE=")</f>
        <v>#REF!</v>
      </c>
      <c r="CE129" t="e">
        <f>AND(Bills!K415,"AAAAAH/5qFI=")</f>
        <v>#VALUE!</v>
      </c>
      <c r="CF129" t="e">
        <f>AND(Bills!L415,"AAAAAH/5qFM=")</f>
        <v>#VALUE!</v>
      </c>
      <c r="CG129" t="e">
        <f>AND(Bills!M415,"AAAAAH/5qFQ=")</f>
        <v>#VALUE!</v>
      </c>
      <c r="CH129" t="e">
        <f>AND(Bills!N415,"AAAAAH/5qFU=")</f>
        <v>#VALUE!</v>
      </c>
      <c r="CI129" t="e">
        <f>AND(Bills!O415,"AAAAAH/5qFY=")</f>
        <v>#VALUE!</v>
      </c>
      <c r="CJ129" t="e">
        <f>AND(Bills!P415,"AAAAAH/5qFc=")</f>
        <v>#VALUE!</v>
      </c>
      <c r="CK129" t="e">
        <f>AND(Bills!Q415,"AAAAAH/5qFg=")</f>
        <v>#VALUE!</v>
      </c>
      <c r="CL129" t="e">
        <f>AND(Bills!R415,"AAAAAH/5qFk=")</f>
        <v>#VALUE!</v>
      </c>
      <c r="CM129" t="e">
        <f>AND(Bills!#REF!,"AAAAAH/5qFo=")</f>
        <v>#REF!</v>
      </c>
      <c r="CN129" t="e">
        <f>AND(Bills!S415,"AAAAAH/5qFs=")</f>
        <v>#VALUE!</v>
      </c>
      <c r="CO129" t="e">
        <f>AND(Bills!T415,"AAAAAH/5qFw=")</f>
        <v>#VALUE!</v>
      </c>
      <c r="CP129" t="e">
        <f>AND(Bills!U415,"AAAAAH/5qF0=")</f>
        <v>#VALUE!</v>
      </c>
      <c r="CQ129" t="e">
        <f>AND(Bills!#REF!,"AAAAAH/5qF4=")</f>
        <v>#REF!</v>
      </c>
      <c r="CR129" t="e">
        <f>AND(Bills!#REF!,"AAAAAH/5qF8=")</f>
        <v>#REF!</v>
      </c>
      <c r="CS129" t="e">
        <f>AND(Bills!W415,"AAAAAH/5qGA=")</f>
        <v>#VALUE!</v>
      </c>
      <c r="CT129" t="e">
        <f>AND(Bills!X415,"AAAAAH/5qGE=")</f>
        <v>#VALUE!</v>
      </c>
      <c r="CU129" t="e">
        <f>AND(Bills!#REF!,"AAAAAH/5qGI=")</f>
        <v>#REF!</v>
      </c>
      <c r="CV129" t="e">
        <f>AND(Bills!#REF!,"AAAAAH/5qGM=")</f>
        <v>#REF!</v>
      </c>
      <c r="CW129" t="e">
        <f>AND(Bills!#REF!,"AAAAAH/5qGQ=")</f>
        <v>#REF!</v>
      </c>
      <c r="CX129" t="e">
        <f>AND(Bills!#REF!,"AAAAAH/5qGU=")</f>
        <v>#REF!</v>
      </c>
      <c r="CY129" t="e">
        <f>AND(Bills!#REF!,"AAAAAH/5qGY=")</f>
        <v>#REF!</v>
      </c>
      <c r="CZ129" t="e">
        <f>AND(Bills!#REF!,"AAAAAH/5qGc=")</f>
        <v>#REF!</v>
      </c>
      <c r="DA129" t="e">
        <f>AND(Bills!#REF!,"AAAAAH/5qGg=")</f>
        <v>#REF!</v>
      </c>
      <c r="DB129" t="e">
        <f>AND(Bills!#REF!,"AAAAAH/5qGk=")</f>
        <v>#REF!</v>
      </c>
      <c r="DC129" t="e">
        <f>AND(Bills!#REF!,"AAAAAH/5qGo=")</f>
        <v>#REF!</v>
      </c>
      <c r="DD129" t="e">
        <f>AND(Bills!Y415,"AAAAAH/5qGs=")</f>
        <v>#VALUE!</v>
      </c>
      <c r="DE129" t="e">
        <f>AND(Bills!Z415,"AAAAAH/5qGw=")</f>
        <v>#VALUE!</v>
      </c>
      <c r="DF129" t="e">
        <f>AND(Bills!#REF!,"AAAAAH/5qG0=")</f>
        <v>#REF!</v>
      </c>
      <c r="DG129" t="e">
        <f>AND(Bills!#REF!,"AAAAAH/5qG4=")</f>
        <v>#REF!</v>
      </c>
      <c r="DH129" t="e">
        <f>AND(Bills!#REF!,"AAAAAH/5qG8=")</f>
        <v>#REF!</v>
      </c>
      <c r="DI129" t="e">
        <f>AND(Bills!AA415,"AAAAAH/5qHA=")</f>
        <v>#VALUE!</v>
      </c>
      <c r="DJ129" t="e">
        <f>AND(Bills!AB415,"AAAAAH/5qHE=")</f>
        <v>#VALUE!</v>
      </c>
      <c r="DK129" t="e">
        <f>AND(Bills!#REF!,"AAAAAH/5qHI=")</f>
        <v>#REF!</v>
      </c>
      <c r="DL129">
        <f>IF(Bills!416:416,"AAAAAH/5qHM=",0)</f>
        <v>0</v>
      </c>
      <c r="DM129" t="e">
        <f>AND(Bills!B416,"AAAAAH/5qHQ=")</f>
        <v>#VALUE!</v>
      </c>
      <c r="DN129" t="e">
        <f>AND(Bills!#REF!,"AAAAAH/5qHU=")</f>
        <v>#REF!</v>
      </c>
      <c r="DO129" t="e">
        <f>AND(Bills!C416,"AAAAAH/5qHY=")</f>
        <v>#VALUE!</v>
      </c>
      <c r="DP129" t="e">
        <f>AND(Bills!#REF!,"AAAAAH/5qHc=")</f>
        <v>#REF!</v>
      </c>
      <c r="DQ129" t="e">
        <f>AND(Bills!#REF!,"AAAAAH/5qHg=")</f>
        <v>#REF!</v>
      </c>
      <c r="DR129" t="e">
        <f>AND(Bills!#REF!,"AAAAAH/5qHk=")</f>
        <v>#REF!</v>
      </c>
      <c r="DS129" t="e">
        <f>AND(Bills!#REF!,"AAAAAH/5qHo=")</f>
        <v>#REF!</v>
      </c>
      <c r="DT129" t="e">
        <f>AND(Bills!#REF!,"AAAAAH/5qHs=")</f>
        <v>#REF!</v>
      </c>
      <c r="DU129" t="e">
        <f>AND(Bills!D416,"AAAAAH/5qHw=")</f>
        <v>#VALUE!</v>
      </c>
      <c r="DV129" t="e">
        <f>AND(Bills!#REF!,"AAAAAH/5qH0=")</f>
        <v>#REF!</v>
      </c>
      <c r="DW129" t="e">
        <f>AND(Bills!E416,"AAAAAH/5qH4=")</f>
        <v>#VALUE!</v>
      </c>
      <c r="DX129" t="e">
        <f>AND(Bills!F416,"AAAAAH/5qH8=")</f>
        <v>#VALUE!</v>
      </c>
      <c r="DY129" t="e">
        <f>AND(Bills!G416,"AAAAAH/5qIA=")</f>
        <v>#VALUE!</v>
      </c>
      <c r="DZ129" t="e">
        <f>AND(Bills!H416,"AAAAAH/5qIE=")</f>
        <v>#VALUE!</v>
      </c>
      <c r="EA129" t="e">
        <f>AND(Bills!I416,"AAAAAH/5qII=")</f>
        <v>#VALUE!</v>
      </c>
      <c r="EB129" t="e">
        <f>AND(Bills!J416,"AAAAAH/5qIM=")</f>
        <v>#VALUE!</v>
      </c>
      <c r="EC129" t="e">
        <f>AND(Bills!#REF!,"AAAAAH/5qIQ=")</f>
        <v>#REF!</v>
      </c>
      <c r="ED129" t="e">
        <f>AND(Bills!K416,"AAAAAH/5qIU=")</f>
        <v>#VALUE!</v>
      </c>
      <c r="EE129" t="e">
        <f>AND(Bills!L416,"AAAAAH/5qIY=")</f>
        <v>#VALUE!</v>
      </c>
      <c r="EF129" t="e">
        <f>AND(Bills!M416,"AAAAAH/5qIc=")</f>
        <v>#VALUE!</v>
      </c>
      <c r="EG129" t="e">
        <f>AND(Bills!N416,"AAAAAH/5qIg=")</f>
        <v>#VALUE!</v>
      </c>
      <c r="EH129" t="e">
        <f>AND(Bills!O416,"AAAAAH/5qIk=")</f>
        <v>#VALUE!</v>
      </c>
      <c r="EI129" t="e">
        <f>AND(Bills!P416,"AAAAAH/5qIo=")</f>
        <v>#VALUE!</v>
      </c>
      <c r="EJ129" t="e">
        <f>AND(Bills!Q416,"AAAAAH/5qIs=")</f>
        <v>#VALUE!</v>
      </c>
      <c r="EK129" t="e">
        <f>AND(Bills!R416,"AAAAAH/5qIw=")</f>
        <v>#VALUE!</v>
      </c>
      <c r="EL129" t="e">
        <f>AND(Bills!#REF!,"AAAAAH/5qI0=")</f>
        <v>#REF!</v>
      </c>
      <c r="EM129" t="e">
        <f>AND(Bills!S416,"AAAAAH/5qI4=")</f>
        <v>#VALUE!</v>
      </c>
      <c r="EN129" t="e">
        <f>AND(Bills!T416,"AAAAAH/5qI8=")</f>
        <v>#VALUE!</v>
      </c>
      <c r="EO129" t="e">
        <f>AND(Bills!U416,"AAAAAH/5qJA=")</f>
        <v>#VALUE!</v>
      </c>
      <c r="EP129" t="e">
        <f>AND(Bills!#REF!,"AAAAAH/5qJE=")</f>
        <v>#REF!</v>
      </c>
      <c r="EQ129" t="e">
        <f>AND(Bills!#REF!,"AAAAAH/5qJI=")</f>
        <v>#REF!</v>
      </c>
      <c r="ER129" t="e">
        <f>AND(Bills!W416,"AAAAAH/5qJM=")</f>
        <v>#VALUE!</v>
      </c>
      <c r="ES129" t="e">
        <f>AND(Bills!X416,"AAAAAH/5qJQ=")</f>
        <v>#VALUE!</v>
      </c>
      <c r="ET129" t="e">
        <f>AND(Bills!#REF!,"AAAAAH/5qJU=")</f>
        <v>#REF!</v>
      </c>
      <c r="EU129" t="e">
        <f>AND(Bills!#REF!,"AAAAAH/5qJY=")</f>
        <v>#REF!</v>
      </c>
      <c r="EV129" t="e">
        <f>AND(Bills!#REF!,"AAAAAH/5qJc=")</f>
        <v>#REF!</v>
      </c>
      <c r="EW129" t="e">
        <f>AND(Bills!#REF!,"AAAAAH/5qJg=")</f>
        <v>#REF!</v>
      </c>
      <c r="EX129" t="e">
        <f>AND(Bills!#REF!,"AAAAAH/5qJk=")</f>
        <v>#REF!</v>
      </c>
      <c r="EY129" t="e">
        <f>AND(Bills!#REF!,"AAAAAH/5qJo=")</f>
        <v>#REF!</v>
      </c>
      <c r="EZ129" t="e">
        <f>AND(Bills!#REF!,"AAAAAH/5qJs=")</f>
        <v>#REF!</v>
      </c>
      <c r="FA129" t="e">
        <f>AND(Bills!#REF!,"AAAAAH/5qJw=")</f>
        <v>#REF!</v>
      </c>
      <c r="FB129" t="e">
        <f>AND(Bills!#REF!,"AAAAAH/5qJ0=")</f>
        <v>#REF!</v>
      </c>
      <c r="FC129" t="e">
        <f>AND(Bills!Y416,"AAAAAH/5qJ4=")</f>
        <v>#VALUE!</v>
      </c>
      <c r="FD129" t="e">
        <f>AND(Bills!Z416,"AAAAAH/5qJ8=")</f>
        <v>#VALUE!</v>
      </c>
      <c r="FE129" t="e">
        <f>AND(Bills!#REF!,"AAAAAH/5qKA=")</f>
        <v>#REF!</v>
      </c>
      <c r="FF129" t="e">
        <f>AND(Bills!#REF!,"AAAAAH/5qKE=")</f>
        <v>#REF!</v>
      </c>
      <c r="FG129" t="e">
        <f>AND(Bills!#REF!,"AAAAAH/5qKI=")</f>
        <v>#REF!</v>
      </c>
      <c r="FH129" t="e">
        <f>AND(Bills!AA416,"AAAAAH/5qKM=")</f>
        <v>#VALUE!</v>
      </c>
      <c r="FI129" t="e">
        <f>AND(Bills!AB416,"AAAAAH/5qKQ=")</f>
        <v>#VALUE!</v>
      </c>
      <c r="FJ129" t="e">
        <f>AND(Bills!#REF!,"AAAAAH/5qKU=")</f>
        <v>#REF!</v>
      </c>
      <c r="FK129">
        <f>IF(Bills!417:417,"AAAAAH/5qKY=",0)</f>
        <v>0</v>
      </c>
      <c r="FL129" t="e">
        <f>AND(Bills!B417,"AAAAAH/5qKc=")</f>
        <v>#VALUE!</v>
      </c>
      <c r="FM129" t="e">
        <f>AND(Bills!#REF!,"AAAAAH/5qKg=")</f>
        <v>#REF!</v>
      </c>
      <c r="FN129" t="e">
        <f>AND(Bills!C417,"AAAAAH/5qKk=")</f>
        <v>#VALUE!</v>
      </c>
      <c r="FO129" t="e">
        <f>AND(Bills!#REF!,"AAAAAH/5qKo=")</f>
        <v>#REF!</v>
      </c>
      <c r="FP129" t="e">
        <f>AND(Bills!#REF!,"AAAAAH/5qKs=")</f>
        <v>#REF!</v>
      </c>
      <c r="FQ129" t="e">
        <f>AND(Bills!#REF!,"AAAAAH/5qKw=")</f>
        <v>#REF!</v>
      </c>
      <c r="FR129" t="e">
        <f>AND(Bills!#REF!,"AAAAAH/5qK0=")</f>
        <v>#REF!</v>
      </c>
      <c r="FS129" t="e">
        <f>AND(Bills!#REF!,"AAAAAH/5qK4=")</f>
        <v>#REF!</v>
      </c>
      <c r="FT129" t="e">
        <f>AND(Bills!D417,"AAAAAH/5qK8=")</f>
        <v>#VALUE!</v>
      </c>
      <c r="FU129" t="e">
        <f>AND(Bills!#REF!,"AAAAAH/5qLA=")</f>
        <v>#REF!</v>
      </c>
      <c r="FV129" t="e">
        <f>AND(Bills!E417,"AAAAAH/5qLE=")</f>
        <v>#VALUE!</v>
      </c>
      <c r="FW129" t="e">
        <f>AND(Bills!F417,"AAAAAH/5qLI=")</f>
        <v>#VALUE!</v>
      </c>
      <c r="FX129" t="e">
        <f>AND(Bills!G417,"AAAAAH/5qLM=")</f>
        <v>#VALUE!</v>
      </c>
      <c r="FY129" t="e">
        <f>AND(Bills!H417,"AAAAAH/5qLQ=")</f>
        <v>#VALUE!</v>
      </c>
      <c r="FZ129" t="e">
        <f>AND(Bills!I417,"AAAAAH/5qLU=")</f>
        <v>#VALUE!</v>
      </c>
      <c r="GA129" t="e">
        <f>AND(Bills!J417,"AAAAAH/5qLY=")</f>
        <v>#VALUE!</v>
      </c>
      <c r="GB129" t="e">
        <f>AND(Bills!#REF!,"AAAAAH/5qLc=")</f>
        <v>#REF!</v>
      </c>
      <c r="GC129" t="e">
        <f>AND(Bills!K417,"AAAAAH/5qLg=")</f>
        <v>#VALUE!</v>
      </c>
      <c r="GD129" t="e">
        <f>AND(Bills!L417,"AAAAAH/5qLk=")</f>
        <v>#VALUE!</v>
      </c>
      <c r="GE129" t="e">
        <f>AND(Bills!M417,"AAAAAH/5qLo=")</f>
        <v>#VALUE!</v>
      </c>
      <c r="GF129" t="e">
        <f>AND(Bills!N417,"AAAAAH/5qLs=")</f>
        <v>#VALUE!</v>
      </c>
      <c r="GG129" t="e">
        <f>AND(Bills!O417,"AAAAAH/5qLw=")</f>
        <v>#VALUE!</v>
      </c>
      <c r="GH129" t="e">
        <f>AND(Bills!P417,"AAAAAH/5qL0=")</f>
        <v>#VALUE!</v>
      </c>
      <c r="GI129" t="e">
        <f>AND(Bills!Q417,"AAAAAH/5qL4=")</f>
        <v>#VALUE!</v>
      </c>
      <c r="GJ129" t="e">
        <f>AND(Bills!R417,"AAAAAH/5qL8=")</f>
        <v>#VALUE!</v>
      </c>
      <c r="GK129" t="e">
        <f>AND(Bills!#REF!,"AAAAAH/5qMA=")</f>
        <v>#REF!</v>
      </c>
      <c r="GL129" t="e">
        <f>AND(Bills!S417,"AAAAAH/5qME=")</f>
        <v>#VALUE!</v>
      </c>
      <c r="GM129" t="e">
        <f>AND(Bills!T417,"AAAAAH/5qMI=")</f>
        <v>#VALUE!</v>
      </c>
      <c r="GN129" t="e">
        <f>AND(Bills!U417,"AAAAAH/5qMM=")</f>
        <v>#VALUE!</v>
      </c>
      <c r="GO129" t="e">
        <f>AND(Bills!#REF!,"AAAAAH/5qMQ=")</f>
        <v>#REF!</v>
      </c>
      <c r="GP129" t="e">
        <f>AND(Bills!#REF!,"AAAAAH/5qMU=")</f>
        <v>#REF!</v>
      </c>
      <c r="GQ129" t="e">
        <f>AND(Bills!W417,"AAAAAH/5qMY=")</f>
        <v>#VALUE!</v>
      </c>
      <c r="GR129" t="e">
        <f>AND(Bills!X417,"AAAAAH/5qMc=")</f>
        <v>#VALUE!</v>
      </c>
      <c r="GS129" t="e">
        <f>AND(Bills!#REF!,"AAAAAH/5qMg=")</f>
        <v>#REF!</v>
      </c>
      <c r="GT129" t="e">
        <f>AND(Bills!#REF!,"AAAAAH/5qMk=")</f>
        <v>#REF!</v>
      </c>
      <c r="GU129" t="e">
        <f>AND(Bills!#REF!,"AAAAAH/5qMo=")</f>
        <v>#REF!</v>
      </c>
      <c r="GV129" t="e">
        <f>AND(Bills!#REF!,"AAAAAH/5qMs=")</f>
        <v>#REF!</v>
      </c>
      <c r="GW129" t="e">
        <f>AND(Bills!#REF!,"AAAAAH/5qMw=")</f>
        <v>#REF!</v>
      </c>
      <c r="GX129" t="e">
        <f>AND(Bills!#REF!,"AAAAAH/5qM0=")</f>
        <v>#REF!</v>
      </c>
      <c r="GY129" t="e">
        <f>AND(Bills!#REF!,"AAAAAH/5qM4=")</f>
        <v>#REF!</v>
      </c>
      <c r="GZ129" t="e">
        <f>AND(Bills!#REF!,"AAAAAH/5qM8=")</f>
        <v>#REF!</v>
      </c>
      <c r="HA129" t="e">
        <f>AND(Bills!#REF!,"AAAAAH/5qNA=")</f>
        <v>#REF!</v>
      </c>
      <c r="HB129" t="e">
        <f>AND(Bills!Y417,"AAAAAH/5qNE=")</f>
        <v>#VALUE!</v>
      </c>
      <c r="HC129" t="e">
        <f>AND(Bills!Z417,"AAAAAH/5qNI=")</f>
        <v>#VALUE!</v>
      </c>
      <c r="HD129" t="e">
        <f>AND(Bills!#REF!,"AAAAAH/5qNM=")</f>
        <v>#REF!</v>
      </c>
      <c r="HE129" t="e">
        <f>AND(Bills!#REF!,"AAAAAH/5qNQ=")</f>
        <v>#REF!</v>
      </c>
      <c r="HF129" t="e">
        <f>AND(Bills!#REF!,"AAAAAH/5qNU=")</f>
        <v>#REF!</v>
      </c>
      <c r="HG129" t="e">
        <f>AND(Bills!AA417,"AAAAAH/5qNY=")</f>
        <v>#VALUE!</v>
      </c>
      <c r="HH129" t="e">
        <f>AND(Bills!AB417,"AAAAAH/5qNc=")</f>
        <v>#VALUE!</v>
      </c>
      <c r="HI129" t="e">
        <f>AND(Bills!#REF!,"AAAAAH/5qNg=")</f>
        <v>#REF!</v>
      </c>
      <c r="HJ129">
        <f>IF(Bills!418:418,"AAAAAH/5qNk=",0)</f>
        <v>0</v>
      </c>
      <c r="HK129" t="e">
        <f>AND(Bills!B418,"AAAAAH/5qNo=")</f>
        <v>#VALUE!</v>
      </c>
      <c r="HL129" t="e">
        <f>AND(Bills!#REF!,"AAAAAH/5qNs=")</f>
        <v>#REF!</v>
      </c>
      <c r="HM129" t="e">
        <f>AND(Bills!C418,"AAAAAH/5qNw=")</f>
        <v>#VALUE!</v>
      </c>
      <c r="HN129" t="e">
        <f>AND(Bills!#REF!,"AAAAAH/5qN0=")</f>
        <v>#REF!</v>
      </c>
      <c r="HO129" t="e">
        <f>AND(Bills!#REF!,"AAAAAH/5qN4=")</f>
        <v>#REF!</v>
      </c>
      <c r="HP129" t="e">
        <f>AND(Bills!#REF!,"AAAAAH/5qN8=")</f>
        <v>#REF!</v>
      </c>
      <c r="HQ129" t="e">
        <f>AND(Bills!#REF!,"AAAAAH/5qOA=")</f>
        <v>#REF!</v>
      </c>
      <c r="HR129" t="e">
        <f>AND(Bills!#REF!,"AAAAAH/5qOE=")</f>
        <v>#REF!</v>
      </c>
      <c r="HS129" t="e">
        <f>AND(Bills!D418,"AAAAAH/5qOI=")</f>
        <v>#VALUE!</v>
      </c>
      <c r="HT129" t="e">
        <f>AND(Bills!#REF!,"AAAAAH/5qOM=")</f>
        <v>#REF!</v>
      </c>
      <c r="HU129" t="e">
        <f>AND(Bills!E418,"AAAAAH/5qOQ=")</f>
        <v>#VALUE!</v>
      </c>
      <c r="HV129" t="e">
        <f>AND(Bills!F418,"AAAAAH/5qOU=")</f>
        <v>#VALUE!</v>
      </c>
      <c r="HW129" t="e">
        <f>AND(Bills!G418,"AAAAAH/5qOY=")</f>
        <v>#VALUE!</v>
      </c>
      <c r="HX129" t="e">
        <f>AND(Bills!H418,"AAAAAH/5qOc=")</f>
        <v>#VALUE!</v>
      </c>
      <c r="HY129" t="e">
        <f>AND(Bills!I418,"AAAAAH/5qOg=")</f>
        <v>#VALUE!</v>
      </c>
      <c r="HZ129" t="e">
        <f>AND(Bills!J418,"AAAAAH/5qOk=")</f>
        <v>#VALUE!</v>
      </c>
      <c r="IA129" t="e">
        <f>AND(Bills!#REF!,"AAAAAH/5qOo=")</f>
        <v>#REF!</v>
      </c>
      <c r="IB129" t="e">
        <f>AND(Bills!K418,"AAAAAH/5qOs=")</f>
        <v>#VALUE!</v>
      </c>
      <c r="IC129" t="e">
        <f>AND(Bills!L418,"AAAAAH/5qOw=")</f>
        <v>#VALUE!</v>
      </c>
      <c r="ID129" t="e">
        <f>AND(Bills!M418,"AAAAAH/5qO0=")</f>
        <v>#VALUE!</v>
      </c>
      <c r="IE129" t="e">
        <f>AND(Bills!N418,"AAAAAH/5qO4=")</f>
        <v>#VALUE!</v>
      </c>
      <c r="IF129" t="e">
        <f>AND(Bills!O418,"AAAAAH/5qO8=")</f>
        <v>#VALUE!</v>
      </c>
      <c r="IG129" t="e">
        <f>AND(Bills!P418,"AAAAAH/5qPA=")</f>
        <v>#VALUE!</v>
      </c>
      <c r="IH129" t="e">
        <f>AND(Bills!Q418,"AAAAAH/5qPE=")</f>
        <v>#VALUE!</v>
      </c>
      <c r="II129" t="e">
        <f>AND(Bills!R418,"AAAAAH/5qPI=")</f>
        <v>#VALUE!</v>
      </c>
      <c r="IJ129" t="e">
        <f>AND(Bills!#REF!,"AAAAAH/5qPM=")</f>
        <v>#REF!</v>
      </c>
      <c r="IK129" t="e">
        <f>AND(Bills!S418,"AAAAAH/5qPQ=")</f>
        <v>#VALUE!</v>
      </c>
      <c r="IL129" t="e">
        <f>AND(Bills!T418,"AAAAAH/5qPU=")</f>
        <v>#VALUE!</v>
      </c>
      <c r="IM129" t="e">
        <f>AND(Bills!U418,"AAAAAH/5qPY=")</f>
        <v>#VALUE!</v>
      </c>
      <c r="IN129" t="e">
        <f>AND(Bills!#REF!,"AAAAAH/5qPc=")</f>
        <v>#REF!</v>
      </c>
      <c r="IO129" t="e">
        <f>AND(Bills!#REF!,"AAAAAH/5qPg=")</f>
        <v>#REF!</v>
      </c>
      <c r="IP129" t="e">
        <f>AND(Bills!W418,"AAAAAH/5qPk=")</f>
        <v>#VALUE!</v>
      </c>
      <c r="IQ129" t="e">
        <f>AND(Bills!X418,"AAAAAH/5qPo=")</f>
        <v>#VALUE!</v>
      </c>
      <c r="IR129" t="e">
        <f>AND(Bills!#REF!,"AAAAAH/5qPs=")</f>
        <v>#REF!</v>
      </c>
      <c r="IS129" t="e">
        <f>AND(Bills!#REF!,"AAAAAH/5qPw=")</f>
        <v>#REF!</v>
      </c>
      <c r="IT129" t="e">
        <f>AND(Bills!#REF!,"AAAAAH/5qP0=")</f>
        <v>#REF!</v>
      </c>
      <c r="IU129" t="e">
        <f>AND(Bills!#REF!,"AAAAAH/5qP4=")</f>
        <v>#REF!</v>
      </c>
      <c r="IV129" t="e">
        <f>AND(Bills!#REF!,"AAAAAH/5qP8=")</f>
        <v>#REF!</v>
      </c>
    </row>
    <row r="130" spans="1:256">
      <c r="A130" t="e">
        <f>AND(Bills!#REF!,"AAAAAHJr/gA=")</f>
        <v>#REF!</v>
      </c>
      <c r="B130" t="e">
        <f>AND(Bills!#REF!,"AAAAAHJr/gE=")</f>
        <v>#REF!</v>
      </c>
      <c r="C130" t="e">
        <f>AND(Bills!#REF!,"AAAAAHJr/gI=")</f>
        <v>#REF!</v>
      </c>
      <c r="D130" t="e">
        <f>AND(Bills!#REF!,"AAAAAHJr/gM=")</f>
        <v>#REF!</v>
      </c>
      <c r="E130" t="e">
        <f>AND(Bills!Y418,"AAAAAHJr/gQ=")</f>
        <v>#VALUE!</v>
      </c>
      <c r="F130" t="e">
        <f>AND(Bills!Z418,"AAAAAHJr/gU=")</f>
        <v>#VALUE!</v>
      </c>
      <c r="G130" t="e">
        <f>AND(Bills!#REF!,"AAAAAHJr/gY=")</f>
        <v>#REF!</v>
      </c>
      <c r="H130" t="e">
        <f>AND(Bills!#REF!,"AAAAAHJr/gc=")</f>
        <v>#REF!</v>
      </c>
      <c r="I130" t="e">
        <f>AND(Bills!#REF!,"AAAAAHJr/gg=")</f>
        <v>#REF!</v>
      </c>
      <c r="J130" t="e">
        <f>AND(Bills!AA418,"AAAAAHJr/gk=")</f>
        <v>#VALUE!</v>
      </c>
      <c r="K130" t="e">
        <f>AND(Bills!AB418,"AAAAAHJr/go=")</f>
        <v>#VALUE!</v>
      </c>
      <c r="L130" t="e">
        <f>AND(Bills!#REF!,"AAAAAHJr/gs=")</f>
        <v>#REF!</v>
      </c>
      <c r="M130">
        <f>IF(Bills!419:419,"AAAAAHJr/gw=",0)</f>
        <v>0</v>
      </c>
      <c r="N130" t="e">
        <f>AND(Bills!B419,"AAAAAHJr/g0=")</f>
        <v>#VALUE!</v>
      </c>
      <c r="O130" t="e">
        <f>AND(Bills!#REF!,"AAAAAHJr/g4=")</f>
        <v>#REF!</v>
      </c>
      <c r="P130" t="e">
        <f>AND(Bills!C419,"AAAAAHJr/g8=")</f>
        <v>#VALUE!</v>
      </c>
      <c r="Q130" t="e">
        <f>AND(Bills!#REF!,"AAAAAHJr/hA=")</f>
        <v>#REF!</v>
      </c>
      <c r="R130" t="e">
        <f>AND(Bills!#REF!,"AAAAAHJr/hE=")</f>
        <v>#REF!</v>
      </c>
      <c r="S130" t="e">
        <f>AND(Bills!#REF!,"AAAAAHJr/hI=")</f>
        <v>#REF!</v>
      </c>
      <c r="T130" t="e">
        <f>AND(Bills!#REF!,"AAAAAHJr/hM=")</f>
        <v>#REF!</v>
      </c>
      <c r="U130" t="e">
        <f>AND(Bills!#REF!,"AAAAAHJr/hQ=")</f>
        <v>#REF!</v>
      </c>
      <c r="V130" t="e">
        <f>AND(Bills!D419,"AAAAAHJr/hU=")</f>
        <v>#VALUE!</v>
      </c>
      <c r="W130" t="e">
        <f>AND(Bills!#REF!,"AAAAAHJr/hY=")</f>
        <v>#REF!</v>
      </c>
      <c r="X130" t="e">
        <f>AND(Bills!E419,"AAAAAHJr/hc=")</f>
        <v>#VALUE!</v>
      </c>
      <c r="Y130" t="e">
        <f>AND(Bills!F419,"AAAAAHJr/hg=")</f>
        <v>#VALUE!</v>
      </c>
      <c r="Z130" t="e">
        <f>AND(Bills!G419,"AAAAAHJr/hk=")</f>
        <v>#VALUE!</v>
      </c>
      <c r="AA130" t="e">
        <f>AND(Bills!H419,"AAAAAHJr/ho=")</f>
        <v>#VALUE!</v>
      </c>
      <c r="AB130" t="e">
        <f>AND(Bills!I419,"AAAAAHJr/hs=")</f>
        <v>#VALUE!</v>
      </c>
      <c r="AC130" t="e">
        <f>AND(Bills!J419,"AAAAAHJr/hw=")</f>
        <v>#VALUE!</v>
      </c>
      <c r="AD130" t="e">
        <f>AND(Bills!#REF!,"AAAAAHJr/h0=")</f>
        <v>#REF!</v>
      </c>
      <c r="AE130" t="e">
        <f>AND(Bills!K419,"AAAAAHJr/h4=")</f>
        <v>#VALUE!</v>
      </c>
      <c r="AF130" t="e">
        <f>AND(Bills!L419,"AAAAAHJr/h8=")</f>
        <v>#VALUE!</v>
      </c>
      <c r="AG130" t="e">
        <f>AND(Bills!M419,"AAAAAHJr/iA=")</f>
        <v>#VALUE!</v>
      </c>
      <c r="AH130" t="e">
        <f>AND(Bills!N419,"AAAAAHJr/iE=")</f>
        <v>#VALUE!</v>
      </c>
      <c r="AI130" t="e">
        <f>AND(Bills!O419,"AAAAAHJr/iI=")</f>
        <v>#VALUE!</v>
      </c>
      <c r="AJ130" t="e">
        <f>AND(Bills!P419,"AAAAAHJr/iM=")</f>
        <v>#VALUE!</v>
      </c>
      <c r="AK130" t="e">
        <f>AND(Bills!Q419,"AAAAAHJr/iQ=")</f>
        <v>#VALUE!</v>
      </c>
      <c r="AL130" t="e">
        <f>AND(Bills!R419,"AAAAAHJr/iU=")</f>
        <v>#VALUE!</v>
      </c>
      <c r="AM130" t="e">
        <f>AND(Bills!#REF!,"AAAAAHJr/iY=")</f>
        <v>#REF!</v>
      </c>
      <c r="AN130" t="e">
        <f>AND(Bills!S419,"AAAAAHJr/ic=")</f>
        <v>#VALUE!</v>
      </c>
      <c r="AO130" t="e">
        <f>AND(Bills!T419,"AAAAAHJr/ig=")</f>
        <v>#VALUE!</v>
      </c>
      <c r="AP130" t="e">
        <f>AND(Bills!U419,"AAAAAHJr/ik=")</f>
        <v>#VALUE!</v>
      </c>
      <c r="AQ130" t="e">
        <f>AND(Bills!#REF!,"AAAAAHJr/io=")</f>
        <v>#REF!</v>
      </c>
      <c r="AR130" t="e">
        <f>AND(Bills!#REF!,"AAAAAHJr/is=")</f>
        <v>#REF!</v>
      </c>
      <c r="AS130" t="e">
        <f>AND(Bills!W419,"AAAAAHJr/iw=")</f>
        <v>#VALUE!</v>
      </c>
      <c r="AT130" t="e">
        <f>AND(Bills!X419,"AAAAAHJr/i0=")</f>
        <v>#VALUE!</v>
      </c>
      <c r="AU130" t="e">
        <f>AND(Bills!#REF!,"AAAAAHJr/i4=")</f>
        <v>#REF!</v>
      </c>
      <c r="AV130" t="e">
        <f>AND(Bills!#REF!,"AAAAAHJr/i8=")</f>
        <v>#REF!</v>
      </c>
      <c r="AW130" t="e">
        <f>AND(Bills!#REF!,"AAAAAHJr/jA=")</f>
        <v>#REF!</v>
      </c>
      <c r="AX130" t="e">
        <f>AND(Bills!#REF!,"AAAAAHJr/jE=")</f>
        <v>#REF!</v>
      </c>
      <c r="AY130" t="e">
        <f>AND(Bills!#REF!,"AAAAAHJr/jI=")</f>
        <v>#REF!</v>
      </c>
      <c r="AZ130" t="e">
        <f>AND(Bills!#REF!,"AAAAAHJr/jM=")</f>
        <v>#REF!</v>
      </c>
      <c r="BA130" t="e">
        <f>AND(Bills!#REF!,"AAAAAHJr/jQ=")</f>
        <v>#REF!</v>
      </c>
      <c r="BB130" t="e">
        <f>AND(Bills!#REF!,"AAAAAHJr/jU=")</f>
        <v>#REF!</v>
      </c>
      <c r="BC130" t="e">
        <f>AND(Bills!#REF!,"AAAAAHJr/jY=")</f>
        <v>#REF!</v>
      </c>
      <c r="BD130" t="e">
        <f>AND(Bills!Y419,"AAAAAHJr/jc=")</f>
        <v>#VALUE!</v>
      </c>
      <c r="BE130" t="e">
        <f>AND(Bills!Z419,"AAAAAHJr/jg=")</f>
        <v>#VALUE!</v>
      </c>
      <c r="BF130" t="e">
        <f>AND(Bills!#REF!,"AAAAAHJr/jk=")</f>
        <v>#REF!</v>
      </c>
      <c r="BG130" t="e">
        <f>AND(Bills!#REF!,"AAAAAHJr/jo=")</f>
        <v>#REF!</v>
      </c>
      <c r="BH130" t="e">
        <f>AND(Bills!#REF!,"AAAAAHJr/js=")</f>
        <v>#REF!</v>
      </c>
      <c r="BI130" t="e">
        <f>AND(Bills!AA419,"AAAAAHJr/jw=")</f>
        <v>#VALUE!</v>
      </c>
      <c r="BJ130" t="e">
        <f>AND(Bills!AB419,"AAAAAHJr/j0=")</f>
        <v>#VALUE!</v>
      </c>
      <c r="BK130" t="e">
        <f>AND(Bills!#REF!,"AAAAAHJr/j4=")</f>
        <v>#REF!</v>
      </c>
      <c r="BL130">
        <f>IF(Bills!420:420,"AAAAAHJr/j8=",0)</f>
        <v>0</v>
      </c>
      <c r="BM130" t="e">
        <f>AND(Bills!B420,"AAAAAHJr/kA=")</f>
        <v>#VALUE!</v>
      </c>
      <c r="BN130" t="e">
        <f>AND(Bills!#REF!,"AAAAAHJr/kE=")</f>
        <v>#REF!</v>
      </c>
      <c r="BO130" t="e">
        <f>AND(Bills!C420,"AAAAAHJr/kI=")</f>
        <v>#VALUE!</v>
      </c>
      <c r="BP130" t="e">
        <f>AND(Bills!#REF!,"AAAAAHJr/kM=")</f>
        <v>#REF!</v>
      </c>
      <c r="BQ130" t="e">
        <f>AND(Bills!#REF!,"AAAAAHJr/kQ=")</f>
        <v>#REF!</v>
      </c>
      <c r="BR130" t="e">
        <f>AND(Bills!#REF!,"AAAAAHJr/kU=")</f>
        <v>#REF!</v>
      </c>
      <c r="BS130" t="e">
        <f>AND(Bills!#REF!,"AAAAAHJr/kY=")</f>
        <v>#REF!</v>
      </c>
      <c r="BT130" t="e">
        <f>AND(Bills!#REF!,"AAAAAHJr/kc=")</f>
        <v>#REF!</v>
      </c>
      <c r="BU130" t="e">
        <f>AND(Bills!D420,"AAAAAHJr/kg=")</f>
        <v>#VALUE!</v>
      </c>
      <c r="BV130" t="e">
        <f>AND(Bills!#REF!,"AAAAAHJr/kk=")</f>
        <v>#REF!</v>
      </c>
      <c r="BW130" t="e">
        <f>AND(Bills!E420,"AAAAAHJr/ko=")</f>
        <v>#VALUE!</v>
      </c>
      <c r="BX130" t="e">
        <f>AND(Bills!F420,"AAAAAHJr/ks=")</f>
        <v>#VALUE!</v>
      </c>
      <c r="BY130" t="e">
        <f>AND(Bills!G420,"AAAAAHJr/kw=")</f>
        <v>#VALUE!</v>
      </c>
      <c r="BZ130" t="e">
        <f>AND(Bills!H420,"AAAAAHJr/k0=")</f>
        <v>#VALUE!</v>
      </c>
      <c r="CA130" t="e">
        <f>AND(Bills!I420,"AAAAAHJr/k4=")</f>
        <v>#VALUE!</v>
      </c>
      <c r="CB130" t="e">
        <f>AND(Bills!J420,"AAAAAHJr/k8=")</f>
        <v>#VALUE!</v>
      </c>
      <c r="CC130" t="e">
        <f>AND(Bills!#REF!,"AAAAAHJr/lA=")</f>
        <v>#REF!</v>
      </c>
      <c r="CD130" t="e">
        <f>AND(Bills!K420,"AAAAAHJr/lE=")</f>
        <v>#VALUE!</v>
      </c>
      <c r="CE130" t="e">
        <f>AND(Bills!L420,"AAAAAHJr/lI=")</f>
        <v>#VALUE!</v>
      </c>
      <c r="CF130" t="e">
        <f>AND(Bills!M420,"AAAAAHJr/lM=")</f>
        <v>#VALUE!</v>
      </c>
      <c r="CG130" t="e">
        <f>AND(Bills!N420,"AAAAAHJr/lQ=")</f>
        <v>#VALUE!</v>
      </c>
      <c r="CH130" t="e">
        <f>AND(Bills!O420,"AAAAAHJr/lU=")</f>
        <v>#VALUE!</v>
      </c>
      <c r="CI130" t="e">
        <f>AND(Bills!P420,"AAAAAHJr/lY=")</f>
        <v>#VALUE!</v>
      </c>
      <c r="CJ130" t="e">
        <f>AND(Bills!Q420,"AAAAAHJr/lc=")</f>
        <v>#VALUE!</v>
      </c>
      <c r="CK130" t="e">
        <f>AND(Bills!R420,"AAAAAHJr/lg=")</f>
        <v>#VALUE!</v>
      </c>
      <c r="CL130" t="e">
        <f>AND(Bills!#REF!,"AAAAAHJr/lk=")</f>
        <v>#REF!</v>
      </c>
      <c r="CM130" t="e">
        <f>AND(Bills!S420,"AAAAAHJr/lo=")</f>
        <v>#VALUE!</v>
      </c>
      <c r="CN130" t="e">
        <f>AND(Bills!T420,"AAAAAHJr/ls=")</f>
        <v>#VALUE!</v>
      </c>
      <c r="CO130" t="e">
        <f>AND(Bills!U420,"AAAAAHJr/lw=")</f>
        <v>#VALUE!</v>
      </c>
      <c r="CP130" t="e">
        <f>AND(Bills!#REF!,"AAAAAHJr/l0=")</f>
        <v>#REF!</v>
      </c>
      <c r="CQ130" t="e">
        <f>AND(Bills!#REF!,"AAAAAHJr/l4=")</f>
        <v>#REF!</v>
      </c>
      <c r="CR130" t="e">
        <f>AND(Bills!W420,"AAAAAHJr/l8=")</f>
        <v>#VALUE!</v>
      </c>
      <c r="CS130" t="e">
        <f>AND(Bills!X420,"AAAAAHJr/mA=")</f>
        <v>#VALUE!</v>
      </c>
      <c r="CT130" t="e">
        <f>AND(Bills!#REF!,"AAAAAHJr/mE=")</f>
        <v>#REF!</v>
      </c>
      <c r="CU130" t="e">
        <f>AND(Bills!#REF!,"AAAAAHJr/mI=")</f>
        <v>#REF!</v>
      </c>
      <c r="CV130" t="e">
        <f>AND(Bills!#REF!,"AAAAAHJr/mM=")</f>
        <v>#REF!</v>
      </c>
      <c r="CW130" t="e">
        <f>AND(Bills!#REF!,"AAAAAHJr/mQ=")</f>
        <v>#REF!</v>
      </c>
      <c r="CX130" t="e">
        <f>AND(Bills!#REF!,"AAAAAHJr/mU=")</f>
        <v>#REF!</v>
      </c>
      <c r="CY130" t="e">
        <f>AND(Bills!#REF!,"AAAAAHJr/mY=")</f>
        <v>#REF!</v>
      </c>
      <c r="CZ130" t="e">
        <f>AND(Bills!#REF!,"AAAAAHJr/mc=")</f>
        <v>#REF!</v>
      </c>
      <c r="DA130" t="e">
        <f>AND(Bills!#REF!,"AAAAAHJr/mg=")</f>
        <v>#REF!</v>
      </c>
      <c r="DB130" t="e">
        <f>AND(Bills!#REF!,"AAAAAHJr/mk=")</f>
        <v>#REF!</v>
      </c>
      <c r="DC130" t="e">
        <f>AND(Bills!Y420,"AAAAAHJr/mo=")</f>
        <v>#VALUE!</v>
      </c>
      <c r="DD130" t="e">
        <f>AND(Bills!Z420,"AAAAAHJr/ms=")</f>
        <v>#VALUE!</v>
      </c>
      <c r="DE130" t="e">
        <f>AND(Bills!#REF!,"AAAAAHJr/mw=")</f>
        <v>#REF!</v>
      </c>
      <c r="DF130" t="e">
        <f>AND(Bills!#REF!,"AAAAAHJr/m0=")</f>
        <v>#REF!</v>
      </c>
      <c r="DG130" t="e">
        <f>AND(Bills!#REF!,"AAAAAHJr/m4=")</f>
        <v>#REF!</v>
      </c>
      <c r="DH130" t="e">
        <f>AND(Bills!AA420,"AAAAAHJr/m8=")</f>
        <v>#VALUE!</v>
      </c>
      <c r="DI130" t="e">
        <f>AND(Bills!AB420,"AAAAAHJr/nA=")</f>
        <v>#VALUE!</v>
      </c>
      <c r="DJ130" t="e">
        <f>AND(Bills!#REF!,"AAAAAHJr/nE=")</f>
        <v>#REF!</v>
      </c>
      <c r="DK130">
        <f>IF(Bills!421:421,"AAAAAHJr/nI=",0)</f>
        <v>0</v>
      </c>
      <c r="DL130" t="e">
        <f>AND(Bills!B421,"AAAAAHJr/nM=")</f>
        <v>#VALUE!</v>
      </c>
      <c r="DM130" t="e">
        <f>AND(Bills!#REF!,"AAAAAHJr/nQ=")</f>
        <v>#REF!</v>
      </c>
      <c r="DN130" t="e">
        <f>AND(Bills!C421,"AAAAAHJr/nU=")</f>
        <v>#VALUE!</v>
      </c>
      <c r="DO130" t="e">
        <f>AND(Bills!#REF!,"AAAAAHJr/nY=")</f>
        <v>#REF!</v>
      </c>
      <c r="DP130" t="e">
        <f>AND(Bills!#REF!,"AAAAAHJr/nc=")</f>
        <v>#REF!</v>
      </c>
      <c r="DQ130" t="e">
        <f>AND(Bills!#REF!,"AAAAAHJr/ng=")</f>
        <v>#REF!</v>
      </c>
      <c r="DR130" t="e">
        <f>AND(Bills!#REF!,"AAAAAHJr/nk=")</f>
        <v>#REF!</v>
      </c>
      <c r="DS130" t="e">
        <f>AND(Bills!#REF!,"AAAAAHJr/no=")</f>
        <v>#REF!</v>
      </c>
      <c r="DT130" t="e">
        <f>AND(Bills!D421,"AAAAAHJr/ns=")</f>
        <v>#VALUE!</v>
      </c>
      <c r="DU130" t="e">
        <f>AND(Bills!#REF!,"AAAAAHJr/nw=")</f>
        <v>#REF!</v>
      </c>
      <c r="DV130" t="e">
        <f>AND(Bills!E421,"AAAAAHJr/n0=")</f>
        <v>#VALUE!</v>
      </c>
      <c r="DW130" t="e">
        <f>AND(Bills!F421,"AAAAAHJr/n4=")</f>
        <v>#VALUE!</v>
      </c>
      <c r="DX130" t="e">
        <f>AND(Bills!G421,"AAAAAHJr/n8=")</f>
        <v>#VALUE!</v>
      </c>
      <c r="DY130" t="e">
        <f>AND(Bills!H421,"AAAAAHJr/oA=")</f>
        <v>#VALUE!</v>
      </c>
      <c r="DZ130" t="e">
        <f>AND(Bills!I421,"AAAAAHJr/oE=")</f>
        <v>#VALUE!</v>
      </c>
      <c r="EA130" t="e">
        <f>AND(Bills!J421,"AAAAAHJr/oI=")</f>
        <v>#VALUE!</v>
      </c>
      <c r="EB130" t="e">
        <f>AND(Bills!#REF!,"AAAAAHJr/oM=")</f>
        <v>#REF!</v>
      </c>
      <c r="EC130" t="e">
        <f>AND(Bills!K421,"AAAAAHJr/oQ=")</f>
        <v>#VALUE!</v>
      </c>
      <c r="ED130" t="e">
        <f>AND(Bills!L421,"AAAAAHJr/oU=")</f>
        <v>#VALUE!</v>
      </c>
      <c r="EE130" t="e">
        <f>AND(Bills!M421,"AAAAAHJr/oY=")</f>
        <v>#VALUE!</v>
      </c>
      <c r="EF130" t="e">
        <f>AND(Bills!N421,"AAAAAHJr/oc=")</f>
        <v>#VALUE!</v>
      </c>
      <c r="EG130" t="e">
        <f>AND(Bills!O421,"AAAAAHJr/og=")</f>
        <v>#VALUE!</v>
      </c>
      <c r="EH130" t="e">
        <f>AND(Bills!P421,"AAAAAHJr/ok=")</f>
        <v>#VALUE!</v>
      </c>
      <c r="EI130" t="e">
        <f>AND(Bills!Q421,"AAAAAHJr/oo=")</f>
        <v>#VALUE!</v>
      </c>
      <c r="EJ130" t="e">
        <f>AND(Bills!R421,"AAAAAHJr/os=")</f>
        <v>#VALUE!</v>
      </c>
      <c r="EK130" t="e">
        <f>AND(Bills!#REF!,"AAAAAHJr/ow=")</f>
        <v>#REF!</v>
      </c>
      <c r="EL130" t="e">
        <f>AND(Bills!S421,"AAAAAHJr/o0=")</f>
        <v>#VALUE!</v>
      </c>
      <c r="EM130" t="e">
        <f>AND(Bills!T421,"AAAAAHJr/o4=")</f>
        <v>#VALUE!</v>
      </c>
      <c r="EN130" t="e">
        <f>AND(Bills!U421,"AAAAAHJr/o8=")</f>
        <v>#VALUE!</v>
      </c>
      <c r="EO130" t="e">
        <f>AND(Bills!#REF!,"AAAAAHJr/pA=")</f>
        <v>#REF!</v>
      </c>
      <c r="EP130" t="e">
        <f>AND(Bills!#REF!,"AAAAAHJr/pE=")</f>
        <v>#REF!</v>
      </c>
      <c r="EQ130" t="e">
        <f>AND(Bills!W421,"AAAAAHJr/pI=")</f>
        <v>#VALUE!</v>
      </c>
      <c r="ER130" t="e">
        <f>AND(Bills!X421,"AAAAAHJr/pM=")</f>
        <v>#VALUE!</v>
      </c>
      <c r="ES130" t="e">
        <f>AND(Bills!#REF!,"AAAAAHJr/pQ=")</f>
        <v>#REF!</v>
      </c>
      <c r="ET130" t="e">
        <f>AND(Bills!#REF!,"AAAAAHJr/pU=")</f>
        <v>#REF!</v>
      </c>
      <c r="EU130" t="e">
        <f>AND(Bills!#REF!,"AAAAAHJr/pY=")</f>
        <v>#REF!</v>
      </c>
      <c r="EV130" t="e">
        <f>AND(Bills!#REF!,"AAAAAHJr/pc=")</f>
        <v>#REF!</v>
      </c>
      <c r="EW130" t="e">
        <f>AND(Bills!#REF!,"AAAAAHJr/pg=")</f>
        <v>#REF!</v>
      </c>
      <c r="EX130" t="e">
        <f>AND(Bills!#REF!,"AAAAAHJr/pk=")</f>
        <v>#REF!</v>
      </c>
      <c r="EY130" t="e">
        <f>AND(Bills!#REF!,"AAAAAHJr/po=")</f>
        <v>#REF!</v>
      </c>
      <c r="EZ130" t="e">
        <f>AND(Bills!#REF!,"AAAAAHJr/ps=")</f>
        <v>#REF!</v>
      </c>
      <c r="FA130" t="e">
        <f>AND(Bills!#REF!,"AAAAAHJr/pw=")</f>
        <v>#REF!</v>
      </c>
      <c r="FB130" t="e">
        <f>AND(Bills!Y421,"AAAAAHJr/p0=")</f>
        <v>#VALUE!</v>
      </c>
      <c r="FC130" t="e">
        <f>AND(Bills!Z421,"AAAAAHJr/p4=")</f>
        <v>#VALUE!</v>
      </c>
      <c r="FD130" t="e">
        <f>AND(Bills!#REF!,"AAAAAHJr/p8=")</f>
        <v>#REF!</v>
      </c>
      <c r="FE130" t="e">
        <f>AND(Bills!#REF!,"AAAAAHJr/qA=")</f>
        <v>#REF!</v>
      </c>
      <c r="FF130" t="e">
        <f>AND(Bills!#REF!,"AAAAAHJr/qE=")</f>
        <v>#REF!</v>
      </c>
      <c r="FG130" t="e">
        <f>AND(Bills!AA421,"AAAAAHJr/qI=")</f>
        <v>#VALUE!</v>
      </c>
      <c r="FH130" t="e">
        <f>AND(Bills!AB421,"AAAAAHJr/qM=")</f>
        <v>#VALUE!</v>
      </c>
      <c r="FI130" t="e">
        <f>AND(Bills!#REF!,"AAAAAHJr/qQ=")</f>
        <v>#REF!</v>
      </c>
      <c r="FJ130">
        <f>IF(Bills!422:422,"AAAAAHJr/qU=",0)</f>
        <v>0</v>
      </c>
      <c r="FK130" t="e">
        <f>AND(Bills!B422,"AAAAAHJr/qY=")</f>
        <v>#VALUE!</v>
      </c>
      <c r="FL130" t="e">
        <f>AND(Bills!#REF!,"AAAAAHJr/qc=")</f>
        <v>#REF!</v>
      </c>
      <c r="FM130" t="e">
        <f>AND(Bills!C422,"AAAAAHJr/qg=")</f>
        <v>#VALUE!</v>
      </c>
      <c r="FN130" t="e">
        <f>AND(Bills!#REF!,"AAAAAHJr/qk=")</f>
        <v>#REF!</v>
      </c>
      <c r="FO130" t="e">
        <f>AND(Bills!#REF!,"AAAAAHJr/qo=")</f>
        <v>#REF!</v>
      </c>
      <c r="FP130" t="e">
        <f>AND(Bills!#REF!,"AAAAAHJr/qs=")</f>
        <v>#REF!</v>
      </c>
      <c r="FQ130" t="e">
        <f>AND(Bills!#REF!,"AAAAAHJr/qw=")</f>
        <v>#REF!</v>
      </c>
      <c r="FR130" t="e">
        <f>AND(Bills!#REF!,"AAAAAHJr/q0=")</f>
        <v>#REF!</v>
      </c>
      <c r="FS130" t="e">
        <f>AND(Bills!D422,"AAAAAHJr/q4=")</f>
        <v>#VALUE!</v>
      </c>
      <c r="FT130" t="e">
        <f>AND(Bills!#REF!,"AAAAAHJr/q8=")</f>
        <v>#REF!</v>
      </c>
      <c r="FU130" t="e">
        <f>AND(Bills!E422,"AAAAAHJr/rA=")</f>
        <v>#VALUE!</v>
      </c>
      <c r="FV130" t="e">
        <f>AND(Bills!F422,"AAAAAHJr/rE=")</f>
        <v>#VALUE!</v>
      </c>
      <c r="FW130" t="e">
        <f>AND(Bills!G422,"AAAAAHJr/rI=")</f>
        <v>#VALUE!</v>
      </c>
      <c r="FX130" t="e">
        <f>AND(Bills!H422,"AAAAAHJr/rM=")</f>
        <v>#VALUE!</v>
      </c>
      <c r="FY130" t="e">
        <f>AND(Bills!I422,"AAAAAHJr/rQ=")</f>
        <v>#VALUE!</v>
      </c>
      <c r="FZ130" t="e">
        <f>AND(Bills!J422,"AAAAAHJr/rU=")</f>
        <v>#VALUE!</v>
      </c>
      <c r="GA130" t="e">
        <f>AND(Bills!#REF!,"AAAAAHJr/rY=")</f>
        <v>#REF!</v>
      </c>
      <c r="GB130" t="e">
        <f>AND(Bills!K422,"AAAAAHJr/rc=")</f>
        <v>#VALUE!</v>
      </c>
      <c r="GC130" t="e">
        <f>AND(Bills!L422,"AAAAAHJr/rg=")</f>
        <v>#VALUE!</v>
      </c>
      <c r="GD130" t="e">
        <f>AND(Bills!M422,"AAAAAHJr/rk=")</f>
        <v>#VALUE!</v>
      </c>
      <c r="GE130" t="e">
        <f>AND(Bills!N422,"AAAAAHJr/ro=")</f>
        <v>#VALUE!</v>
      </c>
      <c r="GF130" t="e">
        <f>AND(Bills!O422,"AAAAAHJr/rs=")</f>
        <v>#VALUE!</v>
      </c>
      <c r="GG130" t="e">
        <f>AND(Bills!P422,"AAAAAHJr/rw=")</f>
        <v>#VALUE!</v>
      </c>
      <c r="GH130" t="e">
        <f>AND(Bills!Q422,"AAAAAHJr/r0=")</f>
        <v>#VALUE!</v>
      </c>
      <c r="GI130" t="e">
        <f>AND(Bills!R422,"AAAAAHJr/r4=")</f>
        <v>#VALUE!</v>
      </c>
      <c r="GJ130" t="e">
        <f>AND(Bills!#REF!,"AAAAAHJr/r8=")</f>
        <v>#REF!</v>
      </c>
      <c r="GK130" t="e">
        <f>AND(Bills!S422,"AAAAAHJr/sA=")</f>
        <v>#VALUE!</v>
      </c>
      <c r="GL130" t="e">
        <f>AND(Bills!T422,"AAAAAHJr/sE=")</f>
        <v>#VALUE!</v>
      </c>
      <c r="GM130" t="e">
        <f>AND(Bills!U422,"AAAAAHJr/sI=")</f>
        <v>#VALUE!</v>
      </c>
      <c r="GN130" t="e">
        <f>AND(Bills!#REF!,"AAAAAHJr/sM=")</f>
        <v>#REF!</v>
      </c>
      <c r="GO130" t="e">
        <f>AND(Bills!#REF!,"AAAAAHJr/sQ=")</f>
        <v>#REF!</v>
      </c>
      <c r="GP130" t="e">
        <f>AND(Bills!W422,"AAAAAHJr/sU=")</f>
        <v>#VALUE!</v>
      </c>
      <c r="GQ130" t="e">
        <f>AND(Bills!X422,"AAAAAHJr/sY=")</f>
        <v>#VALUE!</v>
      </c>
      <c r="GR130" t="e">
        <f>AND(Bills!#REF!,"AAAAAHJr/sc=")</f>
        <v>#REF!</v>
      </c>
      <c r="GS130" t="e">
        <f>AND(Bills!#REF!,"AAAAAHJr/sg=")</f>
        <v>#REF!</v>
      </c>
      <c r="GT130" t="e">
        <f>AND(Bills!#REF!,"AAAAAHJr/sk=")</f>
        <v>#REF!</v>
      </c>
      <c r="GU130" t="e">
        <f>AND(Bills!#REF!,"AAAAAHJr/so=")</f>
        <v>#REF!</v>
      </c>
      <c r="GV130" t="e">
        <f>AND(Bills!#REF!,"AAAAAHJr/ss=")</f>
        <v>#REF!</v>
      </c>
      <c r="GW130" t="e">
        <f>AND(Bills!#REF!,"AAAAAHJr/sw=")</f>
        <v>#REF!</v>
      </c>
      <c r="GX130" t="e">
        <f>AND(Bills!#REF!,"AAAAAHJr/s0=")</f>
        <v>#REF!</v>
      </c>
      <c r="GY130" t="e">
        <f>AND(Bills!#REF!,"AAAAAHJr/s4=")</f>
        <v>#REF!</v>
      </c>
      <c r="GZ130" t="e">
        <f>AND(Bills!#REF!,"AAAAAHJr/s8=")</f>
        <v>#REF!</v>
      </c>
      <c r="HA130" t="e">
        <f>AND(Bills!Y422,"AAAAAHJr/tA=")</f>
        <v>#VALUE!</v>
      </c>
      <c r="HB130" t="e">
        <f>AND(Bills!Z422,"AAAAAHJr/tE=")</f>
        <v>#VALUE!</v>
      </c>
      <c r="HC130" t="e">
        <f>AND(Bills!#REF!,"AAAAAHJr/tI=")</f>
        <v>#REF!</v>
      </c>
      <c r="HD130" t="e">
        <f>AND(Bills!#REF!,"AAAAAHJr/tM=")</f>
        <v>#REF!</v>
      </c>
      <c r="HE130" t="e">
        <f>AND(Bills!#REF!,"AAAAAHJr/tQ=")</f>
        <v>#REF!</v>
      </c>
      <c r="HF130" t="e">
        <f>AND(Bills!AA422,"AAAAAHJr/tU=")</f>
        <v>#VALUE!</v>
      </c>
      <c r="HG130" t="e">
        <f>AND(Bills!AB422,"AAAAAHJr/tY=")</f>
        <v>#VALUE!</v>
      </c>
      <c r="HH130" t="e">
        <f>AND(Bills!#REF!,"AAAAAHJr/tc=")</f>
        <v>#REF!</v>
      </c>
      <c r="HI130">
        <f>IF(Bills!423:423,"AAAAAHJr/tg=",0)</f>
        <v>0</v>
      </c>
      <c r="HJ130" t="e">
        <f>AND(Bills!B423,"AAAAAHJr/tk=")</f>
        <v>#VALUE!</v>
      </c>
      <c r="HK130" t="e">
        <f>AND(Bills!#REF!,"AAAAAHJr/to=")</f>
        <v>#REF!</v>
      </c>
      <c r="HL130" t="e">
        <f>AND(Bills!C423,"AAAAAHJr/ts=")</f>
        <v>#VALUE!</v>
      </c>
      <c r="HM130" t="e">
        <f>AND(Bills!#REF!,"AAAAAHJr/tw=")</f>
        <v>#REF!</v>
      </c>
      <c r="HN130" t="e">
        <f>AND(Bills!#REF!,"AAAAAHJr/t0=")</f>
        <v>#REF!</v>
      </c>
      <c r="HO130" t="e">
        <f>AND(Bills!#REF!,"AAAAAHJr/t4=")</f>
        <v>#REF!</v>
      </c>
      <c r="HP130" t="e">
        <f>AND(Bills!#REF!,"AAAAAHJr/t8=")</f>
        <v>#REF!</v>
      </c>
      <c r="HQ130" t="e">
        <f>AND(Bills!#REF!,"AAAAAHJr/uA=")</f>
        <v>#REF!</v>
      </c>
      <c r="HR130" t="e">
        <f>AND(Bills!D423,"AAAAAHJr/uE=")</f>
        <v>#VALUE!</v>
      </c>
      <c r="HS130" t="e">
        <f>AND(Bills!#REF!,"AAAAAHJr/uI=")</f>
        <v>#REF!</v>
      </c>
      <c r="HT130" t="e">
        <f>AND(Bills!E423,"AAAAAHJr/uM=")</f>
        <v>#VALUE!</v>
      </c>
      <c r="HU130" t="e">
        <f>AND(Bills!F423,"AAAAAHJr/uQ=")</f>
        <v>#VALUE!</v>
      </c>
      <c r="HV130" t="e">
        <f>AND(Bills!G423,"AAAAAHJr/uU=")</f>
        <v>#VALUE!</v>
      </c>
      <c r="HW130" t="e">
        <f>AND(Bills!H423,"AAAAAHJr/uY=")</f>
        <v>#VALUE!</v>
      </c>
      <c r="HX130" t="e">
        <f>AND(Bills!I423,"AAAAAHJr/uc=")</f>
        <v>#VALUE!</v>
      </c>
      <c r="HY130" t="e">
        <f>AND(Bills!J423,"AAAAAHJr/ug=")</f>
        <v>#VALUE!</v>
      </c>
      <c r="HZ130" t="e">
        <f>AND(Bills!#REF!,"AAAAAHJr/uk=")</f>
        <v>#REF!</v>
      </c>
      <c r="IA130" t="e">
        <f>AND(Bills!K423,"AAAAAHJr/uo=")</f>
        <v>#VALUE!</v>
      </c>
      <c r="IB130" t="e">
        <f>AND(Bills!L423,"AAAAAHJr/us=")</f>
        <v>#VALUE!</v>
      </c>
      <c r="IC130" t="e">
        <f>AND(Bills!M423,"AAAAAHJr/uw=")</f>
        <v>#VALUE!</v>
      </c>
      <c r="ID130" t="e">
        <f>AND(Bills!N423,"AAAAAHJr/u0=")</f>
        <v>#VALUE!</v>
      </c>
      <c r="IE130" t="e">
        <f>AND(Bills!O423,"AAAAAHJr/u4=")</f>
        <v>#VALUE!</v>
      </c>
      <c r="IF130" t="e">
        <f>AND(Bills!P423,"AAAAAHJr/u8=")</f>
        <v>#VALUE!</v>
      </c>
      <c r="IG130" t="e">
        <f>AND(Bills!Q423,"AAAAAHJr/vA=")</f>
        <v>#VALUE!</v>
      </c>
      <c r="IH130" t="e">
        <f>AND(Bills!R423,"AAAAAHJr/vE=")</f>
        <v>#VALUE!</v>
      </c>
      <c r="II130" t="e">
        <f>AND(Bills!#REF!,"AAAAAHJr/vI=")</f>
        <v>#REF!</v>
      </c>
      <c r="IJ130" t="e">
        <f>AND(Bills!S423,"AAAAAHJr/vM=")</f>
        <v>#VALUE!</v>
      </c>
      <c r="IK130" t="e">
        <f>AND(Bills!T423,"AAAAAHJr/vQ=")</f>
        <v>#VALUE!</v>
      </c>
      <c r="IL130" t="e">
        <f>AND(Bills!U423,"AAAAAHJr/vU=")</f>
        <v>#VALUE!</v>
      </c>
      <c r="IM130" t="e">
        <f>AND(Bills!#REF!,"AAAAAHJr/vY=")</f>
        <v>#REF!</v>
      </c>
      <c r="IN130" t="e">
        <f>AND(Bills!#REF!,"AAAAAHJr/vc=")</f>
        <v>#REF!</v>
      </c>
      <c r="IO130" t="e">
        <f>AND(Bills!W423,"AAAAAHJr/vg=")</f>
        <v>#VALUE!</v>
      </c>
      <c r="IP130" t="e">
        <f>AND(Bills!X423,"AAAAAHJr/vk=")</f>
        <v>#VALUE!</v>
      </c>
      <c r="IQ130" t="e">
        <f>AND(Bills!#REF!,"AAAAAHJr/vo=")</f>
        <v>#REF!</v>
      </c>
      <c r="IR130" t="e">
        <f>AND(Bills!#REF!,"AAAAAHJr/vs=")</f>
        <v>#REF!</v>
      </c>
      <c r="IS130" t="e">
        <f>AND(Bills!#REF!,"AAAAAHJr/vw=")</f>
        <v>#REF!</v>
      </c>
      <c r="IT130" t="e">
        <f>AND(Bills!#REF!,"AAAAAHJr/v0=")</f>
        <v>#REF!</v>
      </c>
      <c r="IU130" t="e">
        <f>AND(Bills!#REF!,"AAAAAHJr/v4=")</f>
        <v>#REF!</v>
      </c>
      <c r="IV130" t="e">
        <f>AND(Bills!#REF!,"AAAAAHJr/v8=")</f>
        <v>#REF!</v>
      </c>
    </row>
    <row r="131" spans="1:256">
      <c r="A131" t="e">
        <f>AND(Bills!#REF!,"AAAAAFjvvAA=")</f>
        <v>#REF!</v>
      </c>
      <c r="B131" t="e">
        <f>AND(Bills!#REF!,"AAAAAFjvvAE=")</f>
        <v>#REF!</v>
      </c>
      <c r="C131" t="e">
        <f>AND(Bills!#REF!,"AAAAAFjvvAI=")</f>
        <v>#REF!</v>
      </c>
      <c r="D131" t="e">
        <f>AND(Bills!Y423,"AAAAAFjvvAM=")</f>
        <v>#VALUE!</v>
      </c>
      <c r="E131" t="e">
        <f>AND(Bills!Z423,"AAAAAFjvvAQ=")</f>
        <v>#VALUE!</v>
      </c>
      <c r="F131" t="e">
        <f>AND(Bills!#REF!,"AAAAAFjvvAU=")</f>
        <v>#REF!</v>
      </c>
      <c r="G131" t="e">
        <f>AND(Bills!#REF!,"AAAAAFjvvAY=")</f>
        <v>#REF!</v>
      </c>
      <c r="H131" t="e">
        <f>AND(Bills!#REF!,"AAAAAFjvvAc=")</f>
        <v>#REF!</v>
      </c>
      <c r="I131" t="e">
        <f>AND(Bills!AA423,"AAAAAFjvvAg=")</f>
        <v>#VALUE!</v>
      </c>
      <c r="J131" t="e">
        <f>AND(Bills!AB423,"AAAAAFjvvAk=")</f>
        <v>#VALUE!</v>
      </c>
      <c r="K131" t="e">
        <f>AND(Bills!#REF!,"AAAAAFjvvAo=")</f>
        <v>#REF!</v>
      </c>
      <c r="L131">
        <f>IF(Bills!424:424,"AAAAAFjvvAs=",0)</f>
        <v>0</v>
      </c>
      <c r="M131" t="e">
        <f>AND(Bills!B424,"AAAAAFjvvAw=")</f>
        <v>#VALUE!</v>
      </c>
      <c r="N131" t="e">
        <f>AND(Bills!#REF!,"AAAAAFjvvA0=")</f>
        <v>#REF!</v>
      </c>
      <c r="O131" t="e">
        <f>AND(Bills!C424,"AAAAAFjvvA4=")</f>
        <v>#VALUE!</v>
      </c>
      <c r="P131" t="e">
        <f>AND(Bills!#REF!,"AAAAAFjvvA8=")</f>
        <v>#REF!</v>
      </c>
      <c r="Q131" t="e">
        <f>AND(Bills!#REF!,"AAAAAFjvvBA=")</f>
        <v>#REF!</v>
      </c>
      <c r="R131" t="e">
        <f>AND(Bills!#REF!,"AAAAAFjvvBE=")</f>
        <v>#REF!</v>
      </c>
      <c r="S131" t="e">
        <f>AND(Bills!#REF!,"AAAAAFjvvBI=")</f>
        <v>#REF!</v>
      </c>
      <c r="T131" t="e">
        <f>AND(Bills!#REF!,"AAAAAFjvvBM=")</f>
        <v>#REF!</v>
      </c>
      <c r="U131" t="e">
        <f>AND(Bills!D424,"AAAAAFjvvBQ=")</f>
        <v>#VALUE!</v>
      </c>
      <c r="V131" t="e">
        <f>AND(Bills!#REF!,"AAAAAFjvvBU=")</f>
        <v>#REF!</v>
      </c>
      <c r="W131" t="e">
        <f>AND(Bills!E424,"AAAAAFjvvBY=")</f>
        <v>#VALUE!</v>
      </c>
      <c r="X131" t="e">
        <f>AND(Bills!F424,"AAAAAFjvvBc=")</f>
        <v>#VALUE!</v>
      </c>
      <c r="Y131" t="e">
        <f>AND(Bills!G424,"AAAAAFjvvBg=")</f>
        <v>#VALUE!</v>
      </c>
      <c r="Z131" t="e">
        <f>AND(Bills!H424,"AAAAAFjvvBk=")</f>
        <v>#VALUE!</v>
      </c>
      <c r="AA131" t="e">
        <f>AND(Bills!I424,"AAAAAFjvvBo=")</f>
        <v>#VALUE!</v>
      </c>
      <c r="AB131" t="e">
        <f>AND(Bills!J424,"AAAAAFjvvBs=")</f>
        <v>#VALUE!</v>
      </c>
      <c r="AC131" t="e">
        <f>AND(Bills!#REF!,"AAAAAFjvvBw=")</f>
        <v>#REF!</v>
      </c>
      <c r="AD131" t="e">
        <f>AND(Bills!K424,"AAAAAFjvvB0=")</f>
        <v>#VALUE!</v>
      </c>
      <c r="AE131" t="e">
        <f>AND(Bills!L424,"AAAAAFjvvB4=")</f>
        <v>#VALUE!</v>
      </c>
      <c r="AF131" t="e">
        <f>AND(Bills!M424,"AAAAAFjvvB8=")</f>
        <v>#VALUE!</v>
      </c>
      <c r="AG131" t="e">
        <f>AND(Bills!N424,"AAAAAFjvvCA=")</f>
        <v>#VALUE!</v>
      </c>
      <c r="AH131" t="e">
        <f>AND(Bills!O424,"AAAAAFjvvCE=")</f>
        <v>#VALUE!</v>
      </c>
      <c r="AI131" t="e">
        <f>AND(Bills!P424,"AAAAAFjvvCI=")</f>
        <v>#VALUE!</v>
      </c>
      <c r="AJ131" t="e">
        <f>AND(Bills!Q424,"AAAAAFjvvCM=")</f>
        <v>#VALUE!</v>
      </c>
      <c r="AK131" t="e">
        <f>AND(Bills!R424,"AAAAAFjvvCQ=")</f>
        <v>#VALUE!</v>
      </c>
      <c r="AL131" t="e">
        <f>AND(Bills!#REF!,"AAAAAFjvvCU=")</f>
        <v>#REF!</v>
      </c>
      <c r="AM131" t="e">
        <f>AND(Bills!S424,"AAAAAFjvvCY=")</f>
        <v>#VALUE!</v>
      </c>
      <c r="AN131" t="e">
        <f>AND(Bills!T424,"AAAAAFjvvCc=")</f>
        <v>#VALUE!</v>
      </c>
      <c r="AO131" t="e">
        <f>AND(Bills!U424,"AAAAAFjvvCg=")</f>
        <v>#VALUE!</v>
      </c>
      <c r="AP131" t="e">
        <f>AND(Bills!#REF!,"AAAAAFjvvCk=")</f>
        <v>#REF!</v>
      </c>
      <c r="AQ131" t="e">
        <f>AND(Bills!#REF!,"AAAAAFjvvCo=")</f>
        <v>#REF!</v>
      </c>
      <c r="AR131" t="e">
        <f>AND(Bills!W424,"AAAAAFjvvCs=")</f>
        <v>#VALUE!</v>
      </c>
      <c r="AS131" t="e">
        <f>AND(Bills!X424,"AAAAAFjvvCw=")</f>
        <v>#VALUE!</v>
      </c>
      <c r="AT131" t="e">
        <f>AND(Bills!#REF!,"AAAAAFjvvC0=")</f>
        <v>#REF!</v>
      </c>
      <c r="AU131" t="e">
        <f>AND(Bills!#REF!,"AAAAAFjvvC4=")</f>
        <v>#REF!</v>
      </c>
      <c r="AV131" t="e">
        <f>AND(Bills!#REF!,"AAAAAFjvvC8=")</f>
        <v>#REF!</v>
      </c>
      <c r="AW131" t="e">
        <f>AND(Bills!#REF!,"AAAAAFjvvDA=")</f>
        <v>#REF!</v>
      </c>
      <c r="AX131" t="e">
        <f>AND(Bills!#REF!,"AAAAAFjvvDE=")</f>
        <v>#REF!</v>
      </c>
      <c r="AY131" t="e">
        <f>AND(Bills!#REF!,"AAAAAFjvvDI=")</f>
        <v>#REF!</v>
      </c>
      <c r="AZ131" t="e">
        <f>AND(Bills!#REF!,"AAAAAFjvvDM=")</f>
        <v>#REF!</v>
      </c>
      <c r="BA131" t="e">
        <f>AND(Bills!#REF!,"AAAAAFjvvDQ=")</f>
        <v>#REF!</v>
      </c>
      <c r="BB131" t="e">
        <f>AND(Bills!#REF!,"AAAAAFjvvDU=")</f>
        <v>#REF!</v>
      </c>
      <c r="BC131" t="e">
        <f>AND(Bills!Y424,"AAAAAFjvvDY=")</f>
        <v>#VALUE!</v>
      </c>
      <c r="BD131" t="e">
        <f>AND(Bills!Z424,"AAAAAFjvvDc=")</f>
        <v>#VALUE!</v>
      </c>
      <c r="BE131" t="e">
        <f>AND(Bills!#REF!,"AAAAAFjvvDg=")</f>
        <v>#REF!</v>
      </c>
      <c r="BF131" t="e">
        <f>AND(Bills!#REF!,"AAAAAFjvvDk=")</f>
        <v>#REF!</v>
      </c>
      <c r="BG131" t="e">
        <f>AND(Bills!#REF!,"AAAAAFjvvDo=")</f>
        <v>#REF!</v>
      </c>
      <c r="BH131" t="e">
        <f>AND(Bills!AA424,"AAAAAFjvvDs=")</f>
        <v>#VALUE!</v>
      </c>
      <c r="BI131" t="e">
        <f>AND(Bills!AB424,"AAAAAFjvvDw=")</f>
        <v>#VALUE!</v>
      </c>
      <c r="BJ131" t="e">
        <f>AND(Bills!#REF!,"AAAAAFjvvD0=")</f>
        <v>#REF!</v>
      </c>
      <c r="BK131">
        <f>IF(Bills!425:425,"AAAAAFjvvD4=",0)</f>
        <v>0</v>
      </c>
      <c r="BL131" t="e">
        <f>AND(Bills!B425,"AAAAAFjvvD8=")</f>
        <v>#VALUE!</v>
      </c>
      <c r="BM131" t="e">
        <f>AND(Bills!#REF!,"AAAAAFjvvEA=")</f>
        <v>#REF!</v>
      </c>
      <c r="BN131" t="e">
        <f>AND(Bills!C425,"AAAAAFjvvEE=")</f>
        <v>#VALUE!</v>
      </c>
      <c r="BO131" t="e">
        <f>AND(Bills!#REF!,"AAAAAFjvvEI=")</f>
        <v>#REF!</v>
      </c>
      <c r="BP131" t="e">
        <f>AND(Bills!#REF!,"AAAAAFjvvEM=")</f>
        <v>#REF!</v>
      </c>
      <c r="BQ131" t="e">
        <f>AND(Bills!#REF!,"AAAAAFjvvEQ=")</f>
        <v>#REF!</v>
      </c>
      <c r="BR131" t="e">
        <f>AND(Bills!#REF!,"AAAAAFjvvEU=")</f>
        <v>#REF!</v>
      </c>
      <c r="BS131" t="e">
        <f>AND(Bills!#REF!,"AAAAAFjvvEY=")</f>
        <v>#REF!</v>
      </c>
      <c r="BT131" t="e">
        <f>AND(Bills!D425,"AAAAAFjvvEc=")</f>
        <v>#VALUE!</v>
      </c>
      <c r="BU131" t="e">
        <f>AND(Bills!#REF!,"AAAAAFjvvEg=")</f>
        <v>#REF!</v>
      </c>
      <c r="BV131" t="e">
        <f>AND(Bills!E425,"AAAAAFjvvEk=")</f>
        <v>#VALUE!</v>
      </c>
      <c r="BW131" t="e">
        <f>AND(Bills!F425,"AAAAAFjvvEo=")</f>
        <v>#VALUE!</v>
      </c>
      <c r="BX131" t="e">
        <f>AND(Bills!G425,"AAAAAFjvvEs=")</f>
        <v>#VALUE!</v>
      </c>
      <c r="BY131" t="e">
        <f>AND(Bills!H425,"AAAAAFjvvEw=")</f>
        <v>#VALUE!</v>
      </c>
      <c r="BZ131" t="e">
        <f>AND(Bills!I425,"AAAAAFjvvE0=")</f>
        <v>#VALUE!</v>
      </c>
      <c r="CA131" t="e">
        <f>AND(Bills!J425,"AAAAAFjvvE4=")</f>
        <v>#VALUE!</v>
      </c>
      <c r="CB131" t="e">
        <f>AND(Bills!#REF!,"AAAAAFjvvE8=")</f>
        <v>#REF!</v>
      </c>
      <c r="CC131" t="e">
        <f>AND(Bills!K425,"AAAAAFjvvFA=")</f>
        <v>#VALUE!</v>
      </c>
      <c r="CD131" t="e">
        <f>AND(Bills!L425,"AAAAAFjvvFE=")</f>
        <v>#VALUE!</v>
      </c>
      <c r="CE131" t="e">
        <f>AND(Bills!M425,"AAAAAFjvvFI=")</f>
        <v>#VALUE!</v>
      </c>
      <c r="CF131" t="e">
        <f>AND(Bills!N425,"AAAAAFjvvFM=")</f>
        <v>#VALUE!</v>
      </c>
      <c r="CG131" t="e">
        <f>AND(Bills!O425,"AAAAAFjvvFQ=")</f>
        <v>#VALUE!</v>
      </c>
      <c r="CH131" t="e">
        <f>AND(Bills!P425,"AAAAAFjvvFU=")</f>
        <v>#VALUE!</v>
      </c>
      <c r="CI131" t="e">
        <f>AND(Bills!Q425,"AAAAAFjvvFY=")</f>
        <v>#VALUE!</v>
      </c>
      <c r="CJ131" t="e">
        <f>AND(Bills!R425,"AAAAAFjvvFc=")</f>
        <v>#VALUE!</v>
      </c>
      <c r="CK131" t="e">
        <f>AND(Bills!#REF!,"AAAAAFjvvFg=")</f>
        <v>#REF!</v>
      </c>
      <c r="CL131" t="e">
        <f>AND(Bills!S425,"AAAAAFjvvFk=")</f>
        <v>#VALUE!</v>
      </c>
      <c r="CM131" t="e">
        <f>AND(Bills!T425,"AAAAAFjvvFo=")</f>
        <v>#VALUE!</v>
      </c>
      <c r="CN131" t="e">
        <f>AND(Bills!U425,"AAAAAFjvvFs=")</f>
        <v>#VALUE!</v>
      </c>
      <c r="CO131" t="e">
        <f>AND(Bills!#REF!,"AAAAAFjvvFw=")</f>
        <v>#REF!</v>
      </c>
      <c r="CP131" t="e">
        <f>AND(Bills!#REF!,"AAAAAFjvvF0=")</f>
        <v>#REF!</v>
      </c>
      <c r="CQ131" t="e">
        <f>AND(Bills!W425,"AAAAAFjvvF4=")</f>
        <v>#VALUE!</v>
      </c>
      <c r="CR131" t="e">
        <f>AND(Bills!X425,"AAAAAFjvvF8=")</f>
        <v>#VALUE!</v>
      </c>
      <c r="CS131" t="e">
        <f>AND(Bills!#REF!,"AAAAAFjvvGA=")</f>
        <v>#REF!</v>
      </c>
      <c r="CT131" t="e">
        <f>AND(Bills!#REF!,"AAAAAFjvvGE=")</f>
        <v>#REF!</v>
      </c>
      <c r="CU131" t="e">
        <f>AND(Bills!#REF!,"AAAAAFjvvGI=")</f>
        <v>#REF!</v>
      </c>
      <c r="CV131" t="e">
        <f>AND(Bills!#REF!,"AAAAAFjvvGM=")</f>
        <v>#REF!</v>
      </c>
      <c r="CW131" t="e">
        <f>AND(Bills!#REF!,"AAAAAFjvvGQ=")</f>
        <v>#REF!</v>
      </c>
      <c r="CX131" t="e">
        <f>AND(Bills!#REF!,"AAAAAFjvvGU=")</f>
        <v>#REF!</v>
      </c>
      <c r="CY131" t="e">
        <f>AND(Bills!#REF!,"AAAAAFjvvGY=")</f>
        <v>#REF!</v>
      </c>
      <c r="CZ131" t="e">
        <f>AND(Bills!#REF!,"AAAAAFjvvGc=")</f>
        <v>#REF!</v>
      </c>
      <c r="DA131" t="e">
        <f>AND(Bills!#REF!,"AAAAAFjvvGg=")</f>
        <v>#REF!</v>
      </c>
      <c r="DB131" t="e">
        <f>AND(Bills!Y425,"AAAAAFjvvGk=")</f>
        <v>#VALUE!</v>
      </c>
      <c r="DC131" t="e">
        <f>AND(Bills!Z425,"AAAAAFjvvGo=")</f>
        <v>#VALUE!</v>
      </c>
      <c r="DD131" t="e">
        <f>AND(Bills!#REF!,"AAAAAFjvvGs=")</f>
        <v>#REF!</v>
      </c>
      <c r="DE131" t="e">
        <f>AND(Bills!#REF!,"AAAAAFjvvGw=")</f>
        <v>#REF!</v>
      </c>
      <c r="DF131" t="e">
        <f>AND(Bills!#REF!,"AAAAAFjvvG0=")</f>
        <v>#REF!</v>
      </c>
      <c r="DG131" t="e">
        <f>AND(Bills!AA425,"AAAAAFjvvG4=")</f>
        <v>#VALUE!</v>
      </c>
      <c r="DH131" t="e">
        <f>AND(Bills!AB425,"AAAAAFjvvG8=")</f>
        <v>#VALUE!</v>
      </c>
      <c r="DI131" t="e">
        <f>AND(Bills!#REF!,"AAAAAFjvvHA=")</f>
        <v>#REF!</v>
      </c>
      <c r="DJ131">
        <f>IF(Bills!426:426,"AAAAAFjvvHE=",0)</f>
        <v>0</v>
      </c>
      <c r="DK131" t="e">
        <f>AND(Bills!B426,"AAAAAFjvvHI=")</f>
        <v>#VALUE!</v>
      </c>
      <c r="DL131" t="e">
        <f>AND(Bills!#REF!,"AAAAAFjvvHM=")</f>
        <v>#REF!</v>
      </c>
      <c r="DM131" t="e">
        <f>AND(Bills!C426,"AAAAAFjvvHQ=")</f>
        <v>#VALUE!</v>
      </c>
      <c r="DN131" t="e">
        <f>AND(Bills!#REF!,"AAAAAFjvvHU=")</f>
        <v>#REF!</v>
      </c>
      <c r="DO131" t="e">
        <f>AND(Bills!#REF!,"AAAAAFjvvHY=")</f>
        <v>#REF!</v>
      </c>
      <c r="DP131" t="e">
        <f>AND(Bills!#REF!,"AAAAAFjvvHc=")</f>
        <v>#REF!</v>
      </c>
      <c r="DQ131" t="e">
        <f>AND(Bills!#REF!,"AAAAAFjvvHg=")</f>
        <v>#REF!</v>
      </c>
      <c r="DR131" t="e">
        <f>AND(Bills!#REF!,"AAAAAFjvvHk=")</f>
        <v>#REF!</v>
      </c>
      <c r="DS131" t="e">
        <f>AND(Bills!D426,"AAAAAFjvvHo=")</f>
        <v>#VALUE!</v>
      </c>
      <c r="DT131" t="e">
        <f>AND(Bills!#REF!,"AAAAAFjvvHs=")</f>
        <v>#REF!</v>
      </c>
      <c r="DU131" t="e">
        <f>AND(Bills!E426,"AAAAAFjvvHw=")</f>
        <v>#VALUE!</v>
      </c>
      <c r="DV131" t="e">
        <f>AND(Bills!F426,"AAAAAFjvvH0=")</f>
        <v>#VALUE!</v>
      </c>
      <c r="DW131" t="e">
        <f>AND(Bills!G426,"AAAAAFjvvH4=")</f>
        <v>#VALUE!</v>
      </c>
      <c r="DX131" t="e">
        <f>AND(Bills!H426,"AAAAAFjvvH8=")</f>
        <v>#VALUE!</v>
      </c>
      <c r="DY131" t="e">
        <f>AND(Bills!I426,"AAAAAFjvvIA=")</f>
        <v>#VALUE!</v>
      </c>
      <c r="DZ131" t="e">
        <f>AND(Bills!J426,"AAAAAFjvvIE=")</f>
        <v>#VALUE!</v>
      </c>
      <c r="EA131" t="e">
        <f>AND(Bills!#REF!,"AAAAAFjvvII=")</f>
        <v>#REF!</v>
      </c>
      <c r="EB131" t="e">
        <f>AND(Bills!K426,"AAAAAFjvvIM=")</f>
        <v>#VALUE!</v>
      </c>
      <c r="EC131" t="e">
        <f>AND(Bills!L426,"AAAAAFjvvIQ=")</f>
        <v>#VALUE!</v>
      </c>
      <c r="ED131" t="e">
        <f>AND(Bills!M426,"AAAAAFjvvIU=")</f>
        <v>#VALUE!</v>
      </c>
      <c r="EE131" t="e">
        <f>AND(Bills!N426,"AAAAAFjvvIY=")</f>
        <v>#VALUE!</v>
      </c>
      <c r="EF131" t="e">
        <f>AND(Bills!O426,"AAAAAFjvvIc=")</f>
        <v>#VALUE!</v>
      </c>
      <c r="EG131" t="e">
        <f>AND(Bills!P426,"AAAAAFjvvIg=")</f>
        <v>#VALUE!</v>
      </c>
      <c r="EH131" t="e">
        <f>AND(Bills!Q426,"AAAAAFjvvIk=")</f>
        <v>#VALUE!</v>
      </c>
      <c r="EI131" t="e">
        <f>AND(Bills!R426,"AAAAAFjvvIo=")</f>
        <v>#VALUE!</v>
      </c>
      <c r="EJ131" t="e">
        <f>AND(Bills!#REF!,"AAAAAFjvvIs=")</f>
        <v>#REF!</v>
      </c>
      <c r="EK131" t="e">
        <f>AND(Bills!S426,"AAAAAFjvvIw=")</f>
        <v>#VALUE!</v>
      </c>
      <c r="EL131" t="e">
        <f>AND(Bills!T426,"AAAAAFjvvI0=")</f>
        <v>#VALUE!</v>
      </c>
      <c r="EM131" t="e">
        <f>AND(Bills!U426,"AAAAAFjvvI4=")</f>
        <v>#VALUE!</v>
      </c>
      <c r="EN131" t="e">
        <f>AND(Bills!#REF!,"AAAAAFjvvI8=")</f>
        <v>#REF!</v>
      </c>
      <c r="EO131" t="e">
        <f>AND(Bills!#REF!,"AAAAAFjvvJA=")</f>
        <v>#REF!</v>
      </c>
      <c r="EP131" t="e">
        <f>AND(Bills!W426,"AAAAAFjvvJE=")</f>
        <v>#VALUE!</v>
      </c>
      <c r="EQ131" t="e">
        <f>AND(Bills!X426,"AAAAAFjvvJI=")</f>
        <v>#VALUE!</v>
      </c>
      <c r="ER131" t="e">
        <f>AND(Bills!#REF!,"AAAAAFjvvJM=")</f>
        <v>#REF!</v>
      </c>
      <c r="ES131" t="e">
        <f>AND(Bills!#REF!,"AAAAAFjvvJQ=")</f>
        <v>#REF!</v>
      </c>
      <c r="ET131" t="e">
        <f>AND(Bills!#REF!,"AAAAAFjvvJU=")</f>
        <v>#REF!</v>
      </c>
      <c r="EU131" t="e">
        <f>AND(Bills!#REF!,"AAAAAFjvvJY=")</f>
        <v>#REF!</v>
      </c>
      <c r="EV131" t="e">
        <f>AND(Bills!#REF!,"AAAAAFjvvJc=")</f>
        <v>#REF!</v>
      </c>
      <c r="EW131" t="e">
        <f>AND(Bills!#REF!,"AAAAAFjvvJg=")</f>
        <v>#REF!</v>
      </c>
      <c r="EX131" t="e">
        <f>AND(Bills!#REF!,"AAAAAFjvvJk=")</f>
        <v>#REF!</v>
      </c>
      <c r="EY131" t="e">
        <f>AND(Bills!#REF!,"AAAAAFjvvJo=")</f>
        <v>#REF!</v>
      </c>
      <c r="EZ131" t="e">
        <f>AND(Bills!#REF!,"AAAAAFjvvJs=")</f>
        <v>#REF!</v>
      </c>
      <c r="FA131" t="e">
        <f>AND(Bills!Y426,"AAAAAFjvvJw=")</f>
        <v>#VALUE!</v>
      </c>
      <c r="FB131" t="e">
        <f>AND(Bills!Z426,"AAAAAFjvvJ0=")</f>
        <v>#VALUE!</v>
      </c>
      <c r="FC131" t="e">
        <f>AND(Bills!#REF!,"AAAAAFjvvJ4=")</f>
        <v>#REF!</v>
      </c>
      <c r="FD131" t="e">
        <f>AND(Bills!#REF!,"AAAAAFjvvJ8=")</f>
        <v>#REF!</v>
      </c>
      <c r="FE131" t="e">
        <f>AND(Bills!#REF!,"AAAAAFjvvKA=")</f>
        <v>#REF!</v>
      </c>
      <c r="FF131" t="e">
        <f>AND(Bills!AA426,"AAAAAFjvvKE=")</f>
        <v>#VALUE!</v>
      </c>
      <c r="FG131" t="e">
        <f>AND(Bills!AB426,"AAAAAFjvvKI=")</f>
        <v>#VALUE!</v>
      </c>
      <c r="FH131" t="e">
        <f>AND(Bills!#REF!,"AAAAAFjvvKM=")</f>
        <v>#REF!</v>
      </c>
      <c r="FI131">
        <f>IF(Bills!427:427,"AAAAAFjvvKQ=",0)</f>
        <v>0</v>
      </c>
      <c r="FJ131" t="e">
        <f>AND(Bills!B427,"AAAAAFjvvKU=")</f>
        <v>#VALUE!</v>
      </c>
      <c r="FK131" t="e">
        <f>AND(Bills!#REF!,"AAAAAFjvvKY=")</f>
        <v>#REF!</v>
      </c>
      <c r="FL131" t="e">
        <f>AND(Bills!C427,"AAAAAFjvvKc=")</f>
        <v>#VALUE!</v>
      </c>
      <c r="FM131" t="e">
        <f>AND(Bills!#REF!,"AAAAAFjvvKg=")</f>
        <v>#REF!</v>
      </c>
      <c r="FN131" t="e">
        <f>AND(Bills!#REF!,"AAAAAFjvvKk=")</f>
        <v>#REF!</v>
      </c>
      <c r="FO131" t="e">
        <f>AND(Bills!#REF!,"AAAAAFjvvKo=")</f>
        <v>#REF!</v>
      </c>
      <c r="FP131" t="e">
        <f>AND(Bills!#REF!,"AAAAAFjvvKs=")</f>
        <v>#REF!</v>
      </c>
      <c r="FQ131" t="e">
        <f>AND(Bills!#REF!,"AAAAAFjvvKw=")</f>
        <v>#REF!</v>
      </c>
      <c r="FR131" t="e">
        <f>AND(Bills!D427,"AAAAAFjvvK0=")</f>
        <v>#VALUE!</v>
      </c>
      <c r="FS131" t="e">
        <f>AND(Bills!#REF!,"AAAAAFjvvK4=")</f>
        <v>#REF!</v>
      </c>
      <c r="FT131" t="e">
        <f>AND(Bills!E427,"AAAAAFjvvK8=")</f>
        <v>#VALUE!</v>
      </c>
      <c r="FU131" t="e">
        <f>AND(Bills!F427,"AAAAAFjvvLA=")</f>
        <v>#VALUE!</v>
      </c>
      <c r="FV131" t="e">
        <f>AND(Bills!G427,"AAAAAFjvvLE=")</f>
        <v>#VALUE!</v>
      </c>
      <c r="FW131" t="e">
        <f>AND(Bills!H427,"AAAAAFjvvLI=")</f>
        <v>#VALUE!</v>
      </c>
      <c r="FX131" t="e">
        <f>AND(Bills!I427,"AAAAAFjvvLM=")</f>
        <v>#VALUE!</v>
      </c>
      <c r="FY131" t="e">
        <f>AND(Bills!J427,"AAAAAFjvvLQ=")</f>
        <v>#VALUE!</v>
      </c>
      <c r="FZ131" t="e">
        <f>AND(Bills!#REF!,"AAAAAFjvvLU=")</f>
        <v>#REF!</v>
      </c>
      <c r="GA131" t="e">
        <f>AND(Bills!K427,"AAAAAFjvvLY=")</f>
        <v>#VALUE!</v>
      </c>
      <c r="GB131" t="e">
        <f>AND(Bills!L427,"AAAAAFjvvLc=")</f>
        <v>#VALUE!</v>
      </c>
      <c r="GC131" t="e">
        <f>AND(Bills!M427,"AAAAAFjvvLg=")</f>
        <v>#VALUE!</v>
      </c>
      <c r="GD131" t="e">
        <f>AND(Bills!N427,"AAAAAFjvvLk=")</f>
        <v>#VALUE!</v>
      </c>
      <c r="GE131" t="e">
        <f>AND(Bills!O427,"AAAAAFjvvLo=")</f>
        <v>#VALUE!</v>
      </c>
      <c r="GF131" t="e">
        <f>AND(Bills!P427,"AAAAAFjvvLs=")</f>
        <v>#VALUE!</v>
      </c>
      <c r="GG131" t="e">
        <f>AND(Bills!Q427,"AAAAAFjvvLw=")</f>
        <v>#VALUE!</v>
      </c>
      <c r="GH131" t="e">
        <f>AND(Bills!R427,"AAAAAFjvvL0=")</f>
        <v>#VALUE!</v>
      </c>
      <c r="GI131" t="e">
        <f>AND(Bills!#REF!,"AAAAAFjvvL4=")</f>
        <v>#REF!</v>
      </c>
      <c r="GJ131" t="e">
        <f>AND(Bills!S427,"AAAAAFjvvL8=")</f>
        <v>#VALUE!</v>
      </c>
      <c r="GK131" t="e">
        <f>AND(Bills!T427,"AAAAAFjvvMA=")</f>
        <v>#VALUE!</v>
      </c>
      <c r="GL131" t="e">
        <f>AND(Bills!U427,"AAAAAFjvvME=")</f>
        <v>#VALUE!</v>
      </c>
      <c r="GM131" t="e">
        <f>AND(Bills!#REF!,"AAAAAFjvvMI=")</f>
        <v>#REF!</v>
      </c>
      <c r="GN131" t="e">
        <f>AND(Bills!#REF!,"AAAAAFjvvMM=")</f>
        <v>#REF!</v>
      </c>
      <c r="GO131" t="e">
        <f>AND(Bills!W427,"AAAAAFjvvMQ=")</f>
        <v>#VALUE!</v>
      </c>
      <c r="GP131" t="e">
        <f>AND(Bills!X427,"AAAAAFjvvMU=")</f>
        <v>#VALUE!</v>
      </c>
      <c r="GQ131" t="e">
        <f>AND(Bills!#REF!,"AAAAAFjvvMY=")</f>
        <v>#REF!</v>
      </c>
      <c r="GR131" t="e">
        <f>AND(Bills!#REF!,"AAAAAFjvvMc=")</f>
        <v>#REF!</v>
      </c>
      <c r="GS131" t="e">
        <f>AND(Bills!#REF!,"AAAAAFjvvMg=")</f>
        <v>#REF!</v>
      </c>
      <c r="GT131" t="e">
        <f>AND(Bills!#REF!,"AAAAAFjvvMk=")</f>
        <v>#REF!</v>
      </c>
      <c r="GU131" t="e">
        <f>AND(Bills!#REF!,"AAAAAFjvvMo=")</f>
        <v>#REF!</v>
      </c>
      <c r="GV131" t="e">
        <f>AND(Bills!#REF!,"AAAAAFjvvMs=")</f>
        <v>#REF!</v>
      </c>
      <c r="GW131" t="e">
        <f>AND(Bills!#REF!,"AAAAAFjvvMw=")</f>
        <v>#REF!</v>
      </c>
      <c r="GX131" t="e">
        <f>AND(Bills!#REF!,"AAAAAFjvvM0=")</f>
        <v>#REF!</v>
      </c>
      <c r="GY131" t="e">
        <f>AND(Bills!#REF!,"AAAAAFjvvM4=")</f>
        <v>#REF!</v>
      </c>
      <c r="GZ131" t="e">
        <f>AND(Bills!Y427,"AAAAAFjvvM8=")</f>
        <v>#VALUE!</v>
      </c>
      <c r="HA131" t="e">
        <f>AND(Bills!Z427,"AAAAAFjvvNA=")</f>
        <v>#VALUE!</v>
      </c>
      <c r="HB131" t="e">
        <f>AND(Bills!#REF!,"AAAAAFjvvNE=")</f>
        <v>#REF!</v>
      </c>
      <c r="HC131" t="e">
        <f>AND(Bills!#REF!,"AAAAAFjvvNI=")</f>
        <v>#REF!</v>
      </c>
      <c r="HD131" t="e">
        <f>AND(Bills!#REF!,"AAAAAFjvvNM=")</f>
        <v>#REF!</v>
      </c>
      <c r="HE131" t="e">
        <f>AND(Bills!AA427,"AAAAAFjvvNQ=")</f>
        <v>#VALUE!</v>
      </c>
      <c r="HF131" t="e">
        <f>AND(Bills!AB427,"AAAAAFjvvNU=")</f>
        <v>#VALUE!</v>
      </c>
      <c r="HG131" t="e">
        <f>AND(Bills!#REF!,"AAAAAFjvvNY=")</f>
        <v>#REF!</v>
      </c>
      <c r="HH131">
        <f>IF(Bills!428:428,"AAAAAFjvvNc=",0)</f>
        <v>0</v>
      </c>
      <c r="HI131" t="e">
        <f>AND(Bills!B428,"AAAAAFjvvNg=")</f>
        <v>#VALUE!</v>
      </c>
      <c r="HJ131" t="e">
        <f>AND(Bills!#REF!,"AAAAAFjvvNk=")</f>
        <v>#REF!</v>
      </c>
      <c r="HK131" t="e">
        <f>AND(Bills!C428,"AAAAAFjvvNo=")</f>
        <v>#VALUE!</v>
      </c>
      <c r="HL131" t="e">
        <f>AND(Bills!#REF!,"AAAAAFjvvNs=")</f>
        <v>#REF!</v>
      </c>
      <c r="HM131" t="e">
        <f>AND(Bills!#REF!,"AAAAAFjvvNw=")</f>
        <v>#REF!</v>
      </c>
      <c r="HN131" t="e">
        <f>AND(Bills!#REF!,"AAAAAFjvvN0=")</f>
        <v>#REF!</v>
      </c>
      <c r="HO131" t="e">
        <f>AND(Bills!#REF!,"AAAAAFjvvN4=")</f>
        <v>#REF!</v>
      </c>
      <c r="HP131" t="e">
        <f>AND(Bills!#REF!,"AAAAAFjvvN8=")</f>
        <v>#REF!</v>
      </c>
      <c r="HQ131" t="e">
        <f>AND(Bills!D428,"AAAAAFjvvOA=")</f>
        <v>#VALUE!</v>
      </c>
      <c r="HR131" t="e">
        <f>AND(Bills!#REF!,"AAAAAFjvvOE=")</f>
        <v>#REF!</v>
      </c>
      <c r="HS131" t="e">
        <f>AND(Bills!E428,"AAAAAFjvvOI=")</f>
        <v>#VALUE!</v>
      </c>
      <c r="HT131" t="e">
        <f>AND(Bills!F428,"AAAAAFjvvOM=")</f>
        <v>#VALUE!</v>
      </c>
      <c r="HU131" t="e">
        <f>AND(Bills!G428,"AAAAAFjvvOQ=")</f>
        <v>#VALUE!</v>
      </c>
      <c r="HV131" t="e">
        <f>AND(Bills!H428,"AAAAAFjvvOU=")</f>
        <v>#VALUE!</v>
      </c>
      <c r="HW131" t="e">
        <f>AND(Bills!I428,"AAAAAFjvvOY=")</f>
        <v>#VALUE!</v>
      </c>
      <c r="HX131" t="e">
        <f>AND(Bills!J428,"AAAAAFjvvOc=")</f>
        <v>#VALUE!</v>
      </c>
      <c r="HY131" t="e">
        <f>AND(Bills!#REF!,"AAAAAFjvvOg=")</f>
        <v>#REF!</v>
      </c>
      <c r="HZ131" t="e">
        <f>AND(Bills!K428,"AAAAAFjvvOk=")</f>
        <v>#VALUE!</v>
      </c>
      <c r="IA131" t="e">
        <f>AND(Bills!L428,"AAAAAFjvvOo=")</f>
        <v>#VALUE!</v>
      </c>
      <c r="IB131" t="e">
        <f>AND(Bills!M428,"AAAAAFjvvOs=")</f>
        <v>#VALUE!</v>
      </c>
      <c r="IC131" t="e">
        <f>AND(Bills!N428,"AAAAAFjvvOw=")</f>
        <v>#VALUE!</v>
      </c>
      <c r="ID131" t="e">
        <f>AND(Bills!O428,"AAAAAFjvvO0=")</f>
        <v>#VALUE!</v>
      </c>
      <c r="IE131" t="e">
        <f>AND(Bills!P428,"AAAAAFjvvO4=")</f>
        <v>#VALUE!</v>
      </c>
      <c r="IF131" t="e">
        <f>AND(Bills!Q428,"AAAAAFjvvO8=")</f>
        <v>#VALUE!</v>
      </c>
      <c r="IG131" t="e">
        <f>AND(Bills!R428,"AAAAAFjvvPA=")</f>
        <v>#VALUE!</v>
      </c>
      <c r="IH131" t="e">
        <f>AND(Bills!#REF!,"AAAAAFjvvPE=")</f>
        <v>#REF!</v>
      </c>
      <c r="II131" t="e">
        <f>AND(Bills!S428,"AAAAAFjvvPI=")</f>
        <v>#VALUE!</v>
      </c>
      <c r="IJ131" t="e">
        <f>AND(Bills!T428,"AAAAAFjvvPM=")</f>
        <v>#VALUE!</v>
      </c>
      <c r="IK131" t="e">
        <f>AND(Bills!U428,"AAAAAFjvvPQ=")</f>
        <v>#VALUE!</v>
      </c>
      <c r="IL131" t="e">
        <f>AND(Bills!#REF!,"AAAAAFjvvPU=")</f>
        <v>#REF!</v>
      </c>
      <c r="IM131" t="e">
        <f>AND(Bills!#REF!,"AAAAAFjvvPY=")</f>
        <v>#REF!</v>
      </c>
      <c r="IN131" t="e">
        <f>AND(Bills!W428,"AAAAAFjvvPc=")</f>
        <v>#VALUE!</v>
      </c>
      <c r="IO131" t="e">
        <f>AND(Bills!X428,"AAAAAFjvvPg=")</f>
        <v>#VALUE!</v>
      </c>
      <c r="IP131" t="e">
        <f>AND(Bills!#REF!,"AAAAAFjvvPk=")</f>
        <v>#REF!</v>
      </c>
      <c r="IQ131" t="e">
        <f>AND(Bills!#REF!,"AAAAAFjvvPo=")</f>
        <v>#REF!</v>
      </c>
      <c r="IR131" t="e">
        <f>AND(Bills!#REF!,"AAAAAFjvvPs=")</f>
        <v>#REF!</v>
      </c>
      <c r="IS131" t="e">
        <f>AND(Bills!#REF!,"AAAAAFjvvPw=")</f>
        <v>#REF!</v>
      </c>
      <c r="IT131" t="e">
        <f>AND(Bills!#REF!,"AAAAAFjvvP0=")</f>
        <v>#REF!</v>
      </c>
      <c r="IU131" t="e">
        <f>AND(Bills!#REF!,"AAAAAFjvvP4=")</f>
        <v>#REF!</v>
      </c>
      <c r="IV131" t="e">
        <f>AND(Bills!#REF!,"AAAAAFjvvP8=")</f>
        <v>#REF!</v>
      </c>
    </row>
    <row r="132" spans="1:256">
      <c r="A132" t="e">
        <f>AND(Bills!#REF!,"AAAAAF87/wA=")</f>
        <v>#REF!</v>
      </c>
      <c r="B132" t="e">
        <f>AND(Bills!#REF!,"AAAAAF87/wE=")</f>
        <v>#REF!</v>
      </c>
      <c r="C132" t="e">
        <f>AND(Bills!Y428,"AAAAAF87/wI=")</f>
        <v>#VALUE!</v>
      </c>
      <c r="D132" t="e">
        <f>AND(Bills!Z428,"AAAAAF87/wM=")</f>
        <v>#VALUE!</v>
      </c>
      <c r="E132" t="e">
        <f>AND(Bills!#REF!,"AAAAAF87/wQ=")</f>
        <v>#REF!</v>
      </c>
      <c r="F132" t="e">
        <f>AND(Bills!#REF!,"AAAAAF87/wU=")</f>
        <v>#REF!</v>
      </c>
      <c r="G132" t="e">
        <f>AND(Bills!#REF!,"AAAAAF87/wY=")</f>
        <v>#REF!</v>
      </c>
      <c r="H132" t="e">
        <f>AND(Bills!AA428,"AAAAAF87/wc=")</f>
        <v>#VALUE!</v>
      </c>
      <c r="I132" t="e">
        <f>AND(Bills!AB428,"AAAAAF87/wg=")</f>
        <v>#VALUE!</v>
      </c>
      <c r="J132" t="e">
        <f>AND(Bills!#REF!,"AAAAAF87/wk=")</f>
        <v>#REF!</v>
      </c>
      <c r="K132">
        <f>IF(Bills!429:429,"AAAAAF87/wo=",0)</f>
        <v>0</v>
      </c>
      <c r="L132" t="e">
        <f>AND(Bills!B429,"AAAAAF87/ws=")</f>
        <v>#VALUE!</v>
      </c>
      <c r="M132" t="e">
        <f>AND(Bills!#REF!,"AAAAAF87/ww=")</f>
        <v>#REF!</v>
      </c>
      <c r="N132" t="e">
        <f>AND(Bills!C429,"AAAAAF87/w0=")</f>
        <v>#VALUE!</v>
      </c>
      <c r="O132" t="e">
        <f>AND(Bills!#REF!,"AAAAAF87/w4=")</f>
        <v>#REF!</v>
      </c>
      <c r="P132" t="e">
        <f>AND(Bills!#REF!,"AAAAAF87/w8=")</f>
        <v>#REF!</v>
      </c>
      <c r="Q132" t="e">
        <f>AND(Bills!#REF!,"AAAAAF87/xA=")</f>
        <v>#REF!</v>
      </c>
      <c r="R132" t="e">
        <f>AND(Bills!#REF!,"AAAAAF87/xE=")</f>
        <v>#REF!</v>
      </c>
      <c r="S132" t="e">
        <f>AND(Bills!#REF!,"AAAAAF87/xI=")</f>
        <v>#REF!</v>
      </c>
      <c r="T132" t="e">
        <f>AND(Bills!D429,"AAAAAF87/xM=")</f>
        <v>#VALUE!</v>
      </c>
      <c r="U132" t="e">
        <f>AND(Bills!#REF!,"AAAAAF87/xQ=")</f>
        <v>#REF!</v>
      </c>
      <c r="V132" t="e">
        <f>AND(Bills!E429,"AAAAAF87/xU=")</f>
        <v>#VALUE!</v>
      </c>
      <c r="W132" t="e">
        <f>AND(Bills!F429,"AAAAAF87/xY=")</f>
        <v>#VALUE!</v>
      </c>
      <c r="X132" t="e">
        <f>AND(Bills!G429,"AAAAAF87/xc=")</f>
        <v>#VALUE!</v>
      </c>
      <c r="Y132" t="e">
        <f>AND(Bills!H429,"AAAAAF87/xg=")</f>
        <v>#VALUE!</v>
      </c>
      <c r="Z132" t="e">
        <f>AND(Bills!I429,"AAAAAF87/xk=")</f>
        <v>#VALUE!</v>
      </c>
      <c r="AA132" t="e">
        <f>AND(Bills!J429,"AAAAAF87/xo=")</f>
        <v>#VALUE!</v>
      </c>
      <c r="AB132" t="e">
        <f>AND(Bills!#REF!,"AAAAAF87/xs=")</f>
        <v>#REF!</v>
      </c>
      <c r="AC132" t="e">
        <f>AND(Bills!K429,"AAAAAF87/xw=")</f>
        <v>#VALUE!</v>
      </c>
      <c r="AD132" t="e">
        <f>AND(Bills!L429,"AAAAAF87/x0=")</f>
        <v>#VALUE!</v>
      </c>
      <c r="AE132" t="e">
        <f>AND(Bills!M429,"AAAAAF87/x4=")</f>
        <v>#VALUE!</v>
      </c>
      <c r="AF132" t="e">
        <f>AND(Bills!N429,"AAAAAF87/x8=")</f>
        <v>#VALUE!</v>
      </c>
      <c r="AG132" t="e">
        <f>AND(Bills!O429,"AAAAAF87/yA=")</f>
        <v>#VALUE!</v>
      </c>
      <c r="AH132" t="e">
        <f>AND(Bills!P429,"AAAAAF87/yE=")</f>
        <v>#VALUE!</v>
      </c>
      <c r="AI132" t="e">
        <f>AND(Bills!Q429,"AAAAAF87/yI=")</f>
        <v>#VALUE!</v>
      </c>
      <c r="AJ132" t="e">
        <f>AND(Bills!R429,"AAAAAF87/yM=")</f>
        <v>#VALUE!</v>
      </c>
      <c r="AK132" t="e">
        <f>AND(Bills!#REF!,"AAAAAF87/yQ=")</f>
        <v>#REF!</v>
      </c>
      <c r="AL132" t="e">
        <f>AND(Bills!S429,"AAAAAF87/yU=")</f>
        <v>#VALUE!</v>
      </c>
      <c r="AM132" t="e">
        <f>AND(Bills!T429,"AAAAAF87/yY=")</f>
        <v>#VALUE!</v>
      </c>
      <c r="AN132" t="e">
        <f>AND(Bills!U429,"AAAAAF87/yc=")</f>
        <v>#VALUE!</v>
      </c>
      <c r="AO132" t="e">
        <f>AND(Bills!#REF!,"AAAAAF87/yg=")</f>
        <v>#REF!</v>
      </c>
      <c r="AP132" t="e">
        <f>AND(Bills!#REF!,"AAAAAF87/yk=")</f>
        <v>#REF!</v>
      </c>
      <c r="AQ132" t="e">
        <f>AND(Bills!W429,"AAAAAF87/yo=")</f>
        <v>#VALUE!</v>
      </c>
      <c r="AR132" t="e">
        <f>AND(Bills!X429,"AAAAAF87/ys=")</f>
        <v>#VALUE!</v>
      </c>
      <c r="AS132" t="e">
        <f>AND(Bills!#REF!,"AAAAAF87/yw=")</f>
        <v>#REF!</v>
      </c>
      <c r="AT132" t="e">
        <f>AND(Bills!#REF!,"AAAAAF87/y0=")</f>
        <v>#REF!</v>
      </c>
      <c r="AU132" t="e">
        <f>AND(Bills!#REF!,"AAAAAF87/y4=")</f>
        <v>#REF!</v>
      </c>
      <c r="AV132" t="e">
        <f>AND(Bills!#REF!,"AAAAAF87/y8=")</f>
        <v>#REF!</v>
      </c>
      <c r="AW132" t="e">
        <f>AND(Bills!#REF!,"AAAAAF87/zA=")</f>
        <v>#REF!</v>
      </c>
      <c r="AX132" t="e">
        <f>AND(Bills!#REF!,"AAAAAF87/zE=")</f>
        <v>#REF!</v>
      </c>
      <c r="AY132" t="e">
        <f>AND(Bills!#REF!,"AAAAAF87/zI=")</f>
        <v>#REF!</v>
      </c>
      <c r="AZ132" t="e">
        <f>AND(Bills!#REF!,"AAAAAF87/zM=")</f>
        <v>#REF!</v>
      </c>
      <c r="BA132" t="e">
        <f>AND(Bills!#REF!,"AAAAAF87/zQ=")</f>
        <v>#REF!</v>
      </c>
      <c r="BB132" t="e">
        <f>AND(Bills!Y429,"AAAAAF87/zU=")</f>
        <v>#VALUE!</v>
      </c>
      <c r="BC132" t="e">
        <f>AND(Bills!Z429,"AAAAAF87/zY=")</f>
        <v>#VALUE!</v>
      </c>
      <c r="BD132" t="e">
        <f>AND(Bills!#REF!,"AAAAAF87/zc=")</f>
        <v>#REF!</v>
      </c>
      <c r="BE132" t="e">
        <f>AND(Bills!#REF!,"AAAAAF87/zg=")</f>
        <v>#REF!</v>
      </c>
      <c r="BF132" t="e">
        <f>AND(Bills!#REF!,"AAAAAF87/zk=")</f>
        <v>#REF!</v>
      </c>
      <c r="BG132" t="e">
        <f>AND(Bills!AA429,"AAAAAF87/zo=")</f>
        <v>#VALUE!</v>
      </c>
      <c r="BH132" t="e">
        <f>AND(Bills!AB429,"AAAAAF87/zs=")</f>
        <v>#VALUE!</v>
      </c>
      <c r="BI132" t="e">
        <f>AND(Bills!#REF!,"AAAAAF87/zw=")</f>
        <v>#REF!</v>
      </c>
      <c r="BJ132">
        <f>IF(Bills!430:430,"AAAAAF87/z0=",0)</f>
        <v>0</v>
      </c>
      <c r="BK132" t="e">
        <f>AND(Bills!B430,"AAAAAF87/z4=")</f>
        <v>#VALUE!</v>
      </c>
      <c r="BL132" t="e">
        <f>AND(Bills!#REF!,"AAAAAF87/z8=")</f>
        <v>#REF!</v>
      </c>
      <c r="BM132" t="e">
        <f>AND(Bills!C430,"AAAAAF87/0A=")</f>
        <v>#VALUE!</v>
      </c>
      <c r="BN132" t="e">
        <f>AND(Bills!#REF!,"AAAAAF87/0E=")</f>
        <v>#REF!</v>
      </c>
      <c r="BO132" t="e">
        <f>AND(Bills!#REF!,"AAAAAF87/0I=")</f>
        <v>#REF!</v>
      </c>
      <c r="BP132" t="e">
        <f>AND(Bills!#REF!,"AAAAAF87/0M=")</f>
        <v>#REF!</v>
      </c>
      <c r="BQ132" t="e">
        <f>AND(Bills!#REF!,"AAAAAF87/0Q=")</f>
        <v>#REF!</v>
      </c>
      <c r="BR132" t="e">
        <f>AND(Bills!#REF!,"AAAAAF87/0U=")</f>
        <v>#REF!</v>
      </c>
      <c r="BS132" t="e">
        <f>AND(Bills!D430,"AAAAAF87/0Y=")</f>
        <v>#VALUE!</v>
      </c>
      <c r="BT132" t="e">
        <f>AND(Bills!#REF!,"AAAAAF87/0c=")</f>
        <v>#REF!</v>
      </c>
      <c r="BU132" t="e">
        <f>AND(Bills!E430,"AAAAAF87/0g=")</f>
        <v>#VALUE!</v>
      </c>
      <c r="BV132" t="e">
        <f>AND(Bills!F430,"AAAAAF87/0k=")</f>
        <v>#VALUE!</v>
      </c>
      <c r="BW132" t="e">
        <f>AND(Bills!G430,"AAAAAF87/0o=")</f>
        <v>#VALUE!</v>
      </c>
      <c r="BX132" t="e">
        <f>AND(Bills!H430,"AAAAAF87/0s=")</f>
        <v>#VALUE!</v>
      </c>
      <c r="BY132" t="e">
        <f>AND(Bills!I430,"AAAAAF87/0w=")</f>
        <v>#VALUE!</v>
      </c>
      <c r="BZ132" t="e">
        <f>AND(Bills!J430,"AAAAAF87/00=")</f>
        <v>#VALUE!</v>
      </c>
      <c r="CA132" t="e">
        <f>AND(Bills!#REF!,"AAAAAF87/04=")</f>
        <v>#REF!</v>
      </c>
      <c r="CB132" t="e">
        <f>AND(Bills!K430,"AAAAAF87/08=")</f>
        <v>#VALUE!</v>
      </c>
      <c r="CC132" t="e">
        <f>AND(Bills!L430,"AAAAAF87/1A=")</f>
        <v>#VALUE!</v>
      </c>
      <c r="CD132" t="e">
        <f>AND(Bills!M430,"AAAAAF87/1E=")</f>
        <v>#VALUE!</v>
      </c>
      <c r="CE132" t="e">
        <f>AND(Bills!N430,"AAAAAF87/1I=")</f>
        <v>#VALUE!</v>
      </c>
      <c r="CF132" t="e">
        <f>AND(Bills!O430,"AAAAAF87/1M=")</f>
        <v>#VALUE!</v>
      </c>
      <c r="CG132" t="e">
        <f>AND(Bills!P430,"AAAAAF87/1Q=")</f>
        <v>#VALUE!</v>
      </c>
      <c r="CH132" t="e">
        <f>AND(Bills!Q430,"AAAAAF87/1U=")</f>
        <v>#VALUE!</v>
      </c>
      <c r="CI132" t="e">
        <f>AND(Bills!R430,"AAAAAF87/1Y=")</f>
        <v>#VALUE!</v>
      </c>
      <c r="CJ132" t="e">
        <f>AND(Bills!#REF!,"AAAAAF87/1c=")</f>
        <v>#REF!</v>
      </c>
      <c r="CK132" t="e">
        <f>AND(Bills!S430,"AAAAAF87/1g=")</f>
        <v>#VALUE!</v>
      </c>
      <c r="CL132" t="e">
        <f>AND(Bills!T430,"AAAAAF87/1k=")</f>
        <v>#VALUE!</v>
      </c>
      <c r="CM132" t="e">
        <f>AND(Bills!U430,"AAAAAF87/1o=")</f>
        <v>#VALUE!</v>
      </c>
      <c r="CN132" t="e">
        <f>AND(Bills!#REF!,"AAAAAF87/1s=")</f>
        <v>#REF!</v>
      </c>
      <c r="CO132" t="e">
        <f>AND(Bills!#REF!,"AAAAAF87/1w=")</f>
        <v>#REF!</v>
      </c>
      <c r="CP132" t="e">
        <f>AND(Bills!W430,"AAAAAF87/10=")</f>
        <v>#VALUE!</v>
      </c>
      <c r="CQ132" t="e">
        <f>AND(Bills!X430,"AAAAAF87/14=")</f>
        <v>#VALUE!</v>
      </c>
      <c r="CR132" t="e">
        <f>AND(Bills!#REF!,"AAAAAF87/18=")</f>
        <v>#REF!</v>
      </c>
      <c r="CS132" t="e">
        <f>AND(Bills!#REF!,"AAAAAF87/2A=")</f>
        <v>#REF!</v>
      </c>
      <c r="CT132" t="e">
        <f>AND(Bills!#REF!,"AAAAAF87/2E=")</f>
        <v>#REF!</v>
      </c>
      <c r="CU132" t="e">
        <f>AND(Bills!#REF!,"AAAAAF87/2I=")</f>
        <v>#REF!</v>
      </c>
      <c r="CV132" t="e">
        <f>AND(Bills!#REF!,"AAAAAF87/2M=")</f>
        <v>#REF!</v>
      </c>
      <c r="CW132" t="e">
        <f>AND(Bills!#REF!,"AAAAAF87/2Q=")</f>
        <v>#REF!</v>
      </c>
      <c r="CX132" t="e">
        <f>AND(Bills!#REF!,"AAAAAF87/2U=")</f>
        <v>#REF!</v>
      </c>
      <c r="CY132" t="e">
        <f>AND(Bills!#REF!,"AAAAAF87/2Y=")</f>
        <v>#REF!</v>
      </c>
      <c r="CZ132" t="e">
        <f>AND(Bills!#REF!,"AAAAAF87/2c=")</f>
        <v>#REF!</v>
      </c>
      <c r="DA132" t="e">
        <f>AND(Bills!Y430,"AAAAAF87/2g=")</f>
        <v>#VALUE!</v>
      </c>
      <c r="DB132" t="e">
        <f>AND(Bills!Z430,"AAAAAF87/2k=")</f>
        <v>#VALUE!</v>
      </c>
      <c r="DC132" t="e">
        <f>AND(Bills!#REF!,"AAAAAF87/2o=")</f>
        <v>#REF!</v>
      </c>
      <c r="DD132" t="e">
        <f>AND(Bills!#REF!,"AAAAAF87/2s=")</f>
        <v>#REF!</v>
      </c>
      <c r="DE132" t="e">
        <f>AND(Bills!#REF!,"AAAAAF87/2w=")</f>
        <v>#REF!</v>
      </c>
      <c r="DF132" t="e">
        <f>AND(Bills!AA430,"AAAAAF87/20=")</f>
        <v>#VALUE!</v>
      </c>
      <c r="DG132" t="e">
        <f>AND(Bills!AB430,"AAAAAF87/24=")</f>
        <v>#VALUE!</v>
      </c>
      <c r="DH132" t="e">
        <f>AND(Bills!#REF!,"AAAAAF87/28=")</f>
        <v>#REF!</v>
      </c>
      <c r="DI132">
        <f>IF(Bills!431:431,"AAAAAF87/3A=",0)</f>
        <v>0</v>
      </c>
      <c r="DJ132" t="e">
        <f>AND(Bills!B431,"AAAAAF87/3E=")</f>
        <v>#VALUE!</v>
      </c>
      <c r="DK132" t="e">
        <f>AND(Bills!#REF!,"AAAAAF87/3I=")</f>
        <v>#REF!</v>
      </c>
      <c r="DL132" t="e">
        <f>AND(Bills!C431,"AAAAAF87/3M=")</f>
        <v>#VALUE!</v>
      </c>
      <c r="DM132" t="e">
        <f>AND(Bills!#REF!,"AAAAAF87/3Q=")</f>
        <v>#REF!</v>
      </c>
      <c r="DN132" t="e">
        <f>AND(Bills!#REF!,"AAAAAF87/3U=")</f>
        <v>#REF!</v>
      </c>
      <c r="DO132" t="e">
        <f>AND(Bills!#REF!,"AAAAAF87/3Y=")</f>
        <v>#REF!</v>
      </c>
      <c r="DP132" t="e">
        <f>AND(Bills!#REF!,"AAAAAF87/3c=")</f>
        <v>#REF!</v>
      </c>
      <c r="DQ132" t="e">
        <f>AND(Bills!#REF!,"AAAAAF87/3g=")</f>
        <v>#REF!</v>
      </c>
      <c r="DR132" t="e">
        <f>AND(Bills!D431,"AAAAAF87/3k=")</f>
        <v>#VALUE!</v>
      </c>
      <c r="DS132" t="e">
        <f>AND(Bills!#REF!,"AAAAAF87/3o=")</f>
        <v>#REF!</v>
      </c>
      <c r="DT132" t="e">
        <f>AND(Bills!E431,"AAAAAF87/3s=")</f>
        <v>#VALUE!</v>
      </c>
      <c r="DU132" t="e">
        <f>AND(Bills!F431,"AAAAAF87/3w=")</f>
        <v>#VALUE!</v>
      </c>
      <c r="DV132" t="e">
        <f>AND(Bills!G431,"AAAAAF87/30=")</f>
        <v>#VALUE!</v>
      </c>
      <c r="DW132" t="e">
        <f>AND(Bills!H431,"AAAAAF87/34=")</f>
        <v>#VALUE!</v>
      </c>
      <c r="DX132" t="e">
        <f>AND(Bills!I431,"AAAAAF87/38=")</f>
        <v>#VALUE!</v>
      </c>
      <c r="DY132" t="e">
        <f>AND(Bills!J431,"AAAAAF87/4A=")</f>
        <v>#VALUE!</v>
      </c>
      <c r="DZ132" t="e">
        <f>AND(Bills!#REF!,"AAAAAF87/4E=")</f>
        <v>#REF!</v>
      </c>
      <c r="EA132" t="e">
        <f>AND(Bills!K431,"AAAAAF87/4I=")</f>
        <v>#VALUE!</v>
      </c>
      <c r="EB132" t="e">
        <f>AND(Bills!L431,"AAAAAF87/4M=")</f>
        <v>#VALUE!</v>
      </c>
      <c r="EC132" t="e">
        <f>AND(Bills!M431,"AAAAAF87/4Q=")</f>
        <v>#VALUE!</v>
      </c>
      <c r="ED132" t="e">
        <f>AND(Bills!N431,"AAAAAF87/4U=")</f>
        <v>#VALUE!</v>
      </c>
      <c r="EE132" t="e">
        <f>AND(Bills!O431,"AAAAAF87/4Y=")</f>
        <v>#VALUE!</v>
      </c>
      <c r="EF132" t="e">
        <f>AND(Bills!P431,"AAAAAF87/4c=")</f>
        <v>#VALUE!</v>
      </c>
      <c r="EG132" t="e">
        <f>AND(Bills!Q431,"AAAAAF87/4g=")</f>
        <v>#VALUE!</v>
      </c>
      <c r="EH132" t="e">
        <f>AND(Bills!R431,"AAAAAF87/4k=")</f>
        <v>#VALUE!</v>
      </c>
      <c r="EI132" t="e">
        <f>AND(Bills!#REF!,"AAAAAF87/4o=")</f>
        <v>#REF!</v>
      </c>
      <c r="EJ132" t="e">
        <f>AND(Bills!S431,"AAAAAF87/4s=")</f>
        <v>#VALUE!</v>
      </c>
      <c r="EK132" t="e">
        <f>AND(Bills!T431,"AAAAAF87/4w=")</f>
        <v>#VALUE!</v>
      </c>
      <c r="EL132" t="e">
        <f>AND(Bills!U431,"AAAAAF87/40=")</f>
        <v>#VALUE!</v>
      </c>
      <c r="EM132" t="e">
        <f>AND(Bills!#REF!,"AAAAAF87/44=")</f>
        <v>#REF!</v>
      </c>
      <c r="EN132" t="e">
        <f>AND(Bills!#REF!,"AAAAAF87/48=")</f>
        <v>#REF!</v>
      </c>
      <c r="EO132" t="e">
        <f>AND(Bills!W431,"AAAAAF87/5A=")</f>
        <v>#VALUE!</v>
      </c>
      <c r="EP132" t="e">
        <f>AND(Bills!X431,"AAAAAF87/5E=")</f>
        <v>#VALUE!</v>
      </c>
      <c r="EQ132" t="e">
        <f>AND(Bills!#REF!,"AAAAAF87/5I=")</f>
        <v>#REF!</v>
      </c>
      <c r="ER132" t="e">
        <f>AND(Bills!#REF!,"AAAAAF87/5M=")</f>
        <v>#REF!</v>
      </c>
      <c r="ES132" t="e">
        <f>AND(Bills!#REF!,"AAAAAF87/5Q=")</f>
        <v>#REF!</v>
      </c>
      <c r="ET132" t="e">
        <f>AND(Bills!#REF!,"AAAAAF87/5U=")</f>
        <v>#REF!</v>
      </c>
      <c r="EU132" t="e">
        <f>AND(Bills!#REF!,"AAAAAF87/5Y=")</f>
        <v>#REF!</v>
      </c>
      <c r="EV132" t="e">
        <f>AND(Bills!#REF!,"AAAAAF87/5c=")</f>
        <v>#REF!</v>
      </c>
      <c r="EW132" t="e">
        <f>AND(Bills!#REF!,"AAAAAF87/5g=")</f>
        <v>#REF!</v>
      </c>
      <c r="EX132" t="e">
        <f>AND(Bills!#REF!,"AAAAAF87/5k=")</f>
        <v>#REF!</v>
      </c>
      <c r="EY132" t="e">
        <f>AND(Bills!#REF!,"AAAAAF87/5o=")</f>
        <v>#REF!</v>
      </c>
      <c r="EZ132" t="e">
        <f>AND(Bills!Y431,"AAAAAF87/5s=")</f>
        <v>#VALUE!</v>
      </c>
      <c r="FA132" t="e">
        <f>AND(Bills!Z431,"AAAAAF87/5w=")</f>
        <v>#VALUE!</v>
      </c>
      <c r="FB132" t="e">
        <f>AND(Bills!#REF!,"AAAAAF87/50=")</f>
        <v>#REF!</v>
      </c>
      <c r="FC132" t="e">
        <f>AND(Bills!#REF!,"AAAAAF87/54=")</f>
        <v>#REF!</v>
      </c>
      <c r="FD132" t="e">
        <f>AND(Bills!#REF!,"AAAAAF87/58=")</f>
        <v>#REF!</v>
      </c>
      <c r="FE132" t="e">
        <f>AND(Bills!AA431,"AAAAAF87/6A=")</f>
        <v>#VALUE!</v>
      </c>
      <c r="FF132" t="e">
        <f>AND(Bills!AB431,"AAAAAF87/6E=")</f>
        <v>#VALUE!</v>
      </c>
      <c r="FG132" t="e">
        <f>AND(Bills!#REF!,"AAAAAF87/6I=")</f>
        <v>#REF!</v>
      </c>
      <c r="FH132">
        <f>IF(Bills!432:432,"AAAAAF87/6M=",0)</f>
        <v>0</v>
      </c>
      <c r="FI132" t="e">
        <f>AND(Bills!B432,"AAAAAF87/6Q=")</f>
        <v>#VALUE!</v>
      </c>
      <c r="FJ132" t="e">
        <f>AND(Bills!#REF!,"AAAAAF87/6U=")</f>
        <v>#REF!</v>
      </c>
      <c r="FK132" t="e">
        <f>AND(Bills!C432,"AAAAAF87/6Y=")</f>
        <v>#VALUE!</v>
      </c>
      <c r="FL132" t="e">
        <f>AND(Bills!#REF!,"AAAAAF87/6c=")</f>
        <v>#REF!</v>
      </c>
      <c r="FM132" t="e">
        <f>AND(Bills!#REF!,"AAAAAF87/6g=")</f>
        <v>#REF!</v>
      </c>
      <c r="FN132" t="e">
        <f>AND(Bills!#REF!,"AAAAAF87/6k=")</f>
        <v>#REF!</v>
      </c>
      <c r="FO132" t="e">
        <f>AND(Bills!#REF!,"AAAAAF87/6o=")</f>
        <v>#REF!</v>
      </c>
      <c r="FP132" t="e">
        <f>AND(Bills!#REF!,"AAAAAF87/6s=")</f>
        <v>#REF!</v>
      </c>
      <c r="FQ132" t="e">
        <f>AND(Bills!D432,"AAAAAF87/6w=")</f>
        <v>#VALUE!</v>
      </c>
      <c r="FR132" t="e">
        <f>AND(Bills!#REF!,"AAAAAF87/60=")</f>
        <v>#REF!</v>
      </c>
      <c r="FS132" t="e">
        <f>AND(Bills!E432,"AAAAAF87/64=")</f>
        <v>#VALUE!</v>
      </c>
      <c r="FT132" t="e">
        <f>AND(Bills!F432,"AAAAAF87/68=")</f>
        <v>#VALUE!</v>
      </c>
      <c r="FU132" t="e">
        <f>AND(Bills!G432,"AAAAAF87/7A=")</f>
        <v>#VALUE!</v>
      </c>
      <c r="FV132" t="e">
        <f>AND(Bills!H432,"AAAAAF87/7E=")</f>
        <v>#VALUE!</v>
      </c>
      <c r="FW132" t="e">
        <f>AND(Bills!I432,"AAAAAF87/7I=")</f>
        <v>#VALUE!</v>
      </c>
      <c r="FX132" t="e">
        <f>AND(Bills!J432,"AAAAAF87/7M=")</f>
        <v>#VALUE!</v>
      </c>
      <c r="FY132" t="e">
        <f>AND(Bills!#REF!,"AAAAAF87/7Q=")</f>
        <v>#REF!</v>
      </c>
      <c r="FZ132" t="e">
        <f>AND(Bills!K432,"AAAAAF87/7U=")</f>
        <v>#VALUE!</v>
      </c>
      <c r="GA132" t="e">
        <f>AND(Bills!L432,"AAAAAF87/7Y=")</f>
        <v>#VALUE!</v>
      </c>
      <c r="GB132" t="e">
        <f>AND(Bills!M432,"AAAAAF87/7c=")</f>
        <v>#VALUE!</v>
      </c>
      <c r="GC132" t="e">
        <f>AND(Bills!N432,"AAAAAF87/7g=")</f>
        <v>#VALUE!</v>
      </c>
      <c r="GD132" t="e">
        <f>AND(Bills!O432,"AAAAAF87/7k=")</f>
        <v>#VALUE!</v>
      </c>
      <c r="GE132" t="e">
        <f>AND(Bills!P432,"AAAAAF87/7o=")</f>
        <v>#VALUE!</v>
      </c>
      <c r="GF132" t="e">
        <f>AND(Bills!Q432,"AAAAAF87/7s=")</f>
        <v>#VALUE!</v>
      </c>
      <c r="GG132" t="e">
        <f>AND(Bills!R432,"AAAAAF87/7w=")</f>
        <v>#VALUE!</v>
      </c>
      <c r="GH132" t="e">
        <f>AND(Bills!#REF!,"AAAAAF87/70=")</f>
        <v>#REF!</v>
      </c>
      <c r="GI132" t="e">
        <f>AND(Bills!S432,"AAAAAF87/74=")</f>
        <v>#VALUE!</v>
      </c>
      <c r="GJ132" t="e">
        <f>AND(Bills!T432,"AAAAAF87/78=")</f>
        <v>#VALUE!</v>
      </c>
      <c r="GK132" t="e">
        <f>AND(Bills!U432,"AAAAAF87/8A=")</f>
        <v>#VALUE!</v>
      </c>
      <c r="GL132" t="e">
        <f>AND(Bills!#REF!,"AAAAAF87/8E=")</f>
        <v>#REF!</v>
      </c>
      <c r="GM132" t="e">
        <f>AND(Bills!#REF!,"AAAAAF87/8I=")</f>
        <v>#REF!</v>
      </c>
      <c r="GN132" t="e">
        <f>AND(Bills!W432,"AAAAAF87/8M=")</f>
        <v>#VALUE!</v>
      </c>
      <c r="GO132" t="e">
        <f>AND(Bills!X432,"AAAAAF87/8Q=")</f>
        <v>#VALUE!</v>
      </c>
      <c r="GP132" t="e">
        <f>AND(Bills!#REF!,"AAAAAF87/8U=")</f>
        <v>#REF!</v>
      </c>
      <c r="GQ132" t="e">
        <f>AND(Bills!#REF!,"AAAAAF87/8Y=")</f>
        <v>#REF!</v>
      </c>
      <c r="GR132" t="e">
        <f>AND(Bills!#REF!,"AAAAAF87/8c=")</f>
        <v>#REF!</v>
      </c>
      <c r="GS132" t="e">
        <f>AND(Bills!#REF!,"AAAAAF87/8g=")</f>
        <v>#REF!</v>
      </c>
      <c r="GT132" t="e">
        <f>AND(Bills!#REF!,"AAAAAF87/8k=")</f>
        <v>#REF!</v>
      </c>
      <c r="GU132" t="e">
        <f>AND(Bills!#REF!,"AAAAAF87/8o=")</f>
        <v>#REF!</v>
      </c>
      <c r="GV132" t="e">
        <f>AND(Bills!#REF!,"AAAAAF87/8s=")</f>
        <v>#REF!</v>
      </c>
      <c r="GW132" t="e">
        <f>AND(Bills!#REF!,"AAAAAF87/8w=")</f>
        <v>#REF!</v>
      </c>
      <c r="GX132" t="e">
        <f>AND(Bills!#REF!,"AAAAAF87/80=")</f>
        <v>#REF!</v>
      </c>
      <c r="GY132" t="e">
        <f>AND(Bills!Y432,"AAAAAF87/84=")</f>
        <v>#VALUE!</v>
      </c>
      <c r="GZ132" t="e">
        <f>AND(Bills!Z432,"AAAAAF87/88=")</f>
        <v>#VALUE!</v>
      </c>
      <c r="HA132" t="e">
        <f>AND(Bills!#REF!,"AAAAAF87/9A=")</f>
        <v>#REF!</v>
      </c>
      <c r="HB132" t="e">
        <f>AND(Bills!#REF!,"AAAAAF87/9E=")</f>
        <v>#REF!</v>
      </c>
      <c r="HC132" t="e">
        <f>AND(Bills!#REF!,"AAAAAF87/9I=")</f>
        <v>#REF!</v>
      </c>
      <c r="HD132" t="e">
        <f>AND(Bills!AA432,"AAAAAF87/9M=")</f>
        <v>#VALUE!</v>
      </c>
      <c r="HE132" t="e">
        <f>AND(Bills!AB432,"AAAAAF87/9Q=")</f>
        <v>#VALUE!</v>
      </c>
      <c r="HF132" t="e">
        <f>AND(Bills!#REF!,"AAAAAF87/9U=")</f>
        <v>#REF!</v>
      </c>
      <c r="HG132">
        <f>IF(Bills!433:433,"AAAAAF87/9Y=",0)</f>
        <v>0</v>
      </c>
      <c r="HH132" t="e">
        <f>AND(Bills!B433,"AAAAAF87/9c=")</f>
        <v>#VALUE!</v>
      </c>
      <c r="HI132" t="e">
        <f>AND(Bills!#REF!,"AAAAAF87/9g=")</f>
        <v>#REF!</v>
      </c>
      <c r="HJ132" t="e">
        <f>AND(Bills!C433,"AAAAAF87/9k=")</f>
        <v>#VALUE!</v>
      </c>
      <c r="HK132" t="e">
        <f>AND(Bills!#REF!,"AAAAAF87/9o=")</f>
        <v>#REF!</v>
      </c>
      <c r="HL132" t="e">
        <f>AND(Bills!#REF!,"AAAAAF87/9s=")</f>
        <v>#REF!</v>
      </c>
      <c r="HM132" t="e">
        <f>AND(Bills!#REF!,"AAAAAF87/9w=")</f>
        <v>#REF!</v>
      </c>
      <c r="HN132" t="e">
        <f>AND(Bills!#REF!,"AAAAAF87/90=")</f>
        <v>#REF!</v>
      </c>
      <c r="HO132" t="e">
        <f>AND(Bills!#REF!,"AAAAAF87/94=")</f>
        <v>#REF!</v>
      </c>
      <c r="HP132" t="e">
        <f>AND(Bills!D433,"AAAAAF87/98=")</f>
        <v>#VALUE!</v>
      </c>
      <c r="HQ132" t="e">
        <f>AND(Bills!#REF!,"AAAAAF87/+A=")</f>
        <v>#REF!</v>
      </c>
      <c r="HR132" t="e">
        <f>AND(Bills!E433,"AAAAAF87/+E=")</f>
        <v>#VALUE!</v>
      </c>
      <c r="HS132" t="e">
        <f>AND(Bills!F433,"AAAAAF87/+I=")</f>
        <v>#VALUE!</v>
      </c>
      <c r="HT132" t="e">
        <f>AND(Bills!G433,"AAAAAF87/+M=")</f>
        <v>#VALUE!</v>
      </c>
      <c r="HU132" t="e">
        <f>AND(Bills!H433,"AAAAAF87/+Q=")</f>
        <v>#VALUE!</v>
      </c>
      <c r="HV132" t="e">
        <f>AND(Bills!I433,"AAAAAF87/+U=")</f>
        <v>#VALUE!</v>
      </c>
      <c r="HW132" t="e">
        <f>AND(Bills!J433,"AAAAAF87/+Y=")</f>
        <v>#VALUE!</v>
      </c>
      <c r="HX132" t="e">
        <f>AND(Bills!#REF!,"AAAAAF87/+c=")</f>
        <v>#REF!</v>
      </c>
      <c r="HY132" t="e">
        <f>AND(Bills!K433,"AAAAAF87/+g=")</f>
        <v>#VALUE!</v>
      </c>
      <c r="HZ132" t="e">
        <f>AND(Bills!L433,"AAAAAF87/+k=")</f>
        <v>#VALUE!</v>
      </c>
      <c r="IA132" t="e">
        <f>AND(Bills!M433,"AAAAAF87/+o=")</f>
        <v>#VALUE!</v>
      </c>
      <c r="IB132" t="e">
        <f>AND(Bills!N433,"AAAAAF87/+s=")</f>
        <v>#VALUE!</v>
      </c>
      <c r="IC132" t="e">
        <f>AND(Bills!O433,"AAAAAF87/+w=")</f>
        <v>#VALUE!</v>
      </c>
      <c r="ID132" t="e">
        <f>AND(Bills!P433,"AAAAAF87/+0=")</f>
        <v>#VALUE!</v>
      </c>
      <c r="IE132" t="e">
        <f>AND(Bills!Q433,"AAAAAF87/+4=")</f>
        <v>#VALUE!</v>
      </c>
      <c r="IF132" t="e">
        <f>AND(Bills!R433,"AAAAAF87/+8=")</f>
        <v>#VALUE!</v>
      </c>
      <c r="IG132" t="e">
        <f>AND(Bills!#REF!,"AAAAAF87//A=")</f>
        <v>#REF!</v>
      </c>
      <c r="IH132" t="e">
        <f>AND(Bills!S433,"AAAAAF87//E=")</f>
        <v>#VALUE!</v>
      </c>
      <c r="II132" t="e">
        <f>AND(Bills!T433,"AAAAAF87//I=")</f>
        <v>#VALUE!</v>
      </c>
      <c r="IJ132" t="e">
        <f>AND(Bills!U433,"AAAAAF87//M=")</f>
        <v>#VALUE!</v>
      </c>
      <c r="IK132" t="e">
        <f>AND(Bills!#REF!,"AAAAAF87//Q=")</f>
        <v>#REF!</v>
      </c>
      <c r="IL132" t="e">
        <f>AND(Bills!#REF!,"AAAAAF87//U=")</f>
        <v>#REF!</v>
      </c>
      <c r="IM132" t="e">
        <f>AND(Bills!W433,"AAAAAF87//Y=")</f>
        <v>#VALUE!</v>
      </c>
      <c r="IN132" t="e">
        <f>AND(Bills!X433,"AAAAAF87//c=")</f>
        <v>#VALUE!</v>
      </c>
      <c r="IO132" t="e">
        <f>AND(Bills!#REF!,"AAAAAF87//g=")</f>
        <v>#REF!</v>
      </c>
      <c r="IP132" t="e">
        <f>AND(Bills!#REF!,"AAAAAF87//k=")</f>
        <v>#REF!</v>
      </c>
      <c r="IQ132" t="e">
        <f>AND(Bills!#REF!,"AAAAAF87//o=")</f>
        <v>#REF!</v>
      </c>
      <c r="IR132" t="e">
        <f>AND(Bills!#REF!,"AAAAAF87//s=")</f>
        <v>#REF!</v>
      </c>
      <c r="IS132" t="e">
        <f>AND(Bills!#REF!,"AAAAAF87//w=")</f>
        <v>#REF!</v>
      </c>
      <c r="IT132" t="e">
        <f>AND(Bills!#REF!,"AAAAAF87//0=")</f>
        <v>#REF!</v>
      </c>
      <c r="IU132" t="e">
        <f>AND(Bills!#REF!,"AAAAAF87//4=")</f>
        <v>#REF!</v>
      </c>
      <c r="IV132" t="e">
        <f>AND(Bills!#REF!,"AAAAAF87//8=")</f>
        <v>#REF!</v>
      </c>
    </row>
    <row r="133" spans="1:256">
      <c r="A133" t="e">
        <f>AND(Bills!#REF!,"AAAAAH/+3AA=")</f>
        <v>#REF!</v>
      </c>
      <c r="B133" t="e">
        <f>AND(Bills!Y433,"AAAAAH/+3AE=")</f>
        <v>#VALUE!</v>
      </c>
      <c r="C133" t="e">
        <f>AND(Bills!Z433,"AAAAAH/+3AI=")</f>
        <v>#VALUE!</v>
      </c>
      <c r="D133" t="e">
        <f>AND(Bills!#REF!,"AAAAAH/+3AM=")</f>
        <v>#REF!</v>
      </c>
      <c r="E133" t="e">
        <f>AND(Bills!#REF!,"AAAAAH/+3AQ=")</f>
        <v>#REF!</v>
      </c>
      <c r="F133" t="e">
        <f>AND(Bills!#REF!,"AAAAAH/+3AU=")</f>
        <v>#REF!</v>
      </c>
      <c r="G133" t="e">
        <f>AND(Bills!AA433,"AAAAAH/+3AY=")</f>
        <v>#VALUE!</v>
      </c>
      <c r="H133" t="e">
        <f>AND(Bills!AB433,"AAAAAH/+3Ac=")</f>
        <v>#VALUE!</v>
      </c>
      <c r="I133" t="e">
        <f>AND(Bills!#REF!,"AAAAAH/+3Ag=")</f>
        <v>#REF!</v>
      </c>
      <c r="J133">
        <f>IF(Bills!434:434,"AAAAAH/+3Ak=",0)</f>
        <v>0</v>
      </c>
      <c r="K133" t="e">
        <f>AND(Bills!B434,"AAAAAH/+3Ao=")</f>
        <v>#VALUE!</v>
      </c>
      <c r="L133" t="e">
        <f>AND(Bills!#REF!,"AAAAAH/+3As=")</f>
        <v>#REF!</v>
      </c>
      <c r="M133" t="e">
        <f>AND(Bills!C434,"AAAAAH/+3Aw=")</f>
        <v>#VALUE!</v>
      </c>
      <c r="N133" t="e">
        <f>AND(Bills!#REF!,"AAAAAH/+3A0=")</f>
        <v>#REF!</v>
      </c>
      <c r="O133" t="e">
        <f>AND(Bills!#REF!,"AAAAAH/+3A4=")</f>
        <v>#REF!</v>
      </c>
      <c r="P133" t="e">
        <f>AND(Bills!#REF!,"AAAAAH/+3A8=")</f>
        <v>#REF!</v>
      </c>
      <c r="Q133" t="e">
        <f>AND(Bills!#REF!,"AAAAAH/+3BA=")</f>
        <v>#REF!</v>
      </c>
      <c r="R133" t="e">
        <f>AND(Bills!#REF!,"AAAAAH/+3BE=")</f>
        <v>#REF!</v>
      </c>
      <c r="S133" t="e">
        <f>AND(Bills!D434,"AAAAAH/+3BI=")</f>
        <v>#VALUE!</v>
      </c>
      <c r="T133" t="e">
        <f>AND(Bills!#REF!,"AAAAAH/+3BM=")</f>
        <v>#REF!</v>
      </c>
      <c r="U133" t="e">
        <f>AND(Bills!E434,"AAAAAH/+3BQ=")</f>
        <v>#VALUE!</v>
      </c>
      <c r="V133" t="e">
        <f>AND(Bills!F434,"AAAAAH/+3BU=")</f>
        <v>#VALUE!</v>
      </c>
      <c r="W133" t="e">
        <f>AND(Bills!G434,"AAAAAH/+3BY=")</f>
        <v>#VALUE!</v>
      </c>
      <c r="X133" t="e">
        <f>AND(Bills!H434,"AAAAAH/+3Bc=")</f>
        <v>#VALUE!</v>
      </c>
      <c r="Y133" t="e">
        <f>AND(Bills!I434,"AAAAAH/+3Bg=")</f>
        <v>#VALUE!</v>
      </c>
      <c r="Z133" t="e">
        <f>AND(Bills!J434,"AAAAAH/+3Bk=")</f>
        <v>#VALUE!</v>
      </c>
      <c r="AA133" t="e">
        <f>AND(Bills!#REF!,"AAAAAH/+3Bo=")</f>
        <v>#REF!</v>
      </c>
      <c r="AB133" t="e">
        <f>AND(Bills!K434,"AAAAAH/+3Bs=")</f>
        <v>#VALUE!</v>
      </c>
      <c r="AC133" t="e">
        <f>AND(Bills!L434,"AAAAAH/+3Bw=")</f>
        <v>#VALUE!</v>
      </c>
      <c r="AD133" t="e">
        <f>AND(Bills!M434,"AAAAAH/+3B0=")</f>
        <v>#VALUE!</v>
      </c>
      <c r="AE133" t="e">
        <f>AND(Bills!N434,"AAAAAH/+3B4=")</f>
        <v>#VALUE!</v>
      </c>
      <c r="AF133" t="e">
        <f>AND(Bills!O434,"AAAAAH/+3B8=")</f>
        <v>#VALUE!</v>
      </c>
      <c r="AG133" t="e">
        <f>AND(Bills!P434,"AAAAAH/+3CA=")</f>
        <v>#VALUE!</v>
      </c>
      <c r="AH133" t="e">
        <f>AND(Bills!Q434,"AAAAAH/+3CE=")</f>
        <v>#VALUE!</v>
      </c>
      <c r="AI133" t="e">
        <f>AND(Bills!R434,"AAAAAH/+3CI=")</f>
        <v>#VALUE!</v>
      </c>
      <c r="AJ133" t="e">
        <f>AND(Bills!#REF!,"AAAAAH/+3CM=")</f>
        <v>#REF!</v>
      </c>
      <c r="AK133" t="e">
        <f>AND(Bills!S434,"AAAAAH/+3CQ=")</f>
        <v>#VALUE!</v>
      </c>
      <c r="AL133" t="e">
        <f>AND(Bills!T434,"AAAAAH/+3CU=")</f>
        <v>#VALUE!</v>
      </c>
      <c r="AM133" t="e">
        <f>AND(Bills!U434,"AAAAAH/+3CY=")</f>
        <v>#VALUE!</v>
      </c>
      <c r="AN133" t="e">
        <f>AND(Bills!#REF!,"AAAAAH/+3Cc=")</f>
        <v>#REF!</v>
      </c>
      <c r="AO133" t="e">
        <f>AND(Bills!#REF!,"AAAAAH/+3Cg=")</f>
        <v>#REF!</v>
      </c>
      <c r="AP133" t="e">
        <f>AND(Bills!W434,"AAAAAH/+3Ck=")</f>
        <v>#VALUE!</v>
      </c>
      <c r="AQ133" t="e">
        <f>AND(Bills!X434,"AAAAAH/+3Co=")</f>
        <v>#VALUE!</v>
      </c>
      <c r="AR133" t="e">
        <f>AND(Bills!#REF!,"AAAAAH/+3Cs=")</f>
        <v>#REF!</v>
      </c>
      <c r="AS133" t="e">
        <f>AND(Bills!#REF!,"AAAAAH/+3Cw=")</f>
        <v>#REF!</v>
      </c>
      <c r="AT133" t="e">
        <f>AND(Bills!#REF!,"AAAAAH/+3C0=")</f>
        <v>#REF!</v>
      </c>
      <c r="AU133" t="e">
        <f>AND(Bills!#REF!,"AAAAAH/+3C4=")</f>
        <v>#REF!</v>
      </c>
      <c r="AV133" t="e">
        <f>AND(Bills!#REF!,"AAAAAH/+3C8=")</f>
        <v>#REF!</v>
      </c>
      <c r="AW133" t="e">
        <f>AND(Bills!#REF!,"AAAAAH/+3DA=")</f>
        <v>#REF!</v>
      </c>
      <c r="AX133" t="e">
        <f>AND(Bills!#REF!,"AAAAAH/+3DE=")</f>
        <v>#REF!</v>
      </c>
      <c r="AY133" t="e">
        <f>AND(Bills!#REF!,"AAAAAH/+3DI=")</f>
        <v>#REF!</v>
      </c>
      <c r="AZ133" t="e">
        <f>AND(Bills!#REF!,"AAAAAH/+3DM=")</f>
        <v>#REF!</v>
      </c>
      <c r="BA133" t="e">
        <f>AND(Bills!Y434,"AAAAAH/+3DQ=")</f>
        <v>#VALUE!</v>
      </c>
      <c r="BB133" t="e">
        <f>AND(Bills!Z434,"AAAAAH/+3DU=")</f>
        <v>#VALUE!</v>
      </c>
      <c r="BC133" t="e">
        <f>AND(Bills!#REF!,"AAAAAH/+3DY=")</f>
        <v>#REF!</v>
      </c>
      <c r="BD133" t="e">
        <f>AND(Bills!#REF!,"AAAAAH/+3Dc=")</f>
        <v>#REF!</v>
      </c>
      <c r="BE133" t="e">
        <f>AND(Bills!#REF!,"AAAAAH/+3Dg=")</f>
        <v>#REF!</v>
      </c>
      <c r="BF133" t="e">
        <f>AND(Bills!AA434,"AAAAAH/+3Dk=")</f>
        <v>#VALUE!</v>
      </c>
      <c r="BG133" t="e">
        <f>AND(Bills!AB434,"AAAAAH/+3Do=")</f>
        <v>#VALUE!</v>
      </c>
      <c r="BH133" t="e">
        <f>AND(Bills!#REF!,"AAAAAH/+3Ds=")</f>
        <v>#REF!</v>
      </c>
      <c r="BI133">
        <f>IF(Bills!435:435,"AAAAAH/+3Dw=",0)</f>
        <v>0</v>
      </c>
      <c r="BJ133" t="e">
        <f>AND(Bills!B435,"AAAAAH/+3D0=")</f>
        <v>#VALUE!</v>
      </c>
      <c r="BK133" t="e">
        <f>AND(Bills!#REF!,"AAAAAH/+3D4=")</f>
        <v>#REF!</v>
      </c>
      <c r="BL133" t="e">
        <f>AND(Bills!C435,"AAAAAH/+3D8=")</f>
        <v>#VALUE!</v>
      </c>
      <c r="BM133" t="e">
        <f>AND(Bills!#REF!,"AAAAAH/+3EA=")</f>
        <v>#REF!</v>
      </c>
      <c r="BN133" t="e">
        <f>AND(Bills!#REF!,"AAAAAH/+3EE=")</f>
        <v>#REF!</v>
      </c>
      <c r="BO133" t="e">
        <f>AND(Bills!#REF!,"AAAAAH/+3EI=")</f>
        <v>#REF!</v>
      </c>
      <c r="BP133" t="e">
        <f>AND(Bills!#REF!,"AAAAAH/+3EM=")</f>
        <v>#REF!</v>
      </c>
      <c r="BQ133" t="e">
        <f>AND(Bills!#REF!,"AAAAAH/+3EQ=")</f>
        <v>#REF!</v>
      </c>
      <c r="BR133" t="e">
        <f>AND(Bills!D435,"AAAAAH/+3EU=")</f>
        <v>#VALUE!</v>
      </c>
      <c r="BS133" t="e">
        <f>AND(Bills!#REF!,"AAAAAH/+3EY=")</f>
        <v>#REF!</v>
      </c>
      <c r="BT133" t="e">
        <f>AND(Bills!E435,"AAAAAH/+3Ec=")</f>
        <v>#VALUE!</v>
      </c>
      <c r="BU133" t="e">
        <f>AND(Bills!F435,"AAAAAH/+3Eg=")</f>
        <v>#VALUE!</v>
      </c>
      <c r="BV133" t="e">
        <f>AND(Bills!G435,"AAAAAH/+3Ek=")</f>
        <v>#VALUE!</v>
      </c>
      <c r="BW133" t="e">
        <f>AND(Bills!H435,"AAAAAH/+3Eo=")</f>
        <v>#VALUE!</v>
      </c>
      <c r="BX133" t="e">
        <f>AND(Bills!I435,"AAAAAH/+3Es=")</f>
        <v>#VALUE!</v>
      </c>
      <c r="BY133" t="e">
        <f>AND(Bills!J435,"AAAAAH/+3Ew=")</f>
        <v>#VALUE!</v>
      </c>
      <c r="BZ133" t="e">
        <f>AND(Bills!#REF!,"AAAAAH/+3E0=")</f>
        <v>#REF!</v>
      </c>
      <c r="CA133" t="e">
        <f>AND(Bills!K435,"AAAAAH/+3E4=")</f>
        <v>#VALUE!</v>
      </c>
      <c r="CB133" t="e">
        <f>AND(Bills!L435,"AAAAAH/+3E8=")</f>
        <v>#VALUE!</v>
      </c>
      <c r="CC133" t="e">
        <f>AND(Bills!M435,"AAAAAH/+3FA=")</f>
        <v>#VALUE!</v>
      </c>
      <c r="CD133" t="e">
        <f>AND(Bills!N435,"AAAAAH/+3FE=")</f>
        <v>#VALUE!</v>
      </c>
      <c r="CE133" t="e">
        <f>AND(Bills!O435,"AAAAAH/+3FI=")</f>
        <v>#VALUE!</v>
      </c>
      <c r="CF133" t="e">
        <f>AND(Bills!P435,"AAAAAH/+3FM=")</f>
        <v>#VALUE!</v>
      </c>
      <c r="CG133" t="e">
        <f>AND(Bills!Q435,"AAAAAH/+3FQ=")</f>
        <v>#VALUE!</v>
      </c>
      <c r="CH133" t="e">
        <f>AND(Bills!R435,"AAAAAH/+3FU=")</f>
        <v>#VALUE!</v>
      </c>
      <c r="CI133" t="e">
        <f>AND(Bills!#REF!,"AAAAAH/+3FY=")</f>
        <v>#REF!</v>
      </c>
      <c r="CJ133" t="e">
        <f>AND(Bills!S435,"AAAAAH/+3Fc=")</f>
        <v>#VALUE!</v>
      </c>
      <c r="CK133" t="e">
        <f>AND(Bills!T435,"AAAAAH/+3Fg=")</f>
        <v>#VALUE!</v>
      </c>
      <c r="CL133" t="e">
        <f>AND(Bills!U435,"AAAAAH/+3Fk=")</f>
        <v>#VALUE!</v>
      </c>
      <c r="CM133" t="e">
        <f>AND(Bills!#REF!,"AAAAAH/+3Fo=")</f>
        <v>#REF!</v>
      </c>
      <c r="CN133" t="e">
        <f>AND(Bills!#REF!,"AAAAAH/+3Fs=")</f>
        <v>#REF!</v>
      </c>
      <c r="CO133" t="e">
        <f>AND(Bills!W435,"AAAAAH/+3Fw=")</f>
        <v>#VALUE!</v>
      </c>
      <c r="CP133" t="e">
        <f>AND(Bills!X435,"AAAAAH/+3F0=")</f>
        <v>#VALUE!</v>
      </c>
      <c r="CQ133" t="e">
        <f>AND(Bills!#REF!,"AAAAAH/+3F4=")</f>
        <v>#REF!</v>
      </c>
      <c r="CR133" t="e">
        <f>AND(Bills!#REF!,"AAAAAH/+3F8=")</f>
        <v>#REF!</v>
      </c>
      <c r="CS133" t="e">
        <f>AND(Bills!#REF!,"AAAAAH/+3GA=")</f>
        <v>#REF!</v>
      </c>
      <c r="CT133" t="e">
        <f>AND(Bills!#REF!,"AAAAAH/+3GE=")</f>
        <v>#REF!</v>
      </c>
      <c r="CU133" t="e">
        <f>AND(Bills!#REF!,"AAAAAH/+3GI=")</f>
        <v>#REF!</v>
      </c>
      <c r="CV133" t="e">
        <f>AND(Bills!#REF!,"AAAAAH/+3GM=")</f>
        <v>#REF!</v>
      </c>
      <c r="CW133" t="e">
        <f>AND(Bills!#REF!,"AAAAAH/+3GQ=")</f>
        <v>#REF!</v>
      </c>
      <c r="CX133" t="e">
        <f>AND(Bills!#REF!,"AAAAAH/+3GU=")</f>
        <v>#REF!</v>
      </c>
      <c r="CY133" t="e">
        <f>AND(Bills!#REF!,"AAAAAH/+3GY=")</f>
        <v>#REF!</v>
      </c>
      <c r="CZ133" t="e">
        <f>AND(Bills!Y435,"AAAAAH/+3Gc=")</f>
        <v>#VALUE!</v>
      </c>
      <c r="DA133" t="e">
        <f>AND(Bills!Z435,"AAAAAH/+3Gg=")</f>
        <v>#VALUE!</v>
      </c>
      <c r="DB133" t="e">
        <f>AND(Bills!#REF!,"AAAAAH/+3Gk=")</f>
        <v>#REF!</v>
      </c>
      <c r="DC133" t="e">
        <f>AND(Bills!#REF!,"AAAAAH/+3Go=")</f>
        <v>#REF!</v>
      </c>
      <c r="DD133" t="e">
        <f>AND(Bills!#REF!,"AAAAAH/+3Gs=")</f>
        <v>#REF!</v>
      </c>
      <c r="DE133" t="e">
        <f>AND(Bills!AA435,"AAAAAH/+3Gw=")</f>
        <v>#VALUE!</v>
      </c>
      <c r="DF133" t="e">
        <f>AND(Bills!AB435,"AAAAAH/+3G0=")</f>
        <v>#VALUE!</v>
      </c>
      <c r="DG133" t="e">
        <f>AND(Bills!#REF!,"AAAAAH/+3G4=")</f>
        <v>#REF!</v>
      </c>
      <c r="DH133">
        <f>IF(Bills!436:436,"AAAAAH/+3G8=",0)</f>
        <v>0</v>
      </c>
      <c r="DI133" t="e">
        <f>AND(Bills!B436,"AAAAAH/+3HA=")</f>
        <v>#VALUE!</v>
      </c>
      <c r="DJ133" t="e">
        <f>AND(Bills!#REF!,"AAAAAH/+3HE=")</f>
        <v>#REF!</v>
      </c>
      <c r="DK133" t="e">
        <f>AND(Bills!C436,"AAAAAH/+3HI=")</f>
        <v>#VALUE!</v>
      </c>
      <c r="DL133" t="e">
        <f>AND(Bills!#REF!,"AAAAAH/+3HM=")</f>
        <v>#REF!</v>
      </c>
      <c r="DM133" t="e">
        <f>AND(Bills!#REF!,"AAAAAH/+3HQ=")</f>
        <v>#REF!</v>
      </c>
      <c r="DN133" t="e">
        <f>AND(Bills!#REF!,"AAAAAH/+3HU=")</f>
        <v>#REF!</v>
      </c>
      <c r="DO133" t="e">
        <f>AND(Bills!#REF!,"AAAAAH/+3HY=")</f>
        <v>#REF!</v>
      </c>
      <c r="DP133" t="e">
        <f>AND(Bills!#REF!,"AAAAAH/+3Hc=")</f>
        <v>#REF!</v>
      </c>
      <c r="DQ133" t="e">
        <f>AND(Bills!D436,"AAAAAH/+3Hg=")</f>
        <v>#VALUE!</v>
      </c>
      <c r="DR133" t="e">
        <f>AND(Bills!#REF!,"AAAAAH/+3Hk=")</f>
        <v>#REF!</v>
      </c>
      <c r="DS133" t="e">
        <f>AND(Bills!E436,"AAAAAH/+3Ho=")</f>
        <v>#VALUE!</v>
      </c>
      <c r="DT133" t="e">
        <f>AND(Bills!F436,"AAAAAH/+3Hs=")</f>
        <v>#VALUE!</v>
      </c>
      <c r="DU133" t="e">
        <f>AND(Bills!G436,"AAAAAH/+3Hw=")</f>
        <v>#VALUE!</v>
      </c>
      <c r="DV133" t="e">
        <f>AND(Bills!H436,"AAAAAH/+3H0=")</f>
        <v>#VALUE!</v>
      </c>
      <c r="DW133" t="e">
        <f>AND(Bills!I436,"AAAAAH/+3H4=")</f>
        <v>#VALUE!</v>
      </c>
      <c r="DX133" t="e">
        <f>AND(Bills!J436,"AAAAAH/+3H8=")</f>
        <v>#VALUE!</v>
      </c>
      <c r="DY133" t="e">
        <f>AND(Bills!#REF!,"AAAAAH/+3IA=")</f>
        <v>#REF!</v>
      </c>
      <c r="DZ133" t="e">
        <f>AND(Bills!K436,"AAAAAH/+3IE=")</f>
        <v>#VALUE!</v>
      </c>
      <c r="EA133" t="e">
        <f>AND(Bills!L436,"AAAAAH/+3II=")</f>
        <v>#VALUE!</v>
      </c>
      <c r="EB133" t="e">
        <f>AND(Bills!M436,"AAAAAH/+3IM=")</f>
        <v>#VALUE!</v>
      </c>
      <c r="EC133" t="e">
        <f>AND(Bills!N436,"AAAAAH/+3IQ=")</f>
        <v>#VALUE!</v>
      </c>
      <c r="ED133" t="e">
        <f>AND(Bills!O436,"AAAAAH/+3IU=")</f>
        <v>#VALUE!</v>
      </c>
      <c r="EE133" t="e">
        <f>AND(Bills!P436,"AAAAAH/+3IY=")</f>
        <v>#VALUE!</v>
      </c>
      <c r="EF133" t="e">
        <f>AND(Bills!Q436,"AAAAAH/+3Ic=")</f>
        <v>#VALUE!</v>
      </c>
      <c r="EG133" t="e">
        <f>AND(Bills!R436,"AAAAAH/+3Ig=")</f>
        <v>#VALUE!</v>
      </c>
      <c r="EH133" t="e">
        <f>AND(Bills!#REF!,"AAAAAH/+3Ik=")</f>
        <v>#REF!</v>
      </c>
      <c r="EI133" t="e">
        <f>AND(Bills!S436,"AAAAAH/+3Io=")</f>
        <v>#VALUE!</v>
      </c>
      <c r="EJ133" t="e">
        <f>AND(Bills!T436,"AAAAAH/+3Is=")</f>
        <v>#VALUE!</v>
      </c>
      <c r="EK133" t="e">
        <f>AND(Bills!U436,"AAAAAH/+3Iw=")</f>
        <v>#VALUE!</v>
      </c>
      <c r="EL133" t="e">
        <f>AND(Bills!#REF!,"AAAAAH/+3I0=")</f>
        <v>#REF!</v>
      </c>
      <c r="EM133" t="e">
        <f>AND(Bills!#REF!,"AAAAAH/+3I4=")</f>
        <v>#REF!</v>
      </c>
      <c r="EN133" t="e">
        <f>AND(Bills!W436,"AAAAAH/+3I8=")</f>
        <v>#VALUE!</v>
      </c>
      <c r="EO133" t="e">
        <f>AND(Bills!X436,"AAAAAH/+3JA=")</f>
        <v>#VALUE!</v>
      </c>
      <c r="EP133" t="e">
        <f>AND(Bills!#REF!,"AAAAAH/+3JE=")</f>
        <v>#REF!</v>
      </c>
      <c r="EQ133" t="e">
        <f>AND(Bills!#REF!,"AAAAAH/+3JI=")</f>
        <v>#REF!</v>
      </c>
      <c r="ER133" t="e">
        <f>AND(Bills!#REF!,"AAAAAH/+3JM=")</f>
        <v>#REF!</v>
      </c>
      <c r="ES133" t="e">
        <f>AND(Bills!#REF!,"AAAAAH/+3JQ=")</f>
        <v>#REF!</v>
      </c>
      <c r="ET133" t="e">
        <f>AND(Bills!#REF!,"AAAAAH/+3JU=")</f>
        <v>#REF!</v>
      </c>
      <c r="EU133" t="e">
        <f>AND(Bills!#REF!,"AAAAAH/+3JY=")</f>
        <v>#REF!</v>
      </c>
      <c r="EV133" t="e">
        <f>AND(Bills!#REF!,"AAAAAH/+3Jc=")</f>
        <v>#REF!</v>
      </c>
      <c r="EW133" t="e">
        <f>AND(Bills!#REF!,"AAAAAH/+3Jg=")</f>
        <v>#REF!</v>
      </c>
      <c r="EX133" t="e">
        <f>AND(Bills!#REF!,"AAAAAH/+3Jk=")</f>
        <v>#REF!</v>
      </c>
      <c r="EY133" t="e">
        <f>AND(Bills!Y436,"AAAAAH/+3Jo=")</f>
        <v>#VALUE!</v>
      </c>
      <c r="EZ133" t="e">
        <f>AND(Bills!Z436,"AAAAAH/+3Js=")</f>
        <v>#VALUE!</v>
      </c>
      <c r="FA133" t="e">
        <f>AND(Bills!#REF!,"AAAAAH/+3Jw=")</f>
        <v>#REF!</v>
      </c>
      <c r="FB133" t="e">
        <f>AND(Bills!#REF!,"AAAAAH/+3J0=")</f>
        <v>#REF!</v>
      </c>
      <c r="FC133" t="e">
        <f>AND(Bills!#REF!,"AAAAAH/+3J4=")</f>
        <v>#REF!</v>
      </c>
      <c r="FD133" t="e">
        <f>AND(Bills!AA436,"AAAAAH/+3J8=")</f>
        <v>#VALUE!</v>
      </c>
      <c r="FE133" t="e">
        <f>AND(Bills!AB436,"AAAAAH/+3KA=")</f>
        <v>#VALUE!</v>
      </c>
      <c r="FF133" t="e">
        <f>AND(Bills!#REF!,"AAAAAH/+3KE=")</f>
        <v>#REF!</v>
      </c>
      <c r="FG133">
        <f>IF(Bills!437:437,"AAAAAH/+3KI=",0)</f>
        <v>0</v>
      </c>
      <c r="FH133" t="e">
        <f>AND(Bills!B437,"AAAAAH/+3KM=")</f>
        <v>#VALUE!</v>
      </c>
      <c r="FI133" t="e">
        <f>AND(Bills!#REF!,"AAAAAH/+3KQ=")</f>
        <v>#REF!</v>
      </c>
      <c r="FJ133" t="e">
        <f>AND(Bills!C437,"AAAAAH/+3KU=")</f>
        <v>#VALUE!</v>
      </c>
      <c r="FK133" t="e">
        <f>AND(Bills!#REF!,"AAAAAH/+3KY=")</f>
        <v>#REF!</v>
      </c>
      <c r="FL133" t="e">
        <f>AND(Bills!#REF!,"AAAAAH/+3Kc=")</f>
        <v>#REF!</v>
      </c>
      <c r="FM133" t="e">
        <f>AND(Bills!#REF!,"AAAAAH/+3Kg=")</f>
        <v>#REF!</v>
      </c>
      <c r="FN133" t="e">
        <f>AND(Bills!#REF!,"AAAAAH/+3Kk=")</f>
        <v>#REF!</v>
      </c>
      <c r="FO133" t="e">
        <f>AND(Bills!#REF!,"AAAAAH/+3Ko=")</f>
        <v>#REF!</v>
      </c>
      <c r="FP133" t="e">
        <f>AND(Bills!D437,"AAAAAH/+3Ks=")</f>
        <v>#VALUE!</v>
      </c>
      <c r="FQ133" t="e">
        <f>AND(Bills!#REF!,"AAAAAH/+3Kw=")</f>
        <v>#REF!</v>
      </c>
      <c r="FR133" t="e">
        <f>AND(Bills!E437,"AAAAAH/+3K0=")</f>
        <v>#VALUE!</v>
      </c>
      <c r="FS133" t="e">
        <f>AND(Bills!F437,"AAAAAH/+3K4=")</f>
        <v>#VALUE!</v>
      </c>
      <c r="FT133" t="e">
        <f>AND(Bills!G437,"AAAAAH/+3K8=")</f>
        <v>#VALUE!</v>
      </c>
      <c r="FU133" t="e">
        <f>AND(Bills!H437,"AAAAAH/+3LA=")</f>
        <v>#VALUE!</v>
      </c>
      <c r="FV133" t="e">
        <f>AND(Bills!I437,"AAAAAH/+3LE=")</f>
        <v>#VALUE!</v>
      </c>
      <c r="FW133" t="e">
        <f>AND(Bills!J437,"AAAAAH/+3LI=")</f>
        <v>#VALUE!</v>
      </c>
      <c r="FX133" t="e">
        <f>AND(Bills!#REF!,"AAAAAH/+3LM=")</f>
        <v>#REF!</v>
      </c>
      <c r="FY133" t="e">
        <f>AND(Bills!K437,"AAAAAH/+3LQ=")</f>
        <v>#VALUE!</v>
      </c>
      <c r="FZ133" t="e">
        <f>AND(Bills!L437,"AAAAAH/+3LU=")</f>
        <v>#VALUE!</v>
      </c>
      <c r="GA133" t="e">
        <f>AND(Bills!M437,"AAAAAH/+3LY=")</f>
        <v>#VALUE!</v>
      </c>
      <c r="GB133" t="e">
        <f>AND(Bills!N437,"AAAAAH/+3Lc=")</f>
        <v>#VALUE!</v>
      </c>
      <c r="GC133" t="e">
        <f>AND(Bills!O437,"AAAAAH/+3Lg=")</f>
        <v>#VALUE!</v>
      </c>
      <c r="GD133" t="e">
        <f>AND(Bills!P437,"AAAAAH/+3Lk=")</f>
        <v>#VALUE!</v>
      </c>
      <c r="GE133" t="e">
        <f>AND(Bills!Q437,"AAAAAH/+3Lo=")</f>
        <v>#VALUE!</v>
      </c>
      <c r="GF133" t="e">
        <f>AND(Bills!R437,"AAAAAH/+3Ls=")</f>
        <v>#VALUE!</v>
      </c>
      <c r="GG133" t="e">
        <f>AND(Bills!#REF!,"AAAAAH/+3Lw=")</f>
        <v>#REF!</v>
      </c>
      <c r="GH133" t="e">
        <f>AND(Bills!S437,"AAAAAH/+3L0=")</f>
        <v>#VALUE!</v>
      </c>
      <c r="GI133" t="e">
        <f>AND(Bills!T437,"AAAAAH/+3L4=")</f>
        <v>#VALUE!</v>
      </c>
      <c r="GJ133" t="e">
        <f>AND(Bills!U437,"AAAAAH/+3L8=")</f>
        <v>#VALUE!</v>
      </c>
      <c r="GK133" t="e">
        <f>AND(Bills!#REF!,"AAAAAH/+3MA=")</f>
        <v>#REF!</v>
      </c>
      <c r="GL133" t="e">
        <f>AND(Bills!#REF!,"AAAAAH/+3ME=")</f>
        <v>#REF!</v>
      </c>
      <c r="GM133" t="e">
        <f>AND(Bills!W437,"AAAAAH/+3MI=")</f>
        <v>#VALUE!</v>
      </c>
      <c r="GN133" t="e">
        <f>AND(Bills!X437,"AAAAAH/+3MM=")</f>
        <v>#VALUE!</v>
      </c>
      <c r="GO133" t="e">
        <f>AND(Bills!#REF!,"AAAAAH/+3MQ=")</f>
        <v>#REF!</v>
      </c>
      <c r="GP133" t="e">
        <f>AND(Bills!#REF!,"AAAAAH/+3MU=")</f>
        <v>#REF!</v>
      </c>
      <c r="GQ133" t="e">
        <f>AND(Bills!#REF!,"AAAAAH/+3MY=")</f>
        <v>#REF!</v>
      </c>
      <c r="GR133" t="e">
        <f>AND(Bills!#REF!,"AAAAAH/+3Mc=")</f>
        <v>#REF!</v>
      </c>
      <c r="GS133" t="e">
        <f>AND(Bills!#REF!,"AAAAAH/+3Mg=")</f>
        <v>#REF!</v>
      </c>
      <c r="GT133" t="e">
        <f>AND(Bills!#REF!,"AAAAAH/+3Mk=")</f>
        <v>#REF!</v>
      </c>
      <c r="GU133" t="e">
        <f>AND(Bills!#REF!,"AAAAAH/+3Mo=")</f>
        <v>#REF!</v>
      </c>
      <c r="GV133" t="e">
        <f>AND(Bills!#REF!,"AAAAAH/+3Ms=")</f>
        <v>#REF!</v>
      </c>
      <c r="GW133" t="e">
        <f>AND(Bills!#REF!,"AAAAAH/+3Mw=")</f>
        <v>#REF!</v>
      </c>
      <c r="GX133" t="e">
        <f>AND(Bills!Y437,"AAAAAH/+3M0=")</f>
        <v>#VALUE!</v>
      </c>
      <c r="GY133" t="e">
        <f>AND(Bills!Z437,"AAAAAH/+3M4=")</f>
        <v>#VALUE!</v>
      </c>
      <c r="GZ133" t="e">
        <f>AND(Bills!#REF!,"AAAAAH/+3M8=")</f>
        <v>#REF!</v>
      </c>
      <c r="HA133" t="e">
        <f>AND(Bills!#REF!,"AAAAAH/+3NA=")</f>
        <v>#REF!</v>
      </c>
      <c r="HB133" t="e">
        <f>AND(Bills!#REF!,"AAAAAH/+3NE=")</f>
        <v>#REF!</v>
      </c>
      <c r="HC133" t="e">
        <f>AND(Bills!AA437,"AAAAAH/+3NI=")</f>
        <v>#VALUE!</v>
      </c>
      <c r="HD133" t="e">
        <f>AND(Bills!AB437,"AAAAAH/+3NM=")</f>
        <v>#VALUE!</v>
      </c>
      <c r="HE133" t="e">
        <f>AND(Bills!#REF!,"AAAAAH/+3NQ=")</f>
        <v>#REF!</v>
      </c>
      <c r="HF133">
        <f>IF(Bills!438:438,"AAAAAH/+3NU=",0)</f>
        <v>0</v>
      </c>
      <c r="HG133" t="e">
        <f>AND(Bills!B438,"AAAAAH/+3NY=")</f>
        <v>#VALUE!</v>
      </c>
      <c r="HH133" t="e">
        <f>AND(Bills!#REF!,"AAAAAH/+3Nc=")</f>
        <v>#REF!</v>
      </c>
      <c r="HI133" t="e">
        <f>AND(Bills!C438,"AAAAAH/+3Ng=")</f>
        <v>#VALUE!</v>
      </c>
      <c r="HJ133" t="e">
        <f>AND(Bills!#REF!,"AAAAAH/+3Nk=")</f>
        <v>#REF!</v>
      </c>
      <c r="HK133" t="e">
        <f>AND(Bills!#REF!,"AAAAAH/+3No=")</f>
        <v>#REF!</v>
      </c>
      <c r="HL133" t="e">
        <f>AND(Bills!#REF!,"AAAAAH/+3Ns=")</f>
        <v>#REF!</v>
      </c>
      <c r="HM133" t="e">
        <f>AND(Bills!#REF!,"AAAAAH/+3Nw=")</f>
        <v>#REF!</v>
      </c>
      <c r="HN133" t="e">
        <f>AND(Bills!#REF!,"AAAAAH/+3N0=")</f>
        <v>#REF!</v>
      </c>
      <c r="HO133" t="e">
        <f>AND(Bills!D438,"AAAAAH/+3N4=")</f>
        <v>#VALUE!</v>
      </c>
      <c r="HP133" t="e">
        <f>AND(Bills!#REF!,"AAAAAH/+3N8=")</f>
        <v>#REF!</v>
      </c>
      <c r="HQ133" t="e">
        <f>AND(Bills!E438,"AAAAAH/+3OA=")</f>
        <v>#VALUE!</v>
      </c>
      <c r="HR133" t="e">
        <f>AND(Bills!F438,"AAAAAH/+3OE=")</f>
        <v>#VALUE!</v>
      </c>
      <c r="HS133" t="e">
        <f>AND(Bills!G438,"AAAAAH/+3OI=")</f>
        <v>#VALUE!</v>
      </c>
      <c r="HT133" t="e">
        <f>AND(Bills!H438,"AAAAAH/+3OM=")</f>
        <v>#VALUE!</v>
      </c>
      <c r="HU133" t="e">
        <f>AND(Bills!I438,"AAAAAH/+3OQ=")</f>
        <v>#VALUE!</v>
      </c>
      <c r="HV133" t="e">
        <f>AND(Bills!J438,"AAAAAH/+3OU=")</f>
        <v>#VALUE!</v>
      </c>
      <c r="HW133" t="e">
        <f>AND(Bills!#REF!,"AAAAAH/+3OY=")</f>
        <v>#REF!</v>
      </c>
      <c r="HX133" t="e">
        <f>AND(Bills!K438,"AAAAAH/+3Oc=")</f>
        <v>#VALUE!</v>
      </c>
      <c r="HY133" t="e">
        <f>AND(Bills!L438,"AAAAAH/+3Og=")</f>
        <v>#VALUE!</v>
      </c>
      <c r="HZ133" t="e">
        <f>AND(Bills!M438,"AAAAAH/+3Ok=")</f>
        <v>#VALUE!</v>
      </c>
      <c r="IA133" t="e">
        <f>AND(Bills!N438,"AAAAAH/+3Oo=")</f>
        <v>#VALUE!</v>
      </c>
      <c r="IB133" t="e">
        <f>AND(Bills!O438,"AAAAAH/+3Os=")</f>
        <v>#VALUE!</v>
      </c>
      <c r="IC133" t="e">
        <f>AND(Bills!P438,"AAAAAH/+3Ow=")</f>
        <v>#VALUE!</v>
      </c>
      <c r="ID133" t="e">
        <f>AND(Bills!Q438,"AAAAAH/+3O0=")</f>
        <v>#VALUE!</v>
      </c>
      <c r="IE133" t="e">
        <f>AND(Bills!R438,"AAAAAH/+3O4=")</f>
        <v>#VALUE!</v>
      </c>
      <c r="IF133" t="e">
        <f>AND(Bills!#REF!,"AAAAAH/+3O8=")</f>
        <v>#REF!</v>
      </c>
      <c r="IG133" t="e">
        <f>AND(Bills!S438,"AAAAAH/+3PA=")</f>
        <v>#VALUE!</v>
      </c>
      <c r="IH133" t="e">
        <f>AND(Bills!T438,"AAAAAH/+3PE=")</f>
        <v>#VALUE!</v>
      </c>
      <c r="II133" t="e">
        <f>AND(Bills!U438,"AAAAAH/+3PI=")</f>
        <v>#VALUE!</v>
      </c>
      <c r="IJ133" t="e">
        <f>AND(Bills!#REF!,"AAAAAH/+3PM=")</f>
        <v>#REF!</v>
      </c>
      <c r="IK133" t="e">
        <f>AND(Bills!#REF!,"AAAAAH/+3PQ=")</f>
        <v>#REF!</v>
      </c>
      <c r="IL133" t="e">
        <f>AND(Bills!W438,"AAAAAH/+3PU=")</f>
        <v>#VALUE!</v>
      </c>
      <c r="IM133" t="e">
        <f>AND(Bills!X438,"AAAAAH/+3PY=")</f>
        <v>#VALUE!</v>
      </c>
      <c r="IN133" t="e">
        <f>AND(Bills!#REF!,"AAAAAH/+3Pc=")</f>
        <v>#REF!</v>
      </c>
      <c r="IO133" t="e">
        <f>AND(Bills!#REF!,"AAAAAH/+3Pg=")</f>
        <v>#REF!</v>
      </c>
      <c r="IP133" t="e">
        <f>AND(Bills!#REF!,"AAAAAH/+3Pk=")</f>
        <v>#REF!</v>
      </c>
      <c r="IQ133" t="e">
        <f>AND(Bills!#REF!,"AAAAAH/+3Po=")</f>
        <v>#REF!</v>
      </c>
      <c r="IR133" t="e">
        <f>AND(Bills!#REF!,"AAAAAH/+3Ps=")</f>
        <v>#REF!</v>
      </c>
      <c r="IS133" t="e">
        <f>AND(Bills!#REF!,"AAAAAH/+3Pw=")</f>
        <v>#REF!</v>
      </c>
      <c r="IT133" t="e">
        <f>AND(Bills!#REF!,"AAAAAH/+3P0=")</f>
        <v>#REF!</v>
      </c>
      <c r="IU133" t="e">
        <f>AND(Bills!#REF!,"AAAAAH/+3P4=")</f>
        <v>#REF!</v>
      </c>
      <c r="IV133" t="e">
        <f>AND(Bills!#REF!,"AAAAAH/+3P8=")</f>
        <v>#REF!</v>
      </c>
    </row>
    <row r="134" spans="1:256">
      <c r="A134" t="e">
        <f>AND(Bills!Y438,"AAAAADk9uwA=")</f>
        <v>#VALUE!</v>
      </c>
      <c r="B134" t="e">
        <f>AND(Bills!Z438,"AAAAADk9uwE=")</f>
        <v>#VALUE!</v>
      </c>
      <c r="C134" t="e">
        <f>AND(Bills!#REF!,"AAAAADk9uwI=")</f>
        <v>#REF!</v>
      </c>
      <c r="D134" t="e">
        <f>AND(Bills!#REF!,"AAAAADk9uwM=")</f>
        <v>#REF!</v>
      </c>
      <c r="E134" t="e">
        <f>AND(Bills!#REF!,"AAAAADk9uwQ=")</f>
        <v>#REF!</v>
      </c>
      <c r="F134" t="e">
        <f>AND(Bills!AA438,"AAAAADk9uwU=")</f>
        <v>#VALUE!</v>
      </c>
      <c r="G134" t="e">
        <f>AND(Bills!AB438,"AAAAADk9uwY=")</f>
        <v>#VALUE!</v>
      </c>
      <c r="H134" t="e">
        <f>AND(Bills!#REF!,"AAAAADk9uwc=")</f>
        <v>#REF!</v>
      </c>
      <c r="I134">
        <f>IF(Bills!439:439,"AAAAADk9uwg=",0)</f>
        <v>0</v>
      </c>
      <c r="J134" t="e">
        <f>AND(Bills!B439,"AAAAADk9uwk=")</f>
        <v>#VALUE!</v>
      </c>
      <c r="K134" t="e">
        <f>AND(Bills!#REF!,"AAAAADk9uwo=")</f>
        <v>#REF!</v>
      </c>
      <c r="L134" t="e">
        <f>AND(Bills!C439,"AAAAADk9uws=")</f>
        <v>#VALUE!</v>
      </c>
      <c r="M134" t="e">
        <f>AND(Bills!#REF!,"AAAAADk9uww=")</f>
        <v>#REF!</v>
      </c>
      <c r="N134" t="e">
        <f>AND(Bills!#REF!,"AAAAADk9uw0=")</f>
        <v>#REF!</v>
      </c>
      <c r="O134" t="e">
        <f>AND(Bills!#REF!,"AAAAADk9uw4=")</f>
        <v>#REF!</v>
      </c>
      <c r="P134" t="e">
        <f>AND(Bills!#REF!,"AAAAADk9uw8=")</f>
        <v>#REF!</v>
      </c>
      <c r="Q134" t="e">
        <f>AND(Bills!#REF!,"AAAAADk9uxA=")</f>
        <v>#REF!</v>
      </c>
      <c r="R134" t="e">
        <f>AND(Bills!D439,"AAAAADk9uxE=")</f>
        <v>#VALUE!</v>
      </c>
      <c r="S134" t="e">
        <f>AND(Bills!#REF!,"AAAAADk9uxI=")</f>
        <v>#REF!</v>
      </c>
      <c r="T134" t="e">
        <f>AND(Bills!E439,"AAAAADk9uxM=")</f>
        <v>#VALUE!</v>
      </c>
      <c r="U134" t="e">
        <f>AND(Bills!F439,"AAAAADk9uxQ=")</f>
        <v>#VALUE!</v>
      </c>
      <c r="V134" t="e">
        <f>AND(Bills!G439,"AAAAADk9uxU=")</f>
        <v>#VALUE!</v>
      </c>
      <c r="W134" t="e">
        <f>AND(Bills!H439,"AAAAADk9uxY=")</f>
        <v>#VALUE!</v>
      </c>
      <c r="X134" t="e">
        <f>AND(Bills!I439,"AAAAADk9uxc=")</f>
        <v>#VALUE!</v>
      </c>
      <c r="Y134" t="e">
        <f>AND(Bills!J439,"AAAAADk9uxg=")</f>
        <v>#VALUE!</v>
      </c>
      <c r="Z134" t="e">
        <f>AND(Bills!#REF!,"AAAAADk9uxk=")</f>
        <v>#REF!</v>
      </c>
      <c r="AA134" t="e">
        <f>AND(Bills!K439,"AAAAADk9uxo=")</f>
        <v>#VALUE!</v>
      </c>
      <c r="AB134" t="e">
        <f>AND(Bills!L439,"AAAAADk9uxs=")</f>
        <v>#VALUE!</v>
      </c>
      <c r="AC134" t="e">
        <f>AND(Bills!M439,"AAAAADk9uxw=")</f>
        <v>#VALUE!</v>
      </c>
      <c r="AD134" t="e">
        <f>AND(Bills!N439,"AAAAADk9ux0=")</f>
        <v>#VALUE!</v>
      </c>
      <c r="AE134" t="e">
        <f>AND(Bills!O439,"AAAAADk9ux4=")</f>
        <v>#VALUE!</v>
      </c>
      <c r="AF134" t="e">
        <f>AND(Bills!P439,"AAAAADk9ux8=")</f>
        <v>#VALUE!</v>
      </c>
      <c r="AG134" t="e">
        <f>AND(Bills!Q439,"AAAAADk9uyA=")</f>
        <v>#VALUE!</v>
      </c>
      <c r="AH134" t="e">
        <f>AND(Bills!R439,"AAAAADk9uyE=")</f>
        <v>#VALUE!</v>
      </c>
      <c r="AI134" t="e">
        <f>AND(Bills!#REF!,"AAAAADk9uyI=")</f>
        <v>#REF!</v>
      </c>
      <c r="AJ134" t="e">
        <f>AND(Bills!S439,"AAAAADk9uyM=")</f>
        <v>#VALUE!</v>
      </c>
      <c r="AK134" t="e">
        <f>AND(Bills!T439,"AAAAADk9uyQ=")</f>
        <v>#VALUE!</v>
      </c>
      <c r="AL134" t="e">
        <f>AND(Bills!U439,"AAAAADk9uyU=")</f>
        <v>#VALUE!</v>
      </c>
      <c r="AM134" t="e">
        <f>AND(Bills!#REF!,"AAAAADk9uyY=")</f>
        <v>#REF!</v>
      </c>
      <c r="AN134" t="e">
        <f>AND(Bills!#REF!,"AAAAADk9uyc=")</f>
        <v>#REF!</v>
      </c>
      <c r="AO134" t="e">
        <f>AND(Bills!W439,"AAAAADk9uyg=")</f>
        <v>#VALUE!</v>
      </c>
      <c r="AP134" t="e">
        <f>AND(Bills!X439,"AAAAADk9uyk=")</f>
        <v>#VALUE!</v>
      </c>
      <c r="AQ134" t="e">
        <f>AND(Bills!#REF!,"AAAAADk9uyo=")</f>
        <v>#REF!</v>
      </c>
      <c r="AR134" t="e">
        <f>AND(Bills!#REF!,"AAAAADk9uys=")</f>
        <v>#REF!</v>
      </c>
      <c r="AS134" t="e">
        <f>AND(Bills!#REF!,"AAAAADk9uyw=")</f>
        <v>#REF!</v>
      </c>
      <c r="AT134" t="e">
        <f>AND(Bills!#REF!,"AAAAADk9uy0=")</f>
        <v>#REF!</v>
      </c>
      <c r="AU134" t="e">
        <f>AND(Bills!#REF!,"AAAAADk9uy4=")</f>
        <v>#REF!</v>
      </c>
      <c r="AV134" t="e">
        <f>AND(Bills!#REF!,"AAAAADk9uy8=")</f>
        <v>#REF!</v>
      </c>
      <c r="AW134" t="e">
        <f>AND(Bills!#REF!,"AAAAADk9uzA=")</f>
        <v>#REF!</v>
      </c>
      <c r="AX134" t="e">
        <f>AND(Bills!#REF!,"AAAAADk9uzE=")</f>
        <v>#REF!</v>
      </c>
      <c r="AY134" t="e">
        <f>AND(Bills!#REF!,"AAAAADk9uzI=")</f>
        <v>#REF!</v>
      </c>
      <c r="AZ134" t="e">
        <f>AND(Bills!Y439,"AAAAADk9uzM=")</f>
        <v>#VALUE!</v>
      </c>
      <c r="BA134" t="e">
        <f>AND(Bills!Z439,"AAAAADk9uzQ=")</f>
        <v>#VALUE!</v>
      </c>
      <c r="BB134" t="e">
        <f>AND(Bills!#REF!,"AAAAADk9uzU=")</f>
        <v>#REF!</v>
      </c>
      <c r="BC134" t="e">
        <f>AND(Bills!#REF!,"AAAAADk9uzY=")</f>
        <v>#REF!</v>
      </c>
      <c r="BD134" t="e">
        <f>AND(Bills!#REF!,"AAAAADk9uzc=")</f>
        <v>#REF!</v>
      </c>
      <c r="BE134" t="e">
        <f>AND(Bills!AA439,"AAAAADk9uzg=")</f>
        <v>#VALUE!</v>
      </c>
      <c r="BF134" t="e">
        <f>AND(Bills!AB439,"AAAAADk9uzk=")</f>
        <v>#VALUE!</v>
      </c>
      <c r="BG134" t="e">
        <f>AND(Bills!#REF!,"AAAAADk9uzo=")</f>
        <v>#REF!</v>
      </c>
      <c r="BH134">
        <f>IF(Bills!440:440,"AAAAADk9uzs=",0)</f>
        <v>0</v>
      </c>
      <c r="BI134" t="e">
        <f>AND(Bills!B440,"AAAAADk9uzw=")</f>
        <v>#VALUE!</v>
      </c>
      <c r="BJ134" t="e">
        <f>AND(Bills!#REF!,"AAAAADk9uz0=")</f>
        <v>#REF!</v>
      </c>
      <c r="BK134" t="e">
        <f>AND(Bills!C440,"AAAAADk9uz4=")</f>
        <v>#VALUE!</v>
      </c>
      <c r="BL134" t="e">
        <f>AND(Bills!#REF!,"AAAAADk9uz8=")</f>
        <v>#REF!</v>
      </c>
      <c r="BM134" t="e">
        <f>AND(Bills!#REF!,"AAAAADk9u0A=")</f>
        <v>#REF!</v>
      </c>
      <c r="BN134" t="e">
        <f>AND(Bills!#REF!,"AAAAADk9u0E=")</f>
        <v>#REF!</v>
      </c>
      <c r="BO134" t="e">
        <f>AND(Bills!#REF!,"AAAAADk9u0I=")</f>
        <v>#REF!</v>
      </c>
      <c r="BP134" t="e">
        <f>AND(Bills!#REF!,"AAAAADk9u0M=")</f>
        <v>#REF!</v>
      </c>
      <c r="BQ134" t="e">
        <f>AND(Bills!D440,"AAAAADk9u0Q=")</f>
        <v>#VALUE!</v>
      </c>
      <c r="BR134" t="e">
        <f>AND(Bills!#REF!,"AAAAADk9u0U=")</f>
        <v>#REF!</v>
      </c>
      <c r="BS134" t="e">
        <f>AND(Bills!E440,"AAAAADk9u0Y=")</f>
        <v>#VALUE!</v>
      </c>
      <c r="BT134" t="e">
        <f>AND(Bills!F440,"AAAAADk9u0c=")</f>
        <v>#VALUE!</v>
      </c>
      <c r="BU134" t="e">
        <f>AND(Bills!G440,"AAAAADk9u0g=")</f>
        <v>#VALUE!</v>
      </c>
      <c r="BV134" t="e">
        <f>AND(Bills!H440,"AAAAADk9u0k=")</f>
        <v>#VALUE!</v>
      </c>
      <c r="BW134" t="e">
        <f>AND(Bills!I440,"AAAAADk9u0o=")</f>
        <v>#VALUE!</v>
      </c>
      <c r="BX134" t="e">
        <f>AND(Bills!J440,"AAAAADk9u0s=")</f>
        <v>#VALUE!</v>
      </c>
      <c r="BY134" t="e">
        <f>AND(Bills!#REF!,"AAAAADk9u0w=")</f>
        <v>#REF!</v>
      </c>
      <c r="BZ134" t="e">
        <f>AND(Bills!K440,"AAAAADk9u00=")</f>
        <v>#VALUE!</v>
      </c>
      <c r="CA134" t="e">
        <f>AND(Bills!L440,"AAAAADk9u04=")</f>
        <v>#VALUE!</v>
      </c>
      <c r="CB134" t="e">
        <f>AND(Bills!M440,"AAAAADk9u08=")</f>
        <v>#VALUE!</v>
      </c>
      <c r="CC134" t="e">
        <f>AND(Bills!N440,"AAAAADk9u1A=")</f>
        <v>#VALUE!</v>
      </c>
      <c r="CD134" t="e">
        <f>AND(Bills!O440,"AAAAADk9u1E=")</f>
        <v>#VALUE!</v>
      </c>
      <c r="CE134" t="e">
        <f>AND(Bills!P440,"AAAAADk9u1I=")</f>
        <v>#VALUE!</v>
      </c>
      <c r="CF134" t="e">
        <f>AND(Bills!Q440,"AAAAADk9u1M=")</f>
        <v>#VALUE!</v>
      </c>
      <c r="CG134" t="e">
        <f>AND(Bills!R440,"AAAAADk9u1Q=")</f>
        <v>#VALUE!</v>
      </c>
      <c r="CH134" t="e">
        <f>AND(Bills!#REF!,"AAAAADk9u1U=")</f>
        <v>#REF!</v>
      </c>
      <c r="CI134" t="e">
        <f>AND(Bills!S440,"AAAAADk9u1Y=")</f>
        <v>#VALUE!</v>
      </c>
      <c r="CJ134" t="e">
        <f>AND(Bills!T440,"AAAAADk9u1c=")</f>
        <v>#VALUE!</v>
      </c>
      <c r="CK134" t="e">
        <f>AND(Bills!U440,"AAAAADk9u1g=")</f>
        <v>#VALUE!</v>
      </c>
      <c r="CL134" t="e">
        <f>AND(Bills!#REF!,"AAAAADk9u1k=")</f>
        <v>#REF!</v>
      </c>
      <c r="CM134" t="e">
        <f>AND(Bills!#REF!,"AAAAADk9u1o=")</f>
        <v>#REF!</v>
      </c>
      <c r="CN134" t="e">
        <f>AND(Bills!W440,"AAAAADk9u1s=")</f>
        <v>#VALUE!</v>
      </c>
      <c r="CO134" t="e">
        <f>AND(Bills!X440,"AAAAADk9u1w=")</f>
        <v>#VALUE!</v>
      </c>
      <c r="CP134" t="e">
        <f>AND(Bills!#REF!,"AAAAADk9u10=")</f>
        <v>#REF!</v>
      </c>
      <c r="CQ134" t="e">
        <f>AND(Bills!#REF!,"AAAAADk9u14=")</f>
        <v>#REF!</v>
      </c>
      <c r="CR134" t="e">
        <f>AND(Bills!#REF!,"AAAAADk9u18=")</f>
        <v>#REF!</v>
      </c>
      <c r="CS134" t="e">
        <f>AND(Bills!#REF!,"AAAAADk9u2A=")</f>
        <v>#REF!</v>
      </c>
      <c r="CT134" t="e">
        <f>AND(Bills!#REF!,"AAAAADk9u2E=")</f>
        <v>#REF!</v>
      </c>
      <c r="CU134" t="e">
        <f>AND(Bills!#REF!,"AAAAADk9u2I=")</f>
        <v>#REF!</v>
      </c>
      <c r="CV134" t="e">
        <f>AND(Bills!#REF!,"AAAAADk9u2M=")</f>
        <v>#REF!</v>
      </c>
      <c r="CW134" t="e">
        <f>AND(Bills!#REF!,"AAAAADk9u2Q=")</f>
        <v>#REF!</v>
      </c>
      <c r="CX134" t="e">
        <f>AND(Bills!#REF!,"AAAAADk9u2U=")</f>
        <v>#REF!</v>
      </c>
      <c r="CY134" t="e">
        <f>AND(Bills!Y440,"AAAAADk9u2Y=")</f>
        <v>#VALUE!</v>
      </c>
      <c r="CZ134" t="e">
        <f>AND(Bills!Z440,"AAAAADk9u2c=")</f>
        <v>#VALUE!</v>
      </c>
      <c r="DA134" t="e">
        <f>AND(Bills!#REF!,"AAAAADk9u2g=")</f>
        <v>#REF!</v>
      </c>
      <c r="DB134" t="e">
        <f>AND(Bills!#REF!,"AAAAADk9u2k=")</f>
        <v>#REF!</v>
      </c>
      <c r="DC134" t="e">
        <f>AND(Bills!#REF!,"AAAAADk9u2o=")</f>
        <v>#REF!</v>
      </c>
      <c r="DD134" t="e">
        <f>AND(Bills!AA440,"AAAAADk9u2s=")</f>
        <v>#VALUE!</v>
      </c>
      <c r="DE134" t="e">
        <f>AND(Bills!AB440,"AAAAADk9u2w=")</f>
        <v>#VALUE!</v>
      </c>
      <c r="DF134" t="e">
        <f>AND(Bills!#REF!,"AAAAADk9u20=")</f>
        <v>#REF!</v>
      </c>
      <c r="DG134">
        <f>IF(Bills!441:441,"AAAAADk9u24=",0)</f>
        <v>0</v>
      </c>
      <c r="DH134" t="e">
        <f>AND(Bills!B441,"AAAAADk9u28=")</f>
        <v>#VALUE!</v>
      </c>
      <c r="DI134" t="e">
        <f>AND(Bills!#REF!,"AAAAADk9u3A=")</f>
        <v>#REF!</v>
      </c>
      <c r="DJ134" t="e">
        <f>AND(Bills!C441,"AAAAADk9u3E=")</f>
        <v>#VALUE!</v>
      </c>
      <c r="DK134" t="e">
        <f>AND(Bills!#REF!,"AAAAADk9u3I=")</f>
        <v>#REF!</v>
      </c>
      <c r="DL134" t="e">
        <f>AND(Bills!#REF!,"AAAAADk9u3M=")</f>
        <v>#REF!</v>
      </c>
      <c r="DM134" t="e">
        <f>AND(Bills!#REF!,"AAAAADk9u3Q=")</f>
        <v>#REF!</v>
      </c>
      <c r="DN134" t="e">
        <f>AND(Bills!#REF!,"AAAAADk9u3U=")</f>
        <v>#REF!</v>
      </c>
      <c r="DO134" t="e">
        <f>AND(Bills!#REF!,"AAAAADk9u3Y=")</f>
        <v>#REF!</v>
      </c>
      <c r="DP134" t="e">
        <f>AND(Bills!D441,"AAAAADk9u3c=")</f>
        <v>#VALUE!</v>
      </c>
      <c r="DQ134" t="e">
        <f>AND(Bills!#REF!,"AAAAADk9u3g=")</f>
        <v>#REF!</v>
      </c>
      <c r="DR134" t="e">
        <f>AND(Bills!E441,"AAAAADk9u3k=")</f>
        <v>#VALUE!</v>
      </c>
      <c r="DS134" t="e">
        <f>AND(Bills!F441,"AAAAADk9u3o=")</f>
        <v>#VALUE!</v>
      </c>
      <c r="DT134" t="e">
        <f>AND(Bills!G441,"AAAAADk9u3s=")</f>
        <v>#VALUE!</v>
      </c>
      <c r="DU134" t="e">
        <f>AND(Bills!H441,"AAAAADk9u3w=")</f>
        <v>#VALUE!</v>
      </c>
      <c r="DV134" t="e">
        <f>AND(Bills!I441,"AAAAADk9u30=")</f>
        <v>#VALUE!</v>
      </c>
      <c r="DW134" t="e">
        <f>AND(Bills!J441,"AAAAADk9u34=")</f>
        <v>#VALUE!</v>
      </c>
      <c r="DX134" t="e">
        <f>AND(Bills!#REF!,"AAAAADk9u38=")</f>
        <v>#REF!</v>
      </c>
      <c r="DY134" t="e">
        <f>AND(Bills!K441,"AAAAADk9u4A=")</f>
        <v>#VALUE!</v>
      </c>
      <c r="DZ134" t="e">
        <f>AND(Bills!L441,"AAAAADk9u4E=")</f>
        <v>#VALUE!</v>
      </c>
      <c r="EA134" t="e">
        <f>AND(Bills!M441,"AAAAADk9u4I=")</f>
        <v>#VALUE!</v>
      </c>
      <c r="EB134" t="e">
        <f>AND(Bills!N441,"AAAAADk9u4M=")</f>
        <v>#VALUE!</v>
      </c>
      <c r="EC134" t="e">
        <f>AND(Bills!O441,"AAAAADk9u4Q=")</f>
        <v>#VALUE!</v>
      </c>
      <c r="ED134" t="e">
        <f>AND(Bills!P441,"AAAAADk9u4U=")</f>
        <v>#VALUE!</v>
      </c>
      <c r="EE134" t="e">
        <f>AND(Bills!Q441,"AAAAADk9u4Y=")</f>
        <v>#VALUE!</v>
      </c>
      <c r="EF134" t="e">
        <f>AND(Bills!R441,"AAAAADk9u4c=")</f>
        <v>#VALUE!</v>
      </c>
      <c r="EG134" t="e">
        <f>AND(Bills!#REF!,"AAAAADk9u4g=")</f>
        <v>#REF!</v>
      </c>
      <c r="EH134" t="e">
        <f>AND(Bills!S441,"AAAAADk9u4k=")</f>
        <v>#VALUE!</v>
      </c>
      <c r="EI134" t="e">
        <f>AND(Bills!T441,"AAAAADk9u4o=")</f>
        <v>#VALUE!</v>
      </c>
      <c r="EJ134" t="e">
        <f>AND(Bills!U441,"AAAAADk9u4s=")</f>
        <v>#VALUE!</v>
      </c>
      <c r="EK134" t="e">
        <f>AND(Bills!#REF!,"AAAAADk9u4w=")</f>
        <v>#REF!</v>
      </c>
      <c r="EL134" t="e">
        <f>AND(Bills!#REF!,"AAAAADk9u40=")</f>
        <v>#REF!</v>
      </c>
      <c r="EM134" t="e">
        <f>AND(Bills!W441,"AAAAADk9u44=")</f>
        <v>#VALUE!</v>
      </c>
      <c r="EN134" t="e">
        <f>AND(Bills!X441,"AAAAADk9u48=")</f>
        <v>#VALUE!</v>
      </c>
      <c r="EO134" t="e">
        <f>AND(Bills!#REF!,"AAAAADk9u5A=")</f>
        <v>#REF!</v>
      </c>
      <c r="EP134" t="e">
        <f>AND(Bills!#REF!,"AAAAADk9u5E=")</f>
        <v>#REF!</v>
      </c>
      <c r="EQ134" t="e">
        <f>AND(Bills!#REF!,"AAAAADk9u5I=")</f>
        <v>#REF!</v>
      </c>
      <c r="ER134" t="e">
        <f>AND(Bills!#REF!,"AAAAADk9u5M=")</f>
        <v>#REF!</v>
      </c>
      <c r="ES134" t="e">
        <f>AND(Bills!#REF!,"AAAAADk9u5Q=")</f>
        <v>#REF!</v>
      </c>
      <c r="ET134" t="e">
        <f>AND(Bills!#REF!,"AAAAADk9u5U=")</f>
        <v>#REF!</v>
      </c>
      <c r="EU134" t="e">
        <f>AND(Bills!#REF!,"AAAAADk9u5Y=")</f>
        <v>#REF!</v>
      </c>
      <c r="EV134" t="e">
        <f>AND(Bills!#REF!,"AAAAADk9u5c=")</f>
        <v>#REF!</v>
      </c>
      <c r="EW134" t="e">
        <f>AND(Bills!#REF!,"AAAAADk9u5g=")</f>
        <v>#REF!</v>
      </c>
      <c r="EX134" t="e">
        <f>AND(Bills!Y441,"AAAAADk9u5k=")</f>
        <v>#VALUE!</v>
      </c>
      <c r="EY134" t="e">
        <f>AND(Bills!Z441,"AAAAADk9u5o=")</f>
        <v>#VALUE!</v>
      </c>
      <c r="EZ134" t="e">
        <f>AND(Bills!#REF!,"AAAAADk9u5s=")</f>
        <v>#REF!</v>
      </c>
      <c r="FA134" t="e">
        <f>AND(Bills!#REF!,"AAAAADk9u5w=")</f>
        <v>#REF!</v>
      </c>
      <c r="FB134" t="e">
        <f>AND(Bills!#REF!,"AAAAADk9u50=")</f>
        <v>#REF!</v>
      </c>
      <c r="FC134" t="e">
        <f>AND(Bills!AA441,"AAAAADk9u54=")</f>
        <v>#VALUE!</v>
      </c>
      <c r="FD134" t="e">
        <f>AND(Bills!AB441,"AAAAADk9u58=")</f>
        <v>#VALUE!</v>
      </c>
      <c r="FE134" t="e">
        <f>AND(Bills!#REF!,"AAAAADk9u6A=")</f>
        <v>#REF!</v>
      </c>
      <c r="FF134">
        <f>IF(Bills!442:442,"AAAAADk9u6E=",0)</f>
        <v>0</v>
      </c>
      <c r="FG134" t="e">
        <f>AND(Bills!B442,"AAAAADk9u6I=")</f>
        <v>#VALUE!</v>
      </c>
      <c r="FH134" t="e">
        <f>AND(Bills!#REF!,"AAAAADk9u6M=")</f>
        <v>#REF!</v>
      </c>
      <c r="FI134" t="e">
        <f>AND(Bills!C442,"AAAAADk9u6Q=")</f>
        <v>#VALUE!</v>
      </c>
      <c r="FJ134" t="e">
        <f>AND(Bills!#REF!,"AAAAADk9u6U=")</f>
        <v>#REF!</v>
      </c>
      <c r="FK134" t="e">
        <f>AND(Bills!#REF!,"AAAAADk9u6Y=")</f>
        <v>#REF!</v>
      </c>
      <c r="FL134" t="e">
        <f>AND(Bills!#REF!,"AAAAADk9u6c=")</f>
        <v>#REF!</v>
      </c>
      <c r="FM134" t="e">
        <f>AND(Bills!#REF!,"AAAAADk9u6g=")</f>
        <v>#REF!</v>
      </c>
      <c r="FN134" t="e">
        <f>AND(Bills!#REF!,"AAAAADk9u6k=")</f>
        <v>#REF!</v>
      </c>
      <c r="FO134" t="e">
        <f>AND(Bills!D442,"AAAAADk9u6o=")</f>
        <v>#VALUE!</v>
      </c>
      <c r="FP134" t="e">
        <f>AND(Bills!#REF!,"AAAAADk9u6s=")</f>
        <v>#REF!</v>
      </c>
      <c r="FQ134" t="e">
        <f>AND(Bills!E442,"AAAAADk9u6w=")</f>
        <v>#VALUE!</v>
      </c>
      <c r="FR134" t="e">
        <f>AND(Bills!F442,"AAAAADk9u60=")</f>
        <v>#VALUE!</v>
      </c>
      <c r="FS134" t="e">
        <f>AND(Bills!G442,"AAAAADk9u64=")</f>
        <v>#VALUE!</v>
      </c>
      <c r="FT134" t="e">
        <f>AND(Bills!H442,"AAAAADk9u68=")</f>
        <v>#VALUE!</v>
      </c>
      <c r="FU134" t="e">
        <f>AND(Bills!I442,"AAAAADk9u7A=")</f>
        <v>#VALUE!</v>
      </c>
      <c r="FV134" t="e">
        <f>AND(Bills!J442,"AAAAADk9u7E=")</f>
        <v>#VALUE!</v>
      </c>
      <c r="FW134" t="e">
        <f>AND(Bills!#REF!,"AAAAADk9u7I=")</f>
        <v>#REF!</v>
      </c>
      <c r="FX134" t="e">
        <f>AND(Bills!K442,"AAAAADk9u7M=")</f>
        <v>#VALUE!</v>
      </c>
      <c r="FY134" t="e">
        <f>AND(Bills!L442,"AAAAADk9u7Q=")</f>
        <v>#VALUE!</v>
      </c>
      <c r="FZ134" t="e">
        <f>AND(Bills!M442,"AAAAADk9u7U=")</f>
        <v>#VALUE!</v>
      </c>
      <c r="GA134" t="e">
        <f>AND(Bills!N442,"AAAAADk9u7Y=")</f>
        <v>#VALUE!</v>
      </c>
      <c r="GB134" t="e">
        <f>AND(Bills!O442,"AAAAADk9u7c=")</f>
        <v>#VALUE!</v>
      </c>
      <c r="GC134" t="e">
        <f>AND(Bills!P442,"AAAAADk9u7g=")</f>
        <v>#VALUE!</v>
      </c>
      <c r="GD134" t="e">
        <f>AND(Bills!Q442,"AAAAADk9u7k=")</f>
        <v>#VALUE!</v>
      </c>
      <c r="GE134" t="e">
        <f>AND(Bills!R442,"AAAAADk9u7o=")</f>
        <v>#VALUE!</v>
      </c>
      <c r="GF134" t="e">
        <f>AND(Bills!#REF!,"AAAAADk9u7s=")</f>
        <v>#REF!</v>
      </c>
      <c r="GG134" t="e">
        <f>AND(Bills!S442,"AAAAADk9u7w=")</f>
        <v>#VALUE!</v>
      </c>
      <c r="GH134" t="e">
        <f>AND(Bills!T442,"AAAAADk9u70=")</f>
        <v>#VALUE!</v>
      </c>
      <c r="GI134" t="e">
        <f>AND(Bills!U442,"AAAAADk9u74=")</f>
        <v>#VALUE!</v>
      </c>
      <c r="GJ134" t="e">
        <f>AND(Bills!#REF!,"AAAAADk9u78=")</f>
        <v>#REF!</v>
      </c>
      <c r="GK134" t="e">
        <f>AND(Bills!#REF!,"AAAAADk9u8A=")</f>
        <v>#REF!</v>
      </c>
      <c r="GL134" t="e">
        <f>AND(Bills!W442,"AAAAADk9u8E=")</f>
        <v>#VALUE!</v>
      </c>
      <c r="GM134" t="e">
        <f>AND(Bills!X442,"AAAAADk9u8I=")</f>
        <v>#VALUE!</v>
      </c>
      <c r="GN134" t="e">
        <f>AND(Bills!#REF!,"AAAAADk9u8M=")</f>
        <v>#REF!</v>
      </c>
      <c r="GO134" t="e">
        <f>AND(Bills!#REF!,"AAAAADk9u8Q=")</f>
        <v>#REF!</v>
      </c>
      <c r="GP134" t="e">
        <f>AND(Bills!#REF!,"AAAAADk9u8U=")</f>
        <v>#REF!</v>
      </c>
      <c r="GQ134" t="e">
        <f>AND(Bills!#REF!,"AAAAADk9u8Y=")</f>
        <v>#REF!</v>
      </c>
      <c r="GR134" t="e">
        <f>AND(Bills!#REF!,"AAAAADk9u8c=")</f>
        <v>#REF!</v>
      </c>
      <c r="GS134" t="e">
        <f>AND(Bills!#REF!,"AAAAADk9u8g=")</f>
        <v>#REF!</v>
      </c>
      <c r="GT134" t="e">
        <f>AND(Bills!#REF!,"AAAAADk9u8k=")</f>
        <v>#REF!</v>
      </c>
      <c r="GU134" t="e">
        <f>AND(Bills!#REF!,"AAAAADk9u8o=")</f>
        <v>#REF!</v>
      </c>
      <c r="GV134" t="e">
        <f>AND(Bills!#REF!,"AAAAADk9u8s=")</f>
        <v>#REF!</v>
      </c>
      <c r="GW134" t="e">
        <f>AND(Bills!Y442,"AAAAADk9u8w=")</f>
        <v>#VALUE!</v>
      </c>
      <c r="GX134" t="e">
        <f>AND(Bills!Z442,"AAAAADk9u80=")</f>
        <v>#VALUE!</v>
      </c>
      <c r="GY134" t="e">
        <f>AND(Bills!#REF!,"AAAAADk9u84=")</f>
        <v>#REF!</v>
      </c>
      <c r="GZ134" t="e">
        <f>AND(Bills!#REF!,"AAAAADk9u88=")</f>
        <v>#REF!</v>
      </c>
      <c r="HA134" t="e">
        <f>AND(Bills!#REF!,"AAAAADk9u9A=")</f>
        <v>#REF!</v>
      </c>
      <c r="HB134" t="e">
        <f>AND(Bills!AA442,"AAAAADk9u9E=")</f>
        <v>#VALUE!</v>
      </c>
      <c r="HC134" t="e">
        <f>AND(Bills!AB442,"AAAAADk9u9I=")</f>
        <v>#VALUE!</v>
      </c>
      <c r="HD134" t="e">
        <f>AND(Bills!#REF!,"AAAAADk9u9M=")</f>
        <v>#REF!</v>
      </c>
      <c r="HE134">
        <f>IF(Bills!443:443,"AAAAADk9u9Q=",0)</f>
        <v>0</v>
      </c>
      <c r="HF134" t="e">
        <f>AND(Bills!B443,"AAAAADk9u9U=")</f>
        <v>#VALUE!</v>
      </c>
      <c r="HG134" t="e">
        <f>AND(Bills!#REF!,"AAAAADk9u9Y=")</f>
        <v>#REF!</v>
      </c>
      <c r="HH134" t="e">
        <f>AND(Bills!C443,"AAAAADk9u9c=")</f>
        <v>#VALUE!</v>
      </c>
      <c r="HI134" t="e">
        <f>AND(Bills!#REF!,"AAAAADk9u9g=")</f>
        <v>#REF!</v>
      </c>
      <c r="HJ134" t="e">
        <f>AND(Bills!#REF!,"AAAAADk9u9k=")</f>
        <v>#REF!</v>
      </c>
      <c r="HK134" t="e">
        <f>AND(Bills!#REF!,"AAAAADk9u9o=")</f>
        <v>#REF!</v>
      </c>
      <c r="HL134" t="e">
        <f>AND(Bills!#REF!,"AAAAADk9u9s=")</f>
        <v>#REF!</v>
      </c>
      <c r="HM134" t="e">
        <f>AND(Bills!#REF!,"AAAAADk9u9w=")</f>
        <v>#REF!</v>
      </c>
      <c r="HN134" t="e">
        <f>AND(Bills!D443,"AAAAADk9u90=")</f>
        <v>#VALUE!</v>
      </c>
      <c r="HO134" t="e">
        <f>AND(Bills!#REF!,"AAAAADk9u94=")</f>
        <v>#REF!</v>
      </c>
      <c r="HP134" t="e">
        <f>AND(Bills!E443,"AAAAADk9u98=")</f>
        <v>#VALUE!</v>
      </c>
      <c r="HQ134" t="e">
        <f>AND(Bills!F443,"AAAAADk9u+A=")</f>
        <v>#VALUE!</v>
      </c>
      <c r="HR134" t="e">
        <f>AND(Bills!G443,"AAAAADk9u+E=")</f>
        <v>#VALUE!</v>
      </c>
      <c r="HS134" t="e">
        <f>AND(Bills!H443,"AAAAADk9u+I=")</f>
        <v>#VALUE!</v>
      </c>
      <c r="HT134" t="e">
        <f>AND(Bills!I443,"AAAAADk9u+M=")</f>
        <v>#VALUE!</v>
      </c>
      <c r="HU134" t="e">
        <f>AND(Bills!J443,"AAAAADk9u+Q=")</f>
        <v>#VALUE!</v>
      </c>
      <c r="HV134" t="e">
        <f>AND(Bills!#REF!,"AAAAADk9u+U=")</f>
        <v>#REF!</v>
      </c>
      <c r="HW134" t="e">
        <f>AND(Bills!K443,"AAAAADk9u+Y=")</f>
        <v>#VALUE!</v>
      </c>
      <c r="HX134" t="e">
        <f>AND(Bills!L443,"AAAAADk9u+c=")</f>
        <v>#VALUE!</v>
      </c>
      <c r="HY134" t="e">
        <f>AND(Bills!M443,"AAAAADk9u+g=")</f>
        <v>#VALUE!</v>
      </c>
      <c r="HZ134" t="e">
        <f>AND(Bills!N443,"AAAAADk9u+k=")</f>
        <v>#VALUE!</v>
      </c>
      <c r="IA134" t="e">
        <f>AND(Bills!O443,"AAAAADk9u+o=")</f>
        <v>#VALUE!</v>
      </c>
      <c r="IB134" t="e">
        <f>AND(Bills!P443,"AAAAADk9u+s=")</f>
        <v>#VALUE!</v>
      </c>
      <c r="IC134" t="e">
        <f>AND(Bills!Q443,"AAAAADk9u+w=")</f>
        <v>#VALUE!</v>
      </c>
      <c r="ID134" t="e">
        <f>AND(Bills!R443,"AAAAADk9u+0=")</f>
        <v>#VALUE!</v>
      </c>
      <c r="IE134" t="e">
        <f>AND(Bills!#REF!,"AAAAADk9u+4=")</f>
        <v>#REF!</v>
      </c>
      <c r="IF134" t="e">
        <f>AND(Bills!S443,"AAAAADk9u+8=")</f>
        <v>#VALUE!</v>
      </c>
      <c r="IG134" t="e">
        <f>AND(Bills!T443,"AAAAADk9u/A=")</f>
        <v>#VALUE!</v>
      </c>
      <c r="IH134" t="e">
        <f>AND(Bills!U443,"AAAAADk9u/E=")</f>
        <v>#VALUE!</v>
      </c>
      <c r="II134" t="e">
        <f>AND(Bills!#REF!,"AAAAADk9u/I=")</f>
        <v>#REF!</v>
      </c>
      <c r="IJ134" t="e">
        <f>AND(Bills!#REF!,"AAAAADk9u/M=")</f>
        <v>#REF!</v>
      </c>
      <c r="IK134" t="e">
        <f>AND(Bills!W443,"AAAAADk9u/Q=")</f>
        <v>#VALUE!</v>
      </c>
      <c r="IL134" t="e">
        <f>AND(Bills!X443,"AAAAADk9u/U=")</f>
        <v>#VALUE!</v>
      </c>
      <c r="IM134" t="e">
        <f>AND(Bills!#REF!,"AAAAADk9u/Y=")</f>
        <v>#REF!</v>
      </c>
      <c r="IN134" t="e">
        <f>AND(Bills!#REF!,"AAAAADk9u/c=")</f>
        <v>#REF!</v>
      </c>
      <c r="IO134" t="e">
        <f>AND(Bills!#REF!,"AAAAADk9u/g=")</f>
        <v>#REF!</v>
      </c>
      <c r="IP134" t="e">
        <f>AND(Bills!#REF!,"AAAAADk9u/k=")</f>
        <v>#REF!</v>
      </c>
      <c r="IQ134" t="e">
        <f>AND(Bills!#REF!,"AAAAADk9u/o=")</f>
        <v>#REF!</v>
      </c>
      <c r="IR134" t="e">
        <f>AND(Bills!#REF!,"AAAAADk9u/s=")</f>
        <v>#REF!</v>
      </c>
      <c r="IS134" t="e">
        <f>AND(Bills!#REF!,"AAAAADk9u/w=")</f>
        <v>#REF!</v>
      </c>
      <c r="IT134" t="e">
        <f>AND(Bills!#REF!,"AAAAADk9u/0=")</f>
        <v>#REF!</v>
      </c>
      <c r="IU134" t="e">
        <f>AND(Bills!#REF!,"AAAAADk9u/4=")</f>
        <v>#REF!</v>
      </c>
      <c r="IV134" t="e">
        <f>AND(Bills!Y443,"AAAAADk9u/8=")</f>
        <v>#VALUE!</v>
      </c>
    </row>
    <row r="135" spans="1:256">
      <c r="A135" t="e">
        <f>AND(Bills!Z443,"AAAAAH/c9wA=")</f>
        <v>#VALUE!</v>
      </c>
      <c r="B135" t="e">
        <f>AND(Bills!#REF!,"AAAAAH/c9wE=")</f>
        <v>#REF!</v>
      </c>
      <c r="C135" t="e">
        <f>AND(Bills!#REF!,"AAAAAH/c9wI=")</f>
        <v>#REF!</v>
      </c>
      <c r="D135" t="e">
        <f>AND(Bills!#REF!,"AAAAAH/c9wM=")</f>
        <v>#REF!</v>
      </c>
      <c r="E135" t="e">
        <f>AND(Bills!AA443,"AAAAAH/c9wQ=")</f>
        <v>#VALUE!</v>
      </c>
      <c r="F135" t="e">
        <f>AND(Bills!AB443,"AAAAAH/c9wU=")</f>
        <v>#VALUE!</v>
      </c>
      <c r="G135" t="e">
        <f>AND(Bills!#REF!,"AAAAAH/c9wY=")</f>
        <v>#REF!</v>
      </c>
      <c r="H135">
        <f>IF(Bills!444:444,"AAAAAH/c9wc=",0)</f>
        <v>0</v>
      </c>
      <c r="I135" t="e">
        <f>AND(Bills!B444,"AAAAAH/c9wg=")</f>
        <v>#VALUE!</v>
      </c>
      <c r="J135" t="e">
        <f>AND(Bills!#REF!,"AAAAAH/c9wk=")</f>
        <v>#REF!</v>
      </c>
      <c r="K135" t="e">
        <f>AND(Bills!C444,"AAAAAH/c9wo=")</f>
        <v>#VALUE!</v>
      </c>
      <c r="L135" t="e">
        <f>AND(Bills!#REF!,"AAAAAH/c9ws=")</f>
        <v>#REF!</v>
      </c>
      <c r="M135" t="e">
        <f>AND(Bills!#REF!,"AAAAAH/c9ww=")</f>
        <v>#REF!</v>
      </c>
      <c r="N135" t="e">
        <f>AND(Bills!#REF!,"AAAAAH/c9w0=")</f>
        <v>#REF!</v>
      </c>
      <c r="O135" t="e">
        <f>AND(Bills!#REF!,"AAAAAH/c9w4=")</f>
        <v>#REF!</v>
      </c>
      <c r="P135" t="e">
        <f>AND(Bills!#REF!,"AAAAAH/c9w8=")</f>
        <v>#REF!</v>
      </c>
      <c r="Q135" t="e">
        <f>AND(Bills!D444,"AAAAAH/c9xA=")</f>
        <v>#VALUE!</v>
      </c>
      <c r="R135" t="e">
        <f>AND(Bills!#REF!,"AAAAAH/c9xE=")</f>
        <v>#REF!</v>
      </c>
      <c r="S135" t="e">
        <f>AND(Bills!E444,"AAAAAH/c9xI=")</f>
        <v>#VALUE!</v>
      </c>
      <c r="T135" t="e">
        <f>AND(Bills!F444,"AAAAAH/c9xM=")</f>
        <v>#VALUE!</v>
      </c>
      <c r="U135" t="e">
        <f>AND(Bills!G444,"AAAAAH/c9xQ=")</f>
        <v>#VALUE!</v>
      </c>
      <c r="V135" t="e">
        <f>AND(Bills!H444,"AAAAAH/c9xU=")</f>
        <v>#VALUE!</v>
      </c>
      <c r="W135" t="e">
        <f>AND(Bills!I444,"AAAAAH/c9xY=")</f>
        <v>#VALUE!</v>
      </c>
      <c r="X135" t="e">
        <f>AND(Bills!J444,"AAAAAH/c9xc=")</f>
        <v>#VALUE!</v>
      </c>
      <c r="Y135" t="e">
        <f>AND(Bills!#REF!,"AAAAAH/c9xg=")</f>
        <v>#REF!</v>
      </c>
      <c r="Z135" t="e">
        <f>AND(Bills!K444,"AAAAAH/c9xk=")</f>
        <v>#VALUE!</v>
      </c>
      <c r="AA135" t="e">
        <f>AND(Bills!L444,"AAAAAH/c9xo=")</f>
        <v>#VALUE!</v>
      </c>
      <c r="AB135" t="e">
        <f>AND(Bills!M444,"AAAAAH/c9xs=")</f>
        <v>#VALUE!</v>
      </c>
      <c r="AC135" t="e">
        <f>AND(Bills!N444,"AAAAAH/c9xw=")</f>
        <v>#VALUE!</v>
      </c>
      <c r="AD135" t="e">
        <f>AND(Bills!O444,"AAAAAH/c9x0=")</f>
        <v>#VALUE!</v>
      </c>
      <c r="AE135" t="e">
        <f>AND(Bills!P444,"AAAAAH/c9x4=")</f>
        <v>#VALUE!</v>
      </c>
      <c r="AF135" t="e">
        <f>AND(Bills!Q444,"AAAAAH/c9x8=")</f>
        <v>#VALUE!</v>
      </c>
      <c r="AG135" t="e">
        <f>AND(Bills!R444,"AAAAAH/c9yA=")</f>
        <v>#VALUE!</v>
      </c>
      <c r="AH135" t="e">
        <f>AND(Bills!#REF!,"AAAAAH/c9yE=")</f>
        <v>#REF!</v>
      </c>
      <c r="AI135" t="e">
        <f>AND(Bills!S444,"AAAAAH/c9yI=")</f>
        <v>#VALUE!</v>
      </c>
      <c r="AJ135" t="e">
        <f>AND(Bills!T444,"AAAAAH/c9yM=")</f>
        <v>#VALUE!</v>
      </c>
      <c r="AK135" t="e">
        <f>AND(Bills!U444,"AAAAAH/c9yQ=")</f>
        <v>#VALUE!</v>
      </c>
      <c r="AL135" t="e">
        <f>AND(Bills!#REF!,"AAAAAH/c9yU=")</f>
        <v>#REF!</v>
      </c>
      <c r="AM135" t="e">
        <f>AND(Bills!#REF!,"AAAAAH/c9yY=")</f>
        <v>#REF!</v>
      </c>
      <c r="AN135" t="e">
        <f>AND(Bills!W444,"AAAAAH/c9yc=")</f>
        <v>#VALUE!</v>
      </c>
      <c r="AO135" t="e">
        <f>AND(Bills!X444,"AAAAAH/c9yg=")</f>
        <v>#VALUE!</v>
      </c>
      <c r="AP135" t="e">
        <f>AND(Bills!#REF!,"AAAAAH/c9yk=")</f>
        <v>#REF!</v>
      </c>
      <c r="AQ135" t="e">
        <f>AND(Bills!#REF!,"AAAAAH/c9yo=")</f>
        <v>#REF!</v>
      </c>
      <c r="AR135" t="e">
        <f>AND(Bills!#REF!,"AAAAAH/c9ys=")</f>
        <v>#REF!</v>
      </c>
      <c r="AS135" t="e">
        <f>AND(Bills!#REF!,"AAAAAH/c9yw=")</f>
        <v>#REF!</v>
      </c>
      <c r="AT135" t="e">
        <f>AND(Bills!#REF!,"AAAAAH/c9y0=")</f>
        <v>#REF!</v>
      </c>
      <c r="AU135" t="e">
        <f>AND(Bills!#REF!,"AAAAAH/c9y4=")</f>
        <v>#REF!</v>
      </c>
      <c r="AV135" t="e">
        <f>AND(Bills!#REF!,"AAAAAH/c9y8=")</f>
        <v>#REF!</v>
      </c>
      <c r="AW135" t="e">
        <f>AND(Bills!#REF!,"AAAAAH/c9zA=")</f>
        <v>#REF!</v>
      </c>
      <c r="AX135" t="e">
        <f>AND(Bills!#REF!,"AAAAAH/c9zE=")</f>
        <v>#REF!</v>
      </c>
      <c r="AY135" t="e">
        <f>AND(Bills!Y444,"AAAAAH/c9zI=")</f>
        <v>#VALUE!</v>
      </c>
      <c r="AZ135" t="e">
        <f>AND(Bills!Z444,"AAAAAH/c9zM=")</f>
        <v>#VALUE!</v>
      </c>
      <c r="BA135" t="e">
        <f>AND(Bills!#REF!,"AAAAAH/c9zQ=")</f>
        <v>#REF!</v>
      </c>
      <c r="BB135" t="e">
        <f>AND(Bills!#REF!,"AAAAAH/c9zU=")</f>
        <v>#REF!</v>
      </c>
      <c r="BC135" t="e">
        <f>AND(Bills!#REF!,"AAAAAH/c9zY=")</f>
        <v>#REF!</v>
      </c>
      <c r="BD135" t="e">
        <f>AND(Bills!AA444,"AAAAAH/c9zc=")</f>
        <v>#VALUE!</v>
      </c>
      <c r="BE135" t="e">
        <f>AND(Bills!AB444,"AAAAAH/c9zg=")</f>
        <v>#VALUE!</v>
      </c>
      <c r="BF135" t="e">
        <f>AND(Bills!#REF!,"AAAAAH/c9zk=")</f>
        <v>#REF!</v>
      </c>
      <c r="BG135">
        <f>IF(Bills!445:445,"AAAAAH/c9zo=",0)</f>
        <v>0</v>
      </c>
      <c r="BH135" t="e">
        <f>AND(Bills!B445,"AAAAAH/c9zs=")</f>
        <v>#VALUE!</v>
      </c>
      <c r="BI135" t="e">
        <f>AND(Bills!#REF!,"AAAAAH/c9zw=")</f>
        <v>#REF!</v>
      </c>
      <c r="BJ135" t="e">
        <f>AND(Bills!C445,"AAAAAH/c9z0=")</f>
        <v>#VALUE!</v>
      </c>
      <c r="BK135" t="e">
        <f>AND(Bills!#REF!,"AAAAAH/c9z4=")</f>
        <v>#REF!</v>
      </c>
      <c r="BL135" t="e">
        <f>AND(Bills!#REF!,"AAAAAH/c9z8=")</f>
        <v>#REF!</v>
      </c>
      <c r="BM135" t="e">
        <f>AND(Bills!#REF!,"AAAAAH/c90A=")</f>
        <v>#REF!</v>
      </c>
      <c r="BN135" t="e">
        <f>AND(Bills!#REF!,"AAAAAH/c90E=")</f>
        <v>#REF!</v>
      </c>
      <c r="BO135" t="e">
        <f>AND(Bills!#REF!,"AAAAAH/c90I=")</f>
        <v>#REF!</v>
      </c>
      <c r="BP135" t="e">
        <f>AND(Bills!D445,"AAAAAH/c90M=")</f>
        <v>#VALUE!</v>
      </c>
      <c r="BQ135" t="e">
        <f>AND(Bills!#REF!,"AAAAAH/c90Q=")</f>
        <v>#REF!</v>
      </c>
      <c r="BR135" t="e">
        <f>AND(Bills!E445,"AAAAAH/c90U=")</f>
        <v>#VALUE!</v>
      </c>
      <c r="BS135" t="e">
        <f>AND(Bills!F445,"AAAAAH/c90Y=")</f>
        <v>#VALUE!</v>
      </c>
      <c r="BT135" t="e">
        <f>AND(Bills!G445,"AAAAAH/c90c=")</f>
        <v>#VALUE!</v>
      </c>
      <c r="BU135" t="e">
        <f>AND(Bills!H445,"AAAAAH/c90g=")</f>
        <v>#VALUE!</v>
      </c>
      <c r="BV135" t="e">
        <f>AND(Bills!I445,"AAAAAH/c90k=")</f>
        <v>#VALUE!</v>
      </c>
      <c r="BW135" t="e">
        <f>AND(Bills!J445,"AAAAAH/c90o=")</f>
        <v>#VALUE!</v>
      </c>
      <c r="BX135" t="e">
        <f>AND(Bills!#REF!,"AAAAAH/c90s=")</f>
        <v>#REF!</v>
      </c>
      <c r="BY135" t="e">
        <f>AND(Bills!K445,"AAAAAH/c90w=")</f>
        <v>#VALUE!</v>
      </c>
      <c r="BZ135" t="e">
        <f>AND(Bills!L445,"AAAAAH/c900=")</f>
        <v>#VALUE!</v>
      </c>
      <c r="CA135" t="e">
        <f>AND(Bills!M445,"AAAAAH/c904=")</f>
        <v>#VALUE!</v>
      </c>
      <c r="CB135" t="e">
        <f>AND(Bills!N445,"AAAAAH/c908=")</f>
        <v>#VALUE!</v>
      </c>
      <c r="CC135" t="e">
        <f>AND(Bills!O445,"AAAAAH/c91A=")</f>
        <v>#VALUE!</v>
      </c>
      <c r="CD135" t="e">
        <f>AND(Bills!P445,"AAAAAH/c91E=")</f>
        <v>#VALUE!</v>
      </c>
      <c r="CE135" t="e">
        <f>AND(Bills!Q445,"AAAAAH/c91I=")</f>
        <v>#VALUE!</v>
      </c>
      <c r="CF135" t="e">
        <f>AND(Bills!R445,"AAAAAH/c91M=")</f>
        <v>#VALUE!</v>
      </c>
      <c r="CG135" t="e">
        <f>AND(Bills!#REF!,"AAAAAH/c91Q=")</f>
        <v>#REF!</v>
      </c>
      <c r="CH135" t="e">
        <f>AND(Bills!S445,"AAAAAH/c91U=")</f>
        <v>#VALUE!</v>
      </c>
      <c r="CI135" t="e">
        <f>AND(Bills!T445,"AAAAAH/c91Y=")</f>
        <v>#VALUE!</v>
      </c>
      <c r="CJ135" t="e">
        <f>AND(Bills!U445,"AAAAAH/c91c=")</f>
        <v>#VALUE!</v>
      </c>
      <c r="CK135" t="e">
        <f>AND(Bills!#REF!,"AAAAAH/c91g=")</f>
        <v>#REF!</v>
      </c>
      <c r="CL135" t="e">
        <f>AND(Bills!#REF!,"AAAAAH/c91k=")</f>
        <v>#REF!</v>
      </c>
      <c r="CM135" t="e">
        <f>AND(Bills!W445,"AAAAAH/c91o=")</f>
        <v>#VALUE!</v>
      </c>
      <c r="CN135" t="e">
        <f>AND(Bills!X445,"AAAAAH/c91s=")</f>
        <v>#VALUE!</v>
      </c>
      <c r="CO135" t="e">
        <f>AND(Bills!#REF!,"AAAAAH/c91w=")</f>
        <v>#REF!</v>
      </c>
      <c r="CP135" t="e">
        <f>AND(Bills!#REF!,"AAAAAH/c910=")</f>
        <v>#REF!</v>
      </c>
      <c r="CQ135" t="e">
        <f>AND(Bills!#REF!,"AAAAAH/c914=")</f>
        <v>#REF!</v>
      </c>
      <c r="CR135" t="e">
        <f>AND(Bills!#REF!,"AAAAAH/c918=")</f>
        <v>#REF!</v>
      </c>
      <c r="CS135" t="e">
        <f>AND(Bills!#REF!,"AAAAAH/c92A=")</f>
        <v>#REF!</v>
      </c>
      <c r="CT135" t="e">
        <f>AND(Bills!#REF!,"AAAAAH/c92E=")</f>
        <v>#REF!</v>
      </c>
      <c r="CU135" t="e">
        <f>AND(Bills!#REF!,"AAAAAH/c92I=")</f>
        <v>#REF!</v>
      </c>
      <c r="CV135" t="e">
        <f>AND(Bills!#REF!,"AAAAAH/c92M=")</f>
        <v>#REF!</v>
      </c>
      <c r="CW135" t="e">
        <f>AND(Bills!#REF!,"AAAAAH/c92Q=")</f>
        <v>#REF!</v>
      </c>
      <c r="CX135" t="e">
        <f>AND(Bills!Y445,"AAAAAH/c92U=")</f>
        <v>#VALUE!</v>
      </c>
      <c r="CY135" t="e">
        <f>AND(Bills!Z445,"AAAAAH/c92Y=")</f>
        <v>#VALUE!</v>
      </c>
      <c r="CZ135" t="e">
        <f>AND(Bills!#REF!,"AAAAAH/c92c=")</f>
        <v>#REF!</v>
      </c>
      <c r="DA135" t="e">
        <f>AND(Bills!#REF!,"AAAAAH/c92g=")</f>
        <v>#REF!</v>
      </c>
      <c r="DB135" t="e">
        <f>AND(Bills!#REF!,"AAAAAH/c92k=")</f>
        <v>#REF!</v>
      </c>
      <c r="DC135" t="e">
        <f>AND(Bills!AA445,"AAAAAH/c92o=")</f>
        <v>#VALUE!</v>
      </c>
      <c r="DD135" t="e">
        <f>AND(Bills!AB445,"AAAAAH/c92s=")</f>
        <v>#VALUE!</v>
      </c>
      <c r="DE135" t="e">
        <f>AND(Bills!#REF!,"AAAAAH/c92w=")</f>
        <v>#REF!</v>
      </c>
      <c r="DF135">
        <f>IF(Bills!446:446,"AAAAAH/c920=",0)</f>
        <v>0</v>
      </c>
      <c r="DG135" t="e">
        <f>AND(Bills!B446,"AAAAAH/c924=")</f>
        <v>#VALUE!</v>
      </c>
      <c r="DH135" t="e">
        <f>AND(Bills!#REF!,"AAAAAH/c928=")</f>
        <v>#REF!</v>
      </c>
      <c r="DI135" t="e">
        <f>AND(Bills!C446,"AAAAAH/c93A=")</f>
        <v>#VALUE!</v>
      </c>
      <c r="DJ135" t="e">
        <f>AND(Bills!#REF!,"AAAAAH/c93E=")</f>
        <v>#REF!</v>
      </c>
      <c r="DK135" t="e">
        <f>AND(Bills!#REF!,"AAAAAH/c93I=")</f>
        <v>#REF!</v>
      </c>
      <c r="DL135" t="e">
        <f>AND(Bills!#REF!,"AAAAAH/c93M=")</f>
        <v>#REF!</v>
      </c>
      <c r="DM135" t="e">
        <f>AND(Bills!#REF!,"AAAAAH/c93Q=")</f>
        <v>#REF!</v>
      </c>
      <c r="DN135" t="e">
        <f>AND(Bills!#REF!,"AAAAAH/c93U=")</f>
        <v>#REF!</v>
      </c>
      <c r="DO135" t="e">
        <f>AND(Bills!D446,"AAAAAH/c93Y=")</f>
        <v>#VALUE!</v>
      </c>
      <c r="DP135" t="e">
        <f>AND(Bills!#REF!,"AAAAAH/c93c=")</f>
        <v>#REF!</v>
      </c>
      <c r="DQ135" t="e">
        <f>AND(Bills!E446,"AAAAAH/c93g=")</f>
        <v>#VALUE!</v>
      </c>
      <c r="DR135" t="e">
        <f>AND(Bills!F446,"AAAAAH/c93k=")</f>
        <v>#VALUE!</v>
      </c>
      <c r="DS135" t="e">
        <f>AND(Bills!G446,"AAAAAH/c93o=")</f>
        <v>#VALUE!</v>
      </c>
      <c r="DT135" t="e">
        <f>AND(Bills!H446,"AAAAAH/c93s=")</f>
        <v>#VALUE!</v>
      </c>
      <c r="DU135" t="e">
        <f>AND(Bills!I446,"AAAAAH/c93w=")</f>
        <v>#VALUE!</v>
      </c>
      <c r="DV135" t="e">
        <f>AND(Bills!J446,"AAAAAH/c930=")</f>
        <v>#VALUE!</v>
      </c>
      <c r="DW135" t="e">
        <f>AND(Bills!#REF!,"AAAAAH/c934=")</f>
        <v>#REF!</v>
      </c>
      <c r="DX135" t="e">
        <f>AND(Bills!K446,"AAAAAH/c938=")</f>
        <v>#VALUE!</v>
      </c>
      <c r="DY135" t="e">
        <f>AND(Bills!L446,"AAAAAH/c94A=")</f>
        <v>#VALUE!</v>
      </c>
      <c r="DZ135" t="e">
        <f>AND(Bills!M446,"AAAAAH/c94E=")</f>
        <v>#VALUE!</v>
      </c>
      <c r="EA135" t="e">
        <f>AND(Bills!N446,"AAAAAH/c94I=")</f>
        <v>#VALUE!</v>
      </c>
      <c r="EB135" t="e">
        <f>AND(Bills!O446,"AAAAAH/c94M=")</f>
        <v>#VALUE!</v>
      </c>
      <c r="EC135" t="e">
        <f>AND(Bills!P446,"AAAAAH/c94Q=")</f>
        <v>#VALUE!</v>
      </c>
      <c r="ED135" t="e">
        <f>AND(Bills!Q446,"AAAAAH/c94U=")</f>
        <v>#VALUE!</v>
      </c>
      <c r="EE135" t="e">
        <f>AND(Bills!R446,"AAAAAH/c94Y=")</f>
        <v>#VALUE!</v>
      </c>
      <c r="EF135" t="e">
        <f>AND(Bills!#REF!,"AAAAAH/c94c=")</f>
        <v>#REF!</v>
      </c>
      <c r="EG135" t="e">
        <f>AND(Bills!S446,"AAAAAH/c94g=")</f>
        <v>#VALUE!</v>
      </c>
      <c r="EH135" t="e">
        <f>AND(Bills!T446,"AAAAAH/c94k=")</f>
        <v>#VALUE!</v>
      </c>
      <c r="EI135" t="e">
        <f>AND(Bills!U446,"AAAAAH/c94o=")</f>
        <v>#VALUE!</v>
      </c>
      <c r="EJ135" t="e">
        <f>AND(Bills!#REF!,"AAAAAH/c94s=")</f>
        <v>#REF!</v>
      </c>
      <c r="EK135" t="e">
        <f>AND(Bills!#REF!,"AAAAAH/c94w=")</f>
        <v>#REF!</v>
      </c>
      <c r="EL135" t="e">
        <f>AND(Bills!W446,"AAAAAH/c940=")</f>
        <v>#VALUE!</v>
      </c>
      <c r="EM135" t="e">
        <f>AND(Bills!X446,"AAAAAH/c944=")</f>
        <v>#VALUE!</v>
      </c>
      <c r="EN135" t="e">
        <f>AND(Bills!#REF!,"AAAAAH/c948=")</f>
        <v>#REF!</v>
      </c>
      <c r="EO135" t="e">
        <f>AND(Bills!#REF!,"AAAAAH/c95A=")</f>
        <v>#REF!</v>
      </c>
      <c r="EP135" t="e">
        <f>AND(Bills!#REF!,"AAAAAH/c95E=")</f>
        <v>#REF!</v>
      </c>
      <c r="EQ135" t="e">
        <f>AND(Bills!#REF!,"AAAAAH/c95I=")</f>
        <v>#REF!</v>
      </c>
      <c r="ER135" t="e">
        <f>AND(Bills!#REF!,"AAAAAH/c95M=")</f>
        <v>#REF!</v>
      </c>
      <c r="ES135" t="e">
        <f>AND(Bills!#REF!,"AAAAAH/c95Q=")</f>
        <v>#REF!</v>
      </c>
      <c r="ET135" t="e">
        <f>AND(Bills!#REF!,"AAAAAH/c95U=")</f>
        <v>#REF!</v>
      </c>
      <c r="EU135" t="e">
        <f>AND(Bills!#REF!,"AAAAAH/c95Y=")</f>
        <v>#REF!</v>
      </c>
      <c r="EV135" t="e">
        <f>AND(Bills!#REF!,"AAAAAH/c95c=")</f>
        <v>#REF!</v>
      </c>
      <c r="EW135" t="e">
        <f>AND(Bills!Y446,"AAAAAH/c95g=")</f>
        <v>#VALUE!</v>
      </c>
      <c r="EX135" t="e">
        <f>AND(Bills!Z446,"AAAAAH/c95k=")</f>
        <v>#VALUE!</v>
      </c>
      <c r="EY135" t="e">
        <f>AND(Bills!#REF!,"AAAAAH/c95o=")</f>
        <v>#REF!</v>
      </c>
      <c r="EZ135" t="e">
        <f>AND(Bills!#REF!,"AAAAAH/c95s=")</f>
        <v>#REF!</v>
      </c>
      <c r="FA135" t="e">
        <f>AND(Bills!#REF!,"AAAAAH/c95w=")</f>
        <v>#REF!</v>
      </c>
      <c r="FB135" t="e">
        <f>AND(Bills!AA446,"AAAAAH/c950=")</f>
        <v>#VALUE!</v>
      </c>
      <c r="FC135" t="e">
        <f>AND(Bills!AB446,"AAAAAH/c954=")</f>
        <v>#VALUE!</v>
      </c>
      <c r="FD135" t="e">
        <f>AND(Bills!#REF!,"AAAAAH/c958=")</f>
        <v>#REF!</v>
      </c>
      <c r="FE135">
        <f>IF(Bills!447:447,"AAAAAH/c96A=",0)</f>
        <v>0</v>
      </c>
      <c r="FF135" t="e">
        <f>AND(Bills!B447,"AAAAAH/c96E=")</f>
        <v>#VALUE!</v>
      </c>
      <c r="FG135" t="e">
        <f>AND(Bills!#REF!,"AAAAAH/c96I=")</f>
        <v>#REF!</v>
      </c>
      <c r="FH135" t="e">
        <f>AND(Bills!C447,"AAAAAH/c96M=")</f>
        <v>#VALUE!</v>
      </c>
      <c r="FI135" t="e">
        <f>AND(Bills!#REF!,"AAAAAH/c96Q=")</f>
        <v>#REF!</v>
      </c>
      <c r="FJ135" t="e">
        <f>AND(Bills!#REF!,"AAAAAH/c96U=")</f>
        <v>#REF!</v>
      </c>
      <c r="FK135" t="e">
        <f>AND(Bills!#REF!,"AAAAAH/c96Y=")</f>
        <v>#REF!</v>
      </c>
      <c r="FL135" t="e">
        <f>AND(Bills!#REF!,"AAAAAH/c96c=")</f>
        <v>#REF!</v>
      </c>
      <c r="FM135" t="e">
        <f>AND(Bills!#REF!,"AAAAAH/c96g=")</f>
        <v>#REF!</v>
      </c>
      <c r="FN135" t="e">
        <f>AND(Bills!D447,"AAAAAH/c96k=")</f>
        <v>#VALUE!</v>
      </c>
      <c r="FO135" t="e">
        <f>AND(Bills!#REF!,"AAAAAH/c96o=")</f>
        <v>#REF!</v>
      </c>
      <c r="FP135" t="e">
        <f>AND(Bills!E447,"AAAAAH/c96s=")</f>
        <v>#VALUE!</v>
      </c>
      <c r="FQ135" t="e">
        <f>AND(Bills!F447,"AAAAAH/c96w=")</f>
        <v>#VALUE!</v>
      </c>
      <c r="FR135" t="e">
        <f>AND(Bills!G447,"AAAAAH/c960=")</f>
        <v>#VALUE!</v>
      </c>
      <c r="FS135" t="e">
        <f>AND(Bills!H447,"AAAAAH/c964=")</f>
        <v>#VALUE!</v>
      </c>
      <c r="FT135" t="e">
        <f>AND(Bills!I447,"AAAAAH/c968=")</f>
        <v>#VALUE!</v>
      </c>
      <c r="FU135" t="e">
        <f>AND(Bills!J447,"AAAAAH/c97A=")</f>
        <v>#VALUE!</v>
      </c>
      <c r="FV135" t="e">
        <f>AND(Bills!#REF!,"AAAAAH/c97E=")</f>
        <v>#REF!</v>
      </c>
      <c r="FW135" t="e">
        <f>AND(Bills!K447,"AAAAAH/c97I=")</f>
        <v>#VALUE!</v>
      </c>
      <c r="FX135" t="e">
        <f>AND(Bills!L447,"AAAAAH/c97M=")</f>
        <v>#VALUE!</v>
      </c>
      <c r="FY135" t="e">
        <f>AND(Bills!M447,"AAAAAH/c97Q=")</f>
        <v>#VALUE!</v>
      </c>
      <c r="FZ135" t="e">
        <f>AND(Bills!N447,"AAAAAH/c97U=")</f>
        <v>#VALUE!</v>
      </c>
      <c r="GA135" t="e">
        <f>AND(Bills!O447,"AAAAAH/c97Y=")</f>
        <v>#VALUE!</v>
      </c>
      <c r="GB135" t="e">
        <f>AND(Bills!P447,"AAAAAH/c97c=")</f>
        <v>#VALUE!</v>
      </c>
      <c r="GC135" t="e">
        <f>AND(Bills!Q447,"AAAAAH/c97g=")</f>
        <v>#VALUE!</v>
      </c>
      <c r="GD135" t="e">
        <f>AND(Bills!R447,"AAAAAH/c97k=")</f>
        <v>#VALUE!</v>
      </c>
      <c r="GE135" t="e">
        <f>AND(Bills!#REF!,"AAAAAH/c97o=")</f>
        <v>#REF!</v>
      </c>
      <c r="GF135" t="e">
        <f>AND(Bills!S447,"AAAAAH/c97s=")</f>
        <v>#VALUE!</v>
      </c>
      <c r="GG135" t="e">
        <f>AND(Bills!T447,"AAAAAH/c97w=")</f>
        <v>#VALUE!</v>
      </c>
      <c r="GH135" t="e">
        <f>AND(Bills!U447,"AAAAAH/c970=")</f>
        <v>#VALUE!</v>
      </c>
      <c r="GI135" t="e">
        <f>AND(Bills!#REF!,"AAAAAH/c974=")</f>
        <v>#REF!</v>
      </c>
      <c r="GJ135" t="e">
        <f>AND(Bills!#REF!,"AAAAAH/c978=")</f>
        <v>#REF!</v>
      </c>
      <c r="GK135" t="e">
        <f>AND(Bills!W447,"AAAAAH/c98A=")</f>
        <v>#VALUE!</v>
      </c>
      <c r="GL135" t="e">
        <f>AND(Bills!X447,"AAAAAH/c98E=")</f>
        <v>#VALUE!</v>
      </c>
      <c r="GM135" t="e">
        <f>AND(Bills!#REF!,"AAAAAH/c98I=")</f>
        <v>#REF!</v>
      </c>
      <c r="GN135" t="e">
        <f>AND(Bills!#REF!,"AAAAAH/c98M=")</f>
        <v>#REF!</v>
      </c>
      <c r="GO135" t="e">
        <f>AND(Bills!#REF!,"AAAAAH/c98Q=")</f>
        <v>#REF!</v>
      </c>
      <c r="GP135" t="e">
        <f>AND(Bills!#REF!,"AAAAAH/c98U=")</f>
        <v>#REF!</v>
      </c>
      <c r="GQ135" t="e">
        <f>AND(Bills!#REF!,"AAAAAH/c98Y=")</f>
        <v>#REF!</v>
      </c>
      <c r="GR135" t="e">
        <f>AND(Bills!#REF!,"AAAAAH/c98c=")</f>
        <v>#REF!</v>
      </c>
      <c r="GS135" t="e">
        <f>AND(Bills!#REF!,"AAAAAH/c98g=")</f>
        <v>#REF!</v>
      </c>
      <c r="GT135" t="e">
        <f>AND(Bills!#REF!,"AAAAAH/c98k=")</f>
        <v>#REF!</v>
      </c>
      <c r="GU135" t="e">
        <f>AND(Bills!#REF!,"AAAAAH/c98o=")</f>
        <v>#REF!</v>
      </c>
      <c r="GV135" t="e">
        <f>AND(Bills!Y447,"AAAAAH/c98s=")</f>
        <v>#VALUE!</v>
      </c>
      <c r="GW135" t="e">
        <f>AND(Bills!Z447,"AAAAAH/c98w=")</f>
        <v>#VALUE!</v>
      </c>
      <c r="GX135" t="e">
        <f>AND(Bills!#REF!,"AAAAAH/c980=")</f>
        <v>#REF!</v>
      </c>
      <c r="GY135" t="e">
        <f>AND(Bills!#REF!,"AAAAAH/c984=")</f>
        <v>#REF!</v>
      </c>
      <c r="GZ135" t="e">
        <f>AND(Bills!#REF!,"AAAAAH/c988=")</f>
        <v>#REF!</v>
      </c>
      <c r="HA135" t="e">
        <f>AND(Bills!AA447,"AAAAAH/c99A=")</f>
        <v>#VALUE!</v>
      </c>
      <c r="HB135" t="e">
        <f>AND(Bills!AB447,"AAAAAH/c99E=")</f>
        <v>#VALUE!</v>
      </c>
      <c r="HC135" t="e">
        <f>AND(Bills!#REF!,"AAAAAH/c99I=")</f>
        <v>#REF!</v>
      </c>
      <c r="HD135">
        <f>IF(Bills!448:448,"AAAAAH/c99M=",0)</f>
        <v>0</v>
      </c>
      <c r="HE135" t="e">
        <f>AND(Bills!B448,"AAAAAH/c99Q=")</f>
        <v>#VALUE!</v>
      </c>
      <c r="HF135" t="e">
        <f>AND(Bills!#REF!,"AAAAAH/c99U=")</f>
        <v>#REF!</v>
      </c>
      <c r="HG135" t="e">
        <f>AND(Bills!C448,"AAAAAH/c99Y=")</f>
        <v>#VALUE!</v>
      </c>
      <c r="HH135" t="e">
        <f>AND(Bills!#REF!,"AAAAAH/c99c=")</f>
        <v>#REF!</v>
      </c>
      <c r="HI135" t="e">
        <f>AND(Bills!#REF!,"AAAAAH/c99g=")</f>
        <v>#REF!</v>
      </c>
      <c r="HJ135" t="e">
        <f>AND(Bills!#REF!,"AAAAAH/c99k=")</f>
        <v>#REF!</v>
      </c>
      <c r="HK135" t="e">
        <f>AND(Bills!#REF!,"AAAAAH/c99o=")</f>
        <v>#REF!</v>
      </c>
      <c r="HL135" t="e">
        <f>AND(Bills!#REF!,"AAAAAH/c99s=")</f>
        <v>#REF!</v>
      </c>
      <c r="HM135" t="e">
        <f>AND(Bills!D448,"AAAAAH/c99w=")</f>
        <v>#VALUE!</v>
      </c>
      <c r="HN135" t="e">
        <f>AND(Bills!#REF!,"AAAAAH/c990=")</f>
        <v>#REF!</v>
      </c>
      <c r="HO135" t="e">
        <f>AND(Bills!E448,"AAAAAH/c994=")</f>
        <v>#VALUE!</v>
      </c>
      <c r="HP135" t="e">
        <f>AND(Bills!F448,"AAAAAH/c998=")</f>
        <v>#VALUE!</v>
      </c>
      <c r="HQ135" t="e">
        <f>AND(Bills!G448,"AAAAAH/c9+A=")</f>
        <v>#VALUE!</v>
      </c>
      <c r="HR135" t="e">
        <f>AND(Bills!H448,"AAAAAH/c9+E=")</f>
        <v>#VALUE!</v>
      </c>
      <c r="HS135" t="e">
        <f>AND(Bills!I448,"AAAAAH/c9+I=")</f>
        <v>#VALUE!</v>
      </c>
      <c r="HT135" t="e">
        <f>AND(Bills!J448,"AAAAAH/c9+M=")</f>
        <v>#VALUE!</v>
      </c>
      <c r="HU135" t="e">
        <f>AND(Bills!#REF!,"AAAAAH/c9+Q=")</f>
        <v>#REF!</v>
      </c>
      <c r="HV135" t="e">
        <f>AND(Bills!K448,"AAAAAH/c9+U=")</f>
        <v>#VALUE!</v>
      </c>
      <c r="HW135" t="e">
        <f>AND(Bills!L448,"AAAAAH/c9+Y=")</f>
        <v>#VALUE!</v>
      </c>
      <c r="HX135" t="e">
        <f>AND(Bills!M448,"AAAAAH/c9+c=")</f>
        <v>#VALUE!</v>
      </c>
      <c r="HY135" t="e">
        <f>AND(Bills!N448,"AAAAAH/c9+g=")</f>
        <v>#VALUE!</v>
      </c>
      <c r="HZ135" t="e">
        <f>AND(Bills!O448,"AAAAAH/c9+k=")</f>
        <v>#VALUE!</v>
      </c>
      <c r="IA135" t="e">
        <f>AND(Bills!P448,"AAAAAH/c9+o=")</f>
        <v>#VALUE!</v>
      </c>
      <c r="IB135" t="e">
        <f>AND(Bills!Q448,"AAAAAH/c9+s=")</f>
        <v>#VALUE!</v>
      </c>
      <c r="IC135" t="e">
        <f>AND(Bills!R448,"AAAAAH/c9+w=")</f>
        <v>#VALUE!</v>
      </c>
      <c r="ID135" t="e">
        <f>AND(Bills!#REF!,"AAAAAH/c9+0=")</f>
        <v>#REF!</v>
      </c>
      <c r="IE135" t="e">
        <f>AND(Bills!S448,"AAAAAH/c9+4=")</f>
        <v>#VALUE!</v>
      </c>
      <c r="IF135" t="e">
        <f>AND(Bills!T448,"AAAAAH/c9+8=")</f>
        <v>#VALUE!</v>
      </c>
      <c r="IG135" t="e">
        <f>AND(Bills!U448,"AAAAAH/c9/A=")</f>
        <v>#VALUE!</v>
      </c>
      <c r="IH135" t="e">
        <f>AND(Bills!#REF!,"AAAAAH/c9/E=")</f>
        <v>#REF!</v>
      </c>
      <c r="II135" t="e">
        <f>AND(Bills!#REF!,"AAAAAH/c9/I=")</f>
        <v>#REF!</v>
      </c>
      <c r="IJ135" t="e">
        <f>AND(Bills!W448,"AAAAAH/c9/M=")</f>
        <v>#VALUE!</v>
      </c>
      <c r="IK135" t="e">
        <f>AND(Bills!X448,"AAAAAH/c9/Q=")</f>
        <v>#VALUE!</v>
      </c>
      <c r="IL135" t="e">
        <f>AND(Bills!#REF!,"AAAAAH/c9/U=")</f>
        <v>#REF!</v>
      </c>
      <c r="IM135" t="e">
        <f>AND(Bills!#REF!,"AAAAAH/c9/Y=")</f>
        <v>#REF!</v>
      </c>
      <c r="IN135" t="e">
        <f>AND(Bills!#REF!,"AAAAAH/c9/c=")</f>
        <v>#REF!</v>
      </c>
      <c r="IO135" t="e">
        <f>AND(Bills!#REF!,"AAAAAH/c9/g=")</f>
        <v>#REF!</v>
      </c>
      <c r="IP135" t="e">
        <f>AND(Bills!#REF!,"AAAAAH/c9/k=")</f>
        <v>#REF!</v>
      </c>
      <c r="IQ135" t="e">
        <f>AND(Bills!#REF!,"AAAAAH/c9/o=")</f>
        <v>#REF!</v>
      </c>
      <c r="IR135" t="e">
        <f>AND(Bills!#REF!,"AAAAAH/c9/s=")</f>
        <v>#REF!</v>
      </c>
      <c r="IS135" t="e">
        <f>AND(Bills!#REF!,"AAAAAH/c9/w=")</f>
        <v>#REF!</v>
      </c>
      <c r="IT135" t="e">
        <f>AND(Bills!#REF!,"AAAAAH/c9/0=")</f>
        <v>#REF!</v>
      </c>
      <c r="IU135" t="e">
        <f>AND(Bills!Y448,"AAAAAH/c9/4=")</f>
        <v>#VALUE!</v>
      </c>
      <c r="IV135" t="e">
        <f>AND(Bills!Z448,"AAAAAH/c9/8=")</f>
        <v>#VALUE!</v>
      </c>
    </row>
    <row r="136" spans="1:256">
      <c r="A136" t="e">
        <f>AND(Bills!#REF!,"AAAAAHaF/AA=")</f>
        <v>#REF!</v>
      </c>
      <c r="B136" t="e">
        <f>AND(Bills!#REF!,"AAAAAHaF/AE=")</f>
        <v>#REF!</v>
      </c>
      <c r="C136" t="e">
        <f>AND(Bills!#REF!,"AAAAAHaF/AI=")</f>
        <v>#REF!</v>
      </c>
      <c r="D136" t="e">
        <f>AND(Bills!AA448,"AAAAAHaF/AM=")</f>
        <v>#VALUE!</v>
      </c>
      <c r="E136" t="e">
        <f>AND(Bills!AB448,"AAAAAHaF/AQ=")</f>
        <v>#VALUE!</v>
      </c>
      <c r="F136" t="e">
        <f>AND(Bills!#REF!,"AAAAAHaF/AU=")</f>
        <v>#REF!</v>
      </c>
      <c r="G136">
        <f>IF(Bills!449:449,"AAAAAHaF/AY=",0)</f>
        <v>0</v>
      </c>
      <c r="H136" t="e">
        <f>AND(Bills!B449,"AAAAAHaF/Ac=")</f>
        <v>#VALUE!</v>
      </c>
      <c r="I136" t="e">
        <f>AND(Bills!#REF!,"AAAAAHaF/Ag=")</f>
        <v>#REF!</v>
      </c>
      <c r="J136" t="e">
        <f>AND(Bills!C449,"AAAAAHaF/Ak=")</f>
        <v>#VALUE!</v>
      </c>
      <c r="K136" t="e">
        <f>AND(Bills!#REF!,"AAAAAHaF/Ao=")</f>
        <v>#REF!</v>
      </c>
      <c r="L136" t="e">
        <f>AND(Bills!#REF!,"AAAAAHaF/As=")</f>
        <v>#REF!</v>
      </c>
      <c r="M136" t="e">
        <f>AND(Bills!#REF!,"AAAAAHaF/Aw=")</f>
        <v>#REF!</v>
      </c>
      <c r="N136" t="e">
        <f>AND(Bills!#REF!,"AAAAAHaF/A0=")</f>
        <v>#REF!</v>
      </c>
      <c r="O136" t="e">
        <f>AND(Bills!#REF!,"AAAAAHaF/A4=")</f>
        <v>#REF!</v>
      </c>
      <c r="P136" t="e">
        <f>AND(Bills!D449,"AAAAAHaF/A8=")</f>
        <v>#VALUE!</v>
      </c>
      <c r="Q136" t="e">
        <f>AND(Bills!#REF!,"AAAAAHaF/BA=")</f>
        <v>#REF!</v>
      </c>
      <c r="R136" t="e">
        <f>AND(Bills!E449,"AAAAAHaF/BE=")</f>
        <v>#VALUE!</v>
      </c>
      <c r="S136" t="e">
        <f>AND(Bills!F449,"AAAAAHaF/BI=")</f>
        <v>#VALUE!</v>
      </c>
      <c r="T136" t="e">
        <f>AND(Bills!G449,"AAAAAHaF/BM=")</f>
        <v>#VALUE!</v>
      </c>
      <c r="U136" t="e">
        <f>AND(Bills!H449,"AAAAAHaF/BQ=")</f>
        <v>#VALUE!</v>
      </c>
      <c r="V136" t="e">
        <f>AND(Bills!I449,"AAAAAHaF/BU=")</f>
        <v>#VALUE!</v>
      </c>
      <c r="W136" t="e">
        <f>AND(Bills!J449,"AAAAAHaF/BY=")</f>
        <v>#VALUE!</v>
      </c>
      <c r="X136" t="e">
        <f>AND(Bills!#REF!,"AAAAAHaF/Bc=")</f>
        <v>#REF!</v>
      </c>
      <c r="Y136" t="e">
        <f>AND(Bills!K449,"AAAAAHaF/Bg=")</f>
        <v>#VALUE!</v>
      </c>
      <c r="Z136" t="e">
        <f>AND(Bills!L449,"AAAAAHaF/Bk=")</f>
        <v>#VALUE!</v>
      </c>
      <c r="AA136" t="e">
        <f>AND(Bills!M449,"AAAAAHaF/Bo=")</f>
        <v>#VALUE!</v>
      </c>
      <c r="AB136" t="e">
        <f>AND(Bills!N449,"AAAAAHaF/Bs=")</f>
        <v>#VALUE!</v>
      </c>
      <c r="AC136" t="e">
        <f>AND(Bills!O449,"AAAAAHaF/Bw=")</f>
        <v>#VALUE!</v>
      </c>
      <c r="AD136" t="e">
        <f>AND(Bills!P449,"AAAAAHaF/B0=")</f>
        <v>#VALUE!</v>
      </c>
      <c r="AE136" t="e">
        <f>AND(Bills!Q449,"AAAAAHaF/B4=")</f>
        <v>#VALUE!</v>
      </c>
      <c r="AF136" t="e">
        <f>AND(Bills!R449,"AAAAAHaF/B8=")</f>
        <v>#VALUE!</v>
      </c>
      <c r="AG136" t="e">
        <f>AND(Bills!#REF!,"AAAAAHaF/CA=")</f>
        <v>#REF!</v>
      </c>
      <c r="AH136" t="e">
        <f>AND(Bills!S449,"AAAAAHaF/CE=")</f>
        <v>#VALUE!</v>
      </c>
      <c r="AI136" t="e">
        <f>AND(Bills!T449,"AAAAAHaF/CI=")</f>
        <v>#VALUE!</v>
      </c>
      <c r="AJ136" t="e">
        <f>AND(Bills!U449,"AAAAAHaF/CM=")</f>
        <v>#VALUE!</v>
      </c>
      <c r="AK136" t="e">
        <f>AND(Bills!#REF!,"AAAAAHaF/CQ=")</f>
        <v>#REF!</v>
      </c>
      <c r="AL136" t="e">
        <f>AND(Bills!#REF!,"AAAAAHaF/CU=")</f>
        <v>#REF!</v>
      </c>
      <c r="AM136" t="e">
        <f>AND(Bills!W449,"AAAAAHaF/CY=")</f>
        <v>#VALUE!</v>
      </c>
      <c r="AN136" t="e">
        <f>AND(Bills!X449,"AAAAAHaF/Cc=")</f>
        <v>#VALUE!</v>
      </c>
      <c r="AO136" t="e">
        <f>AND(Bills!#REF!,"AAAAAHaF/Cg=")</f>
        <v>#REF!</v>
      </c>
      <c r="AP136" t="e">
        <f>AND(Bills!#REF!,"AAAAAHaF/Ck=")</f>
        <v>#REF!</v>
      </c>
      <c r="AQ136" t="e">
        <f>AND(Bills!#REF!,"AAAAAHaF/Co=")</f>
        <v>#REF!</v>
      </c>
      <c r="AR136" t="e">
        <f>AND(Bills!#REF!,"AAAAAHaF/Cs=")</f>
        <v>#REF!</v>
      </c>
      <c r="AS136" t="e">
        <f>AND(Bills!#REF!,"AAAAAHaF/Cw=")</f>
        <v>#REF!</v>
      </c>
      <c r="AT136" t="e">
        <f>AND(Bills!#REF!,"AAAAAHaF/C0=")</f>
        <v>#REF!</v>
      </c>
      <c r="AU136" t="e">
        <f>AND(Bills!#REF!,"AAAAAHaF/C4=")</f>
        <v>#REF!</v>
      </c>
      <c r="AV136" t="e">
        <f>AND(Bills!#REF!,"AAAAAHaF/C8=")</f>
        <v>#REF!</v>
      </c>
      <c r="AW136" t="e">
        <f>AND(Bills!#REF!,"AAAAAHaF/DA=")</f>
        <v>#REF!</v>
      </c>
      <c r="AX136" t="e">
        <f>AND(Bills!Y449,"AAAAAHaF/DE=")</f>
        <v>#VALUE!</v>
      </c>
      <c r="AY136" t="e">
        <f>AND(Bills!Z449,"AAAAAHaF/DI=")</f>
        <v>#VALUE!</v>
      </c>
      <c r="AZ136" t="e">
        <f>AND(Bills!#REF!,"AAAAAHaF/DM=")</f>
        <v>#REF!</v>
      </c>
      <c r="BA136" t="e">
        <f>AND(Bills!#REF!,"AAAAAHaF/DQ=")</f>
        <v>#REF!</v>
      </c>
      <c r="BB136" t="e">
        <f>AND(Bills!#REF!,"AAAAAHaF/DU=")</f>
        <v>#REF!</v>
      </c>
      <c r="BC136" t="e">
        <f>AND(Bills!AA449,"AAAAAHaF/DY=")</f>
        <v>#VALUE!</v>
      </c>
      <c r="BD136" t="e">
        <f>AND(Bills!AB449,"AAAAAHaF/Dc=")</f>
        <v>#VALUE!</v>
      </c>
      <c r="BE136" t="e">
        <f>AND(Bills!#REF!,"AAAAAHaF/Dg=")</f>
        <v>#REF!</v>
      </c>
      <c r="BF136">
        <f>IF(Bills!450:450,"AAAAAHaF/Dk=",0)</f>
        <v>0</v>
      </c>
      <c r="BG136" t="e">
        <f>AND(Bills!B450,"AAAAAHaF/Do=")</f>
        <v>#VALUE!</v>
      </c>
      <c r="BH136" t="e">
        <f>AND(Bills!#REF!,"AAAAAHaF/Ds=")</f>
        <v>#REF!</v>
      </c>
      <c r="BI136" t="e">
        <f>AND(Bills!C450,"AAAAAHaF/Dw=")</f>
        <v>#VALUE!</v>
      </c>
      <c r="BJ136" t="e">
        <f>AND(Bills!#REF!,"AAAAAHaF/D0=")</f>
        <v>#REF!</v>
      </c>
      <c r="BK136" t="e">
        <f>AND(Bills!#REF!,"AAAAAHaF/D4=")</f>
        <v>#REF!</v>
      </c>
      <c r="BL136" t="e">
        <f>AND(Bills!#REF!,"AAAAAHaF/D8=")</f>
        <v>#REF!</v>
      </c>
      <c r="BM136" t="e">
        <f>AND(Bills!#REF!,"AAAAAHaF/EA=")</f>
        <v>#REF!</v>
      </c>
      <c r="BN136" t="e">
        <f>AND(Bills!#REF!,"AAAAAHaF/EE=")</f>
        <v>#REF!</v>
      </c>
      <c r="BO136" t="e">
        <f>AND(Bills!D450,"AAAAAHaF/EI=")</f>
        <v>#VALUE!</v>
      </c>
      <c r="BP136" t="e">
        <f>AND(Bills!#REF!,"AAAAAHaF/EM=")</f>
        <v>#REF!</v>
      </c>
      <c r="BQ136" t="e">
        <f>AND(Bills!E450,"AAAAAHaF/EQ=")</f>
        <v>#VALUE!</v>
      </c>
      <c r="BR136" t="e">
        <f>AND(Bills!F450,"AAAAAHaF/EU=")</f>
        <v>#VALUE!</v>
      </c>
      <c r="BS136" t="e">
        <f>AND(Bills!G450,"AAAAAHaF/EY=")</f>
        <v>#VALUE!</v>
      </c>
      <c r="BT136" t="e">
        <f>AND(Bills!H450,"AAAAAHaF/Ec=")</f>
        <v>#VALUE!</v>
      </c>
      <c r="BU136" t="e">
        <f>AND(Bills!I450,"AAAAAHaF/Eg=")</f>
        <v>#VALUE!</v>
      </c>
      <c r="BV136" t="e">
        <f>AND(Bills!J450,"AAAAAHaF/Ek=")</f>
        <v>#VALUE!</v>
      </c>
      <c r="BW136" t="e">
        <f>AND(Bills!#REF!,"AAAAAHaF/Eo=")</f>
        <v>#REF!</v>
      </c>
      <c r="BX136" t="e">
        <f>AND(Bills!K450,"AAAAAHaF/Es=")</f>
        <v>#VALUE!</v>
      </c>
      <c r="BY136" t="e">
        <f>AND(Bills!L450,"AAAAAHaF/Ew=")</f>
        <v>#VALUE!</v>
      </c>
      <c r="BZ136" t="e">
        <f>AND(Bills!M450,"AAAAAHaF/E0=")</f>
        <v>#VALUE!</v>
      </c>
      <c r="CA136" t="e">
        <f>AND(Bills!N450,"AAAAAHaF/E4=")</f>
        <v>#VALUE!</v>
      </c>
      <c r="CB136" t="e">
        <f>AND(Bills!O450,"AAAAAHaF/E8=")</f>
        <v>#VALUE!</v>
      </c>
      <c r="CC136" t="e">
        <f>AND(Bills!P450,"AAAAAHaF/FA=")</f>
        <v>#VALUE!</v>
      </c>
      <c r="CD136" t="e">
        <f>AND(Bills!Q450,"AAAAAHaF/FE=")</f>
        <v>#VALUE!</v>
      </c>
      <c r="CE136" t="e">
        <f>AND(Bills!R450,"AAAAAHaF/FI=")</f>
        <v>#VALUE!</v>
      </c>
      <c r="CF136" t="e">
        <f>AND(Bills!#REF!,"AAAAAHaF/FM=")</f>
        <v>#REF!</v>
      </c>
      <c r="CG136" t="e">
        <f>AND(Bills!S450,"AAAAAHaF/FQ=")</f>
        <v>#VALUE!</v>
      </c>
      <c r="CH136" t="e">
        <f>AND(Bills!T450,"AAAAAHaF/FU=")</f>
        <v>#VALUE!</v>
      </c>
      <c r="CI136" t="e">
        <f>AND(Bills!U450,"AAAAAHaF/FY=")</f>
        <v>#VALUE!</v>
      </c>
      <c r="CJ136" t="e">
        <f>AND(Bills!#REF!,"AAAAAHaF/Fc=")</f>
        <v>#REF!</v>
      </c>
      <c r="CK136" t="e">
        <f>AND(Bills!#REF!,"AAAAAHaF/Fg=")</f>
        <v>#REF!</v>
      </c>
      <c r="CL136" t="e">
        <f>AND(Bills!W450,"AAAAAHaF/Fk=")</f>
        <v>#VALUE!</v>
      </c>
      <c r="CM136" t="e">
        <f>AND(Bills!X450,"AAAAAHaF/Fo=")</f>
        <v>#VALUE!</v>
      </c>
      <c r="CN136" t="e">
        <f>AND(Bills!#REF!,"AAAAAHaF/Fs=")</f>
        <v>#REF!</v>
      </c>
      <c r="CO136" t="e">
        <f>AND(Bills!#REF!,"AAAAAHaF/Fw=")</f>
        <v>#REF!</v>
      </c>
      <c r="CP136" t="e">
        <f>AND(Bills!#REF!,"AAAAAHaF/F0=")</f>
        <v>#REF!</v>
      </c>
      <c r="CQ136" t="e">
        <f>AND(Bills!#REF!,"AAAAAHaF/F4=")</f>
        <v>#REF!</v>
      </c>
      <c r="CR136" t="e">
        <f>AND(Bills!#REF!,"AAAAAHaF/F8=")</f>
        <v>#REF!</v>
      </c>
      <c r="CS136" t="e">
        <f>AND(Bills!#REF!,"AAAAAHaF/GA=")</f>
        <v>#REF!</v>
      </c>
      <c r="CT136" t="e">
        <f>AND(Bills!#REF!,"AAAAAHaF/GE=")</f>
        <v>#REF!</v>
      </c>
      <c r="CU136" t="e">
        <f>AND(Bills!#REF!,"AAAAAHaF/GI=")</f>
        <v>#REF!</v>
      </c>
      <c r="CV136" t="e">
        <f>AND(Bills!#REF!,"AAAAAHaF/GM=")</f>
        <v>#REF!</v>
      </c>
      <c r="CW136" t="e">
        <f>AND(Bills!Y450,"AAAAAHaF/GQ=")</f>
        <v>#VALUE!</v>
      </c>
      <c r="CX136" t="e">
        <f>AND(Bills!Z450,"AAAAAHaF/GU=")</f>
        <v>#VALUE!</v>
      </c>
      <c r="CY136" t="e">
        <f>AND(Bills!#REF!,"AAAAAHaF/GY=")</f>
        <v>#REF!</v>
      </c>
      <c r="CZ136" t="e">
        <f>AND(Bills!#REF!,"AAAAAHaF/Gc=")</f>
        <v>#REF!</v>
      </c>
      <c r="DA136" t="e">
        <f>AND(Bills!#REF!,"AAAAAHaF/Gg=")</f>
        <v>#REF!</v>
      </c>
      <c r="DB136" t="e">
        <f>AND(Bills!AA450,"AAAAAHaF/Gk=")</f>
        <v>#VALUE!</v>
      </c>
      <c r="DC136" t="e">
        <f>AND(Bills!AB450,"AAAAAHaF/Go=")</f>
        <v>#VALUE!</v>
      </c>
      <c r="DD136" t="e">
        <f>AND(Bills!#REF!,"AAAAAHaF/Gs=")</f>
        <v>#REF!</v>
      </c>
      <c r="DE136">
        <f>IF(Bills!451:451,"AAAAAHaF/Gw=",0)</f>
        <v>0</v>
      </c>
      <c r="DF136" t="e">
        <f>AND(Bills!B451,"AAAAAHaF/G0=")</f>
        <v>#VALUE!</v>
      </c>
      <c r="DG136" t="e">
        <f>AND(Bills!#REF!,"AAAAAHaF/G4=")</f>
        <v>#REF!</v>
      </c>
      <c r="DH136" t="e">
        <f>AND(Bills!C451,"AAAAAHaF/G8=")</f>
        <v>#VALUE!</v>
      </c>
      <c r="DI136" t="e">
        <f>AND(Bills!#REF!,"AAAAAHaF/HA=")</f>
        <v>#REF!</v>
      </c>
      <c r="DJ136" t="e">
        <f>AND(Bills!#REF!,"AAAAAHaF/HE=")</f>
        <v>#REF!</v>
      </c>
      <c r="DK136" t="e">
        <f>AND(Bills!#REF!,"AAAAAHaF/HI=")</f>
        <v>#REF!</v>
      </c>
      <c r="DL136" t="e">
        <f>AND(Bills!#REF!,"AAAAAHaF/HM=")</f>
        <v>#REF!</v>
      </c>
      <c r="DM136" t="e">
        <f>AND(Bills!#REF!,"AAAAAHaF/HQ=")</f>
        <v>#REF!</v>
      </c>
      <c r="DN136" t="e">
        <f>AND(Bills!D451,"AAAAAHaF/HU=")</f>
        <v>#VALUE!</v>
      </c>
      <c r="DO136" t="e">
        <f>AND(Bills!#REF!,"AAAAAHaF/HY=")</f>
        <v>#REF!</v>
      </c>
      <c r="DP136" t="e">
        <f>AND(Bills!E451,"AAAAAHaF/Hc=")</f>
        <v>#VALUE!</v>
      </c>
      <c r="DQ136" t="e">
        <f>AND(Bills!F451,"AAAAAHaF/Hg=")</f>
        <v>#VALUE!</v>
      </c>
      <c r="DR136" t="e">
        <f>AND(Bills!G451,"AAAAAHaF/Hk=")</f>
        <v>#VALUE!</v>
      </c>
      <c r="DS136" t="e">
        <f>AND(Bills!H451,"AAAAAHaF/Ho=")</f>
        <v>#VALUE!</v>
      </c>
      <c r="DT136" t="e">
        <f>AND(Bills!I451,"AAAAAHaF/Hs=")</f>
        <v>#VALUE!</v>
      </c>
      <c r="DU136" t="e">
        <f>AND(Bills!J451,"AAAAAHaF/Hw=")</f>
        <v>#VALUE!</v>
      </c>
      <c r="DV136" t="e">
        <f>AND(Bills!#REF!,"AAAAAHaF/H0=")</f>
        <v>#REF!</v>
      </c>
      <c r="DW136" t="e">
        <f>AND(Bills!K451,"AAAAAHaF/H4=")</f>
        <v>#VALUE!</v>
      </c>
      <c r="DX136" t="e">
        <f>AND(Bills!L451,"AAAAAHaF/H8=")</f>
        <v>#VALUE!</v>
      </c>
      <c r="DY136" t="e">
        <f>AND(Bills!M451,"AAAAAHaF/IA=")</f>
        <v>#VALUE!</v>
      </c>
      <c r="DZ136" t="e">
        <f>AND(Bills!N451,"AAAAAHaF/IE=")</f>
        <v>#VALUE!</v>
      </c>
      <c r="EA136" t="e">
        <f>AND(Bills!O451,"AAAAAHaF/II=")</f>
        <v>#VALUE!</v>
      </c>
      <c r="EB136" t="e">
        <f>AND(Bills!P451,"AAAAAHaF/IM=")</f>
        <v>#VALUE!</v>
      </c>
      <c r="EC136" t="e">
        <f>AND(Bills!Q451,"AAAAAHaF/IQ=")</f>
        <v>#VALUE!</v>
      </c>
      <c r="ED136" t="e">
        <f>AND(Bills!R451,"AAAAAHaF/IU=")</f>
        <v>#VALUE!</v>
      </c>
      <c r="EE136" t="e">
        <f>AND(Bills!#REF!,"AAAAAHaF/IY=")</f>
        <v>#REF!</v>
      </c>
      <c r="EF136" t="e">
        <f>AND(Bills!S451,"AAAAAHaF/Ic=")</f>
        <v>#VALUE!</v>
      </c>
      <c r="EG136" t="e">
        <f>AND(Bills!T451,"AAAAAHaF/Ig=")</f>
        <v>#VALUE!</v>
      </c>
      <c r="EH136" t="e">
        <f>AND(Bills!U451,"AAAAAHaF/Ik=")</f>
        <v>#VALUE!</v>
      </c>
      <c r="EI136" t="e">
        <f>AND(Bills!#REF!,"AAAAAHaF/Io=")</f>
        <v>#REF!</v>
      </c>
      <c r="EJ136" t="e">
        <f>AND(Bills!#REF!,"AAAAAHaF/Is=")</f>
        <v>#REF!</v>
      </c>
      <c r="EK136" t="e">
        <f>AND(Bills!W451,"AAAAAHaF/Iw=")</f>
        <v>#VALUE!</v>
      </c>
      <c r="EL136" t="e">
        <f>AND(Bills!X451,"AAAAAHaF/I0=")</f>
        <v>#VALUE!</v>
      </c>
      <c r="EM136" t="e">
        <f>AND(Bills!#REF!,"AAAAAHaF/I4=")</f>
        <v>#REF!</v>
      </c>
      <c r="EN136" t="e">
        <f>AND(Bills!#REF!,"AAAAAHaF/I8=")</f>
        <v>#REF!</v>
      </c>
      <c r="EO136" t="e">
        <f>AND(Bills!#REF!,"AAAAAHaF/JA=")</f>
        <v>#REF!</v>
      </c>
      <c r="EP136" t="e">
        <f>AND(Bills!#REF!,"AAAAAHaF/JE=")</f>
        <v>#REF!</v>
      </c>
      <c r="EQ136" t="e">
        <f>AND(Bills!#REF!,"AAAAAHaF/JI=")</f>
        <v>#REF!</v>
      </c>
      <c r="ER136" t="e">
        <f>AND(Bills!#REF!,"AAAAAHaF/JM=")</f>
        <v>#REF!</v>
      </c>
      <c r="ES136" t="e">
        <f>AND(Bills!#REF!,"AAAAAHaF/JQ=")</f>
        <v>#REF!</v>
      </c>
      <c r="ET136" t="e">
        <f>AND(Bills!#REF!,"AAAAAHaF/JU=")</f>
        <v>#REF!</v>
      </c>
      <c r="EU136" t="e">
        <f>AND(Bills!#REF!,"AAAAAHaF/JY=")</f>
        <v>#REF!</v>
      </c>
      <c r="EV136" t="e">
        <f>AND(Bills!Y451,"AAAAAHaF/Jc=")</f>
        <v>#VALUE!</v>
      </c>
      <c r="EW136" t="e">
        <f>AND(Bills!Z451,"AAAAAHaF/Jg=")</f>
        <v>#VALUE!</v>
      </c>
      <c r="EX136" t="e">
        <f>AND(Bills!#REF!,"AAAAAHaF/Jk=")</f>
        <v>#REF!</v>
      </c>
      <c r="EY136" t="e">
        <f>AND(Bills!#REF!,"AAAAAHaF/Jo=")</f>
        <v>#REF!</v>
      </c>
      <c r="EZ136" t="e">
        <f>AND(Bills!#REF!,"AAAAAHaF/Js=")</f>
        <v>#REF!</v>
      </c>
      <c r="FA136" t="e">
        <f>AND(Bills!AA451,"AAAAAHaF/Jw=")</f>
        <v>#VALUE!</v>
      </c>
      <c r="FB136" t="e">
        <f>AND(Bills!AB451,"AAAAAHaF/J0=")</f>
        <v>#VALUE!</v>
      </c>
      <c r="FC136" t="e">
        <f>AND(Bills!#REF!,"AAAAAHaF/J4=")</f>
        <v>#REF!</v>
      </c>
      <c r="FD136">
        <f>IF(Bills!452:452,"AAAAAHaF/J8=",0)</f>
        <v>0</v>
      </c>
      <c r="FE136" t="e">
        <f>AND(Bills!B452,"AAAAAHaF/KA=")</f>
        <v>#VALUE!</v>
      </c>
      <c r="FF136" t="e">
        <f>AND(Bills!#REF!,"AAAAAHaF/KE=")</f>
        <v>#REF!</v>
      </c>
      <c r="FG136" t="e">
        <f>AND(Bills!C452,"AAAAAHaF/KI=")</f>
        <v>#VALUE!</v>
      </c>
      <c r="FH136" t="e">
        <f>AND(Bills!#REF!,"AAAAAHaF/KM=")</f>
        <v>#REF!</v>
      </c>
      <c r="FI136" t="e">
        <f>AND(Bills!#REF!,"AAAAAHaF/KQ=")</f>
        <v>#REF!</v>
      </c>
      <c r="FJ136" t="e">
        <f>AND(Bills!#REF!,"AAAAAHaF/KU=")</f>
        <v>#REF!</v>
      </c>
      <c r="FK136" t="e">
        <f>AND(Bills!#REF!,"AAAAAHaF/KY=")</f>
        <v>#REF!</v>
      </c>
      <c r="FL136" t="e">
        <f>AND(Bills!#REF!,"AAAAAHaF/Kc=")</f>
        <v>#REF!</v>
      </c>
      <c r="FM136" t="e">
        <f>AND(Bills!D452,"AAAAAHaF/Kg=")</f>
        <v>#VALUE!</v>
      </c>
      <c r="FN136" t="e">
        <f>AND(Bills!#REF!,"AAAAAHaF/Kk=")</f>
        <v>#REF!</v>
      </c>
      <c r="FO136" t="e">
        <f>AND(Bills!E452,"AAAAAHaF/Ko=")</f>
        <v>#VALUE!</v>
      </c>
      <c r="FP136" t="e">
        <f>AND(Bills!F452,"AAAAAHaF/Ks=")</f>
        <v>#VALUE!</v>
      </c>
      <c r="FQ136" t="e">
        <f>AND(Bills!G452,"AAAAAHaF/Kw=")</f>
        <v>#VALUE!</v>
      </c>
      <c r="FR136" t="e">
        <f>AND(Bills!H452,"AAAAAHaF/K0=")</f>
        <v>#VALUE!</v>
      </c>
      <c r="FS136" t="e">
        <f>AND(Bills!I452,"AAAAAHaF/K4=")</f>
        <v>#VALUE!</v>
      </c>
      <c r="FT136" t="e">
        <f>AND(Bills!J452,"AAAAAHaF/K8=")</f>
        <v>#VALUE!</v>
      </c>
      <c r="FU136" t="e">
        <f>AND(Bills!#REF!,"AAAAAHaF/LA=")</f>
        <v>#REF!</v>
      </c>
      <c r="FV136" t="e">
        <f>AND(Bills!K452,"AAAAAHaF/LE=")</f>
        <v>#VALUE!</v>
      </c>
      <c r="FW136" t="e">
        <f>AND(Bills!L452,"AAAAAHaF/LI=")</f>
        <v>#VALUE!</v>
      </c>
      <c r="FX136" t="e">
        <f>AND(Bills!M452,"AAAAAHaF/LM=")</f>
        <v>#VALUE!</v>
      </c>
      <c r="FY136" t="e">
        <f>AND(Bills!N452,"AAAAAHaF/LQ=")</f>
        <v>#VALUE!</v>
      </c>
      <c r="FZ136" t="e">
        <f>AND(Bills!O452,"AAAAAHaF/LU=")</f>
        <v>#VALUE!</v>
      </c>
      <c r="GA136" t="e">
        <f>AND(Bills!P452,"AAAAAHaF/LY=")</f>
        <v>#VALUE!</v>
      </c>
      <c r="GB136" t="e">
        <f>AND(Bills!Q452,"AAAAAHaF/Lc=")</f>
        <v>#VALUE!</v>
      </c>
      <c r="GC136" t="e">
        <f>AND(Bills!R452,"AAAAAHaF/Lg=")</f>
        <v>#VALUE!</v>
      </c>
      <c r="GD136" t="e">
        <f>AND(Bills!#REF!,"AAAAAHaF/Lk=")</f>
        <v>#REF!</v>
      </c>
      <c r="GE136" t="e">
        <f>AND(Bills!S452,"AAAAAHaF/Lo=")</f>
        <v>#VALUE!</v>
      </c>
      <c r="GF136" t="e">
        <f>AND(Bills!T452,"AAAAAHaF/Ls=")</f>
        <v>#VALUE!</v>
      </c>
      <c r="GG136" t="e">
        <f>AND(Bills!U452,"AAAAAHaF/Lw=")</f>
        <v>#VALUE!</v>
      </c>
      <c r="GH136" t="e">
        <f>AND(Bills!#REF!,"AAAAAHaF/L0=")</f>
        <v>#REF!</v>
      </c>
      <c r="GI136" t="e">
        <f>AND(Bills!#REF!,"AAAAAHaF/L4=")</f>
        <v>#REF!</v>
      </c>
      <c r="GJ136" t="e">
        <f>AND(Bills!W452,"AAAAAHaF/L8=")</f>
        <v>#VALUE!</v>
      </c>
      <c r="GK136" t="e">
        <f>AND(Bills!X452,"AAAAAHaF/MA=")</f>
        <v>#VALUE!</v>
      </c>
      <c r="GL136" t="e">
        <f>AND(Bills!#REF!,"AAAAAHaF/ME=")</f>
        <v>#REF!</v>
      </c>
      <c r="GM136" t="e">
        <f>AND(Bills!#REF!,"AAAAAHaF/MI=")</f>
        <v>#REF!</v>
      </c>
      <c r="GN136" t="e">
        <f>AND(Bills!#REF!,"AAAAAHaF/MM=")</f>
        <v>#REF!</v>
      </c>
      <c r="GO136" t="e">
        <f>AND(Bills!#REF!,"AAAAAHaF/MQ=")</f>
        <v>#REF!</v>
      </c>
      <c r="GP136" t="e">
        <f>AND(Bills!#REF!,"AAAAAHaF/MU=")</f>
        <v>#REF!</v>
      </c>
      <c r="GQ136" t="e">
        <f>AND(Bills!#REF!,"AAAAAHaF/MY=")</f>
        <v>#REF!</v>
      </c>
      <c r="GR136" t="e">
        <f>AND(Bills!#REF!,"AAAAAHaF/Mc=")</f>
        <v>#REF!</v>
      </c>
      <c r="GS136" t="e">
        <f>AND(Bills!#REF!,"AAAAAHaF/Mg=")</f>
        <v>#REF!</v>
      </c>
      <c r="GT136" t="e">
        <f>AND(Bills!#REF!,"AAAAAHaF/Mk=")</f>
        <v>#REF!</v>
      </c>
      <c r="GU136" t="e">
        <f>AND(Bills!Y452,"AAAAAHaF/Mo=")</f>
        <v>#VALUE!</v>
      </c>
      <c r="GV136" t="e">
        <f>AND(Bills!Z452,"AAAAAHaF/Ms=")</f>
        <v>#VALUE!</v>
      </c>
      <c r="GW136" t="e">
        <f>AND(Bills!#REF!,"AAAAAHaF/Mw=")</f>
        <v>#REF!</v>
      </c>
      <c r="GX136" t="e">
        <f>AND(Bills!#REF!,"AAAAAHaF/M0=")</f>
        <v>#REF!</v>
      </c>
      <c r="GY136" t="e">
        <f>AND(Bills!#REF!,"AAAAAHaF/M4=")</f>
        <v>#REF!</v>
      </c>
      <c r="GZ136" t="e">
        <f>AND(Bills!AA452,"AAAAAHaF/M8=")</f>
        <v>#VALUE!</v>
      </c>
      <c r="HA136" t="e">
        <f>AND(Bills!AB452,"AAAAAHaF/NA=")</f>
        <v>#VALUE!</v>
      </c>
      <c r="HB136" t="e">
        <f>AND(Bills!#REF!,"AAAAAHaF/NE=")</f>
        <v>#REF!</v>
      </c>
      <c r="HC136">
        <f>IF(Bills!453:453,"AAAAAHaF/NI=",0)</f>
        <v>0</v>
      </c>
      <c r="HD136" t="e">
        <f>AND(Bills!B453,"AAAAAHaF/NM=")</f>
        <v>#VALUE!</v>
      </c>
      <c r="HE136" t="e">
        <f>AND(Bills!#REF!,"AAAAAHaF/NQ=")</f>
        <v>#REF!</v>
      </c>
      <c r="HF136" t="e">
        <f>AND(Bills!C453,"AAAAAHaF/NU=")</f>
        <v>#VALUE!</v>
      </c>
      <c r="HG136" t="e">
        <f>AND(Bills!#REF!,"AAAAAHaF/NY=")</f>
        <v>#REF!</v>
      </c>
      <c r="HH136" t="e">
        <f>AND(Bills!#REF!,"AAAAAHaF/Nc=")</f>
        <v>#REF!</v>
      </c>
      <c r="HI136" t="e">
        <f>AND(Bills!#REF!,"AAAAAHaF/Ng=")</f>
        <v>#REF!</v>
      </c>
      <c r="HJ136" t="e">
        <f>AND(Bills!#REF!,"AAAAAHaF/Nk=")</f>
        <v>#REF!</v>
      </c>
      <c r="HK136" t="e">
        <f>AND(Bills!#REF!,"AAAAAHaF/No=")</f>
        <v>#REF!</v>
      </c>
      <c r="HL136" t="e">
        <f>AND(Bills!D453,"AAAAAHaF/Ns=")</f>
        <v>#VALUE!</v>
      </c>
      <c r="HM136" t="e">
        <f>AND(Bills!#REF!,"AAAAAHaF/Nw=")</f>
        <v>#REF!</v>
      </c>
      <c r="HN136" t="e">
        <f>AND(Bills!E453,"AAAAAHaF/N0=")</f>
        <v>#VALUE!</v>
      </c>
      <c r="HO136" t="e">
        <f>AND(Bills!F453,"AAAAAHaF/N4=")</f>
        <v>#VALUE!</v>
      </c>
      <c r="HP136" t="e">
        <f>AND(Bills!G453,"AAAAAHaF/N8=")</f>
        <v>#VALUE!</v>
      </c>
      <c r="HQ136" t="e">
        <f>AND(Bills!H453,"AAAAAHaF/OA=")</f>
        <v>#VALUE!</v>
      </c>
      <c r="HR136" t="e">
        <f>AND(Bills!I453,"AAAAAHaF/OE=")</f>
        <v>#VALUE!</v>
      </c>
      <c r="HS136" t="e">
        <f>AND(Bills!J453,"AAAAAHaF/OI=")</f>
        <v>#VALUE!</v>
      </c>
      <c r="HT136" t="e">
        <f>AND(Bills!#REF!,"AAAAAHaF/OM=")</f>
        <v>#REF!</v>
      </c>
      <c r="HU136" t="e">
        <f>AND(Bills!K453,"AAAAAHaF/OQ=")</f>
        <v>#VALUE!</v>
      </c>
      <c r="HV136" t="e">
        <f>AND(Bills!L453,"AAAAAHaF/OU=")</f>
        <v>#VALUE!</v>
      </c>
      <c r="HW136" t="e">
        <f>AND(Bills!M453,"AAAAAHaF/OY=")</f>
        <v>#VALUE!</v>
      </c>
      <c r="HX136" t="e">
        <f>AND(Bills!N453,"AAAAAHaF/Oc=")</f>
        <v>#VALUE!</v>
      </c>
      <c r="HY136" t="e">
        <f>AND(Bills!O453,"AAAAAHaF/Og=")</f>
        <v>#VALUE!</v>
      </c>
      <c r="HZ136" t="e">
        <f>AND(Bills!P453,"AAAAAHaF/Ok=")</f>
        <v>#VALUE!</v>
      </c>
      <c r="IA136" t="e">
        <f>AND(Bills!Q453,"AAAAAHaF/Oo=")</f>
        <v>#VALUE!</v>
      </c>
      <c r="IB136" t="e">
        <f>AND(Bills!R453,"AAAAAHaF/Os=")</f>
        <v>#VALUE!</v>
      </c>
      <c r="IC136" t="e">
        <f>AND(Bills!#REF!,"AAAAAHaF/Ow=")</f>
        <v>#REF!</v>
      </c>
      <c r="ID136" t="e">
        <f>AND(Bills!S453,"AAAAAHaF/O0=")</f>
        <v>#VALUE!</v>
      </c>
      <c r="IE136" t="e">
        <f>AND(Bills!T453,"AAAAAHaF/O4=")</f>
        <v>#VALUE!</v>
      </c>
      <c r="IF136" t="e">
        <f>AND(Bills!U453,"AAAAAHaF/O8=")</f>
        <v>#VALUE!</v>
      </c>
      <c r="IG136" t="e">
        <f>AND(Bills!#REF!,"AAAAAHaF/PA=")</f>
        <v>#REF!</v>
      </c>
      <c r="IH136" t="e">
        <f>AND(Bills!#REF!,"AAAAAHaF/PE=")</f>
        <v>#REF!</v>
      </c>
      <c r="II136" t="e">
        <f>AND(Bills!W453,"AAAAAHaF/PI=")</f>
        <v>#VALUE!</v>
      </c>
      <c r="IJ136" t="e">
        <f>AND(Bills!X453,"AAAAAHaF/PM=")</f>
        <v>#VALUE!</v>
      </c>
      <c r="IK136" t="e">
        <f>AND(Bills!#REF!,"AAAAAHaF/PQ=")</f>
        <v>#REF!</v>
      </c>
      <c r="IL136" t="e">
        <f>AND(Bills!#REF!,"AAAAAHaF/PU=")</f>
        <v>#REF!</v>
      </c>
      <c r="IM136" t="e">
        <f>AND(Bills!#REF!,"AAAAAHaF/PY=")</f>
        <v>#REF!</v>
      </c>
      <c r="IN136" t="e">
        <f>AND(Bills!#REF!,"AAAAAHaF/Pc=")</f>
        <v>#REF!</v>
      </c>
      <c r="IO136" t="e">
        <f>AND(Bills!#REF!,"AAAAAHaF/Pg=")</f>
        <v>#REF!</v>
      </c>
      <c r="IP136" t="e">
        <f>AND(Bills!#REF!,"AAAAAHaF/Pk=")</f>
        <v>#REF!</v>
      </c>
      <c r="IQ136" t="e">
        <f>AND(Bills!#REF!,"AAAAAHaF/Po=")</f>
        <v>#REF!</v>
      </c>
      <c r="IR136" t="e">
        <f>AND(Bills!#REF!,"AAAAAHaF/Ps=")</f>
        <v>#REF!</v>
      </c>
      <c r="IS136" t="e">
        <f>AND(Bills!#REF!,"AAAAAHaF/Pw=")</f>
        <v>#REF!</v>
      </c>
      <c r="IT136" t="e">
        <f>AND(Bills!Y453,"AAAAAHaF/P0=")</f>
        <v>#VALUE!</v>
      </c>
      <c r="IU136" t="e">
        <f>AND(Bills!Z453,"AAAAAHaF/P4=")</f>
        <v>#VALUE!</v>
      </c>
      <c r="IV136" t="e">
        <f>AND(Bills!#REF!,"AAAAAHaF/P8=")</f>
        <v>#REF!</v>
      </c>
    </row>
    <row r="137" spans="1:256">
      <c r="A137" t="e">
        <f>AND(Bills!#REF!,"AAAAAEf8+wA=")</f>
        <v>#REF!</v>
      </c>
      <c r="B137" t="e">
        <f>AND(Bills!#REF!,"AAAAAEf8+wE=")</f>
        <v>#REF!</v>
      </c>
      <c r="C137" t="e">
        <f>AND(Bills!AA453,"AAAAAEf8+wI=")</f>
        <v>#VALUE!</v>
      </c>
      <c r="D137" t="e">
        <f>AND(Bills!AB453,"AAAAAEf8+wM=")</f>
        <v>#VALUE!</v>
      </c>
      <c r="E137" t="e">
        <f>AND(Bills!#REF!,"AAAAAEf8+wQ=")</f>
        <v>#REF!</v>
      </c>
      <c r="F137">
        <f>IF(Bills!454:454,"AAAAAEf8+wU=",0)</f>
        <v>0</v>
      </c>
      <c r="G137" t="e">
        <f>AND(Bills!B454,"AAAAAEf8+wY=")</f>
        <v>#VALUE!</v>
      </c>
      <c r="H137" t="e">
        <f>AND(Bills!#REF!,"AAAAAEf8+wc=")</f>
        <v>#REF!</v>
      </c>
      <c r="I137" t="e">
        <f>AND(Bills!C454,"AAAAAEf8+wg=")</f>
        <v>#VALUE!</v>
      </c>
      <c r="J137" t="e">
        <f>AND(Bills!#REF!,"AAAAAEf8+wk=")</f>
        <v>#REF!</v>
      </c>
      <c r="K137" t="e">
        <f>AND(Bills!#REF!,"AAAAAEf8+wo=")</f>
        <v>#REF!</v>
      </c>
      <c r="L137" t="e">
        <f>AND(Bills!#REF!,"AAAAAEf8+ws=")</f>
        <v>#REF!</v>
      </c>
      <c r="M137" t="e">
        <f>AND(Bills!#REF!,"AAAAAEf8+ww=")</f>
        <v>#REF!</v>
      </c>
      <c r="N137" t="e">
        <f>AND(Bills!#REF!,"AAAAAEf8+w0=")</f>
        <v>#REF!</v>
      </c>
      <c r="O137" t="e">
        <f>AND(Bills!D454,"AAAAAEf8+w4=")</f>
        <v>#VALUE!</v>
      </c>
      <c r="P137" t="e">
        <f>AND(Bills!#REF!,"AAAAAEf8+w8=")</f>
        <v>#REF!</v>
      </c>
      <c r="Q137" t="e">
        <f>AND(Bills!E454,"AAAAAEf8+xA=")</f>
        <v>#VALUE!</v>
      </c>
      <c r="R137" t="e">
        <f>AND(Bills!F454,"AAAAAEf8+xE=")</f>
        <v>#VALUE!</v>
      </c>
      <c r="S137" t="e">
        <f>AND(Bills!G454,"AAAAAEf8+xI=")</f>
        <v>#VALUE!</v>
      </c>
      <c r="T137" t="e">
        <f>AND(Bills!H454,"AAAAAEf8+xM=")</f>
        <v>#VALUE!</v>
      </c>
      <c r="U137" t="e">
        <f>AND(Bills!I454,"AAAAAEf8+xQ=")</f>
        <v>#VALUE!</v>
      </c>
      <c r="V137" t="e">
        <f>AND(Bills!J454,"AAAAAEf8+xU=")</f>
        <v>#VALUE!</v>
      </c>
      <c r="W137" t="e">
        <f>AND(Bills!#REF!,"AAAAAEf8+xY=")</f>
        <v>#REF!</v>
      </c>
      <c r="X137" t="e">
        <f>AND(Bills!K454,"AAAAAEf8+xc=")</f>
        <v>#VALUE!</v>
      </c>
      <c r="Y137" t="e">
        <f>AND(Bills!L454,"AAAAAEf8+xg=")</f>
        <v>#VALUE!</v>
      </c>
      <c r="Z137" t="e">
        <f>AND(Bills!M454,"AAAAAEf8+xk=")</f>
        <v>#VALUE!</v>
      </c>
      <c r="AA137" t="e">
        <f>AND(Bills!N454,"AAAAAEf8+xo=")</f>
        <v>#VALUE!</v>
      </c>
      <c r="AB137" t="e">
        <f>AND(Bills!O454,"AAAAAEf8+xs=")</f>
        <v>#VALUE!</v>
      </c>
      <c r="AC137" t="e">
        <f>AND(Bills!P454,"AAAAAEf8+xw=")</f>
        <v>#VALUE!</v>
      </c>
      <c r="AD137" t="e">
        <f>AND(Bills!Q454,"AAAAAEf8+x0=")</f>
        <v>#VALUE!</v>
      </c>
      <c r="AE137" t="e">
        <f>AND(Bills!R454,"AAAAAEf8+x4=")</f>
        <v>#VALUE!</v>
      </c>
      <c r="AF137" t="e">
        <f>AND(Bills!#REF!,"AAAAAEf8+x8=")</f>
        <v>#REF!</v>
      </c>
      <c r="AG137" t="e">
        <f>AND(Bills!S454,"AAAAAEf8+yA=")</f>
        <v>#VALUE!</v>
      </c>
      <c r="AH137" t="e">
        <f>AND(Bills!T454,"AAAAAEf8+yE=")</f>
        <v>#VALUE!</v>
      </c>
      <c r="AI137" t="e">
        <f>AND(Bills!U454,"AAAAAEf8+yI=")</f>
        <v>#VALUE!</v>
      </c>
      <c r="AJ137" t="e">
        <f>AND(Bills!#REF!,"AAAAAEf8+yM=")</f>
        <v>#REF!</v>
      </c>
      <c r="AK137" t="e">
        <f>AND(Bills!#REF!,"AAAAAEf8+yQ=")</f>
        <v>#REF!</v>
      </c>
      <c r="AL137" t="e">
        <f>AND(Bills!W454,"AAAAAEf8+yU=")</f>
        <v>#VALUE!</v>
      </c>
      <c r="AM137" t="e">
        <f>AND(Bills!X454,"AAAAAEf8+yY=")</f>
        <v>#VALUE!</v>
      </c>
      <c r="AN137" t="e">
        <f>AND(Bills!#REF!,"AAAAAEf8+yc=")</f>
        <v>#REF!</v>
      </c>
      <c r="AO137" t="e">
        <f>AND(Bills!#REF!,"AAAAAEf8+yg=")</f>
        <v>#REF!</v>
      </c>
      <c r="AP137" t="e">
        <f>AND(Bills!#REF!,"AAAAAEf8+yk=")</f>
        <v>#REF!</v>
      </c>
      <c r="AQ137" t="e">
        <f>AND(Bills!#REF!,"AAAAAEf8+yo=")</f>
        <v>#REF!</v>
      </c>
      <c r="AR137" t="e">
        <f>AND(Bills!#REF!,"AAAAAEf8+ys=")</f>
        <v>#REF!</v>
      </c>
      <c r="AS137" t="e">
        <f>AND(Bills!#REF!,"AAAAAEf8+yw=")</f>
        <v>#REF!</v>
      </c>
      <c r="AT137" t="e">
        <f>AND(Bills!#REF!,"AAAAAEf8+y0=")</f>
        <v>#REF!</v>
      </c>
      <c r="AU137" t="e">
        <f>AND(Bills!#REF!,"AAAAAEf8+y4=")</f>
        <v>#REF!</v>
      </c>
      <c r="AV137" t="e">
        <f>AND(Bills!#REF!,"AAAAAEf8+y8=")</f>
        <v>#REF!</v>
      </c>
      <c r="AW137" t="e">
        <f>AND(Bills!Y454,"AAAAAEf8+zA=")</f>
        <v>#VALUE!</v>
      </c>
      <c r="AX137" t="e">
        <f>AND(Bills!Z454,"AAAAAEf8+zE=")</f>
        <v>#VALUE!</v>
      </c>
      <c r="AY137" t="e">
        <f>AND(Bills!#REF!,"AAAAAEf8+zI=")</f>
        <v>#REF!</v>
      </c>
      <c r="AZ137" t="e">
        <f>AND(Bills!#REF!,"AAAAAEf8+zM=")</f>
        <v>#REF!</v>
      </c>
      <c r="BA137" t="e">
        <f>AND(Bills!#REF!,"AAAAAEf8+zQ=")</f>
        <v>#REF!</v>
      </c>
      <c r="BB137" t="e">
        <f>AND(Bills!AA454,"AAAAAEf8+zU=")</f>
        <v>#VALUE!</v>
      </c>
      <c r="BC137" t="e">
        <f>AND(Bills!AB454,"AAAAAEf8+zY=")</f>
        <v>#VALUE!</v>
      </c>
      <c r="BD137" t="e">
        <f>AND(Bills!#REF!,"AAAAAEf8+zc=")</f>
        <v>#REF!</v>
      </c>
      <c r="BE137">
        <f>IF(Bills!455:455,"AAAAAEf8+zg=",0)</f>
        <v>0</v>
      </c>
      <c r="BF137" t="e">
        <f>AND(Bills!B455,"AAAAAEf8+zk=")</f>
        <v>#VALUE!</v>
      </c>
      <c r="BG137" t="e">
        <f>AND(Bills!#REF!,"AAAAAEf8+zo=")</f>
        <v>#REF!</v>
      </c>
      <c r="BH137" t="e">
        <f>AND(Bills!C455,"AAAAAEf8+zs=")</f>
        <v>#VALUE!</v>
      </c>
      <c r="BI137" t="e">
        <f>AND(Bills!#REF!,"AAAAAEf8+zw=")</f>
        <v>#REF!</v>
      </c>
      <c r="BJ137" t="e">
        <f>AND(Bills!#REF!,"AAAAAEf8+z0=")</f>
        <v>#REF!</v>
      </c>
      <c r="BK137" t="e">
        <f>AND(Bills!#REF!,"AAAAAEf8+z4=")</f>
        <v>#REF!</v>
      </c>
      <c r="BL137" t="e">
        <f>AND(Bills!#REF!,"AAAAAEf8+z8=")</f>
        <v>#REF!</v>
      </c>
      <c r="BM137" t="e">
        <f>AND(Bills!#REF!,"AAAAAEf8+0A=")</f>
        <v>#REF!</v>
      </c>
      <c r="BN137" t="e">
        <f>AND(Bills!D455,"AAAAAEf8+0E=")</f>
        <v>#VALUE!</v>
      </c>
      <c r="BO137" t="e">
        <f>AND(Bills!#REF!,"AAAAAEf8+0I=")</f>
        <v>#REF!</v>
      </c>
      <c r="BP137" t="e">
        <f>AND(Bills!E455,"AAAAAEf8+0M=")</f>
        <v>#VALUE!</v>
      </c>
      <c r="BQ137" t="e">
        <f>AND(Bills!F455,"AAAAAEf8+0Q=")</f>
        <v>#VALUE!</v>
      </c>
      <c r="BR137" t="e">
        <f>AND(Bills!G455,"AAAAAEf8+0U=")</f>
        <v>#VALUE!</v>
      </c>
      <c r="BS137" t="e">
        <f>AND(Bills!H455,"AAAAAEf8+0Y=")</f>
        <v>#VALUE!</v>
      </c>
      <c r="BT137" t="e">
        <f>AND(Bills!I455,"AAAAAEf8+0c=")</f>
        <v>#VALUE!</v>
      </c>
      <c r="BU137" t="e">
        <f>AND(Bills!J455,"AAAAAEf8+0g=")</f>
        <v>#VALUE!</v>
      </c>
      <c r="BV137" t="e">
        <f>AND(Bills!#REF!,"AAAAAEf8+0k=")</f>
        <v>#REF!</v>
      </c>
      <c r="BW137" t="e">
        <f>AND(Bills!K455,"AAAAAEf8+0o=")</f>
        <v>#VALUE!</v>
      </c>
      <c r="BX137" t="e">
        <f>AND(Bills!L455,"AAAAAEf8+0s=")</f>
        <v>#VALUE!</v>
      </c>
      <c r="BY137" t="e">
        <f>AND(Bills!M455,"AAAAAEf8+0w=")</f>
        <v>#VALUE!</v>
      </c>
      <c r="BZ137" t="e">
        <f>AND(Bills!N455,"AAAAAEf8+00=")</f>
        <v>#VALUE!</v>
      </c>
      <c r="CA137" t="e">
        <f>AND(Bills!O455,"AAAAAEf8+04=")</f>
        <v>#VALUE!</v>
      </c>
      <c r="CB137" t="e">
        <f>AND(Bills!P455,"AAAAAEf8+08=")</f>
        <v>#VALUE!</v>
      </c>
      <c r="CC137" t="e">
        <f>AND(Bills!Q455,"AAAAAEf8+1A=")</f>
        <v>#VALUE!</v>
      </c>
      <c r="CD137" t="e">
        <f>AND(Bills!R455,"AAAAAEf8+1E=")</f>
        <v>#VALUE!</v>
      </c>
      <c r="CE137" t="e">
        <f>AND(Bills!#REF!,"AAAAAEf8+1I=")</f>
        <v>#REF!</v>
      </c>
      <c r="CF137" t="e">
        <f>AND(Bills!S455,"AAAAAEf8+1M=")</f>
        <v>#VALUE!</v>
      </c>
      <c r="CG137" t="e">
        <f>AND(Bills!T455,"AAAAAEf8+1Q=")</f>
        <v>#VALUE!</v>
      </c>
      <c r="CH137" t="e">
        <f>AND(Bills!U455,"AAAAAEf8+1U=")</f>
        <v>#VALUE!</v>
      </c>
      <c r="CI137" t="e">
        <f>AND(Bills!#REF!,"AAAAAEf8+1Y=")</f>
        <v>#REF!</v>
      </c>
      <c r="CJ137" t="e">
        <f>AND(Bills!#REF!,"AAAAAEf8+1c=")</f>
        <v>#REF!</v>
      </c>
      <c r="CK137" t="e">
        <f>AND(Bills!W455,"AAAAAEf8+1g=")</f>
        <v>#VALUE!</v>
      </c>
      <c r="CL137" t="e">
        <f>AND(Bills!X455,"AAAAAEf8+1k=")</f>
        <v>#VALUE!</v>
      </c>
      <c r="CM137" t="e">
        <f>AND(Bills!#REF!,"AAAAAEf8+1o=")</f>
        <v>#REF!</v>
      </c>
      <c r="CN137" t="e">
        <f>AND(Bills!#REF!,"AAAAAEf8+1s=")</f>
        <v>#REF!</v>
      </c>
      <c r="CO137" t="e">
        <f>AND(Bills!#REF!,"AAAAAEf8+1w=")</f>
        <v>#REF!</v>
      </c>
      <c r="CP137" t="e">
        <f>AND(Bills!#REF!,"AAAAAEf8+10=")</f>
        <v>#REF!</v>
      </c>
      <c r="CQ137" t="e">
        <f>AND(Bills!#REF!,"AAAAAEf8+14=")</f>
        <v>#REF!</v>
      </c>
      <c r="CR137" t="e">
        <f>AND(Bills!#REF!,"AAAAAEf8+18=")</f>
        <v>#REF!</v>
      </c>
      <c r="CS137" t="e">
        <f>AND(Bills!#REF!,"AAAAAEf8+2A=")</f>
        <v>#REF!</v>
      </c>
      <c r="CT137" t="e">
        <f>AND(Bills!#REF!,"AAAAAEf8+2E=")</f>
        <v>#REF!</v>
      </c>
      <c r="CU137" t="e">
        <f>AND(Bills!#REF!,"AAAAAEf8+2I=")</f>
        <v>#REF!</v>
      </c>
      <c r="CV137" t="e">
        <f>AND(Bills!Y455,"AAAAAEf8+2M=")</f>
        <v>#VALUE!</v>
      </c>
      <c r="CW137" t="e">
        <f>AND(Bills!Z455,"AAAAAEf8+2Q=")</f>
        <v>#VALUE!</v>
      </c>
      <c r="CX137" t="e">
        <f>AND(Bills!#REF!,"AAAAAEf8+2U=")</f>
        <v>#REF!</v>
      </c>
      <c r="CY137" t="e">
        <f>AND(Bills!#REF!,"AAAAAEf8+2Y=")</f>
        <v>#REF!</v>
      </c>
      <c r="CZ137" t="e">
        <f>AND(Bills!#REF!,"AAAAAEf8+2c=")</f>
        <v>#REF!</v>
      </c>
      <c r="DA137" t="e">
        <f>AND(Bills!AA455,"AAAAAEf8+2g=")</f>
        <v>#VALUE!</v>
      </c>
      <c r="DB137" t="e">
        <f>AND(Bills!AB455,"AAAAAEf8+2k=")</f>
        <v>#VALUE!</v>
      </c>
      <c r="DC137" t="e">
        <f>AND(Bills!#REF!,"AAAAAEf8+2o=")</f>
        <v>#REF!</v>
      </c>
      <c r="DD137">
        <f>IF(Bills!456:456,"AAAAAEf8+2s=",0)</f>
        <v>0</v>
      </c>
      <c r="DE137" t="e">
        <f>AND(Bills!B456,"AAAAAEf8+2w=")</f>
        <v>#VALUE!</v>
      </c>
      <c r="DF137" t="e">
        <f>AND(Bills!#REF!,"AAAAAEf8+20=")</f>
        <v>#REF!</v>
      </c>
      <c r="DG137" t="e">
        <f>AND(Bills!C456,"AAAAAEf8+24=")</f>
        <v>#VALUE!</v>
      </c>
      <c r="DH137" t="e">
        <f>AND(Bills!#REF!,"AAAAAEf8+28=")</f>
        <v>#REF!</v>
      </c>
      <c r="DI137" t="e">
        <f>AND(Bills!#REF!,"AAAAAEf8+3A=")</f>
        <v>#REF!</v>
      </c>
      <c r="DJ137" t="e">
        <f>AND(Bills!#REF!,"AAAAAEf8+3E=")</f>
        <v>#REF!</v>
      </c>
      <c r="DK137" t="e">
        <f>AND(Bills!#REF!,"AAAAAEf8+3I=")</f>
        <v>#REF!</v>
      </c>
      <c r="DL137" t="e">
        <f>AND(Bills!#REF!,"AAAAAEf8+3M=")</f>
        <v>#REF!</v>
      </c>
      <c r="DM137" t="e">
        <f>AND(Bills!D456,"AAAAAEf8+3Q=")</f>
        <v>#VALUE!</v>
      </c>
      <c r="DN137" t="e">
        <f>AND(Bills!#REF!,"AAAAAEf8+3U=")</f>
        <v>#REF!</v>
      </c>
      <c r="DO137" t="e">
        <f>AND(Bills!E456,"AAAAAEf8+3Y=")</f>
        <v>#VALUE!</v>
      </c>
      <c r="DP137" t="e">
        <f>AND(Bills!F456,"AAAAAEf8+3c=")</f>
        <v>#VALUE!</v>
      </c>
      <c r="DQ137" t="e">
        <f>AND(Bills!G456,"AAAAAEf8+3g=")</f>
        <v>#VALUE!</v>
      </c>
      <c r="DR137" t="e">
        <f>AND(Bills!H456,"AAAAAEf8+3k=")</f>
        <v>#VALUE!</v>
      </c>
      <c r="DS137" t="e">
        <f>AND(Bills!I456,"AAAAAEf8+3o=")</f>
        <v>#VALUE!</v>
      </c>
      <c r="DT137" t="e">
        <f>AND(Bills!J456,"AAAAAEf8+3s=")</f>
        <v>#VALUE!</v>
      </c>
      <c r="DU137" t="e">
        <f>AND(Bills!#REF!,"AAAAAEf8+3w=")</f>
        <v>#REF!</v>
      </c>
      <c r="DV137" t="e">
        <f>AND(Bills!K456,"AAAAAEf8+30=")</f>
        <v>#VALUE!</v>
      </c>
      <c r="DW137" t="e">
        <f>AND(Bills!L456,"AAAAAEf8+34=")</f>
        <v>#VALUE!</v>
      </c>
      <c r="DX137" t="e">
        <f>AND(Bills!M456,"AAAAAEf8+38=")</f>
        <v>#VALUE!</v>
      </c>
      <c r="DY137" t="e">
        <f>AND(Bills!N456,"AAAAAEf8+4A=")</f>
        <v>#VALUE!</v>
      </c>
      <c r="DZ137" t="e">
        <f>AND(Bills!O456,"AAAAAEf8+4E=")</f>
        <v>#VALUE!</v>
      </c>
      <c r="EA137" t="e">
        <f>AND(Bills!P456,"AAAAAEf8+4I=")</f>
        <v>#VALUE!</v>
      </c>
      <c r="EB137" t="e">
        <f>AND(Bills!Q456,"AAAAAEf8+4M=")</f>
        <v>#VALUE!</v>
      </c>
      <c r="EC137" t="e">
        <f>AND(Bills!R456,"AAAAAEf8+4Q=")</f>
        <v>#VALUE!</v>
      </c>
      <c r="ED137" t="e">
        <f>AND(Bills!#REF!,"AAAAAEf8+4U=")</f>
        <v>#REF!</v>
      </c>
      <c r="EE137" t="e">
        <f>AND(Bills!S456,"AAAAAEf8+4Y=")</f>
        <v>#VALUE!</v>
      </c>
      <c r="EF137" t="e">
        <f>AND(Bills!T456,"AAAAAEf8+4c=")</f>
        <v>#VALUE!</v>
      </c>
      <c r="EG137" t="e">
        <f>AND(Bills!U456,"AAAAAEf8+4g=")</f>
        <v>#VALUE!</v>
      </c>
      <c r="EH137" t="e">
        <f>AND(Bills!#REF!,"AAAAAEf8+4k=")</f>
        <v>#REF!</v>
      </c>
      <c r="EI137" t="e">
        <f>AND(Bills!#REF!,"AAAAAEf8+4o=")</f>
        <v>#REF!</v>
      </c>
      <c r="EJ137" t="e">
        <f>AND(Bills!W456,"AAAAAEf8+4s=")</f>
        <v>#VALUE!</v>
      </c>
      <c r="EK137" t="e">
        <f>AND(Bills!X456,"AAAAAEf8+4w=")</f>
        <v>#VALUE!</v>
      </c>
      <c r="EL137" t="e">
        <f>AND(Bills!#REF!,"AAAAAEf8+40=")</f>
        <v>#REF!</v>
      </c>
      <c r="EM137" t="e">
        <f>AND(Bills!#REF!,"AAAAAEf8+44=")</f>
        <v>#REF!</v>
      </c>
      <c r="EN137" t="e">
        <f>AND(Bills!#REF!,"AAAAAEf8+48=")</f>
        <v>#REF!</v>
      </c>
      <c r="EO137" t="e">
        <f>AND(Bills!#REF!,"AAAAAEf8+5A=")</f>
        <v>#REF!</v>
      </c>
      <c r="EP137" t="e">
        <f>AND(Bills!#REF!,"AAAAAEf8+5E=")</f>
        <v>#REF!</v>
      </c>
      <c r="EQ137" t="e">
        <f>AND(Bills!#REF!,"AAAAAEf8+5I=")</f>
        <v>#REF!</v>
      </c>
      <c r="ER137" t="e">
        <f>AND(Bills!#REF!,"AAAAAEf8+5M=")</f>
        <v>#REF!</v>
      </c>
      <c r="ES137" t="e">
        <f>AND(Bills!#REF!,"AAAAAEf8+5Q=")</f>
        <v>#REF!</v>
      </c>
      <c r="ET137" t="e">
        <f>AND(Bills!#REF!,"AAAAAEf8+5U=")</f>
        <v>#REF!</v>
      </c>
      <c r="EU137" t="e">
        <f>AND(Bills!Y456,"AAAAAEf8+5Y=")</f>
        <v>#VALUE!</v>
      </c>
      <c r="EV137" t="e">
        <f>AND(Bills!Z456,"AAAAAEf8+5c=")</f>
        <v>#VALUE!</v>
      </c>
      <c r="EW137" t="e">
        <f>AND(Bills!#REF!,"AAAAAEf8+5g=")</f>
        <v>#REF!</v>
      </c>
      <c r="EX137" t="e">
        <f>AND(Bills!#REF!,"AAAAAEf8+5k=")</f>
        <v>#REF!</v>
      </c>
      <c r="EY137" t="e">
        <f>AND(Bills!#REF!,"AAAAAEf8+5o=")</f>
        <v>#REF!</v>
      </c>
      <c r="EZ137" t="e">
        <f>AND(Bills!AA456,"AAAAAEf8+5s=")</f>
        <v>#VALUE!</v>
      </c>
      <c r="FA137" t="e">
        <f>AND(Bills!AB456,"AAAAAEf8+5w=")</f>
        <v>#VALUE!</v>
      </c>
      <c r="FB137" t="e">
        <f>AND(Bills!#REF!,"AAAAAEf8+50=")</f>
        <v>#REF!</v>
      </c>
      <c r="FC137">
        <f>IF(Bills!457:457,"AAAAAEf8+54=",0)</f>
        <v>0</v>
      </c>
      <c r="FD137" t="e">
        <f>AND(Bills!B457,"AAAAAEf8+58=")</f>
        <v>#VALUE!</v>
      </c>
      <c r="FE137" t="e">
        <f>AND(Bills!#REF!,"AAAAAEf8+6A=")</f>
        <v>#REF!</v>
      </c>
      <c r="FF137" t="e">
        <f>AND(Bills!C457,"AAAAAEf8+6E=")</f>
        <v>#VALUE!</v>
      </c>
      <c r="FG137" t="e">
        <f>AND(Bills!#REF!,"AAAAAEf8+6I=")</f>
        <v>#REF!</v>
      </c>
      <c r="FH137" t="e">
        <f>AND(Bills!#REF!,"AAAAAEf8+6M=")</f>
        <v>#REF!</v>
      </c>
      <c r="FI137" t="e">
        <f>AND(Bills!#REF!,"AAAAAEf8+6Q=")</f>
        <v>#REF!</v>
      </c>
      <c r="FJ137" t="e">
        <f>AND(Bills!#REF!,"AAAAAEf8+6U=")</f>
        <v>#REF!</v>
      </c>
      <c r="FK137" t="e">
        <f>AND(Bills!#REF!,"AAAAAEf8+6Y=")</f>
        <v>#REF!</v>
      </c>
      <c r="FL137" t="e">
        <f>AND(Bills!D457,"AAAAAEf8+6c=")</f>
        <v>#VALUE!</v>
      </c>
      <c r="FM137" t="e">
        <f>AND(Bills!#REF!,"AAAAAEf8+6g=")</f>
        <v>#REF!</v>
      </c>
      <c r="FN137" t="e">
        <f>AND(Bills!E457,"AAAAAEf8+6k=")</f>
        <v>#VALUE!</v>
      </c>
      <c r="FO137" t="e">
        <f>AND(Bills!F457,"AAAAAEf8+6o=")</f>
        <v>#VALUE!</v>
      </c>
      <c r="FP137" t="e">
        <f>AND(Bills!G457,"AAAAAEf8+6s=")</f>
        <v>#VALUE!</v>
      </c>
      <c r="FQ137" t="e">
        <f>AND(Bills!H457,"AAAAAEf8+6w=")</f>
        <v>#VALUE!</v>
      </c>
      <c r="FR137" t="e">
        <f>AND(Bills!I457,"AAAAAEf8+60=")</f>
        <v>#VALUE!</v>
      </c>
      <c r="FS137" t="e">
        <f>AND(Bills!J457,"AAAAAEf8+64=")</f>
        <v>#VALUE!</v>
      </c>
      <c r="FT137" t="e">
        <f>AND(Bills!#REF!,"AAAAAEf8+68=")</f>
        <v>#REF!</v>
      </c>
      <c r="FU137" t="e">
        <f>AND(Bills!K457,"AAAAAEf8+7A=")</f>
        <v>#VALUE!</v>
      </c>
      <c r="FV137" t="e">
        <f>AND(Bills!L457,"AAAAAEf8+7E=")</f>
        <v>#VALUE!</v>
      </c>
      <c r="FW137" t="e">
        <f>AND(Bills!M457,"AAAAAEf8+7I=")</f>
        <v>#VALUE!</v>
      </c>
      <c r="FX137" t="e">
        <f>AND(Bills!N457,"AAAAAEf8+7M=")</f>
        <v>#VALUE!</v>
      </c>
      <c r="FY137" t="e">
        <f>AND(Bills!O457,"AAAAAEf8+7Q=")</f>
        <v>#VALUE!</v>
      </c>
      <c r="FZ137" t="e">
        <f>AND(Bills!P457,"AAAAAEf8+7U=")</f>
        <v>#VALUE!</v>
      </c>
      <c r="GA137" t="e">
        <f>AND(Bills!Q457,"AAAAAEf8+7Y=")</f>
        <v>#VALUE!</v>
      </c>
      <c r="GB137" t="e">
        <f>AND(Bills!R457,"AAAAAEf8+7c=")</f>
        <v>#VALUE!</v>
      </c>
      <c r="GC137" t="e">
        <f>AND(Bills!#REF!,"AAAAAEf8+7g=")</f>
        <v>#REF!</v>
      </c>
      <c r="GD137" t="e">
        <f>AND(Bills!S457,"AAAAAEf8+7k=")</f>
        <v>#VALUE!</v>
      </c>
      <c r="GE137" t="e">
        <f>AND(Bills!T457,"AAAAAEf8+7o=")</f>
        <v>#VALUE!</v>
      </c>
      <c r="GF137" t="e">
        <f>AND(Bills!U457,"AAAAAEf8+7s=")</f>
        <v>#VALUE!</v>
      </c>
      <c r="GG137" t="e">
        <f>AND(Bills!#REF!,"AAAAAEf8+7w=")</f>
        <v>#REF!</v>
      </c>
      <c r="GH137" t="e">
        <f>AND(Bills!#REF!,"AAAAAEf8+70=")</f>
        <v>#REF!</v>
      </c>
      <c r="GI137" t="e">
        <f>AND(Bills!W457,"AAAAAEf8+74=")</f>
        <v>#VALUE!</v>
      </c>
      <c r="GJ137" t="e">
        <f>AND(Bills!X457,"AAAAAEf8+78=")</f>
        <v>#VALUE!</v>
      </c>
      <c r="GK137" t="e">
        <f>AND(Bills!#REF!,"AAAAAEf8+8A=")</f>
        <v>#REF!</v>
      </c>
      <c r="GL137" t="e">
        <f>AND(Bills!#REF!,"AAAAAEf8+8E=")</f>
        <v>#REF!</v>
      </c>
      <c r="GM137" t="e">
        <f>AND(Bills!#REF!,"AAAAAEf8+8I=")</f>
        <v>#REF!</v>
      </c>
      <c r="GN137" t="e">
        <f>AND(Bills!#REF!,"AAAAAEf8+8M=")</f>
        <v>#REF!</v>
      </c>
      <c r="GO137" t="e">
        <f>AND(Bills!#REF!,"AAAAAEf8+8Q=")</f>
        <v>#REF!</v>
      </c>
      <c r="GP137" t="e">
        <f>AND(Bills!#REF!,"AAAAAEf8+8U=")</f>
        <v>#REF!</v>
      </c>
      <c r="GQ137" t="e">
        <f>AND(Bills!#REF!,"AAAAAEf8+8Y=")</f>
        <v>#REF!</v>
      </c>
      <c r="GR137" t="e">
        <f>AND(Bills!#REF!,"AAAAAEf8+8c=")</f>
        <v>#REF!</v>
      </c>
      <c r="GS137" t="e">
        <f>AND(Bills!#REF!,"AAAAAEf8+8g=")</f>
        <v>#REF!</v>
      </c>
      <c r="GT137" t="e">
        <f>AND(Bills!Y457,"AAAAAEf8+8k=")</f>
        <v>#VALUE!</v>
      </c>
      <c r="GU137" t="e">
        <f>AND(Bills!Z457,"AAAAAEf8+8o=")</f>
        <v>#VALUE!</v>
      </c>
      <c r="GV137" t="e">
        <f>AND(Bills!#REF!,"AAAAAEf8+8s=")</f>
        <v>#REF!</v>
      </c>
      <c r="GW137" t="e">
        <f>AND(Bills!#REF!,"AAAAAEf8+8w=")</f>
        <v>#REF!</v>
      </c>
      <c r="GX137" t="e">
        <f>AND(Bills!#REF!,"AAAAAEf8+80=")</f>
        <v>#REF!</v>
      </c>
      <c r="GY137" t="e">
        <f>AND(Bills!AA457,"AAAAAEf8+84=")</f>
        <v>#VALUE!</v>
      </c>
      <c r="GZ137" t="e">
        <f>AND(Bills!AB457,"AAAAAEf8+88=")</f>
        <v>#VALUE!</v>
      </c>
      <c r="HA137" t="e">
        <f>AND(Bills!#REF!,"AAAAAEf8+9A=")</f>
        <v>#REF!</v>
      </c>
      <c r="HB137">
        <f>IF(Bills!458:458,"AAAAAEf8+9E=",0)</f>
        <v>0</v>
      </c>
      <c r="HC137" t="e">
        <f>AND(Bills!B458,"AAAAAEf8+9I=")</f>
        <v>#VALUE!</v>
      </c>
      <c r="HD137" t="e">
        <f>AND(Bills!#REF!,"AAAAAEf8+9M=")</f>
        <v>#REF!</v>
      </c>
      <c r="HE137" t="e">
        <f>AND(Bills!C458,"AAAAAEf8+9Q=")</f>
        <v>#VALUE!</v>
      </c>
      <c r="HF137" t="e">
        <f>AND(Bills!#REF!,"AAAAAEf8+9U=")</f>
        <v>#REF!</v>
      </c>
      <c r="HG137" t="e">
        <f>AND(Bills!#REF!,"AAAAAEf8+9Y=")</f>
        <v>#REF!</v>
      </c>
      <c r="HH137" t="e">
        <f>AND(Bills!#REF!,"AAAAAEf8+9c=")</f>
        <v>#REF!</v>
      </c>
      <c r="HI137" t="e">
        <f>AND(Bills!#REF!,"AAAAAEf8+9g=")</f>
        <v>#REF!</v>
      </c>
      <c r="HJ137" t="e">
        <f>AND(Bills!#REF!,"AAAAAEf8+9k=")</f>
        <v>#REF!</v>
      </c>
      <c r="HK137" t="e">
        <f>AND(Bills!D458,"AAAAAEf8+9o=")</f>
        <v>#VALUE!</v>
      </c>
      <c r="HL137" t="e">
        <f>AND(Bills!#REF!,"AAAAAEf8+9s=")</f>
        <v>#REF!</v>
      </c>
      <c r="HM137" t="e">
        <f>AND(Bills!E458,"AAAAAEf8+9w=")</f>
        <v>#VALUE!</v>
      </c>
      <c r="HN137" t="e">
        <f>AND(Bills!F458,"AAAAAEf8+90=")</f>
        <v>#VALUE!</v>
      </c>
      <c r="HO137" t="e">
        <f>AND(Bills!G458,"AAAAAEf8+94=")</f>
        <v>#VALUE!</v>
      </c>
      <c r="HP137" t="e">
        <f>AND(Bills!H458,"AAAAAEf8+98=")</f>
        <v>#VALUE!</v>
      </c>
      <c r="HQ137" t="e">
        <f>AND(Bills!I458,"AAAAAEf8++A=")</f>
        <v>#VALUE!</v>
      </c>
      <c r="HR137" t="e">
        <f>AND(Bills!J458,"AAAAAEf8++E=")</f>
        <v>#VALUE!</v>
      </c>
      <c r="HS137" t="e">
        <f>AND(Bills!#REF!,"AAAAAEf8++I=")</f>
        <v>#REF!</v>
      </c>
      <c r="HT137" t="e">
        <f>AND(Bills!K458,"AAAAAEf8++M=")</f>
        <v>#VALUE!</v>
      </c>
      <c r="HU137" t="e">
        <f>AND(Bills!L458,"AAAAAEf8++Q=")</f>
        <v>#VALUE!</v>
      </c>
      <c r="HV137" t="e">
        <f>AND(Bills!M458,"AAAAAEf8++U=")</f>
        <v>#VALUE!</v>
      </c>
      <c r="HW137" t="e">
        <f>AND(Bills!N458,"AAAAAEf8++Y=")</f>
        <v>#VALUE!</v>
      </c>
      <c r="HX137" t="e">
        <f>AND(Bills!O458,"AAAAAEf8++c=")</f>
        <v>#VALUE!</v>
      </c>
      <c r="HY137" t="e">
        <f>AND(Bills!P458,"AAAAAEf8++g=")</f>
        <v>#VALUE!</v>
      </c>
      <c r="HZ137" t="e">
        <f>AND(Bills!Q458,"AAAAAEf8++k=")</f>
        <v>#VALUE!</v>
      </c>
      <c r="IA137" t="e">
        <f>AND(Bills!R458,"AAAAAEf8++o=")</f>
        <v>#VALUE!</v>
      </c>
      <c r="IB137" t="e">
        <f>AND(Bills!#REF!,"AAAAAEf8++s=")</f>
        <v>#REF!</v>
      </c>
      <c r="IC137" t="e">
        <f>AND(Bills!S458,"AAAAAEf8++w=")</f>
        <v>#VALUE!</v>
      </c>
      <c r="ID137" t="e">
        <f>AND(Bills!T458,"AAAAAEf8++0=")</f>
        <v>#VALUE!</v>
      </c>
      <c r="IE137" t="e">
        <f>AND(Bills!U458,"AAAAAEf8++4=")</f>
        <v>#VALUE!</v>
      </c>
      <c r="IF137" t="e">
        <f>AND(Bills!#REF!,"AAAAAEf8++8=")</f>
        <v>#REF!</v>
      </c>
      <c r="IG137" t="e">
        <f>AND(Bills!#REF!,"AAAAAEf8+/A=")</f>
        <v>#REF!</v>
      </c>
      <c r="IH137" t="e">
        <f>AND(Bills!W458,"AAAAAEf8+/E=")</f>
        <v>#VALUE!</v>
      </c>
      <c r="II137" t="e">
        <f>AND(Bills!X458,"AAAAAEf8+/I=")</f>
        <v>#VALUE!</v>
      </c>
      <c r="IJ137" t="e">
        <f>AND(Bills!#REF!,"AAAAAEf8+/M=")</f>
        <v>#REF!</v>
      </c>
      <c r="IK137" t="e">
        <f>AND(Bills!#REF!,"AAAAAEf8+/Q=")</f>
        <v>#REF!</v>
      </c>
      <c r="IL137" t="e">
        <f>AND(Bills!#REF!,"AAAAAEf8+/U=")</f>
        <v>#REF!</v>
      </c>
      <c r="IM137" t="e">
        <f>AND(Bills!#REF!,"AAAAAEf8+/Y=")</f>
        <v>#REF!</v>
      </c>
      <c r="IN137" t="e">
        <f>AND(Bills!#REF!,"AAAAAEf8+/c=")</f>
        <v>#REF!</v>
      </c>
      <c r="IO137" t="e">
        <f>AND(Bills!#REF!,"AAAAAEf8+/g=")</f>
        <v>#REF!</v>
      </c>
      <c r="IP137" t="e">
        <f>AND(Bills!#REF!,"AAAAAEf8+/k=")</f>
        <v>#REF!</v>
      </c>
      <c r="IQ137" t="e">
        <f>AND(Bills!#REF!,"AAAAAEf8+/o=")</f>
        <v>#REF!</v>
      </c>
      <c r="IR137" t="e">
        <f>AND(Bills!#REF!,"AAAAAEf8+/s=")</f>
        <v>#REF!</v>
      </c>
      <c r="IS137" t="e">
        <f>AND(Bills!Y458,"AAAAAEf8+/w=")</f>
        <v>#VALUE!</v>
      </c>
      <c r="IT137" t="e">
        <f>AND(Bills!Z458,"AAAAAEf8+/0=")</f>
        <v>#VALUE!</v>
      </c>
      <c r="IU137" t="e">
        <f>AND(Bills!#REF!,"AAAAAEf8+/4=")</f>
        <v>#REF!</v>
      </c>
      <c r="IV137" t="e">
        <f>AND(Bills!#REF!,"AAAAAEf8+/8=")</f>
        <v>#REF!</v>
      </c>
    </row>
    <row r="138" spans="1:256">
      <c r="A138" t="e">
        <f>AND(Bills!#REF!,"AAAAAHz/XwA=")</f>
        <v>#REF!</v>
      </c>
      <c r="B138" t="e">
        <f>AND(Bills!AA458,"AAAAAHz/XwE=")</f>
        <v>#VALUE!</v>
      </c>
      <c r="C138" t="e">
        <f>AND(Bills!AB458,"AAAAAHz/XwI=")</f>
        <v>#VALUE!</v>
      </c>
      <c r="D138" t="e">
        <f>AND(Bills!#REF!,"AAAAAHz/XwM=")</f>
        <v>#REF!</v>
      </c>
      <c r="E138">
        <f>IF(Bills!459:459,"AAAAAHz/XwQ=",0)</f>
        <v>0</v>
      </c>
      <c r="F138" t="e">
        <f>AND(Bills!B459,"AAAAAHz/XwU=")</f>
        <v>#VALUE!</v>
      </c>
      <c r="G138" t="e">
        <f>AND(Bills!#REF!,"AAAAAHz/XwY=")</f>
        <v>#REF!</v>
      </c>
      <c r="H138" t="e">
        <f>AND(Bills!C459,"AAAAAHz/Xwc=")</f>
        <v>#VALUE!</v>
      </c>
      <c r="I138" t="e">
        <f>AND(Bills!#REF!,"AAAAAHz/Xwg=")</f>
        <v>#REF!</v>
      </c>
      <c r="J138" t="e">
        <f>AND(Bills!#REF!,"AAAAAHz/Xwk=")</f>
        <v>#REF!</v>
      </c>
      <c r="K138" t="e">
        <f>AND(Bills!#REF!,"AAAAAHz/Xwo=")</f>
        <v>#REF!</v>
      </c>
      <c r="L138" t="e">
        <f>AND(Bills!#REF!,"AAAAAHz/Xws=")</f>
        <v>#REF!</v>
      </c>
      <c r="M138" t="e">
        <f>AND(Bills!#REF!,"AAAAAHz/Xww=")</f>
        <v>#REF!</v>
      </c>
      <c r="N138" t="e">
        <f>AND(Bills!D459,"AAAAAHz/Xw0=")</f>
        <v>#VALUE!</v>
      </c>
      <c r="O138" t="e">
        <f>AND(Bills!#REF!,"AAAAAHz/Xw4=")</f>
        <v>#REF!</v>
      </c>
      <c r="P138" t="e">
        <f>AND(Bills!E459,"AAAAAHz/Xw8=")</f>
        <v>#VALUE!</v>
      </c>
      <c r="Q138" t="e">
        <f>AND(Bills!F459,"AAAAAHz/XxA=")</f>
        <v>#VALUE!</v>
      </c>
      <c r="R138" t="e">
        <f>AND(Bills!G459,"AAAAAHz/XxE=")</f>
        <v>#VALUE!</v>
      </c>
      <c r="S138" t="e">
        <f>AND(Bills!H459,"AAAAAHz/XxI=")</f>
        <v>#VALUE!</v>
      </c>
      <c r="T138" t="e">
        <f>AND(Bills!I459,"AAAAAHz/XxM=")</f>
        <v>#VALUE!</v>
      </c>
      <c r="U138" t="e">
        <f>AND(Bills!J459,"AAAAAHz/XxQ=")</f>
        <v>#VALUE!</v>
      </c>
      <c r="V138" t="e">
        <f>AND(Bills!#REF!,"AAAAAHz/XxU=")</f>
        <v>#REF!</v>
      </c>
      <c r="W138" t="e">
        <f>AND(Bills!K459,"AAAAAHz/XxY=")</f>
        <v>#VALUE!</v>
      </c>
      <c r="X138" t="e">
        <f>AND(Bills!L459,"AAAAAHz/Xxc=")</f>
        <v>#VALUE!</v>
      </c>
      <c r="Y138" t="e">
        <f>AND(Bills!M459,"AAAAAHz/Xxg=")</f>
        <v>#VALUE!</v>
      </c>
      <c r="Z138" t="e">
        <f>AND(Bills!N459,"AAAAAHz/Xxk=")</f>
        <v>#VALUE!</v>
      </c>
      <c r="AA138" t="e">
        <f>AND(Bills!O459,"AAAAAHz/Xxo=")</f>
        <v>#VALUE!</v>
      </c>
      <c r="AB138" t="e">
        <f>AND(Bills!P459,"AAAAAHz/Xxs=")</f>
        <v>#VALUE!</v>
      </c>
      <c r="AC138" t="e">
        <f>AND(Bills!Q459,"AAAAAHz/Xxw=")</f>
        <v>#VALUE!</v>
      </c>
      <c r="AD138" t="e">
        <f>AND(Bills!R459,"AAAAAHz/Xx0=")</f>
        <v>#VALUE!</v>
      </c>
      <c r="AE138" t="e">
        <f>AND(Bills!#REF!,"AAAAAHz/Xx4=")</f>
        <v>#REF!</v>
      </c>
      <c r="AF138" t="e">
        <f>AND(Bills!S459,"AAAAAHz/Xx8=")</f>
        <v>#VALUE!</v>
      </c>
      <c r="AG138" t="e">
        <f>AND(Bills!T459,"AAAAAHz/XyA=")</f>
        <v>#VALUE!</v>
      </c>
      <c r="AH138" t="e">
        <f>AND(Bills!U459,"AAAAAHz/XyE=")</f>
        <v>#VALUE!</v>
      </c>
      <c r="AI138" t="e">
        <f>AND(Bills!#REF!,"AAAAAHz/XyI=")</f>
        <v>#REF!</v>
      </c>
      <c r="AJ138" t="e">
        <f>AND(Bills!#REF!,"AAAAAHz/XyM=")</f>
        <v>#REF!</v>
      </c>
      <c r="AK138" t="e">
        <f>AND(Bills!W459,"AAAAAHz/XyQ=")</f>
        <v>#VALUE!</v>
      </c>
      <c r="AL138" t="e">
        <f>AND(Bills!X459,"AAAAAHz/XyU=")</f>
        <v>#VALUE!</v>
      </c>
      <c r="AM138" t="e">
        <f>AND(Bills!#REF!,"AAAAAHz/XyY=")</f>
        <v>#REF!</v>
      </c>
      <c r="AN138" t="e">
        <f>AND(Bills!#REF!,"AAAAAHz/Xyc=")</f>
        <v>#REF!</v>
      </c>
      <c r="AO138" t="e">
        <f>AND(Bills!#REF!,"AAAAAHz/Xyg=")</f>
        <v>#REF!</v>
      </c>
      <c r="AP138" t="e">
        <f>AND(Bills!#REF!,"AAAAAHz/Xyk=")</f>
        <v>#REF!</v>
      </c>
      <c r="AQ138" t="e">
        <f>AND(Bills!#REF!,"AAAAAHz/Xyo=")</f>
        <v>#REF!</v>
      </c>
      <c r="AR138" t="e">
        <f>AND(Bills!#REF!,"AAAAAHz/Xys=")</f>
        <v>#REF!</v>
      </c>
      <c r="AS138" t="e">
        <f>AND(Bills!#REF!,"AAAAAHz/Xyw=")</f>
        <v>#REF!</v>
      </c>
      <c r="AT138" t="e">
        <f>AND(Bills!#REF!,"AAAAAHz/Xy0=")</f>
        <v>#REF!</v>
      </c>
      <c r="AU138" t="e">
        <f>AND(Bills!#REF!,"AAAAAHz/Xy4=")</f>
        <v>#REF!</v>
      </c>
      <c r="AV138" t="e">
        <f>AND(Bills!Y459,"AAAAAHz/Xy8=")</f>
        <v>#VALUE!</v>
      </c>
      <c r="AW138" t="e">
        <f>AND(Bills!Z459,"AAAAAHz/XzA=")</f>
        <v>#VALUE!</v>
      </c>
      <c r="AX138" t="e">
        <f>AND(Bills!#REF!,"AAAAAHz/XzE=")</f>
        <v>#REF!</v>
      </c>
      <c r="AY138" t="e">
        <f>AND(Bills!#REF!,"AAAAAHz/XzI=")</f>
        <v>#REF!</v>
      </c>
      <c r="AZ138" t="e">
        <f>AND(Bills!#REF!,"AAAAAHz/XzM=")</f>
        <v>#REF!</v>
      </c>
      <c r="BA138" t="e">
        <f>AND(Bills!AA459,"AAAAAHz/XzQ=")</f>
        <v>#VALUE!</v>
      </c>
      <c r="BB138" t="e">
        <f>AND(Bills!AB459,"AAAAAHz/XzU=")</f>
        <v>#VALUE!</v>
      </c>
      <c r="BC138" t="e">
        <f>AND(Bills!#REF!,"AAAAAHz/XzY=")</f>
        <v>#REF!</v>
      </c>
      <c r="BD138">
        <f>IF(Bills!460:460,"AAAAAHz/Xzc=",0)</f>
        <v>0</v>
      </c>
      <c r="BE138" t="e">
        <f>AND(Bills!B460,"AAAAAHz/Xzg=")</f>
        <v>#VALUE!</v>
      </c>
      <c r="BF138" t="e">
        <f>AND(Bills!#REF!,"AAAAAHz/Xzk=")</f>
        <v>#REF!</v>
      </c>
      <c r="BG138" t="e">
        <f>AND(Bills!C460,"AAAAAHz/Xzo=")</f>
        <v>#VALUE!</v>
      </c>
      <c r="BH138" t="e">
        <f>AND(Bills!#REF!,"AAAAAHz/Xzs=")</f>
        <v>#REF!</v>
      </c>
      <c r="BI138" t="e">
        <f>AND(Bills!#REF!,"AAAAAHz/Xzw=")</f>
        <v>#REF!</v>
      </c>
      <c r="BJ138" t="e">
        <f>AND(Bills!#REF!,"AAAAAHz/Xz0=")</f>
        <v>#REF!</v>
      </c>
      <c r="BK138" t="e">
        <f>AND(Bills!#REF!,"AAAAAHz/Xz4=")</f>
        <v>#REF!</v>
      </c>
      <c r="BL138" t="e">
        <f>AND(Bills!#REF!,"AAAAAHz/Xz8=")</f>
        <v>#REF!</v>
      </c>
      <c r="BM138" t="e">
        <f>AND(Bills!D460,"AAAAAHz/X0A=")</f>
        <v>#VALUE!</v>
      </c>
      <c r="BN138" t="e">
        <f>AND(Bills!#REF!,"AAAAAHz/X0E=")</f>
        <v>#REF!</v>
      </c>
      <c r="BO138" t="e">
        <f>AND(Bills!E460,"AAAAAHz/X0I=")</f>
        <v>#VALUE!</v>
      </c>
      <c r="BP138" t="e">
        <f>AND(Bills!F460,"AAAAAHz/X0M=")</f>
        <v>#VALUE!</v>
      </c>
      <c r="BQ138" t="e">
        <f>AND(Bills!G460,"AAAAAHz/X0Q=")</f>
        <v>#VALUE!</v>
      </c>
      <c r="BR138" t="e">
        <f>AND(Bills!H460,"AAAAAHz/X0U=")</f>
        <v>#VALUE!</v>
      </c>
      <c r="BS138" t="e">
        <f>AND(Bills!I460,"AAAAAHz/X0Y=")</f>
        <v>#VALUE!</v>
      </c>
      <c r="BT138" t="e">
        <f>AND(Bills!J460,"AAAAAHz/X0c=")</f>
        <v>#VALUE!</v>
      </c>
      <c r="BU138" t="e">
        <f>AND(Bills!#REF!,"AAAAAHz/X0g=")</f>
        <v>#REF!</v>
      </c>
      <c r="BV138" t="e">
        <f>AND(Bills!K460,"AAAAAHz/X0k=")</f>
        <v>#VALUE!</v>
      </c>
      <c r="BW138" t="e">
        <f>AND(Bills!L460,"AAAAAHz/X0o=")</f>
        <v>#VALUE!</v>
      </c>
      <c r="BX138" t="e">
        <f>AND(Bills!M460,"AAAAAHz/X0s=")</f>
        <v>#VALUE!</v>
      </c>
      <c r="BY138" t="e">
        <f>AND(Bills!N460,"AAAAAHz/X0w=")</f>
        <v>#VALUE!</v>
      </c>
      <c r="BZ138" t="e">
        <f>AND(Bills!O460,"AAAAAHz/X00=")</f>
        <v>#VALUE!</v>
      </c>
      <c r="CA138" t="e">
        <f>AND(Bills!P460,"AAAAAHz/X04=")</f>
        <v>#VALUE!</v>
      </c>
      <c r="CB138" t="e">
        <f>AND(Bills!Q460,"AAAAAHz/X08=")</f>
        <v>#VALUE!</v>
      </c>
      <c r="CC138" t="e">
        <f>AND(Bills!R460,"AAAAAHz/X1A=")</f>
        <v>#VALUE!</v>
      </c>
      <c r="CD138" t="e">
        <f>AND(Bills!#REF!,"AAAAAHz/X1E=")</f>
        <v>#REF!</v>
      </c>
      <c r="CE138" t="e">
        <f>AND(Bills!S460,"AAAAAHz/X1I=")</f>
        <v>#VALUE!</v>
      </c>
      <c r="CF138" t="e">
        <f>AND(Bills!T460,"AAAAAHz/X1M=")</f>
        <v>#VALUE!</v>
      </c>
      <c r="CG138" t="e">
        <f>AND(Bills!U460,"AAAAAHz/X1Q=")</f>
        <v>#VALUE!</v>
      </c>
      <c r="CH138" t="e">
        <f>AND(Bills!#REF!,"AAAAAHz/X1U=")</f>
        <v>#REF!</v>
      </c>
      <c r="CI138" t="e">
        <f>AND(Bills!#REF!,"AAAAAHz/X1Y=")</f>
        <v>#REF!</v>
      </c>
      <c r="CJ138" t="e">
        <f>AND(Bills!W460,"AAAAAHz/X1c=")</f>
        <v>#VALUE!</v>
      </c>
      <c r="CK138" t="e">
        <f>AND(Bills!X460,"AAAAAHz/X1g=")</f>
        <v>#VALUE!</v>
      </c>
      <c r="CL138" t="e">
        <f>AND(Bills!#REF!,"AAAAAHz/X1k=")</f>
        <v>#REF!</v>
      </c>
      <c r="CM138" t="e">
        <f>AND(Bills!#REF!,"AAAAAHz/X1o=")</f>
        <v>#REF!</v>
      </c>
      <c r="CN138" t="e">
        <f>AND(Bills!#REF!,"AAAAAHz/X1s=")</f>
        <v>#REF!</v>
      </c>
      <c r="CO138" t="e">
        <f>AND(Bills!#REF!,"AAAAAHz/X1w=")</f>
        <v>#REF!</v>
      </c>
      <c r="CP138" t="e">
        <f>AND(Bills!#REF!,"AAAAAHz/X10=")</f>
        <v>#REF!</v>
      </c>
      <c r="CQ138" t="e">
        <f>AND(Bills!#REF!,"AAAAAHz/X14=")</f>
        <v>#REF!</v>
      </c>
      <c r="CR138" t="e">
        <f>AND(Bills!#REF!,"AAAAAHz/X18=")</f>
        <v>#REF!</v>
      </c>
      <c r="CS138" t="e">
        <f>AND(Bills!#REF!,"AAAAAHz/X2A=")</f>
        <v>#REF!</v>
      </c>
      <c r="CT138" t="e">
        <f>AND(Bills!#REF!,"AAAAAHz/X2E=")</f>
        <v>#REF!</v>
      </c>
      <c r="CU138" t="e">
        <f>AND(Bills!Y460,"AAAAAHz/X2I=")</f>
        <v>#VALUE!</v>
      </c>
      <c r="CV138" t="e">
        <f>AND(Bills!Z460,"AAAAAHz/X2M=")</f>
        <v>#VALUE!</v>
      </c>
      <c r="CW138" t="e">
        <f>AND(Bills!#REF!,"AAAAAHz/X2Q=")</f>
        <v>#REF!</v>
      </c>
      <c r="CX138" t="e">
        <f>AND(Bills!#REF!,"AAAAAHz/X2U=")</f>
        <v>#REF!</v>
      </c>
      <c r="CY138" t="e">
        <f>AND(Bills!#REF!,"AAAAAHz/X2Y=")</f>
        <v>#REF!</v>
      </c>
      <c r="CZ138" t="e">
        <f>AND(Bills!AA460,"AAAAAHz/X2c=")</f>
        <v>#VALUE!</v>
      </c>
      <c r="DA138" t="e">
        <f>AND(Bills!AB460,"AAAAAHz/X2g=")</f>
        <v>#VALUE!</v>
      </c>
      <c r="DB138" t="e">
        <f>AND(Bills!#REF!,"AAAAAHz/X2k=")</f>
        <v>#REF!</v>
      </c>
      <c r="DC138">
        <f>IF(Bills!461:461,"AAAAAHz/X2o=",0)</f>
        <v>0</v>
      </c>
      <c r="DD138" t="e">
        <f>AND(Bills!B461,"AAAAAHz/X2s=")</f>
        <v>#VALUE!</v>
      </c>
      <c r="DE138" t="e">
        <f>AND(Bills!#REF!,"AAAAAHz/X2w=")</f>
        <v>#REF!</v>
      </c>
      <c r="DF138" t="e">
        <f>AND(Bills!C461,"AAAAAHz/X20=")</f>
        <v>#VALUE!</v>
      </c>
      <c r="DG138" t="e">
        <f>AND(Bills!#REF!,"AAAAAHz/X24=")</f>
        <v>#REF!</v>
      </c>
      <c r="DH138" t="e">
        <f>AND(Bills!#REF!,"AAAAAHz/X28=")</f>
        <v>#REF!</v>
      </c>
      <c r="DI138" t="e">
        <f>AND(Bills!#REF!,"AAAAAHz/X3A=")</f>
        <v>#REF!</v>
      </c>
      <c r="DJ138" t="e">
        <f>AND(Bills!#REF!,"AAAAAHz/X3E=")</f>
        <v>#REF!</v>
      </c>
      <c r="DK138" t="e">
        <f>AND(Bills!#REF!,"AAAAAHz/X3I=")</f>
        <v>#REF!</v>
      </c>
      <c r="DL138" t="e">
        <f>AND(Bills!D461,"AAAAAHz/X3M=")</f>
        <v>#VALUE!</v>
      </c>
      <c r="DM138" t="e">
        <f>AND(Bills!#REF!,"AAAAAHz/X3Q=")</f>
        <v>#REF!</v>
      </c>
      <c r="DN138" t="e">
        <f>AND(Bills!E461,"AAAAAHz/X3U=")</f>
        <v>#VALUE!</v>
      </c>
      <c r="DO138" t="e">
        <f>AND(Bills!F461,"AAAAAHz/X3Y=")</f>
        <v>#VALUE!</v>
      </c>
      <c r="DP138" t="e">
        <f>AND(Bills!G461,"AAAAAHz/X3c=")</f>
        <v>#VALUE!</v>
      </c>
      <c r="DQ138" t="e">
        <f>AND(Bills!H461,"AAAAAHz/X3g=")</f>
        <v>#VALUE!</v>
      </c>
      <c r="DR138" t="e">
        <f>AND(Bills!I461,"AAAAAHz/X3k=")</f>
        <v>#VALUE!</v>
      </c>
      <c r="DS138" t="e">
        <f>AND(Bills!J461,"AAAAAHz/X3o=")</f>
        <v>#VALUE!</v>
      </c>
      <c r="DT138" t="e">
        <f>AND(Bills!#REF!,"AAAAAHz/X3s=")</f>
        <v>#REF!</v>
      </c>
      <c r="DU138" t="e">
        <f>AND(Bills!K461,"AAAAAHz/X3w=")</f>
        <v>#VALUE!</v>
      </c>
      <c r="DV138" t="e">
        <f>AND(Bills!L461,"AAAAAHz/X30=")</f>
        <v>#VALUE!</v>
      </c>
      <c r="DW138" t="e">
        <f>AND(Bills!M461,"AAAAAHz/X34=")</f>
        <v>#VALUE!</v>
      </c>
      <c r="DX138" t="e">
        <f>AND(Bills!N461,"AAAAAHz/X38=")</f>
        <v>#VALUE!</v>
      </c>
      <c r="DY138" t="e">
        <f>AND(Bills!O461,"AAAAAHz/X4A=")</f>
        <v>#VALUE!</v>
      </c>
      <c r="DZ138" t="e">
        <f>AND(Bills!P461,"AAAAAHz/X4E=")</f>
        <v>#VALUE!</v>
      </c>
      <c r="EA138" t="e">
        <f>AND(Bills!Q461,"AAAAAHz/X4I=")</f>
        <v>#VALUE!</v>
      </c>
      <c r="EB138" t="e">
        <f>AND(Bills!R461,"AAAAAHz/X4M=")</f>
        <v>#VALUE!</v>
      </c>
      <c r="EC138" t="e">
        <f>AND(Bills!#REF!,"AAAAAHz/X4Q=")</f>
        <v>#REF!</v>
      </c>
      <c r="ED138" t="e">
        <f>AND(Bills!S461,"AAAAAHz/X4U=")</f>
        <v>#VALUE!</v>
      </c>
      <c r="EE138" t="e">
        <f>AND(Bills!T461,"AAAAAHz/X4Y=")</f>
        <v>#VALUE!</v>
      </c>
      <c r="EF138" t="e">
        <f>AND(Bills!U461,"AAAAAHz/X4c=")</f>
        <v>#VALUE!</v>
      </c>
      <c r="EG138" t="e">
        <f>AND(Bills!#REF!,"AAAAAHz/X4g=")</f>
        <v>#REF!</v>
      </c>
      <c r="EH138" t="e">
        <f>AND(Bills!#REF!,"AAAAAHz/X4k=")</f>
        <v>#REF!</v>
      </c>
      <c r="EI138" t="e">
        <f>AND(Bills!W461,"AAAAAHz/X4o=")</f>
        <v>#VALUE!</v>
      </c>
      <c r="EJ138" t="e">
        <f>AND(Bills!X461,"AAAAAHz/X4s=")</f>
        <v>#VALUE!</v>
      </c>
      <c r="EK138" t="e">
        <f>AND(Bills!#REF!,"AAAAAHz/X4w=")</f>
        <v>#REF!</v>
      </c>
      <c r="EL138" t="e">
        <f>AND(Bills!#REF!,"AAAAAHz/X40=")</f>
        <v>#REF!</v>
      </c>
      <c r="EM138" t="e">
        <f>AND(Bills!#REF!,"AAAAAHz/X44=")</f>
        <v>#REF!</v>
      </c>
      <c r="EN138" t="e">
        <f>AND(Bills!#REF!,"AAAAAHz/X48=")</f>
        <v>#REF!</v>
      </c>
      <c r="EO138" t="e">
        <f>AND(Bills!#REF!,"AAAAAHz/X5A=")</f>
        <v>#REF!</v>
      </c>
      <c r="EP138" t="e">
        <f>AND(Bills!#REF!,"AAAAAHz/X5E=")</f>
        <v>#REF!</v>
      </c>
      <c r="EQ138" t="e">
        <f>AND(Bills!#REF!,"AAAAAHz/X5I=")</f>
        <v>#REF!</v>
      </c>
      <c r="ER138" t="e">
        <f>AND(Bills!#REF!,"AAAAAHz/X5M=")</f>
        <v>#REF!</v>
      </c>
      <c r="ES138" t="e">
        <f>AND(Bills!#REF!,"AAAAAHz/X5Q=")</f>
        <v>#REF!</v>
      </c>
      <c r="ET138" t="e">
        <f>AND(Bills!Y461,"AAAAAHz/X5U=")</f>
        <v>#VALUE!</v>
      </c>
      <c r="EU138" t="e">
        <f>AND(Bills!Z461,"AAAAAHz/X5Y=")</f>
        <v>#VALUE!</v>
      </c>
      <c r="EV138" t="e">
        <f>AND(Bills!#REF!,"AAAAAHz/X5c=")</f>
        <v>#REF!</v>
      </c>
      <c r="EW138" t="e">
        <f>AND(Bills!#REF!,"AAAAAHz/X5g=")</f>
        <v>#REF!</v>
      </c>
      <c r="EX138" t="e">
        <f>AND(Bills!#REF!,"AAAAAHz/X5k=")</f>
        <v>#REF!</v>
      </c>
      <c r="EY138" t="e">
        <f>AND(Bills!AA461,"AAAAAHz/X5o=")</f>
        <v>#VALUE!</v>
      </c>
      <c r="EZ138" t="e">
        <f>AND(Bills!AB461,"AAAAAHz/X5s=")</f>
        <v>#VALUE!</v>
      </c>
      <c r="FA138" t="e">
        <f>AND(Bills!#REF!,"AAAAAHz/X5w=")</f>
        <v>#REF!</v>
      </c>
      <c r="FB138">
        <f>IF(Bills!462:462,"AAAAAHz/X50=",0)</f>
        <v>0</v>
      </c>
      <c r="FC138" t="e">
        <f>AND(Bills!B462,"AAAAAHz/X54=")</f>
        <v>#VALUE!</v>
      </c>
      <c r="FD138" t="e">
        <f>AND(Bills!#REF!,"AAAAAHz/X58=")</f>
        <v>#REF!</v>
      </c>
      <c r="FE138" t="e">
        <f>AND(Bills!C462,"AAAAAHz/X6A=")</f>
        <v>#VALUE!</v>
      </c>
      <c r="FF138" t="e">
        <f>AND(Bills!#REF!,"AAAAAHz/X6E=")</f>
        <v>#REF!</v>
      </c>
      <c r="FG138" t="e">
        <f>AND(Bills!#REF!,"AAAAAHz/X6I=")</f>
        <v>#REF!</v>
      </c>
      <c r="FH138" t="e">
        <f>AND(Bills!#REF!,"AAAAAHz/X6M=")</f>
        <v>#REF!</v>
      </c>
      <c r="FI138" t="e">
        <f>AND(Bills!#REF!,"AAAAAHz/X6Q=")</f>
        <v>#REF!</v>
      </c>
      <c r="FJ138" t="e">
        <f>AND(Bills!#REF!,"AAAAAHz/X6U=")</f>
        <v>#REF!</v>
      </c>
      <c r="FK138" t="e">
        <f>AND(Bills!D462,"AAAAAHz/X6Y=")</f>
        <v>#VALUE!</v>
      </c>
      <c r="FL138" t="e">
        <f>AND(Bills!#REF!,"AAAAAHz/X6c=")</f>
        <v>#REF!</v>
      </c>
      <c r="FM138" t="e">
        <f>AND(Bills!E462,"AAAAAHz/X6g=")</f>
        <v>#VALUE!</v>
      </c>
      <c r="FN138" t="e">
        <f>AND(Bills!F462,"AAAAAHz/X6k=")</f>
        <v>#VALUE!</v>
      </c>
      <c r="FO138" t="e">
        <f>AND(Bills!G462,"AAAAAHz/X6o=")</f>
        <v>#VALUE!</v>
      </c>
      <c r="FP138" t="e">
        <f>AND(Bills!H462,"AAAAAHz/X6s=")</f>
        <v>#VALUE!</v>
      </c>
      <c r="FQ138" t="e">
        <f>AND(Bills!I462,"AAAAAHz/X6w=")</f>
        <v>#VALUE!</v>
      </c>
      <c r="FR138" t="e">
        <f>AND(Bills!J462,"AAAAAHz/X60=")</f>
        <v>#VALUE!</v>
      </c>
      <c r="FS138" t="e">
        <f>AND(Bills!#REF!,"AAAAAHz/X64=")</f>
        <v>#REF!</v>
      </c>
      <c r="FT138" t="e">
        <f>AND(Bills!K462,"AAAAAHz/X68=")</f>
        <v>#VALUE!</v>
      </c>
      <c r="FU138" t="e">
        <f>AND(Bills!L462,"AAAAAHz/X7A=")</f>
        <v>#VALUE!</v>
      </c>
      <c r="FV138" t="e">
        <f>AND(Bills!M462,"AAAAAHz/X7E=")</f>
        <v>#VALUE!</v>
      </c>
      <c r="FW138" t="e">
        <f>AND(Bills!N462,"AAAAAHz/X7I=")</f>
        <v>#VALUE!</v>
      </c>
      <c r="FX138" t="e">
        <f>AND(Bills!O462,"AAAAAHz/X7M=")</f>
        <v>#VALUE!</v>
      </c>
      <c r="FY138" t="e">
        <f>AND(Bills!P462,"AAAAAHz/X7Q=")</f>
        <v>#VALUE!</v>
      </c>
      <c r="FZ138" t="e">
        <f>AND(Bills!Q462,"AAAAAHz/X7U=")</f>
        <v>#VALUE!</v>
      </c>
      <c r="GA138" t="e">
        <f>AND(Bills!R462,"AAAAAHz/X7Y=")</f>
        <v>#VALUE!</v>
      </c>
      <c r="GB138" t="e">
        <f>AND(Bills!#REF!,"AAAAAHz/X7c=")</f>
        <v>#REF!</v>
      </c>
      <c r="GC138" t="e">
        <f>AND(Bills!S462,"AAAAAHz/X7g=")</f>
        <v>#VALUE!</v>
      </c>
      <c r="GD138" t="e">
        <f>AND(Bills!T462,"AAAAAHz/X7k=")</f>
        <v>#VALUE!</v>
      </c>
      <c r="GE138" t="e">
        <f>AND(Bills!U462,"AAAAAHz/X7o=")</f>
        <v>#VALUE!</v>
      </c>
      <c r="GF138" t="e">
        <f>AND(Bills!#REF!,"AAAAAHz/X7s=")</f>
        <v>#REF!</v>
      </c>
      <c r="GG138" t="e">
        <f>AND(Bills!#REF!,"AAAAAHz/X7w=")</f>
        <v>#REF!</v>
      </c>
      <c r="GH138" t="e">
        <f>AND(Bills!W462,"AAAAAHz/X70=")</f>
        <v>#VALUE!</v>
      </c>
      <c r="GI138" t="e">
        <f>AND(Bills!X462,"AAAAAHz/X74=")</f>
        <v>#VALUE!</v>
      </c>
      <c r="GJ138" t="e">
        <f>AND(Bills!#REF!,"AAAAAHz/X78=")</f>
        <v>#REF!</v>
      </c>
      <c r="GK138" t="e">
        <f>AND(Bills!#REF!,"AAAAAHz/X8A=")</f>
        <v>#REF!</v>
      </c>
      <c r="GL138" t="e">
        <f>AND(Bills!#REF!,"AAAAAHz/X8E=")</f>
        <v>#REF!</v>
      </c>
      <c r="GM138" t="e">
        <f>AND(Bills!#REF!,"AAAAAHz/X8I=")</f>
        <v>#REF!</v>
      </c>
      <c r="GN138" t="e">
        <f>AND(Bills!#REF!,"AAAAAHz/X8M=")</f>
        <v>#REF!</v>
      </c>
      <c r="GO138" t="e">
        <f>AND(Bills!#REF!,"AAAAAHz/X8Q=")</f>
        <v>#REF!</v>
      </c>
      <c r="GP138" t="e">
        <f>AND(Bills!#REF!,"AAAAAHz/X8U=")</f>
        <v>#REF!</v>
      </c>
      <c r="GQ138" t="e">
        <f>AND(Bills!#REF!,"AAAAAHz/X8Y=")</f>
        <v>#REF!</v>
      </c>
      <c r="GR138" t="e">
        <f>AND(Bills!#REF!,"AAAAAHz/X8c=")</f>
        <v>#REF!</v>
      </c>
      <c r="GS138" t="e">
        <f>AND(Bills!Y462,"AAAAAHz/X8g=")</f>
        <v>#VALUE!</v>
      </c>
      <c r="GT138" t="e">
        <f>AND(Bills!Z462,"AAAAAHz/X8k=")</f>
        <v>#VALUE!</v>
      </c>
      <c r="GU138" t="e">
        <f>AND(Bills!#REF!,"AAAAAHz/X8o=")</f>
        <v>#REF!</v>
      </c>
      <c r="GV138" t="e">
        <f>AND(Bills!#REF!,"AAAAAHz/X8s=")</f>
        <v>#REF!</v>
      </c>
      <c r="GW138" t="e">
        <f>AND(Bills!#REF!,"AAAAAHz/X8w=")</f>
        <v>#REF!</v>
      </c>
      <c r="GX138" t="e">
        <f>AND(Bills!AA462,"AAAAAHz/X80=")</f>
        <v>#VALUE!</v>
      </c>
      <c r="GY138" t="e">
        <f>AND(Bills!AB462,"AAAAAHz/X84=")</f>
        <v>#VALUE!</v>
      </c>
      <c r="GZ138" t="e">
        <f>AND(Bills!#REF!,"AAAAAHz/X88=")</f>
        <v>#REF!</v>
      </c>
      <c r="HA138">
        <f>IF(Bills!463:463,"AAAAAHz/X9A=",0)</f>
        <v>0</v>
      </c>
      <c r="HB138" t="e">
        <f>AND(Bills!B463,"AAAAAHz/X9E=")</f>
        <v>#VALUE!</v>
      </c>
      <c r="HC138" t="e">
        <f>AND(Bills!#REF!,"AAAAAHz/X9I=")</f>
        <v>#REF!</v>
      </c>
      <c r="HD138" t="e">
        <f>AND(Bills!C463,"AAAAAHz/X9M=")</f>
        <v>#VALUE!</v>
      </c>
      <c r="HE138" t="e">
        <f>AND(Bills!#REF!,"AAAAAHz/X9Q=")</f>
        <v>#REF!</v>
      </c>
      <c r="HF138" t="e">
        <f>AND(Bills!#REF!,"AAAAAHz/X9U=")</f>
        <v>#REF!</v>
      </c>
      <c r="HG138" t="e">
        <f>AND(Bills!#REF!,"AAAAAHz/X9Y=")</f>
        <v>#REF!</v>
      </c>
      <c r="HH138" t="e">
        <f>AND(Bills!#REF!,"AAAAAHz/X9c=")</f>
        <v>#REF!</v>
      </c>
      <c r="HI138" t="e">
        <f>AND(Bills!#REF!,"AAAAAHz/X9g=")</f>
        <v>#REF!</v>
      </c>
      <c r="HJ138" t="e">
        <f>AND(Bills!D463,"AAAAAHz/X9k=")</f>
        <v>#VALUE!</v>
      </c>
      <c r="HK138" t="e">
        <f>AND(Bills!#REF!,"AAAAAHz/X9o=")</f>
        <v>#REF!</v>
      </c>
      <c r="HL138" t="e">
        <f>AND(Bills!E463,"AAAAAHz/X9s=")</f>
        <v>#VALUE!</v>
      </c>
      <c r="HM138" t="e">
        <f>AND(Bills!F463,"AAAAAHz/X9w=")</f>
        <v>#VALUE!</v>
      </c>
      <c r="HN138" t="e">
        <f>AND(Bills!G463,"AAAAAHz/X90=")</f>
        <v>#VALUE!</v>
      </c>
      <c r="HO138" t="e">
        <f>AND(Bills!H463,"AAAAAHz/X94=")</f>
        <v>#VALUE!</v>
      </c>
      <c r="HP138" t="e">
        <f>AND(Bills!I463,"AAAAAHz/X98=")</f>
        <v>#VALUE!</v>
      </c>
      <c r="HQ138" t="e">
        <f>AND(Bills!J463,"AAAAAHz/X+A=")</f>
        <v>#VALUE!</v>
      </c>
      <c r="HR138" t="e">
        <f>AND(Bills!#REF!,"AAAAAHz/X+E=")</f>
        <v>#REF!</v>
      </c>
      <c r="HS138" t="e">
        <f>AND(Bills!K463,"AAAAAHz/X+I=")</f>
        <v>#VALUE!</v>
      </c>
      <c r="HT138" t="e">
        <f>AND(Bills!L463,"AAAAAHz/X+M=")</f>
        <v>#VALUE!</v>
      </c>
      <c r="HU138" t="e">
        <f>AND(Bills!M463,"AAAAAHz/X+Q=")</f>
        <v>#VALUE!</v>
      </c>
      <c r="HV138" t="e">
        <f>AND(Bills!N463,"AAAAAHz/X+U=")</f>
        <v>#VALUE!</v>
      </c>
      <c r="HW138" t="e">
        <f>AND(Bills!O463,"AAAAAHz/X+Y=")</f>
        <v>#VALUE!</v>
      </c>
      <c r="HX138" t="e">
        <f>AND(Bills!P463,"AAAAAHz/X+c=")</f>
        <v>#VALUE!</v>
      </c>
      <c r="HY138" t="e">
        <f>AND(Bills!Q463,"AAAAAHz/X+g=")</f>
        <v>#VALUE!</v>
      </c>
      <c r="HZ138" t="e">
        <f>AND(Bills!R463,"AAAAAHz/X+k=")</f>
        <v>#VALUE!</v>
      </c>
      <c r="IA138" t="e">
        <f>AND(Bills!#REF!,"AAAAAHz/X+o=")</f>
        <v>#REF!</v>
      </c>
      <c r="IB138" t="e">
        <f>AND(Bills!S463,"AAAAAHz/X+s=")</f>
        <v>#VALUE!</v>
      </c>
      <c r="IC138" t="e">
        <f>AND(Bills!T463,"AAAAAHz/X+w=")</f>
        <v>#VALUE!</v>
      </c>
      <c r="ID138" t="e">
        <f>AND(Bills!U463,"AAAAAHz/X+0=")</f>
        <v>#VALUE!</v>
      </c>
      <c r="IE138" t="e">
        <f>AND(Bills!#REF!,"AAAAAHz/X+4=")</f>
        <v>#REF!</v>
      </c>
      <c r="IF138" t="e">
        <f>AND(Bills!#REF!,"AAAAAHz/X+8=")</f>
        <v>#REF!</v>
      </c>
      <c r="IG138" t="e">
        <f>AND(Bills!W463,"AAAAAHz/X/A=")</f>
        <v>#VALUE!</v>
      </c>
      <c r="IH138" t="e">
        <f>AND(Bills!X463,"AAAAAHz/X/E=")</f>
        <v>#VALUE!</v>
      </c>
      <c r="II138" t="e">
        <f>AND(Bills!#REF!,"AAAAAHz/X/I=")</f>
        <v>#REF!</v>
      </c>
      <c r="IJ138" t="e">
        <f>AND(Bills!#REF!,"AAAAAHz/X/M=")</f>
        <v>#REF!</v>
      </c>
      <c r="IK138" t="e">
        <f>AND(Bills!#REF!,"AAAAAHz/X/Q=")</f>
        <v>#REF!</v>
      </c>
      <c r="IL138" t="e">
        <f>AND(Bills!#REF!,"AAAAAHz/X/U=")</f>
        <v>#REF!</v>
      </c>
      <c r="IM138" t="e">
        <f>AND(Bills!#REF!,"AAAAAHz/X/Y=")</f>
        <v>#REF!</v>
      </c>
      <c r="IN138" t="e">
        <f>AND(Bills!#REF!,"AAAAAHz/X/c=")</f>
        <v>#REF!</v>
      </c>
      <c r="IO138" t="e">
        <f>AND(Bills!#REF!,"AAAAAHz/X/g=")</f>
        <v>#REF!</v>
      </c>
      <c r="IP138" t="e">
        <f>AND(Bills!#REF!,"AAAAAHz/X/k=")</f>
        <v>#REF!</v>
      </c>
      <c r="IQ138" t="e">
        <f>AND(Bills!#REF!,"AAAAAHz/X/o=")</f>
        <v>#REF!</v>
      </c>
      <c r="IR138" t="e">
        <f>AND(Bills!Y463,"AAAAAHz/X/s=")</f>
        <v>#VALUE!</v>
      </c>
      <c r="IS138" t="e">
        <f>AND(Bills!Z463,"AAAAAHz/X/w=")</f>
        <v>#VALUE!</v>
      </c>
      <c r="IT138" t="e">
        <f>AND(Bills!#REF!,"AAAAAHz/X/0=")</f>
        <v>#REF!</v>
      </c>
      <c r="IU138" t="e">
        <f>AND(Bills!#REF!,"AAAAAHz/X/4=")</f>
        <v>#REF!</v>
      </c>
      <c r="IV138" t="e">
        <f>AND(Bills!#REF!,"AAAAAHz/X/8=")</f>
        <v>#REF!</v>
      </c>
    </row>
    <row r="139" spans="1:256">
      <c r="A139" t="e">
        <f>AND(Bills!AA463,"AAAAAFf99wA=")</f>
        <v>#VALUE!</v>
      </c>
      <c r="B139" t="e">
        <f>AND(Bills!AB463,"AAAAAFf99wE=")</f>
        <v>#VALUE!</v>
      </c>
      <c r="C139" t="e">
        <f>AND(Bills!#REF!,"AAAAAFf99wI=")</f>
        <v>#REF!</v>
      </c>
      <c r="D139">
        <f>IF(Bills!464:464,"AAAAAFf99wM=",0)</f>
        <v>0</v>
      </c>
      <c r="E139" t="e">
        <f>AND(Bills!B464,"AAAAAFf99wQ=")</f>
        <v>#VALUE!</v>
      </c>
      <c r="F139" t="e">
        <f>AND(Bills!#REF!,"AAAAAFf99wU=")</f>
        <v>#REF!</v>
      </c>
      <c r="G139" t="e">
        <f>AND(Bills!C464,"AAAAAFf99wY=")</f>
        <v>#VALUE!</v>
      </c>
      <c r="H139" t="e">
        <f>AND(Bills!#REF!,"AAAAAFf99wc=")</f>
        <v>#REF!</v>
      </c>
      <c r="I139" t="e">
        <f>AND(Bills!#REF!,"AAAAAFf99wg=")</f>
        <v>#REF!</v>
      </c>
      <c r="J139" t="e">
        <f>AND(Bills!#REF!,"AAAAAFf99wk=")</f>
        <v>#REF!</v>
      </c>
      <c r="K139" t="e">
        <f>AND(Bills!#REF!,"AAAAAFf99wo=")</f>
        <v>#REF!</v>
      </c>
      <c r="L139" t="e">
        <f>AND(Bills!#REF!,"AAAAAFf99ws=")</f>
        <v>#REF!</v>
      </c>
      <c r="M139" t="e">
        <f>AND(Bills!D464,"AAAAAFf99ww=")</f>
        <v>#VALUE!</v>
      </c>
      <c r="N139" t="e">
        <f>AND(Bills!#REF!,"AAAAAFf99w0=")</f>
        <v>#REF!</v>
      </c>
      <c r="O139" t="e">
        <f>AND(Bills!E464,"AAAAAFf99w4=")</f>
        <v>#VALUE!</v>
      </c>
      <c r="P139" t="e">
        <f>AND(Bills!F464,"AAAAAFf99w8=")</f>
        <v>#VALUE!</v>
      </c>
      <c r="Q139" t="e">
        <f>AND(Bills!G464,"AAAAAFf99xA=")</f>
        <v>#VALUE!</v>
      </c>
      <c r="R139" t="e">
        <f>AND(Bills!H464,"AAAAAFf99xE=")</f>
        <v>#VALUE!</v>
      </c>
      <c r="S139" t="e">
        <f>AND(Bills!I464,"AAAAAFf99xI=")</f>
        <v>#VALUE!</v>
      </c>
      <c r="T139" t="e">
        <f>AND(Bills!J464,"AAAAAFf99xM=")</f>
        <v>#VALUE!</v>
      </c>
      <c r="U139" t="e">
        <f>AND(Bills!#REF!,"AAAAAFf99xQ=")</f>
        <v>#REF!</v>
      </c>
      <c r="V139" t="e">
        <f>AND(Bills!K464,"AAAAAFf99xU=")</f>
        <v>#VALUE!</v>
      </c>
      <c r="W139" t="e">
        <f>AND(Bills!L464,"AAAAAFf99xY=")</f>
        <v>#VALUE!</v>
      </c>
      <c r="X139" t="e">
        <f>AND(Bills!M464,"AAAAAFf99xc=")</f>
        <v>#VALUE!</v>
      </c>
      <c r="Y139" t="e">
        <f>AND(Bills!N464,"AAAAAFf99xg=")</f>
        <v>#VALUE!</v>
      </c>
      <c r="Z139" t="e">
        <f>AND(Bills!O464,"AAAAAFf99xk=")</f>
        <v>#VALUE!</v>
      </c>
      <c r="AA139" t="e">
        <f>AND(Bills!P464,"AAAAAFf99xo=")</f>
        <v>#VALUE!</v>
      </c>
      <c r="AB139" t="e">
        <f>AND(Bills!Q464,"AAAAAFf99xs=")</f>
        <v>#VALUE!</v>
      </c>
      <c r="AC139" t="e">
        <f>AND(Bills!R464,"AAAAAFf99xw=")</f>
        <v>#VALUE!</v>
      </c>
      <c r="AD139" t="e">
        <f>AND(Bills!#REF!,"AAAAAFf99x0=")</f>
        <v>#REF!</v>
      </c>
      <c r="AE139" t="e">
        <f>AND(Bills!S464,"AAAAAFf99x4=")</f>
        <v>#VALUE!</v>
      </c>
      <c r="AF139" t="e">
        <f>AND(Bills!T464,"AAAAAFf99x8=")</f>
        <v>#VALUE!</v>
      </c>
      <c r="AG139" t="e">
        <f>AND(Bills!U464,"AAAAAFf99yA=")</f>
        <v>#VALUE!</v>
      </c>
      <c r="AH139" t="e">
        <f>AND(Bills!#REF!,"AAAAAFf99yE=")</f>
        <v>#REF!</v>
      </c>
      <c r="AI139" t="e">
        <f>AND(Bills!#REF!,"AAAAAFf99yI=")</f>
        <v>#REF!</v>
      </c>
      <c r="AJ139" t="e">
        <f>AND(Bills!W464,"AAAAAFf99yM=")</f>
        <v>#VALUE!</v>
      </c>
      <c r="AK139" t="e">
        <f>AND(Bills!X464,"AAAAAFf99yQ=")</f>
        <v>#VALUE!</v>
      </c>
      <c r="AL139" t="e">
        <f>AND(Bills!#REF!,"AAAAAFf99yU=")</f>
        <v>#REF!</v>
      </c>
      <c r="AM139" t="e">
        <f>AND(Bills!#REF!,"AAAAAFf99yY=")</f>
        <v>#REF!</v>
      </c>
      <c r="AN139" t="e">
        <f>AND(Bills!#REF!,"AAAAAFf99yc=")</f>
        <v>#REF!</v>
      </c>
      <c r="AO139" t="e">
        <f>AND(Bills!#REF!,"AAAAAFf99yg=")</f>
        <v>#REF!</v>
      </c>
      <c r="AP139" t="e">
        <f>AND(Bills!#REF!,"AAAAAFf99yk=")</f>
        <v>#REF!</v>
      </c>
      <c r="AQ139" t="e">
        <f>AND(Bills!#REF!,"AAAAAFf99yo=")</f>
        <v>#REF!</v>
      </c>
      <c r="AR139" t="e">
        <f>AND(Bills!#REF!,"AAAAAFf99ys=")</f>
        <v>#REF!</v>
      </c>
      <c r="AS139" t="e">
        <f>AND(Bills!#REF!,"AAAAAFf99yw=")</f>
        <v>#REF!</v>
      </c>
      <c r="AT139" t="e">
        <f>AND(Bills!#REF!,"AAAAAFf99y0=")</f>
        <v>#REF!</v>
      </c>
      <c r="AU139" t="e">
        <f>AND(Bills!Y464,"AAAAAFf99y4=")</f>
        <v>#VALUE!</v>
      </c>
      <c r="AV139" t="e">
        <f>AND(Bills!Z464,"AAAAAFf99y8=")</f>
        <v>#VALUE!</v>
      </c>
      <c r="AW139" t="e">
        <f>AND(Bills!#REF!,"AAAAAFf99zA=")</f>
        <v>#REF!</v>
      </c>
      <c r="AX139" t="e">
        <f>AND(Bills!#REF!,"AAAAAFf99zE=")</f>
        <v>#REF!</v>
      </c>
      <c r="AY139" t="e">
        <f>AND(Bills!#REF!,"AAAAAFf99zI=")</f>
        <v>#REF!</v>
      </c>
      <c r="AZ139" t="e">
        <f>AND(Bills!AA464,"AAAAAFf99zM=")</f>
        <v>#VALUE!</v>
      </c>
      <c r="BA139" t="e">
        <f>AND(Bills!AB464,"AAAAAFf99zQ=")</f>
        <v>#VALUE!</v>
      </c>
      <c r="BB139" t="e">
        <f>AND(Bills!#REF!,"AAAAAFf99zU=")</f>
        <v>#REF!</v>
      </c>
      <c r="BC139">
        <f>IF(Bills!465:465,"AAAAAFf99zY=",0)</f>
        <v>0</v>
      </c>
      <c r="BD139" t="e">
        <f>AND(Bills!B465,"AAAAAFf99zc=")</f>
        <v>#VALUE!</v>
      </c>
      <c r="BE139" t="e">
        <f>AND(Bills!#REF!,"AAAAAFf99zg=")</f>
        <v>#REF!</v>
      </c>
      <c r="BF139" t="e">
        <f>AND(Bills!C465,"AAAAAFf99zk=")</f>
        <v>#VALUE!</v>
      </c>
      <c r="BG139" t="e">
        <f>AND(Bills!#REF!,"AAAAAFf99zo=")</f>
        <v>#REF!</v>
      </c>
      <c r="BH139" t="e">
        <f>AND(Bills!#REF!,"AAAAAFf99zs=")</f>
        <v>#REF!</v>
      </c>
      <c r="BI139" t="e">
        <f>AND(Bills!#REF!,"AAAAAFf99zw=")</f>
        <v>#REF!</v>
      </c>
      <c r="BJ139" t="e">
        <f>AND(Bills!#REF!,"AAAAAFf99z0=")</f>
        <v>#REF!</v>
      </c>
      <c r="BK139" t="e">
        <f>AND(Bills!#REF!,"AAAAAFf99z4=")</f>
        <v>#REF!</v>
      </c>
      <c r="BL139" t="e">
        <f>AND(Bills!D465,"AAAAAFf99z8=")</f>
        <v>#VALUE!</v>
      </c>
      <c r="BM139" t="e">
        <f>AND(Bills!#REF!,"AAAAAFf990A=")</f>
        <v>#REF!</v>
      </c>
      <c r="BN139" t="e">
        <f>AND(Bills!E465,"AAAAAFf990E=")</f>
        <v>#VALUE!</v>
      </c>
      <c r="BO139" t="e">
        <f>AND(Bills!F465,"AAAAAFf990I=")</f>
        <v>#VALUE!</v>
      </c>
      <c r="BP139" t="e">
        <f>AND(Bills!G465,"AAAAAFf990M=")</f>
        <v>#VALUE!</v>
      </c>
      <c r="BQ139" t="e">
        <f>AND(Bills!H465,"AAAAAFf990Q=")</f>
        <v>#VALUE!</v>
      </c>
      <c r="BR139" t="e">
        <f>AND(Bills!I465,"AAAAAFf990U=")</f>
        <v>#VALUE!</v>
      </c>
      <c r="BS139" t="e">
        <f>AND(Bills!J465,"AAAAAFf990Y=")</f>
        <v>#VALUE!</v>
      </c>
      <c r="BT139" t="e">
        <f>AND(Bills!#REF!,"AAAAAFf990c=")</f>
        <v>#REF!</v>
      </c>
      <c r="BU139" t="e">
        <f>AND(Bills!K465,"AAAAAFf990g=")</f>
        <v>#VALUE!</v>
      </c>
      <c r="BV139" t="e">
        <f>AND(Bills!L465,"AAAAAFf990k=")</f>
        <v>#VALUE!</v>
      </c>
      <c r="BW139" t="e">
        <f>AND(Bills!M465,"AAAAAFf990o=")</f>
        <v>#VALUE!</v>
      </c>
      <c r="BX139" t="e">
        <f>AND(Bills!N465,"AAAAAFf990s=")</f>
        <v>#VALUE!</v>
      </c>
      <c r="BY139" t="e">
        <f>AND(Bills!O465,"AAAAAFf990w=")</f>
        <v>#VALUE!</v>
      </c>
      <c r="BZ139" t="e">
        <f>AND(Bills!P465,"AAAAAFf9900=")</f>
        <v>#VALUE!</v>
      </c>
      <c r="CA139" t="e">
        <f>AND(Bills!Q465,"AAAAAFf9904=")</f>
        <v>#VALUE!</v>
      </c>
      <c r="CB139" t="e">
        <f>AND(Bills!R465,"AAAAAFf9908=")</f>
        <v>#VALUE!</v>
      </c>
      <c r="CC139" t="e">
        <f>AND(Bills!#REF!,"AAAAAFf991A=")</f>
        <v>#REF!</v>
      </c>
      <c r="CD139" t="e">
        <f>AND(Bills!S465,"AAAAAFf991E=")</f>
        <v>#VALUE!</v>
      </c>
      <c r="CE139" t="e">
        <f>AND(Bills!T465,"AAAAAFf991I=")</f>
        <v>#VALUE!</v>
      </c>
      <c r="CF139" t="e">
        <f>AND(Bills!U465,"AAAAAFf991M=")</f>
        <v>#VALUE!</v>
      </c>
      <c r="CG139" t="e">
        <f>AND(Bills!#REF!,"AAAAAFf991Q=")</f>
        <v>#REF!</v>
      </c>
      <c r="CH139" t="e">
        <f>AND(Bills!#REF!,"AAAAAFf991U=")</f>
        <v>#REF!</v>
      </c>
      <c r="CI139" t="e">
        <f>AND(Bills!W465,"AAAAAFf991Y=")</f>
        <v>#VALUE!</v>
      </c>
      <c r="CJ139" t="e">
        <f>AND(Bills!X465,"AAAAAFf991c=")</f>
        <v>#VALUE!</v>
      </c>
      <c r="CK139" t="e">
        <f>AND(Bills!#REF!,"AAAAAFf991g=")</f>
        <v>#REF!</v>
      </c>
      <c r="CL139" t="e">
        <f>AND(Bills!#REF!,"AAAAAFf991k=")</f>
        <v>#REF!</v>
      </c>
      <c r="CM139" t="e">
        <f>AND(Bills!#REF!,"AAAAAFf991o=")</f>
        <v>#REF!</v>
      </c>
      <c r="CN139" t="e">
        <f>AND(Bills!#REF!,"AAAAAFf991s=")</f>
        <v>#REF!</v>
      </c>
      <c r="CO139" t="e">
        <f>AND(Bills!#REF!,"AAAAAFf991w=")</f>
        <v>#REF!</v>
      </c>
      <c r="CP139" t="e">
        <f>AND(Bills!#REF!,"AAAAAFf9910=")</f>
        <v>#REF!</v>
      </c>
      <c r="CQ139" t="e">
        <f>AND(Bills!#REF!,"AAAAAFf9914=")</f>
        <v>#REF!</v>
      </c>
      <c r="CR139" t="e">
        <f>AND(Bills!#REF!,"AAAAAFf9918=")</f>
        <v>#REF!</v>
      </c>
      <c r="CS139" t="e">
        <f>AND(Bills!#REF!,"AAAAAFf992A=")</f>
        <v>#REF!</v>
      </c>
      <c r="CT139" t="e">
        <f>AND(Bills!Y465,"AAAAAFf992E=")</f>
        <v>#VALUE!</v>
      </c>
      <c r="CU139" t="e">
        <f>AND(Bills!Z465,"AAAAAFf992I=")</f>
        <v>#VALUE!</v>
      </c>
      <c r="CV139" t="e">
        <f>AND(Bills!#REF!,"AAAAAFf992M=")</f>
        <v>#REF!</v>
      </c>
      <c r="CW139" t="e">
        <f>AND(Bills!#REF!,"AAAAAFf992Q=")</f>
        <v>#REF!</v>
      </c>
      <c r="CX139" t="e">
        <f>AND(Bills!#REF!,"AAAAAFf992U=")</f>
        <v>#REF!</v>
      </c>
      <c r="CY139" t="e">
        <f>AND(Bills!AA465,"AAAAAFf992Y=")</f>
        <v>#VALUE!</v>
      </c>
      <c r="CZ139" t="e">
        <f>AND(Bills!AB465,"AAAAAFf992c=")</f>
        <v>#VALUE!</v>
      </c>
      <c r="DA139" t="e">
        <f>AND(Bills!#REF!,"AAAAAFf992g=")</f>
        <v>#REF!</v>
      </c>
      <c r="DB139">
        <f>IF(Bills!466:466,"AAAAAFf992k=",0)</f>
        <v>0</v>
      </c>
      <c r="DC139" t="e">
        <f>AND(Bills!B466,"AAAAAFf992o=")</f>
        <v>#VALUE!</v>
      </c>
      <c r="DD139" t="e">
        <f>AND(Bills!#REF!,"AAAAAFf992s=")</f>
        <v>#REF!</v>
      </c>
      <c r="DE139" t="e">
        <f>AND(Bills!C466,"AAAAAFf992w=")</f>
        <v>#VALUE!</v>
      </c>
      <c r="DF139" t="e">
        <f>AND(Bills!#REF!,"AAAAAFf9920=")</f>
        <v>#REF!</v>
      </c>
      <c r="DG139" t="e">
        <f>AND(Bills!#REF!,"AAAAAFf9924=")</f>
        <v>#REF!</v>
      </c>
      <c r="DH139" t="e">
        <f>AND(Bills!#REF!,"AAAAAFf9928=")</f>
        <v>#REF!</v>
      </c>
      <c r="DI139" t="e">
        <f>AND(Bills!#REF!,"AAAAAFf993A=")</f>
        <v>#REF!</v>
      </c>
      <c r="DJ139" t="e">
        <f>AND(Bills!#REF!,"AAAAAFf993E=")</f>
        <v>#REF!</v>
      </c>
      <c r="DK139" t="e">
        <f>AND(Bills!D466,"AAAAAFf993I=")</f>
        <v>#VALUE!</v>
      </c>
      <c r="DL139" t="e">
        <f>AND(Bills!#REF!,"AAAAAFf993M=")</f>
        <v>#REF!</v>
      </c>
      <c r="DM139" t="e">
        <f>AND(Bills!E466,"AAAAAFf993Q=")</f>
        <v>#VALUE!</v>
      </c>
      <c r="DN139" t="e">
        <f>AND(Bills!F466,"AAAAAFf993U=")</f>
        <v>#VALUE!</v>
      </c>
      <c r="DO139" t="e">
        <f>AND(Bills!G466,"AAAAAFf993Y=")</f>
        <v>#VALUE!</v>
      </c>
      <c r="DP139" t="e">
        <f>AND(Bills!H466,"AAAAAFf993c=")</f>
        <v>#VALUE!</v>
      </c>
      <c r="DQ139" t="e">
        <f>AND(Bills!I466,"AAAAAFf993g=")</f>
        <v>#VALUE!</v>
      </c>
      <c r="DR139" t="e">
        <f>AND(Bills!J466,"AAAAAFf993k=")</f>
        <v>#VALUE!</v>
      </c>
      <c r="DS139" t="e">
        <f>AND(Bills!#REF!,"AAAAAFf993o=")</f>
        <v>#REF!</v>
      </c>
      <c r="DT139" t="e">
        <f>AND(Bills!K466,"AAAAAFf993s=")</f>
        <v>#VALUE!</v>
      </c>
      <c r="DU139" t="e">
        <f>AND(Bills!L466,"AAAAAFf993w=")</f>
        <v>#VALUE!</v>
      </c>
      <c r="DV139" t="e">
        <f>AND(Bills!M466,"AAAAAFf9930=")</f>
        <v>#VALUE!</v>
      </c>
      <c r="DW139" t="e">
        <f>AND(Bills!N466,"AAAAAFf9934=")</f>
        <v>#VALUE!</v>
      </c>
      <c r="DX139" t="e">
        <f>AND(Bills!O466,"AAAAAFf9938=")</f>
        <v>#VALUE!</v>
      </c>
      <c r="DY139" t="e">
        <f>AND(Bills!P466,"AAAAAFf994A=")</f>
        <v>#VALUE!</v>
      </c>
      <c r="DZ139" t="e">
        <f>AND(Bills!Q466,"AAAAAFf994E=")</f>
        <v>#VALUE!</v>
      </c>
      <c r="EA139" t="e">
        <f>AND(Bills!R466,"AAAAAFf994I=")</f>
        <v>#VALUE!</v>
      </c>
      <c r="EB139" t="e">
        <f>AND(Bills!#REF!,"AAAAAFf994M=")</f>
        <v>#REF!</v>
      </c>
      <c r="EC139" t="e">
        <f>AND(Bills!S466,"AAAAAFf994Q=")</f>
        <v>#VALUE!</v>
      </c>
      <c r="ED139" t="e">
        <f>AND(Bills!T466,"AAAAAFf994U=")</f>
        <v>#VALUE!</v>
      </c>
      <c r="EE139" t="e">
        <f>AND(Bills!U466,"AAAAAFf994Y=")</f>
        <v>#VALUE!</v>
      </c>
      <c r="EF139" t="e">
        <f>AND(Bills!#REF!,"AAAAAFf994c=")</f>
        <v>#REF!</v>
      </c>
      <c r="EG139" t="e">
        <f>AND(Bills!#REF!,"AAAAAFf994g=")</f>
        <v>#REF!</v>
      </c>
      <c r="EH139" t="e">
        <f>AND(Bills!W466,"AAAAAFf994k=")</f>
        <v>#VALUE!</v>
      </c>
      <c r="EI139" t="e">
        <f>AND(Bills!X466,"AAAAAFf994o=")</f>
        <v>#VALUE!</v>
      </c>
      <c r="EJ139" t="e">
        <f>AND(Bills!#REF!,"AAAAAFf994s=")</f>
        <v>#REF!</v>
      </c>
      <c r="EK139" t="e">
        <f>AND(Bills!#REF!,"AAAAAFf994w=")</f>
        <v>#REF!</v>
      </c>
      <c r="EL139" t="e">
        <f>AND(Bills!#REF!,"AAAAAFf9940=")</f>
        <v>#REF!</v>
      </c>
      <c r="EM139" t="e">
        <f>AND(Bills!#REF!,"AAAAAFf9944=")</f>
        <v>#REF!</v>
      </c>
      <c r="EN139" t="e">
        <f>AND(Bills!#REF!,"AAAAAFf9948=")</f>
        <v>#REF!</v>
      </c>
      <c r="EO139" t="e">
        <f>AND(Bills!#REF!,"AAAAAFf995A=")</f>
        <v>#REF!</v>
      </c>
      <c r="EP139" t="e">
        <f>AND(Bills!#REF!,"AAAAAFf995E=")</f>
        <v>#REF!</v>
      </c>
      <c r="EQ139" t="e">
        <f>AND(Bills!#REF!,"AAAAAFf995I=")</f>
        <v>#REF!</v>
      </c>
      <c r="ER139" t="e">
        <f>AND(Bills!#REF!,"AAAAAFf995M=")</f>
        <v>#REF!</v>
      </c>
      <c r="ES139" t="e">
        <f>AND(Bills!Y466,"AAAAAFf995Q=")</f>
        <v>#VALUE!</v>
      </c>
      <c r="ET139" t="e">
        <f>AND(Bills!Z466,"AAAAAFf995U=")</f>
        <v>#VALUE!</v>
      </c>
      <c r="EU139" t="e">
        <f>AND(Bills!#REF!,"AAAAAFf995Y=")</f>
        <v>#REF!</v>
      </c>
      <c r="EV139" t="e">
        <f>AND(Bills!#REF!,"AAAAAFf995c=")</f>
        <v>#REF!</v>
      </c>
      <c r="EW139" t="e">
        <f>AND(Bills!#REF!,"AAAAAFf995g=")</f>
        <v>#REF!</v>
      </c>
      <c r="EX139" t="e">
        <f>AND(Bills!AA466,"AAAAAFf995k=")</f>
        <v>#VALUE!</v>
      </c>
      <c r="EY139" t="e">
        <f>AND(Bills!AB466,"AAAAAFf995o=")</f>
        <v>#VALUE!</v>
      </c>
      <c r="EZ139" t="e">
        <f>AND(Bills!#REF!,"AAAAAFf995s=")</f>
        <v>#REF!</v>
      </c>
      <c r="FA139">
        <f>IF(Bills!467:467,"AAAAAFf995w=",0)</f>
        <v>0</v>
      </c>
      <c r="FB139" t="e">
        <f>AND(Bills!B467,"AAAAAFf9950=")</f>
        <v>#VALUE!</v>
      </c>
      <c r="FC139" t="e">
        <f>AND(Bills!#REF!,"AAAAAFf9954=")</f>
        <v>#REF!</v>
      </c>
      <c r="FD139" t="e">
        <f>AND(Bills!C467,"AAAAAFf9958=")</f>
        <v>#VALUE!</v>
      </c>
      <c r="FE139" t="e">
        <f>AND(Bills!#REF!,"AAAAAFf996A=")</f>
        <v>#REF!</v>
      </c>
      <c r="FF139" t="e">
        <f>AND(Bills!#REF!,"AAAAAFf996E=")</f>
        <v>#REF!</v>
      </c>
      <c r="FG139" t="e">
        <f>AND(Bills!#REF!,"AAAAAFf996I=")</f>
        <v>#REF!</v>
      </c>
      <c r="FH139" t="e">
        <f>AND(Bills!#REF!,"AAAAAFf996M=")</f>
        <v>#REF!</v>
      </c>
      <c r="FI139" t="e">
        <f>AND(Bills!#REF!,"AAAAAFf996Q=")</f>
        <v>#REF!</v>
      </c>
      <c r="FJ139" t="e">
        <f>AND(Bills!D467,"AAAAAFf996U=")</f>
        <v>#VALUE!</v>
      </c>
      <c r="FK139" t="e">
        <f>AND(Bills!#REF!,"AAAAAFf996Y=")</f>
        <v>#REF!</v>
      </c>
      <c r="FL139" t="e">
        <f>AND(Bills!E467,"AAAAAFf996c=")</f>
        <v>#VALUE!</v>
      </c>
      <c r="FM139" t="e">
        <f>AND(Bills!F467,"AAAAAFf996g=")</f>
        <v>#VALUE!</v>
      </c>
      <c r="FN139" t="e">
        <f>AND(Bills!G467,"AAAAAFf996k=")</f>
        <v>#VALUE!</v>
      </c>
      <c r="FO139" t="e">
        <f>AND(Bills!H467,"AAAAAFf996o=")</f>
        <v>#VALUE!</v>
      </c>
      <c r="FP139" t="e">
        <f>AND(Bills!I467,"AAAAAFf996s=")</f>
        <v>#VALUE!</v>
      </c>
      <c r="FQ139" t="e">
        <f>AND(Bills!J467,"AAAAAFf996w=")</f>
        <v>#VALUE!</v>
      </c>
      <c r="FR139" t="e">
        <f>AND(Bills!#REF!,"AAAAAFf9960=")</f>
        <v>#REF!</v>
      </c>
      <c r="FS139" t="e">
        <f>AND(Bills!K467,"AAAAAFf9964=")</f>
        <v>#VALUE!</v>
      </c>
      <c r="FT139" t="e">
        <f>AND(Bills!L467,"AAAAAFf9968=")</f>
        <v>#VALUE!</v>
      </c>
      <c r="FU139" t="e">
        <f>AND(Bills!M467,"AAAAAFf997A=")</f>
        <v>#VALUE!</v>
      </c>
      <c r="FV139" t="e">
        <f>AND(Bills!N467,"AAAAAFf997E=")</f>
        <v>#VALUE!</v>
      </c>
      <c r="FW139" t="e">
        <f>AND(Bills!O467,"AAAAAFf997I=")</f>
        <v>#VALUE!</v>
      </c>
      <c r="FX139" t="e">
        <f>AND(Bills!P467,"AAAAAFf997M=")</f>
        <v>#VALUE!</v>
      </c>
      <c r="FY139" t="e">
        <f>AND(Bills!Q467,"AAAAAFf997Q=")</f>
        <v>#VALUE!</v>
      </c>
      <c r="FZ139" t="e">
        <f>AND(Bills!R467,"AAAAAFf997U=")</f>
        <v>#VALUE!</v>
      </c>
      <c r="GA139" t="e">
        <f>AND(Bills!#REF!,"AAAAAFf997Y=")</f>
        <v>#REF!</v>
      </c>
      <c r="GB139" t="e">
        <f>AND(Bills!S467,"AAAAAFf997c=")</f>
        <v>#VALUE!</v>
      </c>
      <c r="GC139" t="e">
        <f>AND(Bills!T467,"AAAAAFf997g=")</f>
        <v>#VALUE!</v>
      </c>
      <c r="GD139" t="e">
        <f>AND(Bills!U467,"AAAAAFf997k=")</f>
        <v>#VALUE!</v>
      </c>
      <c r="GE139" t="e">
        <f>AND(Bills!#REF!,"AAAAAFf997o=")</f>
        <v>#REF!</v>
      </c>
      <c r="GF139" t="e">
        <f>AND(Bills!#REF!,"AAAAAFf997s=")</f>
        <v>#REF!</v>
      </c>
      <c r="GG139" t="e">
        <f>AND(Bills!W467,"AAAAAFf997w=")</f>
        <v>#VALUE!</v>
      </c>
      <c r="GH139" t="e">
        <f>AND(Bills!X467,"AAAAAFf9970=")</f>
        <v>#VALUE!</v>
      </c>
      <c r="GI139" t="e">
        <f>AND(Bills!#REF!,"AAAAAFf9974=")</f>
        <v>#REF!</v>
      </c>
      <c r="GJ139" t="e">
        <f>AND(Bills!#REF!,"AAAAAFf9978=")</f>
        <v>#REF!</v>
      </c>
      <c r="GK139" t="e">
        <f>AND(Bills!#REF!,"AAAAAFf998A=")</f>
        <v>#REF!</v>
      </c>
      <c r="GL139" t="e">
        <f>AND(Bills!#REF!,"AAAAAFf998E=")</f>
        <v>#REF!</v>
      </c>
      <c r="GM139" t="e">
        <f>AND(Bills!#REF!,"AAAAAFf998I=")</f>
        <v>#REF!</v>
      </c>
      <c r="GN139" t="e">
        <f>AND(Bills!#REF!,"AAAAAFf998M=")</f>
        <v>#REF!</v>
      </c>
      <c r="GO139" t="e">
        <f>AND(Bills!#REF!,"AAAAAFf998Q=")</f>
        <v>#REF!</v>
      </c>
      <c r="GP139" t="e">
        <f>AND(Bills!#REF!,"AAAAAFf998U=")</f>
        <v>#REF!</v>
      </c>
      <c r="GQ139" t="e">
        <f>AND(Bills!#REF!,"AAAAAFf998Y=")</f>
        <v>#REF!</v>
      </c>
      <c r="GR139" t="e">
        <f>AND(Bills!Y467,"AAAAAFf998c=")</f>
        <v>#VALUE!</v>
      </c>
      <c r="GS139" t="e">
        <f>AND(Bills!Z467,"AAAAAFf998g=")</f>
        <v>#VALUE!</v>
      </c>
      <c r="GT139" t="e">
        <f>AND(Bills!#REF!,"AAAAAFf998k=")</f>
        <v>#REF!</v>
      </c>
      <c r="GU139" t="e">
        <f>AND(Bills!#REF!,"AAAAAFf998o=")</f>
        <v>#REF!</v>
      </c>
      <c r="GV139" t="e">
        <f>AND(Bills!#REF!,"AAAAAFf998s=")</f>
        <v>#REF!</v>
      </c>
      <c r="GW139" t="e">
        <f>AND(Bills!AA467,"AAAAAFf998w=")</f>
        <v>#VALUE!</v>
      </c>
      <c r="GX139" t="e">
        <f>AND(Bills!AB467,"AAAAAFf9980=")</f>
        <v>#VALUE!</v>
      </c>
      <c r="GY139" t="e">
        <f>AND(Bills!#REF!,"AAAAAFf9984=")</f>
        <v>#REF!</v>
      </c>
      <c r="GZ139">
        <f>IF(Bills!468:468,"AAAAAFf9988=",0)</f>
        <v>0</v>
      </c>
      <c r="HA139" t="e">
        <f>AND(Bills!B468,"AAAAAFf999A=")</f>
        <v>#VALUE!</v>
      </c>
      <c r="HB139" t="e">
        <f>AND(Bills!#REF!,"AAAAAFf999E=")</f>
        <v>#REF!</v>
      </c>
      <c r="HC139" t="e">
        <f>AND(Bills!C468,"AAAAAFf999I=")</f>
        <v>#VALUE!</v>
      </c>
      <c r="HD139" t="e">
        <f>AND(Bills!#REF!,"AAAAAFf999M=")</f>
        <v>#REF!</v>
      </c>
      <c r="HE139" t="e">
        <f>AND(Bills!#REF!,"AAAAAFf999Q=")</f>
        <v>#REF!</v>
      </c>
      <c r="HF139" t="e">
        <f>AND(Bills!#REF!,"AAAAAFf999U=")</f>
        <v>#REF!</v>
      </c>
      <c r="HG139" t="e">
        <f>AND(Bills!#REF!,"AAAAAFf999Y=")</f>
        <v>#REF!</v>
      </c>
      <c r="HH139" t="e">
        <f>AND(Bills!#REF!,"AAAAAFf999c=")</f>
        <v>#REF!</v>
      </c>
      <c r="HI139" t="e">
        <f>AND(Bills!D468,"AAAAAFf999g=")</f>
        <v>#VALUE!</v>
      </c>
      <c r="HJ139" t="e">
        <f>AND(Bills!#REF!,"AAAAAFf999k=")</f>
        <v>#REF!</v>
      </c>
      <c r="HK139" t="e">
        <f>AND(Bills!E468,"AAAAAFf999o=")</f>
        <v>#VALUE!</v>
      </c>
      <c r="HL139" t="e">
        <f>AND(Bills!F468,"AAAAAFf999s=")</f>
        <v>#VALUE!</v>
      </c>
      <c r="HM139" t="e">
        <f>AND(Bills!G468,"AAAAAFf999w=")</f>
        <v>#VALUE!</v>
      </c>
      <c r="HN139" t="e">
        <f>AND(Bills!H468,"AAAAAFf9990=")</f>
        <v>#VALUE!</v>
      </c>
      <c r="HO139" t="e">
        <f>AND(Bills!I468,"AAAAAFf9994=")</f>
        <v>#VALUE!</v>
      </c>
      <c r="HP139" t="e">
        <f>AND(Bills!J468,"AAAAAFf9998=")</f>
        <v>#VALUE!</v>
      </c>
      <c r="HQ139" t="e">
        <f>AND(Bills!#REF!,"AAAAAFf99+A=")</f>
        <v>#REF!</v>
      </c>
      <c r="HR139" t="e">
        <f>AND(Bills!K468,"AAAAAFf99+E=")</f>
        <v>#VALUE!</v>
      </c>
      <c r="HS139" t="e">
        <f>AND(Bills!L468,"AAAAAFf99+I=")</f>
        <v>#VALUE!</v>
      </c>
      <c r="HT139" t="e">
        <f>AND(Bills!M468,"AAAAAFf99+M=")</f>
        <v>#VALUE!</v>
      </c>
      <c r="HU139" t="e">
        <f>AND(Bills!N468,"AAAAAFf99+Q=")</f>
        <v>#VALUE!</v>
      </c>
      <c r="HV139" t="e">
        <f>AND(Bills!O468,"AAAAAFf99+U=")</f>
        <v>#VALUE!</v>
      </c>
      <c r="HW139" t="e">
        <f>AND(Bills!P468,"AAAAAFf99+Y=")</f>
        <v>#VALUE!</v>
      </c>
      <c r="HX139" t="e">
        <f>AND(Bills!Q468,"AAAAAFf99+c=")</f>
        <v>#VALUE!</v>
      </c>
      <c r="HY139" t="e">
        <f>AND(Bills!R468,"AAAAAFf99+g=")</f>
        <v>#VALUE!</v>
      </c>
      <c r="HZ139" t="e">
        <f>AND(Bills!#REF!,"AAAAAFf99+k=")</f>
        <v>#REF!</v>
      </c>
      <c r="IA139" t="e">
        <f>AND(Bills!S468,"AAAAAFf99+o=")</f>
        <v>#VALUE!</v>
      </c>
      <c r="IB139" t="e">
        <f>AND(Bills!T468,"AAAAAFf99+s=")</f>
        <v>#VALUE!</v>
      </c>
      <c r="IC139" t="e">
        <f>AND(Bills!U468,"AAAAAFf99+w=")</f>
        <v>#VALUE!</v>
      </c>
      <c r="ID139" t="e">
        <f>AND(Bills!#REF!,"AAAAAFf99+0=")</f>
        <v>#REF!</v>
      </c>
      <c r="IE139" t="e">
        <f>AND(Bills!#REF!,"AAAAAFf99+4=")</f>
        <v>#REF!</v>
      </c>
      <c r="IF139" t="e">
        <f>AND(Bills!W468,"AAAAAFf99+8=")</f>
        <v>#VALUE!</v>
      </c>
      <c r="IG139" t="e">
        <f>AND(Bills!X468,"AAAAAFf99/A=")</f>
        <v>#VALUE!</v>
      </c>
      <c r="IH139" t="e">
        <f>AND(Bills!#REF!,"AAAAAFf99/E=")</f>
        <v>#REF!</v>
      </c>
      <c r="II139" t="e">
        <f>AND(Bills!#REF!,"AAAAAFf99/I=")</f>
        <v>#REF!</v>
      </c>
      <c r="IJ139" t="e">
        <f>AND(Bills!#REF!,"AAAAAFf99/M=")</f>
        <v>#REF!</v>
      </c>
      <c r="IK139" t="e">
        <f>AND(Bills!#REF!,"AAAAAFf99/Q=")</f>
        <v>#REF!</v>
      </c>
      <c r="IL139" t="e">
        <f>AND(Bills!#REF!,"AAAAAFf99/U=")</f>
        <v>#REF!</v>
      </c>
      <c r="IM139" t="e">
        <f>AND(Bills!#REF!,"AAAAAFf99/Y=")</f>
        <v>#REF!</v>
      </c>
      <c r="IN139" t="e">
        <f>AND(Bills!#REF!,"AAAAAFf99/c=")</f>
        <v>#REF!</v>
      </c>
      <c r="IO139" t="e">
        <f>AND(Bills!#REF!,"AAAAAFf99/g=")</f>
        <v>#REF!</v>
      </c>
      <c r="IP139" t="e">
        <f>AND(Bills!#REF!,"AAAAAFf99/k=")</f>
        <v>#REF!</v>
      </c>
      <c r="IQ139" t="e">
        <f>AND(Bills!Y468,"AAAAAFf99/o=")</f>
        <v>#VALUE!</v>
      </c>
      <c r="IR139" t="e">
        <f>AND(Bills!Z468,"AAAAAFf99/s=")</f>
        <v>#VALUE!</v>
      </c>
      <c r="IS139" t="e">
        <f>AND(Bills!#REF!,"AAAAAFf99/w=")</f>
        <v>#REF!</v>
      </c>
      <c r="IT139" t="e">
        <f>AND(Bills!#REF!,"AAAAAFf99/0=")</f>
        <v>#REF!</v>
      </c>
      <c r="IU139" t="e">
        <f>AND(Bills!#REF!,"AAAAAFf99/4=")</f>
        <v>#REF!</v>
      </c>
      <c r="IV139" t="e">
        <f>AND(Bills!AA468,"AAAAAFf99/8=")</f>
        <v>#VALUE!</v>
      </c>
    </row>
    <row r="140" spans="1:256">
      <c r="A140" t="e">
        <f>AND(Bills!AB468,"AAAAAA/PbQA=")</f>
        <v>#VALUE!</v>
      </c>
      <c r="B140" t="e">
        <f>AND(Bills!#REF!,"AAAAAA/PbQE=")</f>
        <v>#REF!</v>
      </c>
      <c r="C140">
        <f>IF(Bills!469:469,"AAAAAA/PbQI=",0)</f>
        <v>0</v>
      </c>
      <c r="D140" t="e">
        <f>AND(Bills!B469,"AAAAAA/PbQM=")</f>
        <v>#VALUE!</v>
      </c>
      <c r="E140" t="e">
        <f>AND(Bills!#REF!,"AAAAAA/PbQQ=")</f>
        <v>#REF!</v>
      </c>
      <c r="F140" t="e">
        <f>AND(Bills!C469,"AAAAAA/PbQU=")</f>
        <v>#VALUE!</v>
      </c>
      <c r="G140" t="e">
        <f>AND(Bills!#REF!,"AAAAAA/PbQY=")</f>
        <v>#REF!</v>
      </c>
      <c r="H140" t="e">
        <f>AND(Bills!#REF!,"AAAAAA/PbQc=")</f>
        <v>#REF!</v>
      </c>
      <c r="I140" t="e">
        <f>AND(Bills!#REF!,"AAAAAA/PbQg=")</f>
        <v>#REF!</v>
      </c>
      <c r="J140" t="e">
        <f>AND(Bills!#REF!,"AAAAAA/PbQk=")</f>
        <v>#REF!</v>
      </c>
      <c r="K140" t="e">
        <f>AND(Bills!#REF!,"AAAAAA/PbQo=")</f>
        <v>#REF!</v>
      </c>
      <c r="L140" t="e">
        <f>AND(Bills!D469,"AAAAAA/PbQs=")</f>
        <v>#VALUE!</v>
      </c>
      <c r="M140" t="e">
        <f>AND(Bills!#REF!,"AAAAAA/PbQw=")</f>
        <v>#REF!</v>
      </c>
      <c r="N140" t="e">
        <f>AND(Bills!E469,"AAAAAA/PbQ0=")</f>
        <v>#VALUE!</v>
      </c>
      <c r="O140" t="e">
        <f>AND(Bills!F469,"AAAAAA/PbQ4=")</f>
        <v>#VALUE!</v>
      </c>
      <c r="P140" t="e">
        <f>AND(Bills!G469,"AAAAAA/PbQ8=")</f>
        <v>#VALUE!</v>
      </c>
      <c r="Q140" t="e">
        <f>AND(Bills!H469,"AAAAAA/PbRA=")</f>
        <v>#VALUE!</v>
      </c>
      <c r="R140" t="e">
        <f>AND(Bills!I469,"AAAAAA/PbRE=")</f>
        <v>#VALUE!</v>
      </c>
      <c r="S140" t="e">
        <f>AND(Bills!J469,"AAAAAA/PbRI=")</f>
        <v>#VALUE!</v>
      </c>
      <c r="T140" t="e">
        <f>AND(Bills!#REF!,"AAAAAA/PbRM=")</f>
        <v>#REF!</v>
      </c>
      <c r="U140" t="e">
        <f>AND(Bills!K469,"AAAAAA/PbRQ=")</f>
        <v>#VALUE!</v>
      </c>
      <c r="V140" t="e">
        <f>AND(Bills!L469,"AAAAAA/PbRU=")</f>
        <v>#VALUE!</v>
      </c>
      <c r="W140" t="e">
        <f>AND(Bills!M469,"AAAAAA/PbRY=")</f>
        <v>#VALUE!</v>
      </c>
      <c r="X140" t="e">
        <f>AND(Bills!N469,"AAAAAA/PbRc=")</f>
        <v>#VALUE!</v>
      </c>
      <c r="Y140" t="e">
        <f>AND(Bills!O469,"AAAAAA/PbRg=")</f>
        <v>#VALUE!</v>
      </c>
      <c r="Z140" t="e">
        <f>AND(Bills!P469,"AAAAAA/PbRk=")</f>
        <v>#VALUE!</v>
      </c>
      <c r="AA140" t="e">
        <f>AND(Bills!Q469,"AAAAAA/PbRo=")</f>
        <v>#VALUE!</v>
      </c>
      <c r="AB140" t="e">
        <f>AND(Bills!R469,"AAAAAA/PbRs=")</f>
        <v>#VALUE!</v>
      </c>
      <c r="AC140" t="e">
        <f>AND(Bills!#REF!,"AAAAAA/PbRw=")</f>
        <v>#REF!</v>
      </c>
      <c r="AD140" t="e">
        <f>AND(Bills!S469,"AAAAAA/PbR0=")</f>
        <v>#VALUE!</v>
      </c>
      <c r="AE140" t="e">
        <f>AND(Bills!T469,"AAAAAA/PbR4=")</f>
        <v>#VALUE!</v>
      </c>
      <c r="AF140" t="e">
        <f>AND(Bills!U469,"AAAAAA/PbR8=")</f>
        <v>#VALUE!</v>
      </c>
      <c r="AG140" t="e">
        <f>AND(Bills!#REF!,"AAAAAA/PbSA=")</f>
        <v>#REF!</v>
      </c>
      <c r="AH140" t="e">
        <f>AND(Bills!#REF!,"AAAAAA/PbSE=")</f>
        <v>#REF!</v>
      </c>
      <c r="AI140" t="e">
        <f>AND(Bills!W469,"AAAAAA/PbSI=")</f>
        <v>#VALUE!</v>
      </c>
      <c r="AJ140" t="e">
        <f>AND(Bills!X469,"AAAAAA/PbSM=")</f>
        <v>#VALUE!</v>
      </c>
      <c r="AK140" t="e">
        <f>AND(Bills!#REF!,"AAAAAA/PbSQ=")</f>
        <v>#REF!</v>
      </c>
      <c r="AL140" t="e">
        <f>AND(Bills!#REF!,"AAAAAA/PbSU=")</f>
        <v>#REF!</v>
      </c>
      <c r="AM140" t="e">
        <f>AND(Bills!#REF!,"AAAAAA/PbSY=")</f>
        <v>#REF!</v>
      </c>
      <c r="AN140" t="e">
        <f>AND(Bills!#REF!,"AAAAAA/PbSc=")</f>
        <v>#REF!</v>
      </c>
      <c r="AO140" t="e">
        <f>AND(Bills!#REF!,"AAAAAA/PbSg=")</f>
        <v>#REF!</v>
      </c>
      <c r="AP140" t="e">
        <f>AND(Bills!#REF!,"AAAAAA/PbSk=")</f>
        <v>#REF!</v>
      </c>
      <c r="AQ140" t="e">
        <f>AND(Bills!#REF!,"AAAAAA/PbSo=")</f>
        <v>#REF!</v>
      </c>
      <c r="AR140" t="e">
        <f>AND(Bills!#REF!,"AAAAAA/PbSs=")</f>
        <v>#REF!</v>
      </c>
      <c r="AS140" t="e">
        <f>AND(Bills!#REF!,"AAAAAA/PbSw=")</f>
        <v>#REF!</v>
      </c>
      <c r="AT140" t="e">
        <f>AND(Bills!Y469,"AAAAAA/PbS0=")</f>
        <v>#VALUE!</v>
      </c>
      <c r="AU140" t="e">
        <f>AND(Bills!Z469,"AAAAAA/PbS4=")</f>
        <v>#VALUE!</v>
      </c>
      <c r="AV140" t="e">
        <f>AND(Bills!#REF!,"AAAAAA/PbS8=")</f>
        <v>#REF!</v>
      </c>
      <c r="AW140" t="e">
        <f>AND(Bills!#REF!,"AAAAAA/PbTA=")</f>
        <v>#REF!</v>
      </c>
      <c r="AX140" t="e">
        <f>AND(Bills!#REF!,"AAAAAA/PbTE=")</f>
        <v>#REF!</v>
      </c>
      <c r="AY140" t="e">
        <f>AND(Bills!AA469,"AAAAAA/PbTI=")</f>
        <v>#VALUE!</v>
      </c>
      <c r="AZ140" t="e">
        <f>AND(Bills!AB469,"AAAAAA/PbTM=")</f>
        <v>#VALUE!</v>
      </c>
      <c r="BA140" t="e">
        <f>AND(Bills!#REF!,"AAAAAA/PbTQ=")</f>
        <v>#REF!</v>
      </c>
      <c r="BB140">
        <f>IF(Bills!470:470,"AAAAAA/PbTU=",0)</f>
        <v>0</v>
      </c>
      <c r="BC140" t="e">
        <f>AND(Bills!B470,"AAAAAA/PbTY=")</f>
        <v>#VALUE!</v>
      </c>
      <c r="BD140" t="e">
        <f>AND(Bills!#REF!,"AAAAAA/PbTc=")</f>
        <v>#REF!</v>
      </c>
      <c r="BE140" t="e">
        <f>AND(Bills!C470,"AAAAAA/PbTg=")</f>
        <v>#VALUE!</v>
      </c>
      <c r="BF140" t="e">
        <f>AND(Bills!#REF!,"AAAAAA/PbTk=")</f>
        <v>#REF!</v>
      </c>
      <c r="BG140" t="e">
        <f>AND(Bills!#REF!,"AAAAAA/PbTo=")</f>
        <v>#REF!</v>
      </c>
      <c r="BH140" t="e">
        <f>AND(Bills!#REF!,"AAAAAA/PbTs=")</f>
        <v>#REF!</v>
      </c>
      <c r="BI140" t="e">
        <f>AND(Bills!#REF!,"AAAAAA/PbTw=")</f>
        <v>#REF!</v>
      </c>
      <c r="BJ140" t="e">
        <f>AND(Bills!#REF!,"AAAAAA/PbT0=")</f>
        <v>#REF!</v>
      </c>
      <c r="BK140" t="e">
        <f>AND(Bills!D470,"AAAAAA/PbT4=")</f>
        <v>#VALUE!</v>
      </c>
      <c r="BL140" t="e">
        <f>AND(Bills!#REF!,"AAAAAA/PbT8=")</f>
        <v>#REF!</v>
      </c>
      <c r="BM140" t="e">
        <f>AND(Bills!E470,"AAAAAA/PbUA=")</f>
        <v>#VALUE!</v>
      </c>
      <c r="BN140" t="e">
        <f>AND(Bills!F470,"AAAAAA/PbUE=")</f>
        <v>#VALUE!</v>
      </c>
      <c r="BO140" t="e">
        <f>AND(Bills!G470,"AAAAAA/PbUI=")</f>
        <v>#VALUE!</v>
      </c>
      <c r="BP140" t="e">
        <f>AND(Bills!H470,"AAAAAA/PbUM=")</f>
        <v>#VALUE!</v>
      </c>
      <c r="BQ140" t="e">
        <f>AND(Bills!I470,"AAAAAA/PbUQ=")</f>
        <v>#VALUE!</v>
      </c>
      <c r="BR140" t="e">
        <f>AND(Bills!J470,"AAAAAA/PbUU=")</f>
        <v>#VALUE!</v>
      </c>
      <c r="BS140" t="e">
        <f>AND(Bills!#REF!,"AAAAAA/PbUY=")</f>
        <v>#REF!</v>
      </c>
      <c r="BT140" t="e">
        <f>AND(Bills!K470,"AAAAAA/PbUc=")</f>
        <v>#VALUE!</v>
      </c>
      <c r="BU140" t="e">
        <f>AND(Bills!L470,"AAAAAA/PbUg=")</f>
        <v>#VALUE!</v>
      </c>
      <c r="BV140" t="e">
        <f>AND(Bills!M470,"AAAAAA/PbUk=")</f>
        <v>#VALUE!</v>
      </c>
      <c r="BW140" t="e">
        <f>AND(Bills!N470,"AAAAAA/PbUo=")</f>
        <v>#VALUE!</v>
      </c>
      <c r="BX140" t="e">
        <f>AND(Bills!O470,"AAAAAA/PbUs=")</f>
        <v>#VALUE!</v>
      </c>
      <c r="BY140" t="e">
        <f>AND(Bills!P470,"AAAAAA/PbUw=")</f>
        <v>#VALUE!</v>
      </c>
      <c r="BZ140" t="e">
        <f>AND(Bills!Q470,"AAAAAA/PbU0=")</f>
        <v>#VALUE!</v>
      </c>
      <c r="CA140" t="e">
        <f>AND(Bills!R470,"AAAAAA/PbU4=")</f>
        <v>#VALUE!</v>
      </c>
      <c r="CB140" t="e">
        <f>AND(Bills!#REF!,"AAAAAA/PbU8=")</f>
        <v>#REF!</v>
      </c>
      <c r="CC140" t="e">
        <f>AND(Bills!S470,"AAAAAA/PbVA=")</f>
        <v>#VALUE!</v>
      </c>
      <c r="CD140" t="e">
        <f>AND(Bills!T470,"AAAAAA/PbVE=")</f>
        <v>#VALUE!</v>
      </c>
      <c r="CE140" t="e">
        <f>AND(Bills!U470,"AAAAAA/PbVI=")</f>
        <v>#VALUE!</v>
      </c>
      <c r="CF140" t="e">
        <f>AND(Bills!#REF!,"AAAAAA/PbVM=")</f>
        <v>#REF!</v>
      </c>
      <c r="CG140" t="e">
        <f>AND(Bills!#REF!,"AAAAAA/PbVQ=")</f>
        <v>#REF!</v>
      </c>
      <c r="CH140" t="e">
        <f>AND(Bills!W470,"AAAAAA/PbVU=")</f>
        <v>#VALUE!</v>
      </c>
      <c r="CI140" t="e">
        <f>AND(Bills!X470,"AAAAAA/PbVY=")</f>
        <v>#VALUE!</v>
      </c>
      <c r="CJ140" t="e">
        <f>AND(Bills!#REF!,"AAAAAA/PbVc=")</f>
        <v>#REF!</v>
      </c>
      <c r="CK140" t="e">
        <f>AND(Bills!#REF!,"AAAAAA/PbVg=")</f>
        <v>#REF!</v>
      </c>
      <c r="CL140" t="e">
        <f>AND(Bills!#REF!,"AAAAAA/PbVk=")</f>
        <v>#REF!</v>
      </c>
      <c r="CM140" t="e">
        <f>AND(Bills!#REF!,"AAAAAA/PbVo=")</f>
        <v>#REF!</v>
      </c>
      <c r="CN140" t="e">
        <f>AND(Bills!#REF!,"AAAAAA/PbVs=")</f>
        <v>#REF!</v>
      </c>
      <c r="CO140" t="e">
        <f>AND(Bills!#REF!,"AAAAAA/PbVw=")</f>
        <v>#REF!</v>
      </c>
      <c r="CP140" t="e">
        <f>AND(Bills!#REF!,"AAAAAA/PbV0=")</f>
        <v>#REF!</v>
      </c>
      <c r="CQ140" t="e">
        <f>AND(Bills!#REF!,"AAAAAA/PbV4=")</f>
        <v>#REF!</v>
      </c>
      <c r="CR140" t="e">
        <f>AND(Bills!#REF!,"AAAAAA/PbV8=")</f>
        <v>#REF!</v>
      </c>
      <c r="CS140" t="e">
        <f>AND(Bills!Y470,"AAAAAA/PbWA=")</f>
        <v>#VALUE!</v>
      </c>
      <c r="CT140" t="e">
        <f>AND(Bills!Z470,"AAAAAA/PbWE=")</f>
        <v>#VALUE!</v>
      </c>
      <c r="CU140" t="e">
        <f>AND(Bills!#REF!,"AAAAAA/PbWI=")</f>
        <v>#REF!</v>
      </c>
      <c r="CV140" t="e">
        <f>AND(Bills!#REF!,"AAAAAA/PbWM=")</f>
        <v>#REF!</v>
      </c>
      <c r="CW140" t="e">
        <f>AND(Bills!#REF!,"AAAAAA/PbWQ=")</f>
        <v>#REF!</v>
      </c>
      <c r="CX140" t="e">
        <f>AND(Bills!AA470,"AAAAAA/PbWU=")</f>
        <v>#VALUE!</v>
      </c>
      <c r="CY140" t="e">
        <f>AND(Bills!AB470,"AAAAAA/PbWY=")</f>
        <v>#VALUE!</v>
      </c>
      <c r="CZ140" t="e">
        <f>AND(Bills!#REF!,"AAAAAA/PbWc=")</f>
        <v>#REF!</v>
      </c>
      <c r="DA140">
        <f>IF(Bills!471:471,"AAAAAA/PbWg=",0)</f>
        <v>0</v>
      </c>
      <c r="DB140" t="e">
        <f>AND(Bills!B471,"AAAAAA/PbWk=")</f>
        <v>#VALUE!</v>
      </c>
      <c r="DC140" t="e">
        <f>AND(Bills!#REF!,"AAAAAA/PbWo=")</f>
        <v>#REF!</v>
      </c>
      <c r="DD140" t="e">
        <f>AND(Bills!C471,"AAAAAA/PbWs=")</f>
        <v>#VALUE!</v>
      </c>
      <c r="DE140" t="e">
        <f>AND(Bills!#REF!,"AAAAAA/PbWw=")</f>
        <v>#REF!</v>
      </c>
      <c r="DF140" t="e">
        <f>AND(Bills!#REF!,"AAAAAA/PbW0=")</f>
        <v>#REF!</v>
      </c>
      <c r="DG140" t="e">
        <f>AND(Bills!#REF!,"AAAAAA/PbW4=")</f>
        <v>#REF!</v>
      </c>
      <c r="DH140" t="e">
        <f>AND(Bills!#REF!,"AAAAAA/PbW8=")</f>
        <v>#REF!</v>
      </c>
      <c r="DI140" t="e">
        <f>AND(Bills!#REF!,"AAAAAA/PbXA=")</f>
        <v>#REF!</v>
      </c>
      <c r="DJ140" t="e">
        <f>AND(Bills!D471,"AAAAAA/PbXE=")</f>
        <v>#VALUE!</v>
      </c>
      <c r="DK140" t="e">
        <f>AND(Bills!#REF!,"AAAAAA/PbXI=")</f>
        <v>#REF!</v>
      </c>
      <c r="DL140" t="e">
        <f>AND(Bills!E471,"AAAAAA/PbXM=")</f>
        <v>#VALUE!</v>
      </c>
      <c r="DM140" t="e">
        <f>AND(Bills!F471,"AAAAAA/PbXQ=")</f>
        <v>#VALUE!</v>
      </c>
      <c r="DN140" t="e">
        <f>AND(Bills!G471,"AAAAAA/PbXU=")</f>
        <v>#VALUE!</v>
      </c>
      <c r="DO140" t="e">
        <f>AND(Bills!H471,"AAAAAA/PbXY=")</f>
        <v>#VALUE!</v>
      </c>
      <c r="DP140" t="e">
        <f>AND(Bills!I471,"AAAAAA/PbXc=")</f>
        <v>#VALUE!</v>
      </c>
      <c r="DQ140" t="e">
        <f>AND(Bills!J471,"AAAAAA/PbXg=")</f>
        <v>#VALUE!</v>
      </c>
      <c r="DR140" t="e">
        <f>AND(Bills!#REF!,"AAAAAA/PbXk=")</f>
        <v>#REF!</v>
      </c>
      <c r="DS140" t="e">
        <f>AND(Bills!K471,"AAAAAA/PbXo=")</f>
        <v>#VALUE!</v>
      </c>
      <c r="DT140" t="e">
        <f>AND(Bills!L471,"AAAAAA/PbXs=")</f>
        <v>#VALUE!</v>
      </c>
      <c r="DU140" t="e">
        <f>AND(Bills!M471,"AAAAAA/PbXw=")</f>
        <v>#VALUE!</v>
      </c>
      <c r="DV140" t="e">
        <f>AND(Bills!N471,"AAAAAA/PbX0=")</f>
        <v>#VALUE!</v>
      </c>
      <c r="DW140" t="e">
        <f>AND(Bills!O471,"AAAAAA/PbX4=")</f>
        <v>#VALUE!</v>
      </c>
      <c r="DX140" t="e">
        <f>AND(Bills!P471,"AAAAAA/PbX8=")</f>
        <v>#VALUE!</v>
      </c>
      <c r="DY140" t="e">
        <f>AND(Bills!Q471,"AAAAAA/PbYA=")</f>
        <v>#VALUE!</v>
      </c>
      <c r="DZ140" t="e">
        <f>AND(Bills!R471,"AAAAAA/PbYE=")</f>
        <v>#VALUE!</v>
      </c>
      <c r="EA140" t="e">
        <f>AND(Bills!#REF!,"AAAAAA/PbYI=")</f>
        <v>#REF!</v>
      </c>
      <c r="EB140" t="e">
        <f>AND(Bills!S471,"AAAAAA/PbYM=")</f>
        <v>#VALUE!</v>
      </c>
      <c r="EC140" t="e">
        <f>AND(Bills!T471,"AAAAAA/PbYQ=")</f>
        <v>#VALUE!</v>
      </c>
      <c r="ED140" t="e">
        <f>AND(Bills!U471,"AAAAAA/PbYU=")</f>
        <v>#VALUE!</v>
      </c>
      <c r="EE140" t="e">
        <f>AND(Bills!#REF!,"AAAAAA/PbYY=")</f>
        <v>#REF!</v>
      </c>
      <c r="EF140" t="e">
        <f>AND(Bills!#REF!,"AAAAAA/PbYc=")</f>
        <v>#REF!</v>
      </c>
      <c r="EG140" t="e">
        <f>AND(Bills!W471,"AAAAAA/PbYg=")</f>
        <v>#VALUE!</v>
      </c>
      <c r="EH140" t="e">
        <f>AND(Bills!X471,"AAAAAA/PbYk=")</f>
        <v>#VALUE!</v>
      </c>
      <c r="EI140" t="e">
        <f>AND(Bills!#REF!,"AAAAAA/PbYo=")</f>
        <v>#REF!</v>
      </c>
      <c r="EJ140" t="e">
        <f>AND(Bills!#REF!,"AAAAAA/PbYs=")</f>
        <v>#REF!</v>
      </c>
      <c r="EK140" t="e">
        <f>AND(Bills!#REF!,"AAAAAA/PbYw=")</f>
        <v>#REF!</v>
      </c>
      <c r="EL140" t="e">
        <f>AND(Bills!#REF!,"AAAAAA/PbY0=")</f>
        <v>#REF!</v>
      </c>
      <c r="EM140" t="e">
        <f>AND(Bills!#REF!,"AAAAAA/PbY4=")</f>
        <v>#REF!</v>
      </c>
      <c r="EN140" t="e">
        <f>AND(Bills!#REF!,"AAAAAA/PbY8=")</f>
        <v>#REF!</v>
      </c>
      <c r="EO140" t="e">
        <f>AND(Bills!#REF!,"AAAAAA/PbZA=")</f>
        <v>#REF!</v>
      </c>
      <c r="EP140" t="e">
        <f>AND(Bills!#REF!,"AAAAAA/PbZE=")</f>
        <v>#REF!</v>
      </c>
      <c r="EQ140" t="e">
        <f>AND(Bills!#REF!,"AAAAAA/PbZI=")</f>
        <v>#REF!</v>
      </c>
      <c r="ER140" t="e">
        <f>AND(Bills!Y471,"AAAAAA/PbZM=")</f>
        <v>#VALUE!</v>
      </c>
      <c r="ES140" t="e">
        <f>AND(Bills!Z471,"AAAAAA/PbZQ=")</f>
        <v>#VALUE!</v>
      </c>
      <c r="ET140" t="e">
        <f>AND(Bills!#REF!,"AAAAAA/PbZU=")</f>
        <v>#REF!</v>
      </c>
      <c r="EU140" t="e">
        <f>AND(Bills!#REF!,"AAAAAA/PbZY=")</f>
        <v>#REF!</v>
      </c>
      <c r="EV140" t="e">
        <f>AND(Bills!#REF!,"AAAAAA/PbZc=")</f>
        <v>#REF!</v>
      </c>
      <c r="EW140" t="e">
        <f>AND(Bills!AA471,"AAAAAA/PbZg=")</f>
        <v>#VALUE!</v>
      </c>
      <c r="EX140" t="e">
        <f>AND(Bills!AB471,"AAAAAA/PbZk=")</f>
        <v>#VALUE!</v>
      </c>
      <c r="EY140" t="e">
        <f>AND(Bills!#REF!,"AAAAAA/PbZo=")</f>
        <v>#REF!</v>
      </c>
      <c r="EZ140">
        <f>IF(Bills!472:472,"AAAAAA/PbZs=",0)</f>
        <v>0</v>
      </c>
      <c r="FA140" t="e">
        <f>AND(Bills!B472,"AAAAAA/PbZw=")</f>
        <v>#VALUE!</v>
      </c>
      <c r="FB140" t="e">
        <f>AND(Bills!#REF!,"AAAAAA/PbZ0=")</f>
        <v>#REF!</v>
      </c>
      <c r="FC140" t="e">
        <f>AND(Bills!C472,"AAAAAA/PbZ4=")</f>
        <v>#VALUE!</v>
      </c>
      <c r="FD140" t="e">
        <f>AND(Bills!#REF!,"AAAAAA/PbZ8=")</f>
        <v>#REF!</v>
      </c>
      <c r="FE140" t="e">
        <f>AND(Bills!#REF!,"AAAAAA/PbaA=")</f>
        <v>#REF!</v>
      </c>
      <c r="FF140" t="e">
        <f>AND(Bills!#REF!,"AAAAAA/PbaE=")</f>
        <v>#REF!</v>
      </c>
      <c r="FG140" t="e">
        <f>AND(Bills!#REF!,"AAAAAA/PbaI=")</f>
        <v>#REF!</v>
      </c>
      <c r="FH140" t="e">
        <f>AND(Bills!#REF!,"AAAAAA/PbaM=")</f>
        <v>#REF!</v>
      </c>
      <c r="FI140" t="e">
        <f>AND(Bills!D472,"AAAAAA/PbaQ=")</f>
        <v>#VALUE!</v>
      </c>
      <c r="FJ140" t="e">
        <f>AND(Bills!#REF!,"AAAAAA/PbaU=")</f>
        <v>#REF!</v>
      </c>
      <c r="FK140" t="e">
        <f>AND(Bills!E472,"AAAAAA/PbaY=")</f>
        <v>#VALUE!</v>
      </c>
      <c r="FL140" t="e">
        <f>AND(Bills!F472,"AAAAAA/Pbac=")</f>
        <v>#VALUE!</v>
      </c>
      <c r="FM140" t="e">
        <f>AND(Bills!G472,"AAAAAA/Pbag=")</f>
        <v>#VALUE!</v>
      </c>
      <c r="FN140" t="e">
        <f>AND(Bills!H472,"AAAAAA/Pbak=")</f>
        <v>#VALUE!</v>
      </c>
      <c r="FO140" t="e">
        <f>AND(Bills!I472,"AAAAAA/Pbao=")</f>
        <v>#VALUE!</v>
      </c>
      <c r="FP140" t="e">
        <f>AND(Bills!J472,"AAAAAA/Pbas=")</f>
        <v>#VALUE!</v>
      </c>
      <c r="FQ140" t="e">
        <f>AND(Bills!#REF!,"AAAAAA/Pbaw=")</f>
        <v>#REF!</v>
      </c>
      <c r="FR140" t="e">
        <f>AND(Bills!K472,"AAAAAA/Pba0=")</f>
        <v>#VALUE!</v>
      </c>
      <c r="FS140" t="e">
        <f>AND(Bills!L472,"AAAAAA/Pba4=")</f>
        <v>#VALUE!</v>
      </c>
      <c r="FT140" t="e">
        <f>AND(Bills!M472,"AAAAAA/Pba8=")</f>
        <v>#VALUE!</v>
      </c>
      <c r="FU140" t="e">
        <f>AND(Bills!N472,"AAAAAA/PbbA=")</f>
        <v>#VALUE!</v>
      </c>
      <c r="FV140" t="e">
        <f>AND(Bills!O472,"AAAAAA/PbbE=")</f>
        <v>#VALUE!</v>
      </c>
      <c r="FW140" t="e">
        <f>AND(Bills!P472,"AAAAAA/PbbI=")</f>
        <v>#VALUE!</v>
      </c>
      <c r="FX140" t="e">
        <f>AND(Bills!Q472,"AAAAAA/PbbM=")</f>
        <v>#VALUE!</v>
      </c>
      <c r="FY140" t="e">
        <f>AND(Bills!R472,"AAAAAA/PbbQ=")</f>
        <v>#VALUE!</v>
      </c>
      <c r="FZ140" t="e">
        <f>AND(Bills!#REF!,"AAAAAA/PbbU=")</f>
        <v>#REF!</v>
      </c>
      <c r="GA140" t="e">
        <f>AND(Bills!S472,"AAAAAA/PbbY=")</f>
        <v>#VALUE!</v>
      </c>
      <c r="GB140" t="e">
        <f>AND(Bills!T472,"AAAAAA/Pbbc=")</f>
        <v>#VALUE!</v>
      </c>
      <c r="GC140" t="e">
        <f>AND(Bills!U472,"AAAAAA/Pbbg=")</f>
        <v>#VALUE!</v>
      </c>
      <c r="GD140" t="e">
        <f>AND(Bills!#REF!,"AAAAAA/Pbbk=")</f>
        <v>#REF!</v>
      </c>
      <c r="GE140" t="e">
        <f>AND(Bills!#REF!,"AAAAAA/Pbbo=")</f>
        <v>#REF!</v>
      </c>
      <c r="GF140" t="e">
        <f>AND(Bills!W472,"AAAAAA/Pbbs=")</f>
        <v>#VALUE!</v>
      </c>
      <c r="GG140" t="e">
        <f>AND(Bills!X472,"AAAAAA/Pbbw=")</f>
        <v>#VALUE!</v>
      </c>
      <c r="GH140" t="e">
        <f>AND(Bills!#REF!,"AAAAAA/Pbb0=")</f>
        <v>#REF!</v>
      </c>
      <c r="GI140" t="e">
        <f>AND(Bills!#REF!,"AAAAAA/Pbb4=")</f>
        <v>#REF!</v>
      </c>
      <c r="GJ140" t="e">
        <f>AND(Bills!#REF!,"AAAAAA/Pbb8=")</f>
        <v>#REF!</v>
      </c>
      <c r="GK140" t="e">
        <f>AND(Bills!#REF!,"AAAAAA/PbcA=")</f>
        <v>#REF!</v>
      </c>
      <c r="GL140" t="e">
        <f>AND(Bills!#REF!,"AAAAAA/PbcE=")</f>
        <v>#REF!</v>
      </c>
      <c r="GM140" t="e">
        <f>AND(Bills!#REF!,"AAAAAA/PbcI=")</f>
        <v>#REF!</v>
      </c>
      <c r="GN140" t="e">
        <f>AND(Bills!#REF!,"AAAAAA/PbcM=")</f>
        <v>#REF!</v>
      </c>
      <c r="GO140" t="e">
        <f>AND(Bills!#REF!,"AAAAAA/PbcQ=")</f>
        <v>#REF!</v>
      </c>
      <c r="GP140" t="e">
        <f>AND(Bills!#REF!,"AAAAAA/PbcU=")</f>
        <v>#REF!</v>
      </c>
      <c r="GQ140" t="e">
        <f>AND(Bills!Y472,"AAAAAA/PbcY=")</f>
        <v>#VALUE!</v>
      </c>
      <c r="GR140" t="e">
        <f>AND(Bills!Z472,"AAAAAA/Pbcc=")</f>
        <v>#VALUE!</v>
      </c>
      <c r="GS140" t="e">
        <f>AND(Bills!#REF!,"AAAAAA/Pbcg=")</f>
        <v>#REF!</v>
      </c>
      <c r="GT140" t="e">
        <f>AND(Bills!#REF!,"AAAAAA/Pbck=")</f>
        <v>#REF!</v>
      </c>
      <c r="GU140" t="e">
        <f>AND(Bills!#REF!,"AAAAAA/Pbco=")</f>
        <v>#REF!</v>
      </c>
      <c r="GV140" t="e">
        <f>AND(Bills!AA472,"AAAAAA/Pbcs=")</f>
        <v>#VALUE!</v>
      </c>
      <c r="GW140" t="e">
        <f>AND(Bills!AB472,"AAAAAA/Pbcw=")</f>
        <v>#VALUE!</v>
      </c>
      <c r="GX140" t="e">
        <f>AND(Bills!#REF!,"AAAAAA/Pbc0=")</f>
        <v>#REF!</v>
      </c>
      <c r="GY140">
        <f>IF(Bills!473:473,"AAAAAA/Pbc4=",0)</f>
        <v>0</v>
      </c>
      <c r="GZ140" t="e">
        <f>AND(Bills!B473,"AAAAAA/Pbc8=")</f>
        <v>#VALUE!</v>
      </c>
      <c r="HA140" t="e">
        <f>AND(Bills!#REF!,"AAAAAA/PbdA=")</f>
        <v>#REF!</v>
      </c>
      <c r="HB140" t="e">
        <f>AND(Bills!C473,"AAAAAA/PbdE=")</f>
        <v>#VALUE!</v>
      </c>
      <c r="HC140" t="e">
        <f>AND(Bills!#REF!,"AAAAAA/PbdI=")</f>
        <v>#REF!</v>
      </c>
      <c r="HD140" t="e">
        <f>AND(Bills!#REF!,"AAAAAA/PbdM=")</f>
        <v>#REF!</v>
      </c>
      <c r="HE140" t="e">
        <f>AND(Bills!#REF!,"AAAAAA/PbdQ=")</f>
        <v>#REF!</v>
      </c>
      <c r="HF140" t="e">
        <f>AND(Bills!#REF!,"AAAAAA/PbdU=")</f>
        <v>#REF!</v>
      </c>
      <c r="HG140" t="e">
        <f>AND(Bills!#REF!,"AAAAAA/PbdY=")</f>
        <v>#REF!</v>
      </c>
      <c r="HH140" t="e">
        <f>AND(Bills!D473,"AAAAAA/Pbdc=")</f>
        <v>#VALUE!</v>
      </c>
      <c r="HI140" t="e">
        <f>AND(Bills!#REF!,"AAAAAA/Pbdg=")</f>
        <v>#REF!</v>
      </c>
      <c r="HJ140" t="e">
        <f>AND(Bills!E473,"AAAAAA/Pbdk=")</f>
        <v>#VALUE!</v>
      </c>
      <c r="HK140" t="e">
        <f>AND(Bills!F473,"AAAAAA/Pbdo=")</f>
        <v>#VALUE!</v>
      </c>
      <c r="HL140" t="e">
        <f>AND(Bills!G473,"AAAAAA/Pbds=")</f>
        <v>#VALUE!</v>
      </c>
      <c r="HM140" t="e">
        <f>AND(Bills!H473,"AAAAAA/Pbdw=")</f>
        <v>#VALUE!</v>
      </c>
      <c r="HN140" t="e">
        <f>AND(Bills!I473,"AAAAAA/Pbd0=")</f>
        <v>#VALUE!</v>
      </c>
      <c r="HO140" t="e">
        <f>AND(Bills!J473,"AAAAAA/Pbd4=")</f>
        <v>#VALUE!</v>
      </c>
      <c r="HP140" t="e">
        <f>AND(Bills!#REF!,"AAAAAA/Pbd8=")</f>
        <v>#REF!</v>
      </c>
      <c r="HQ140" t="e">
        <f>AND(Bills!K473,"AAAAAA/PbeA=")</f>
        <v>#VALUE!</v>
      </c>
      <c r="HR140" t="e">
        <f>AND(Bills!L473,"AAAAAA/PbeE=")</f>
        <v>#VALUE!</v>
      </c>
      <c r="HS140" t="e">
        <f>AND(Bills!M473,"AAAAAA/PbeI=")</f>
        <v>#VALUE!</v>
      </c>
      <c r="HT140" t="e">
        <f>AND(Bills!N473,"AAAAAA/PbeM=")</f>
        <v>#VALUE!</v>
      </c>
      <c r="HU140" t="e">
        <f>AND(Bills!O473,"AAAAAA/PbeQ=")</f>
        <v>#VALUE!</v>
      </c>
      <c r="HV140" t="e">
        <f>AND(Bills!P473,"AAAAAA/PbeU=")</f>
        <v>#VALUE!</v>
      </c>
      <c r="HW140" t="e">
        <f>AND(Bills!Q473,"AAAAAA/PbeY=")</f>
        <v>#VALUE!</v>
      </c>
      <c r="HX140" t="e">
        <f>AND(Bills!R473,"AAAAAA/Pbec=")</f>
        <v>#VALUE!</v>
      </c>
      <c r="HY140" t="e">
        <f>AND(Bills!#REF!,"AAAAAA/Pbeg=")</f>
        <v>#REF!</v>
      </c>
      <c r="HZ140" t="e">
        <f>AND(Bills!S473,"AAAAAA/Pbek=")</f>
        <v>#VALUE!</v>
      </c>
      <c r="IA140" t="e">
        <f>AND(Bills!T473,"AAAAAA/Pbeo=")</f>
        <v>#VALUE!</v>
      </c>
      <c r="IB140" t="e">
        <f>AND(Bills!U473,"AAAAAA/Pbes=")</f>
        <v>#VALUE!</v>
      </c>
      <c r="IC140" t="e">
        <f>AND(Bills!#REF!,"AAAAAA/Pbew=")</f>
        <v>#REF!</v>
      </c>
      <c r="ID140" t="e">
        <f>AND(Bills!#REF!,"AAAAAA/Pbe0=")</f>
        <v>#REF!</v>
      </c>
      <c r="IE140" t="e">
        <f>AND(Bills!W473,"AAAAAA/Pbe4=")</f>
        <v>#VALUE!</v>
      </c>
      <c r="IF140" t="e">
        <f>AND(Bills!X473,"AAAAAA/Pbe8=")</f>
        <v>#VALUE!</v>
      </c>
      <c r="IG140" t="e">
        <f>AND(Bills!#REF!,"AAAAAA/PbfA=")</f>
        <v>#REF!</v>
      </c>
      <c r="IH140" t="e">
        <f>AND(Bills!#REF!,"AAAAAA/PbfE=")</f>
        <v>#REF!</v>
      </c>
      <c r="II140" t="e">
        <f>AND(Bills!#REF!,"AAAAAA/PbfI=")</f>
        <v>#REF!</v>
      </c>
      <c r="IJ140" t="e">
        <f>AND(Bills!#REF!,"AAAAAA/PbfM=")</f>
        <v>#REF!</v>
      </c>
      <c r="IK140" t="e">
        <f>AND(Bills!#REF!,"AAAAAA/PbfQ=")</f>
        <v>#REF!</v>
      </c>
      <c r="IL140" t="e">
        <f>AND(Bills!#REF!,"AAAAAA/PbfU=")</f>
        <v>#REF!</v>
      </c>
      <c r="IM140" t="e">
        <f>AND(Bills!#REF!,"AAAAAA/PbfY=")</f>
        <v>#REF!</v>
      </c>
      <c r="IN140" t="e">
        <f>AND(Bills!#REF!,"AAAAAA/Pbfc=")</f>
        <v>#REF!</v>
      </c>
      <c r="IO140" t="e">
        <f>AND(Bills!#REF!,"AAAAAA/Pbfg=")</f>
        <v>#REF!</v>
      </c>
      <c r="IP140" t="e">
        <f>AND(Bills!Y473,"AAAAAA/Pbfk=")</f>
        <v>#VALUE!</v>
      </c>
      <c r="IQ140" t="e">
        <f>AND(Bills!Z473,"AAAAAA/Pbfo=")</f>
        <v>#VALUE!</v>
      </c>
      <c r="IR140" t="e">
        <f>AND(Bills!#REF!,"AAAAAA/Pbfs=")</f>
        <v>#REF!</v>
      </c>
      <c r="IS140" t="e">
        <f>AND(Bills!#REF!,"AAAAAA/Pbfw=")</f>
        <v>#REF!</v>
      </c>
      <c r="IT140" t="e">
        <f>AND(Bills!#REF!,"AAAAAA/Pbf0=")</f>
        <v>#REF!</v>
      </c>
      <c r="IU140" t="e">
        <f>AND(Bills!AA473,"AAAAAA/Pbf4=")</f>
        <v>#VALUE!</v>
      </c>
      <c r="IV140" t="e">
        <f>AND(Bills!AB473,"AAAAAA/Pbf8=")</f>
        <v>#VALUE!</v>
      </c>
    </row>
    <row r="141" spans="1:256">
      <c r="A141" t="e">
        <f>AND(Bills!#REF!,"AAAAAH77+wA=")</f>
        <v>#REF!</v>
      </c>
      <c r="B141">
        <f>IF(Bills!474:474,"AAAAAH77+wE=",0)</f>
        <v>0</v>
      </c>
      <c r="C141" t="e">
        <f>AND(Bills!B474,"AAAAAH77+wI=")</f>
        <v>#VALUE!</v>
      </c>
      <c r="D141" t="e">
        <f>AND(Bills!#REF!,"AAAAAH77+wM=")</f>
        <v>#REF!</v>
      </c>
      <c r="E141" t="e">
        <f>AND(Bills!C474,"AAAAAH77+wQ=")</f>
        <v>#VALUE!</v>
      </c>
      <c r="F141" t="e">
        <f>AND(Bills!#REF!,"AAAAAH77+wU=")</f>
        <v>#REF!</v>
      </c>
      <c r="G141" t="e">
        <f>AND(Bills!#REF!,"AAAAAH77+wY=")</f>
        <v>#REF!</v>
      </c>
      <c r="H141" t="e">
        <f>AND(Bills!#REF!,"AAAAAH77+wc=")</f>
        <v>#REF!</v>
      </c>
      <c r="I141" t="e">
        <f>AND(Bills!#REF!,"AAAAAH77+wg=")</f>
        <v>#REF!</v>
      </c>
      <c r="J141" t="e">
        <f>AND(Bills!#REF!,"AAAAAH77+wk=")</f>
        <v>#REF!</v>
      </c>
      <c r="K141" t="e">
        <f>AND(Bills!D474,"AAAAAH77+wo=")</f>
        <v>#VALUE!</v>
      </c>
      <c r="L141" t="e">
        <f>AND(Bills!#REF!,"AAAAAH77+ws=")</f>
        <v>#REF!</v>
      </c>
      <c r="M141" t="e">
        <f>AND(Bills!E474,"AAAAAH77+ww=")</f>
        <v>#VALUE!</v>
      </c>
      <c r="N141" t="e">
        <f>AND(Bills!F474,"AAAAAH77+w0=")</f>
        <v>#VALUE!</v>
      </c>
      <c r="O141" t="e">
        <f>AND(Bills!G474,"AAAAAH77+w4=")</f>
        <v>#VALUE!</v>
      </c>
      <c r="P141" t="e">
        <f>AND(Bills!H474,"AAAAAH77+w8=")</f>
        <v>#VALUE!</v>
      </c>
      <c r="Q141" t="e">
        <f>AND(Bills!I474,"AAAAAH77+xA=")</f>
        <v>#VALUE!</v>
      </c>
      <c r="R141" t="e">
        <f>AND(Bills!J474,"AAAAAH77+xE=")</f>
        <v>#VALUE!</v>
      </c>
      <c r="S141" t="e">
        <f>AND(Bills!#REF!,"AAAAAH77+xI=")</f>
        <v>#REF!</v>
      </c>
      <c r="T141" t="e">
        <f>AND(Bills!K474,"AAAAAH77+xM=")</f>
        <v>#VALUE!</v>
      </c>
      <c r="U141" t="e">
        <f>AND(Bills!L474,"AAAAAH77+xQ=")</f>
        <v>#VALUE!</v>
      </c>
      <c r="V141" t="e">
        <f>AND(Bills!M474,"AAAAAH77+xU=")</f>
        <v>#VALUE!</v>
      </c>
      <c r="W141" t="e">
        <f>AND(Bills!N474,"AAAAAH77+xY=")</f>
        <v>#VALUE!</v>
      </c>
      <c r="X141" t="e">
        <f>AND(Bills!O474,"AAAAAH77+xc=")</f>
        <v>#VALUE!</v>
      </c>
      <c r="Y141" t="e">
        <f>AND(Bills!P474,"AAAAAH77+xg=")</f>
        <v>#VALUE!</v>
      </c>
      <c r="Z141" t="e">
        <f>AND(Bills!Q474,"AAAAAH77+xk=")</f>
        <v>#VALUE!</v>
      </c>
      <c r="AA141" t="e">
        <f>AND(Bills!R474,"AAAAAH77+xo=")</f>
        <v>#VALUE!</v>
      </c>
      <c r="AB141" t="e">
        <f>AND(Bills!#REF!,"AAAAAH77+xs=")</f>
        <v>#REF!</v>
      </c>
      <c r="AC141" t="e">
        <f>AND(Bills!S474,"AAAAAH77+xw=")</f>
        <v>#VALUE!</v>
      </c>
      <c r="AD141" t="e">
        <f>AND(Bills!T474,"AAAAAH77+x0=")</f>
        <v>#VALUE!</v>
      </c>
      <c r="AE141" t="e">
        <f>AND(Bills!U474,"AAAAAH77+x4=")</f>
        <v>#VALUE!</v>
      </c>
      <c r="AF141" t="e">
        <f>AND(Bills!#REF!,"AAAAAH77+x8=")</f>
        <v>#REF!</v>
      </c>
      <c r="AG141" t="e">
        <f>AND(Bills!#REF!,"AAAAAH77+yA=")</f>
        <v>#REF!</v>
      </c>
      <c r="AH141" t="e">
        <f>AND(Bills!W474,"AAAAAH77+yE=")</f>
        <v>#VALUE!</v>
      </c>
      <c r="AI141" t="e">
        <f>AND(Bills!X474,"AAAAAH77+yI=")</f>
        <v>#VALUE!</v>
      </c>
      <c r="AJ141" t="e">
        <f>AND(Bills!#REF!,"AAAAAH77+yM=")</f>
        <v>#REF!</v>
      </c>
      <c r="AK141" t="e">
        <f>AND(Bills!#REF!,"AAAAAH77+yQ=")</f>
        <v>#REF!</v>
      </c>
      <c r="AL141" t="e">
        <f>AND(Bills!#REF!,"AAAAAH77+yU=")</f>
        <v>#REF!</v>
      </c>
      <c r="AM141" t="e">
        <f>AND(Bills!#REF!,"AAAAAH77+yY=")</f>
        <v>#REF!</v>
      </c>
      <c r="AN141" t="e">
        <f>AND(Bills!#REF!,"AAAAAH77+yc=")</f>
        <v>#REF!</v>
      </c>
      <c r="AO141" t="e">
        <f>AND(Bills!#REF!,"AAAAAH77+yg=")</f>
        <v>#REF!</v>
      </c>
      <c r="AP141" t="e">
        <f>AND(Bills!#REF!,"AAAAAH77+yk=")</f>
        <v>#REF!</v>
      </c>
      <c r="AQ141" t="e">
        <f>AND(Bills!#REF!,"AAAAAH77+yo=")</f>
        <v>#REF!</v>
      </c>
      <c r="AR141" t="e">
        <f>AND(Bills!#REF!,"AAAAAH77+ys=")</f>
        <v>#REF!</v>
      </c>
      <c r="AS141" t="e">
        <f>AND(Bills!Y474,"AAAAAH77+yw=")</f>
        <v>#VALUE!</v>
      </c>
      <c r="AT141" t="e">
        <f>AND(Bills!Z474,"AAAAAH77+y0=")</f>
        <v>#VALUE!</v>
      </c>
      <c r="AU141" t="e">
        <f>AND(Bills!#REF!,"AAAAAH77+y4=")</f>
        <v>#REF!</v>
      </c>
      <c r="AV141" t="e">
        <f>AND(Bills!#REF!,"AAAAAH77+y8=")</f>
        <v>#REF!</v>
      </c>
      <c r="AW141" t="e">
        <f>AND(Bills!#REF!,"AAAAAH77+zA=")</f>
        <v>#REF!</v>
      </c>
      <c r="AX141" t="e">
        <f>AND(Bills!AA474,"AAAAAH77+zE=")</f>
        <v>#VALUE!</v>
      </c>
      <c r="AY141" t="e">
        <f>AND(Bills!AB474,"AAAAAH77+zI=")</f>
        <v>#VALUE!</v>
      </c>
      <c r="AZ141" t="e">
        <f>AND(Bills!#REF!,"AAAAAH77+zM=")</f>
        <v>#REF!</v>
      </c>
      <c r="BA141">
        <f>IF(Bills!475:475,"AAAAAH77+zQ=",0)</f>
        <v>0</v>
      </c>
      <c r="BB141" t="e">
        <f>AND(Bills!B475,"AAAAAH77+zU=")</f>
        <v>#VALUE!</v>
      </c>
      <c r="BC141" t="e">
        <f>AND(Bills!#REF!,"AAAAAH77+zY=")</f>
        <v>#REF!</v>
      </c>
      <c r="BD141" t="e">
        <f>AND(Bills!C475,"AAAAAH77+zc=")</f>
        <v>#VALUE!</v>
      </c>
      <c r="BE141" t="e">
        <f>AND(Bills!#REF!,"AAAAAH77+zg=")</f>
        <v>#REF!</v>
      </c>
      <c r="BF141" t="e">
        <f>AND(Bills!#REF!,"AAAAAH77+zk=")</f>
        <v>#REF!</v>
      </c>
      <c r="BG141" t="e">
        <f>AND(Bills!#REF!,"AAAAAH77+zo=")</f>
        <v>#REF!</v>
      </c>
      <c r="BH141" t="e">
        <f>AND(Bills!#REF!,"AAAAAH77+zs=")</f>
        <v>#REF!</v>
      </c>
      <c r="BI141" t="e">
        <f>AND(Bills!#REF!,"AAAAAH77+zw=")</f>
        <v>#REF!</v>
      </c>
      <c r="BJ141" t="e">
        <f>AND(Bills!D475,"AAAAAH77+z0=")</f>
        <v>#VALUE!</v>
      </c>
      <c r="BK141" t="e">
        <f>AND(Bills!#REF!,"AAAAAH77+z4=")</f>
        <v>#REF!</v>
      </c>
      <c r="BL141" t="e">
        <f>AND(Bills!E475,"AAAAAH77+z8=")</f>
        <v>#VALUE!</v>
      </c>
      <c r="BM141" t="e">
        <f>AND(Bills!F475,"AAAAAH77+0A=")</f>
        <v>#VALUE!</v>
      </c>
      <c r="BN141" t="e">
        <f>AND(Bills!G475,"AAAAAH77+0E=")</f>
        <v>#VALUE!</v>
      </c>
      <c r="BO141" t="e">
        <f>AND(Bills!H475,"AAAAAH77+0I=")</f>
        <v>#VALUE!</v>
      </c>
      <c r="BP141" t="e">
        <f>AND(Bills!I475,"AAAAAH77+0M=")</f>
        <v>#VALUE!</v>
      </c>
      <c r="BQ141" t="e">
        <f>AND(Bills!J475,"AAAAAH77+0Q=")</f>
        <v>#VALUE!</v>
      </c>
      <c r="BR141" t="e">
        <f>AND(Bills!#REF!,"AAAAAH77+0U=")</f>
        <v>#REF!</v>
      </c>
      <c r="BS141" t="e">
        <f>AND(Bills!K475,"AAAAAH77+0Y=")</f>
        <v>#VALUE!</v>
      </c>
      <c r="BT141" t="e">
        <f>AND(Bills!L475,"AAAAAH77+0c=")</f>
        <v>#VALUE!</v>
      </c>
      <c r="BU141" t="e">
        <f>AND(Bills!M475,"AAAAAH77+0g=")</f>
        <v>#VALUE!</v>
      </c>
      <c r="BV141" t="e">
        <f>AND(Bills!N475,"AAAAAH77+0k=")</f>
        <v>#VALUE!</v>
      </c>
      <c r="BW141" t="e">
        <f>AND(Bills!O475,"AAAAAH77+0o=")</f>
        <v>#VALUE!</v>
      </c>
      <c r="BX141" t="e">
        <f>AND(Bills!P475,"AAAAAH77+0s=")</f>
        <v>#VALUE!</v>
      </c>
      <c r="BY141" t="e">
        <f>AND(Bills!Q475,"AAAAAH77+0w=")</f>
        <v>#VALUE!</v>
      </c>
      <c r="BZ141" t="e">
        <f>AND(Bills!R475,"AAAAAH77+00=")</f>
        <v>#VALUE!</v>
      </c>
      <c r="CA141" t="e">
        <f>AND(Bills!#REF!,"AAAAAH77+04=")</f>
        <v>#REF!</v>
      </c>
      <c r="CB141" t="e">
        <f>AND(Bills!S475,"AAAAAH77+08=")</f>
        <v>#VALUE!</v>
      </c>
      <c r="CC141" t="e">
        <f>AND(Bills!T475,"AAAAAH77+1A=")</f>
        <v>#VALUE!</v>
      </c>
      <c r="CD141" t="e">
        <f>AND(Bills!U475,"AAAAAH77+1E=")</f>
        <v>#VALUE!</v>
      </c>
      <c r="CE141" t="e">
        <f>AND(Bills!#REF!,"AAAAAH77+1I=")</f>
        <v>#REF!</v>
      </c>
      <c r="CF141" t="e">
        <f>AND(Bills!#REF!,"AAAAAH77+1M=")</f>
        <v>#REF!</v>
      </c>
      <c r="CG141" t="e">
        <f>AND(Bills!W475,"AAAAAH77+1Q=")</f>
        <v>#VALUE!</v>
      </c>
      <c r="CH141" t="e">
        <f>AND(Bills!X475,"AAAAAH77+1U=")</f>
        <v>#VALUE!</v>
      </c>
      <c r="CI141" t="e">
        <f>AND(Bills!#REF!,"AAAAAH77+1Y=")</f>
        <v>#REF!</v>
      </c>
      <c r="CJ141" t="e">
        <f>AND(Bills!#REF!,"AAAAAH77+1c=")</f>
        <v>#REF!</v>
      </c>
      <c r="CK141" t="e">
        <f>AND(Bills!#REF!,"AAAAAH77+1g=")</f>
        <v>#REF!</v>
      </c>
      <c r="CL141" t="e">
        <f>AND(Bills!#REF!,"AAAAAH77+1k=")</f>
        <v>#REF!</v>
      </c>
      <c r="CM141" t="e">
        <f>AND(Bills!#REF!,"AAAAAH77+1o=")</f>
        <v>#REF!</v>
      </c>
      <c r="CN141" t="e">
        <f>AND(Bills!#REF!,"AAAAAH77+1s=")</f>
        <v>#REF!</v>
      </c>
      <c r="CO141" t="e">
        <f>AND(Bills!#REF!,"AAAAAH77+1w=")</f>
        <v>#REF!</v>
      </c>
      <c r="CP141" t="e">
        <f>AND(Bills!#REF!,"AAAAAH77+10=")</f>
        <v>#REF!</v>
      </c>
      <c r="CQ141" t="e">
        <f>AND(Bills!#REF!,"AAAAAH77+14=")</f>
        <v>#REF!</v>
      </c>
      <c r="CR141" t="e">
        <f>AND(Bills!Y475,"AAAAAH77+18=")</f>
        <v>#VALUE!</v>
      </c>
      <c r="CS141" t="e">
        <f>AND(Bills!Z475,"AAAAAH77+2A=")</f>
        <v>#VALUE!</v>
      </c>
      <c r="CT141" t="e">
        <f>AND(Bills!#REF!,"AAAAAH77+2E=")</f>
        <v>#REF!</v>
      </c>
      <c r="CU141" t="e">
        <f>AND(Bills!#REF!,"AAAAAH77+2I=")</f>
        <v>#REF!</v>
      </c>
      <c r="CV141" t="e">
        <f>AND(Bills!#REF!,"AAAAAH77+2M=")</f>
        <v>#REF!</v>
      </c>
      <c r="CW141" t="e">
        <f>AND(Bills!AA475,"AAAAAH77+2Q=")</f>
        <v>#VALUE!</v>
      </c>
      <c r="CX141" t="e">
        <f>AND(Bills!AB475,"AAAAAH77+2U=")</f>
        <v>#VALUE!</v>
      </c>
      <c r="CY141" t="e">
        <f>AND(Bills!#REF!,"AAAAAH77+2Y=")</f>
        <v>#REF!</v>
      </c>
      <c r="CZ141">
        <f>IF(Bills!476:476,"AAAAAH77+2c=",0)</f>
        <v>0</v>
      </c>
      <c r="DA141" t="e">
        <f>AND(Bills!B476,"AAAAAH77+2g=")</f>
        <v>#VALUE!</v>
      </c>
      <c r="DB141" t="e">
        <f>AND(Bills!#REF!,"AAAAAH77+2k=")</f>
        <v>#REF!</v>
      </c>
      <c r="DC141" t="e">
        <f>AND(Bills!C476,"AAAAAH77+2o=")</f>
        <v>#VALUE!</v>
      </c>
      <c r="DD141" t="e">
        <f>AND(Bills!#REF!,"AAAAAH77+2s=")</f>
        <v>#REF!</v>
      </c>
      <c r="DE141" t="e">
        <f>AND(Bills!#REF!,"AAAAAH77+2w=")</f>
        <v>#REF!</v>
      </c>
      <c r="DF141" t="e">
        <f>AND(Bills!#REF!,"AAAAAH77+20=")</f>
        <v>#REF!</v>
      </c>
      <c r="DG141" t="e">
        <f>AND(Bills!#REF!,"AAAAAH77+24=")</f>
        <v>#REF!</v>
      </c>
      <c r="DH141" t="e">
        <f>AND(Bills!#REF!,"AAAAAH77+28=")</f>
        <v>#REF!</v>
      </c>
      <c r="DI141" t="e">
        <f>AND(Bills!D476,"AAAAAH77+3A=")</f>
        <v>#VALUE!</v>
      </c>
      <c r="DJ141" t="e">
        <f>AND(Bills!#REF!,"AAAAAH77+3E=")</f>
        <v>#REF!</v>
      </c>
      <c r="DK141" t="e">
        <f>AND(Bills!E476,"AAAAAH77+3I=")</f>
        <v>#VALUE!</v>
      </c>
      <c r="DL141" t="e">
        <f>AND(Bills!F476,"AAAAAH77+3M=")</f>
        <v>#VALUE!</v>
      </c>
      <c r="DM141" t="e">
        <f>AND(Bills!G476,"AAAAAH77+3Q=")</f>
        <v>#VALUE!</v>
      </c>
      <c r="DN141" t="e">
        <f>AND(Bills!H476,"AAAAAH77+3U=")</f>
        <v>#VALUE!</v>
      </c>
      <c r="DO141" t="e">
        <f>AND(Bills!I476,"AAAAAH77+3Y=")</f>
        <v>#VALUE!</v>
      </c>
      <c r="DP141" t="e">
        <f>AND(Bills!J476,"AAAAAH77+3c=")</f>
        <v>#VALUE!</v>
      </c>
      <c r="DQ141" t="e">
        <f>AND(Bills!#REF!,"AAAAAH77+3g=")</f>
        <v>#REF!</v>
      </c>
      <c r="DR141" t="e">
        <f>AND(Bills!K476,"AAAAAH77+3k=")</f>
        <v>#VALUE!</v>
      </c>
      <c r="DS141" t="e">
        <f>AND(Bills!L476,"AAAAAH77+3o=")</f>
        <v>#VALUE!</v>
      </c>
      <c r="DT141" t="e">
        <f>AND(Bills!M476,"AAAAAH77+3s=")</f>
        <v>#VALUE!</v>
      </c>
      <c r="DU141" t="e">
        <f>AND(Bills!N476,"AAAAAH77+3w=")</f>
        <v>#VALUE!</v>
      </c>
      <c r="DV141" t="e">
        <f>AND(Bills!O476,"AAAAAH77+30=")</f>
        <v>#VALUE!</v>
      </c>
      <c r="DW141" t="e">
        <f>AND(Bills!P476,"AAAAAH77+34=")</f>
        <v>#VALUE!</v>
      </c>
      <c r="DX141" t="e">
        <f>AND(Bills!Q476,"AAAAAH77+38=")</f>
        <v>#VALUE!</v>
      </c>
      <c r="DY141" t="e">
        <f>AND(Bills!R476,"AAAAAH77+4A=")</f>
        <v>#VALUE!</v>
      </c>
      <c r="DZ141" t="e">
        <f>AND(Bills!#REF!,"AAAAAH77+4E=")</f>
        <v>#REF!</v>
      </c>
      <c r="EA141" t="e">
        <f>AND(Bills!S476,"AAAAAH77+4I=")</f>
        <v>#VALUE!</v>
      </c>
      <c r="EB141" t="e">
        <f>AND(Bills!T476,"AAAAAH77+4M=")</f>
        <v>#VALUE!</v>
      </c>
      <c r="EC141" t="e">
        <f>AND(Bills!U476,"AAAAAH77+4Q=")</f>
        <v>#VALUE!</v>
      </c>
      <c r="ED141" t="e">
        <f>AND(Bills!#REF!,"AAAAAH77+4U=")</f>
        <v>#REF!</v>
      </c>
      <c r="EE141" t="e">
        <f>AND(Bills!#REF!,"AAAAAH77+4Y=")</f>
        <v>#REF!</v>
      </c>
      <c r="EF141" t="e">
        <f>AND(Bills!W476,"AAAAAH77+4c=")</f>
        <v>#VALUE!</v>
      </c>
      <c r="EG141" t="e">
        <f>AND(Bills!X476,"AAAAAH77+4g=")</f>
        <v>#VALUE!</v>
      </c>
      <c r="EH141" t="e">
        <f>AND(Bills!#REF!,"AAAAAH77+4k=")</f>
        <v>#REF!</v>
      </c>
      <c r="EI141" t="e">
        <f>AND(Bills!#REF!,"AAAAAH77+4o=")</f>
        <v>#REF!</v>
      </c>
      <c r="EJ141" t="e">
        <f>AND(Bills!#REF!,"AAAAAH77+4s=")</f>
        <v>#REF!</v>
      </c>
      <c r="EK141" t="e">
        <f>AND(Bills!#REF!,"AAAAAH77+4w=")</f>
        <v>#REF!</v>
      </c>
      <c r="EL141" t="e">
        <f>AND(Bills!#REF!,"AAAAAH77+40=")</f>
        <v>#REF!</v>
      </c>
      <c r="EM141" t="e">
        <f>AND(Bills!#REF!,"AAAAAH77+44=")</f>
        <v>#REF!</v>
      </c>
      <c r="EN141" t="e">
        <f>AND(Bills!#REF!,"AAAAAH77+48=")</f>
        <v>#REF!</v>
      </c>
      <c r="EO141" t="e">
        <f>AND(Bills!#REF!,"AAAAAH77+5A=")</f>
        <v>#REF!</v>
      </c>
      <c r="EP141" t="e">
        <f>AND(Bills!#REF!,"AAAAAH77+5E=")</f>
        <v>#REF!</v>
      </c>
      <c r="EQ141" t="e">
        <f>AND(Bills!Y476,"AAAAAH77+5I=")</f>
        <v>#VALUE!</v>
      </c>
      <c r="ER141" t="e">
        <f>AND(Bills!Z476,"AAAAAH77+5M=")</f>
        <v>#VALUE!</v>
      </c>
      <c r="ES141" t="e">
        <f>AND(Bills!#REF!,"AAAAAH77+5Q=")</f>
        <v>#REF!</v>
      </c>
      <c r="ET141" t="e">
        <f>AND(Bills!#REF!,"AAAAAH77+5U=")</f>
        <v>#REF!</v>
      </c>
      <c r="EU141" t="e">
        <f>AND(Bills!#REF!,"AAAAAH77+5Y=")</f>
        <v>#REF!</v>
      </c>
      <c r="EV141" t="e">
        <f>AND(Bills!AA476,"AAAAAH77+5c=")</f>
        <v>#VALUE!</v>
      </c>
      <c r="EW141" t="e">
        <f>AND(Bills!AB476,"AAAAAH77+5g=")</f>
        <v>#VALUE!</v>
      </c>
      <c r="EX141" t="e">
        <f>AND(Bills!#REF!,"AAAAAH77+5k=")</f>
        <v>#REF!</v>
      </c>
      <c r="EY141">
        <f>IF(Bills!477:477,"AAAAAH77+5o=",0)</f>
        <v>0</v>
      </c>
      <c r="EZ141" t="e">
        <f>AND(Bills!B477,"AAAAAH77+5s=")</f>
        <v>#VALUE!</v>
      </c>
      <c r="FA141" t="e">
        <f>AND(Bills!#REF!,"AAAAAH77+5w=")</f>
        <v>#REF!</v>
      </c>
      <c r="FB141" t="e">
        <f>AND(Bills!C477,"AAAAAH77+50=")</f>
        <v>#VALUE!</v>
      </c>
      <c r="FC141" t="e">
        <f>AND(Bills!#REF!,"AAAAAH77+54=")</f>
        <v>#REF!</v>
      </c>
      <c r="FD141" t="e">
        <f>AND(Bills!#REF!,"AAAAAH77+58=")</f>
        <v>#REF!</v>
      </c>
      <c r="FE141" t="e">
        <f>AND(Bills!#REF!,"AAAAAH77+6A=")</f>
        <v>#REF!</v>
      </c>
      <c r="FF141" t="e">
        <f>AND(Bills!#REF!,"AAAAAH77+6E=")</f>
        <v>#REF!</v>
      </c>
      <c r="FG141" t="e">
        <f>AND(Bills!#REF!,"AAAAAH77+6I=")</f>
        <v>#REF!</v>
      </c>
      <c r="FH141" t="e">
        <f>AND(Bills!D477,"AAAAAH77+6M=")</f>
        <v>#VALUE!</v>
      </c>
      <c r="FI141" t="e">
        <f>AND(Bills!#REF!,"AAAAAH77+6Q=")</f>
        <v>#REF!</v>
      </c>
      <c r="FJ141" t="e">
        <f>AND(Bills!E477,"AAAAAH77+6U=")</f>
        <v>#VALUE!</v>
      </c>
      <c r="FK141" t="e">
        <f>AND(Bills!F477,"AAAAAH77+6Y=")</f>
        <v>#VALUE!</v>
      </c>
      <c r="FL141" t="e">
        <f>AND(Bills!G477,"AAAAAH77+6c=")</f>
        <v>#VALUE!</v>
      </c>
      <c r="FM141" t="e">
        <f>AND(Bills!H477,"AAAAAH77+6g=")</f>
        <v>#VALUE!</v>
      </c>
      <c r="FN141" t="e">
        <f>AND(Bills!I477,"AAAAAH77+6k=")</f>
        <v>#VALUE!</v>
      </c>
      <c r="FO141" t="e">
        <f>AND(Bills!J477,"AAAAAH77+6o=")</f>
        <v>#VALUE!</v>
      </c>
      <c r="FP141" t="e">
        <f>AND(Bills!#REF!,"AAAAAH77+6s=")</f>
        <v>#REF!</v>
      </c>
      <c r="FQ141" t="e">
        <f>AND(Bills!K477,"AAAAAH77+6w=")</f>
        <v>#VALUE!</v>
      </c>
      <c r="FR141" t="e">
        <f>AND(Bills!L477,"AAAAAH77+60=")</f>
        <v>#VALUE!</v>
      </c>
      <c r="FS141" t="e">
        <f>AND(Bills!M477,"AAAAAH77+64=")</f>
        <v>#VALUE!</v>
      </c>
      <c r="FT141" t="e">
        <f>AND(Bills!N477,"AAAAAH77+68=")</f>
        <v>#VALUE!</v>
      </c>
      <c r="FU141" t="e">
        <f>AND(Bills!O477,"AAAAAH77+7A=")</f>
        <v>#VALUE!</v>
      </c>
      <c r="FV141" t="e">
        <f>AND(Bills!P477,"AAAAAH77+7E=")</f>
        <v>#VALUE!</v>
      </c>
      <c r="FW141" t="e">
        <f>AND(Bills!Q477,"AAAAAH77+7I=")</f>
        <v>#VALUE!</v>
      </c>
      <c r="FX141" t="e">
        <f>AND(Bills!R477,"AAAAAH77+7M=")</f>
        <v>#VALUE!</v>
      </c>
      <c r="FY141" t="e">
        <f>AND(Bills!#REF!,"AAAAAH77+7Q=")</f>
        <v>#REF!</v>
      </c>
      <c r="FZ141" t="e">
        <f>AND(Bills!S477,"AAAAAH77+7U=")</f>
        <v>#VALUE!</v>
      </c>
      <c r="GA141" t="e">
        <f>AND(Bills!T477,"AAAAAH77+7Y=")</f>
        <v>#VALUE!</v>
      </c>
      <c r="GB141" t="e">
        <f>AND(Bills!U477,"AAAAAH77+7c=")</f>
        <v>#VALUE!</v>
      </c>
      <c r="GC141" t="e">
        <f>AND(Bills!#REF!,"AAAAAH77+7g=")</f>
        <v>#REF!</v>
      </c>
      <c r="GD141" t="e">
        <f>AND(Bills!#REF!,"AAAAAH77+7k=")</f>
        <v>#REF!</v>
      </c>
      <c r="GE141" t="e">
        <f>AND(Bills!W477,"AAAAAH77+7o=")</f>
        <v>#VALUE!</v>
      </c>
      <c r="GF141" t="e">
        <f>AND(Bills!X477,"AAAAAH77+7s=")</f>
        <v>#VALUE!</v>
      </c>
      <c r="GG141" t="e">
        <f>AND(Bills!#REF!,"AAAAAH77+7w=")</f>
        <v>#REF!</v>
      </c>
      <c r="GH141" t="e">
        <f>AND(Bills!#REF!,"AAAAAH77+70=")</f>
        <v>#REF!</v>
      </c>
      <c r="GI141" t="e">
        <f>AND(Bills!#REF!,"AAAAAH77+74=")</f>
        <v>#REF!</v>
      </c>
      <c r="GJ141" t="e">
        <f>AND(Bills!#REF!,"AAAAAH77+78=")</f>
        <v>#REF!</v>
      </c>
      <c r="GK141" t="e">
        <f>AND(Bills!#REF!,"AAAAAH77+8A=")</f>
        <v>#REF!</v>
      </c>
      <c r="GL141" t="e">
        <f>AND(Bills!#REF!,"AAAAAH77+8E=")</f>
        <v>#REF!</v>
      </c>
      <c r="GM141" t="e">
        <f>AND(Bills!#REF!,"AAAAAH77+8I=")</f>
        <v>#REF!</v>
      </c>
      <c r="GN141" t="e">
        <f>AND(Bills!#REF!,"AAAAAH77+8M=")</f>
        <v>#REF!</v>
      </c>
      <c r="GO141" t="e">
        <f>AND(Bills!#REF!,"AAAAAH77+8Q=")</f>
        <v>#REF!</v>
      </c>
      <c r="GP141" t="e">
        <f>AND(Bills!Y477,"AAAAAH77+8U=")</f>
        <v>#VALUE!</v>
      </c>
      <c r="GQ141" t="e">
        <f>AND(Bills!Z477,"AAAAAH77+8Y=")</f>
        <v>#VALUE!</v>
      </c>
      <c r="GR141" t="e">
        <f>AND(Bills!#REF!,"AAAAAH77+8c=")</f>
        <v>#REF!</v>
      </c>
      <c r="GS141" t="e">
        <f>AND(Bills!#REF!,"AAAAAH77+8g=")</f>
        <v>#REF!</v>
      </c>
      <c r="GT141" t="e">
        <f>AND(Bills!#REF!,"AAAAAH77+8k=")</f>
        <v>#REF!</v>
      </c>
      <c r="GU141" t="e">
        <f>AND(Bills!AA477,"AAAAAH77+8o=")</f>
        <v>#VALUE!</v>
      </c>
      <c r="GV141" t="e">
        <f>AND(Bills!AB477,"AAAAAH77+8s=")</f>
        <v>#VALUE!</v>
      </c>
      <c r="GW141" t="e">
        <f>AND(Bills!#REF!,"AAAAAH77+8w=")</f>
        <v>#REF!</v>
      </c>
      <c r="GX141">
        <f>IF(Bills!478:478,"AAAAAH77+80=",0)</f>
        <v>0</v>
      </c>
      <c r="GY141" t="e">
        <f>AND(Bills!B478,"AAAAAH77+84=")</f>
        <v>#VALUE!</v>
      </c>
      <c r="GZ141" t="e">
        <f>AND(Bills!#REF!,"AAAAAH77+88=")</f>
        <v>#REF!</v>
      </c>
      <c r="HA141" t="e">
        <f>AND(Bills!C478,"AAAAAH77+9A=")</f>
        <v>#VALUE!</v>
      </c>
      <c r="HB141" t="e">
        <f>AND(Bills!#REF!,"AAAAAH77+9E=")</f>
        <v>#REF!</v>
      </c>
      <c r="HC141" t="e">
        <f>AND(Bills!#REF!,"AAAAAH77+9I=")</f>
        <v>#REF!</v>
      </c>
      <c r="HD141" t="e">
        <f>AND(Bills!#REF!,"AAAAAH77+9M=")</f>
        <v>#REF!</v>
      </c>
      <c r="HE141" t="e">
        <f>AND(Bills!#REF!,"AAAAAH77+9Q=")</f>
        <v>#REF!</v>
      </c>
      <c r="HF141" t="e">
        <f>AND(Bills!#REF!,"AAAAAH77+9U=")</f>
        <v>#REF!</v>
      </c>
      <c r="HG141" t="e">
        <f>AND(Bills!D478,"AAAAAH77+9Y=")</f>
        <v>#VALUE!</v>
      </c>
      <c r="HH141" t="e">
        <f>AND(Bills!#REF!,"AAAAAH77+9c=")</f>
        <v>#REF!</v>
      </c>
      <c r="HI141" t="e">
        <f>AND(Bills!E478,"AAAAAH77+9g=")</f>
        <v>#VALUE!</v>
      </c>
      <c r="HJ141" t="e">
        <f>AND(Bills!F478,"AAAAAH77+9k=")</f>
        <v>#VALUE!</v>
      </c>
      <c r="HK141" t="e">
        <f>AND(Bills!G478,"AAAAAH77+9o=")</f>
        <v>#VALUE!</v>
      </c>
      <c r="HL141" t="e">
        <f>AND(Bills!H478,"AAAAAH77+9s=")</f>
        <v>#VALUE!</v>
      </c>
      <c r="HM141" t="e">
        <f>AND(Bills!I478,"AAAAAH77+9w=")</f>
        <v>#VALUE!</v>
      </c>
      <c r="HN141" t="e">
        <f>AND(Bills!J478,"AAAAAH77+90=")</f>
        <v>#VALUE!</v>
      </c>
      <c r="HO141" t="e">
        <f>AND(Bills!#REF!,"AAAAAH77+94=")</f>
        <v>#REF!</v>
      </c>
      <c r="HP141" t="e">
        <f>AND(Bills!K478,"AAAAAH77+98=")</f>
        <v>#VALUE!</v>
      </c>
      <c r="HQ141" t="e">
        <f>AND(Bills!L478,"AAAAAH77++A=")</f>
        <v>#VALUE!</v>
      </c>
      <c r="HR141" t="e">
        <f>AND(Bills!M478,"AAAAAH77++E=")</f>
        <v>#VALUE!</v>
      </c>
      <c r="HS141" t="e">
        <f>AND(Bills!N478,"AAAAAH77++I=")</f>
        <v>#VALUE!</v>
      </c>
      <c r="HT141" t="e">
        <f>AND(Bills!O478,"AAAAAH77++M=")</f>
        <v>#VALUE!</v>
      </c>
      <c r="HU141" t="e">
        <f>AND(Bills!P478,"AAAAAH77++Q=")</f>
        <v>#VALUE!</v>
      </c>
      <c r="HV141" t="e">
        <f>AND(Bills!Q478,"AAAAAH77++U=")</f>
        <v>#VALUE!</v>
      </c>
      <c r="HW141" t="e">
        <f>AND(Bills!R478,"AAAAAH77++Y=")</f>
        <v>#VALUE!</v>
      </c>
      <c r="HX141" t="e">
        <f>AND(Bills!#REF!,"AAAAAH77++c=")</f>
        <v>#REF!</v>
      </c>
      <c r="HY141" t="e">
        <f>AND(Bills!S478,"AAAAAH77++g=")</f>
        <v>#VALUE!</v>
      </c>
      <c r="HZ141" t="e">
        <f>AND(Bills!T478,"AAAAAH77++k=")</f>
        <v>#VALUE!</v>
      </c>
      <c r="IA141" t="e">
        <f>AND(Bills!U478,"AAAAAH77++o=")</f>
        <v>#VALUE!</v>
      </c>
      <c r="IB141" t="e">
        <f>AND(Bills!#REF!,"AAAAAH77++s=")</f>
        <v>#REF!</v>
      </c>
      <c r="IC141" t="e">
        <f>AND(Bills!#REF!,"AAAAAH77++w=")</f>
        <v>#REF!</v>
      </c>
      <c r="ID141" t="e">
        <f>AND(Bills!W478,"AAAAAH77++0=")</f>
        <v>#VALUE!</v>
      </c>
      <c r="IE141" t="e">
        <f>AND(Bills!X478,"AAAAAH77++4=")</f>
        <v>#VALUE!</v>
      </c>
      <c r="IF141" t="e">
        <f>AND(Bills!#REF!,"AAAAAH77++8=")</f>
        <v>#REF!</v>
      </c>
      <c r="IG141" t="e">
        <f>AND(Bills!#REF!,"AAAAAH77+/A=")</f>
        <v>#REF!</v>
      </c>
      <c r="IH141" t="e">
        <f>AND(Bills!#REF!,"AAAAAH77+/E=")</f>
        <v>#REF!</v>
      </c>
      <c r="II141" t="e">
        <f>AND(Bills!#REF!,"AAAAAH77+/I=")</f>
        <v>#REF!</v>
      </c>
      <c r="IJ141" t="e">
        <f>AND(Bills!#REF!,"AAAAAH77+/M=")</f>
        <v>#REF!</v>
      </c>
      <c r="IK141" t="e">
        <f>AND(Bills!#REF!,"AAAAAH77+/Q=")</f>
        <v>#REF!</v>
      </c>
      <c r="IL141" t="e">
        <f>AND(Bills!#REF!,"AAAAAH77+/U=")</f>
        <v>#REF!</v>
      </c>
      <c r="IM141" t="e">
        <f>AND(Bills!#REF!,"AAAAAH77+/Y=")</f>
        <v>#REF!</v>
      </c>
      <c r="IN141" t="e">
        <f>AND(Bills!#REF!,"AAAAAH77+/c=")</f>
        <v>#REF!</v>
      </c>
      <c r="IO141" t="e">
        <f>AND(Bills!Y478,"AAAAAH77+/g=")</f>
        <v>#VALUE!</v>
      </c>
      <c r="IP141" t="e">
        <f>AND(Bills!Z478,"AAAAAH77+/k=")</f>
        <v>#VALUE!</v>
      </c>
      <c r="IQ141" t="e">
        <f>AND(Bills!#REF!,"AAAAAH77+/o=")</f>
        <v>#REF!</v>
      </c>
      <c r="IR141" t="e">
        <f>AND(Bills!#REF!,"AAAAAH77+/s=")</f>
        <v>#REF!</v>
      </c>
      <c r="IS141" t="e">
        <f>AND(Bills!#REF!,"AAAAAH77+/w=")</f>
        <v>#REF!</v>
      </c>
      <c r="IT141" t="e">
        <f>AND(Bills!AA478,"AAAAAH77+/0=")</f>
        <v>#VALUE!</v>
      </c>
      <c r="IU141" t="e">
        <f>AND(Bills!AB478,"AAAAAH77+/4=")</f>
        <v>#VALUE!</v>
      </c>
      <c r="IV141" t="e">
        <f>AND(Bills!#REF!,"AAAAAH77+/8=")</f>
        <v>#REF!</v>
      </c>
    </row>
    <row r="142" spans="1:256">
      <c r="A142">
        <f>IF(Bills!479:479,"AAAAAE3+9gA=",0)</f>
        <v>0</v>
      </c>
      <c r="B142" t="e">
        <f>AND(Bills!B479,"AAAAAE3+9gE=")</f>
        <v>#VALUE!</v>
      </c>
      <c r="C142" t="e">
        <f>AND(Bills!#REF!,"AAAAAE3+9gI=")</f>
        <v>#REF!</v>
      </c>
      <c r="D142" t="e">
        <f>AND(Bills!C479,"AAAAAE3+9gM=")</f>
        <v>#VALUE!</v>
      </c>
      <c r="E142" t="e">
        <f>AND(Bills!#REF!,"AAAAAE3+9gQ=")</f>
        <v>#REF!</v>
      </c>
      <c r="F142" t="e">
        <f>AND(Bills!#REF!,"AAAAAE3+9gU=")</f>
        <v>#REF!</v>
      </c>
      <c r="G142" t="e">
        <f>AND(Bills!#REF!,"AAAAAE3+9gY=")</f>
        <v>#REF!</v>
      </c>
      <c r="H142" t="e">
        <f>AND(Bills!#REF!,"AAAAAE3+9gc=")</f>
        <v>#REF!</v>
      </c>
      <c r="I142" t="e">
        <f>AND(Bills!#REF!,"AAAAAE3+9gg=")</f>
        <v>#REF!</v>
      </c>
      <c r="J142" t="e">
        <f>AND(Bills!D479,"AAAAAE3+9gk=")</f>
        <v>#VALUE!</v>
      </c>
      <c r="K142" t="e">
        <f>AND(Bills!#REF!,"AAAAAE3+9go=")</f>
        <v>#REF!</v>
      </c>
      <c r="L142" t="e">
        <f>AND(Bills!E479,"AAAAAE3+9gs=")</f>
        <v>#VALUE!</v>
      </c>
      <c r="M142" t="e">
        <f>AND(Bills!F479,"AAAAAE3+9gw=")</f>
        <v>#VALUE!</v>
      </c>
      <c r="N142" t="e">
        <f>AND(Bills!G479,"AAAAAE3+9g0=")</f>
        <v>#VALUE!</v>
      </c>
      <c r="O142" t="e">
        <f>AND(Bills!H479,"AAAAAE3+9g4=")</f>
        <v>#VALUE!</v>
      </c>
      <c r="P142" t="e">
        <f>AND(Bills!I479,"AAAAAE3+9g8=")</f>
        <v>#VALUE!</v>
      </c>
      <c r="Q142" t="e">
        <f>AND(Bills!J479,"AAAAAE3+9hA=")</f>
        <v>#VALUE!</v>
      </c>
      <c r="R142" t="e">
        <f>AND(Bills!#REF!,"AAAAAE3+9hE=")</f>
        <v>#REF!</v>
      </c>
      <c r="S142" t="e">
        <f>AND(Bills!K479,"AAAAAE3+9hI=")</f>
        <v>#VALUE!</v>
      </c>
      <c r="T142" t="e">
        <f>AND(Bills!L479,"AAAAAE3+9hM=")</f>
        <v>#VALUE!</v>
      </c>
      <c r="U142" t="e">
        <f>AND(Bills!M479,"AAAAAE3+9hQ=")</f>
        <v>#VALUE!</v>
      </c>
      <c r="V142" t="e">
        <f>AND(Bills!N479,"AAAAAE3+9hU=")</f>
        <v>#VALUE!</v>
      </c>
      <c r="W142" t="e">
        <f>AND(Bills!O479,"AAAAAE3+9hY=")</f>
        <v>#VALUE!</v>
      </c>
      <c r="X142" t="e">
        <f>AND(Bills!P479,"AAAAAE3+9hc=")</f>
        <v>#VALUE!</v>
      </c>
      <c r="Y142" t="e">
        <f>AND(Bills!Q479,"AAAAAE3+9hg=")</f>
        <v>#VALUE!</v>
      </c>
      <c r="Z142" t="e">
        <f>AND(Bills!R479,"AAAAAE3+9hk=")</f>
        <v>#VALUE!</v>
      </c>
      <c r="AA142" t="e">
        <f>AND(Bills!#REF!,"AAAAAE3+9ho=")</f>
        <v>#REF!</v>
      </c>
      <c r="AB142" t="e">
        <f>AND(Bills!S479,"AAAAAE3+9hs=")</f>
        <v>#VALUE!</v>
      </c>
      <c r="AC142" t="e">
        <f>AND(Bills!T479,"AAAAAE3+9hw=")</f>
        <v>#VALUE!</v>
      </c>
      <c r="AD142" t="e">
        <f>AND(Bills!U479,"AAAAAE3+9h0=")</f>
        <v>#VALUE!</v>
      </c>
      <c r="AE142" t="e">
        <f>AND(Bills!#REF!,"AAAAAE3+9h4=")</f>
        <v>#REF!</v>
      </c>
      <c r="AF142" t="e">
        <f>AND(Bills!#REF!,"AAAAAE3+9h8=")</f>
        <v>#REF!</v>
      </c>
      <c r="AG142" t="e">
        <f>AND(Bills!W479,"AAAAAE3+9iA=")</f>
        <v>#VALUE!</v>
      </c>
      <c r="AH142" t="e">
        <f>AND(Bills!X479,"AAAAAE3+9iE=")</f>
        <v>#VALUE!</v>
      </c>
      <c r="AI142" t="e">
        <f>AND(Bills!#REF!,"AAAAAE3+9iI=")</f>
        <v>#REF!</v>
      </c>
      <c r="AJ142" t="e">
        <f>AND(Bills!#REF!,"AAAAAE3+9iM=")</f>
        <v>#REF!</v>
      </c>
      <c r="AK142" t="e">
        <f>AND(Bills!#REF!,"AAAAAE3+9iQ=")</f>
        <v>#REF!</v>
      </c>
      <c r="AL142" t="e">
        <f>AND(Bills!#REF!,"AAAAAE3+9iU=")</f>
        <v>#REF!</v>
      </c>
      <c r="AM142" t="e">
        <f>AND(Bills!#REF!,"AAAAAE3+9iY=")</f>
        <v>#REF!</v>
      </c>
      <c r="AN142" t="e">
        <f>AND(Bills!#REF!,"AAAAAE3+9ic=")</f>
        <v>#REF!</v>
      </c>
      <c r="AO142" t="e">
        <f>AND(Bills!#REF!,"AAAAAE3+9ig=")</f>
        <v>#REF!</v>
      </c>
      <c r="AP142" t="e">
        <f>AND(Bills!#REF!,"AAAAAE3+9ik=")</f>
        <v>#REF!</v>
      </c>
      <c r="AQ142" t="e">
        <f>AND(Bills!#REF!,"AAAAAE3+9io=")</f>
        <v>#REF!</v>
      </c>
      <c r="AR142" t="e">
        <f>AND(Bills!Y479,"AAAAAE3+9is=")</f>
        <v>#VALUE!</v>
      </c>
      <c r="AS142" t="e">
        <f>AND(Bills!Z479,"AAAAAE3+9iw=")</f>
        <v>#VALUE!</v>
      </c>
      <c r="AT142" t="e">
        <f>AND(Bills!#REF!,"AAAAAE3+9i0=")</f>
        <v>#REF!</v>
      </c>
      <c r="AU142" t="e">
        <f>AND(Bills!#REF!,"AAAAAE3+9i4=")</f>
        <v>#REF!</v>
      </c>
      <c r="AV142" t="e">
        <f>AND(Bills!#REF!,"AAAAAE3+9i8=")</f>
        <v>#REF!</v>
      </c>
      <c r="AW142" t="e">
        <f>AND(Bills!AA479,"AAAAAE3+9jA=")</f>
        <v>#VALUE!</v>
      </c>
      <c r="AX142" t="e">
        <f>AND(Bills!AB479,"AAAAAE3+9jE=")</f>
        <v>#VALUE!</v>
      </c>
      <c r="AY142" t="e">
        <f>AND(Bills!#REF!,"AAAAAE3+9jI=")</f>
        <v>#REF!</v>
      </c>
      <c r="AZ142">
        <f>IF(Bills!480:480,"AAAAAE3+9jM=",0)</f>
        <v>0</v>
      </c>
      <c r="BA142" t="e">
        <f>AND(Bills!B480,"AAAAAE3+9jQ=")</f>
        <v>#VALUE!</v>
      </c>
      <c r="BB142" t="e">
        <f>AND(Bills!#REF!,"AAAAAE3+9jU=")</f>
        <v>#REF!</v>
      </c>
      <c r="BC142" t="e">
        <f>AND(Bills!C480,"AAAAAE3+9jY=")</f>
        <v>#VALUE!</v>
      </c>
      <c r="BD142" t="e">
        <f>AND(Bills!#REF!,"AAAAAE3+9jc=")</f>
        <v>#REF!</v>
      </c>
      <c r="BE142" t="e">
        <f>AND(Bills!#REF!,"AAAAAE3+9jg=")</f>
        <v>#REF!</v>
      </c>
      <c r="BF142" t="e">
        <f>AND(Bills!#REF!,"AAAAAE3+9jk=")</f>
        <v>#REF!</v>
      </c>
      <c r="BG142" t="e">
        <f>AND(Bills!#REF!,"AAAAAE3+9jo=")</f>
        <v>#REF!</v>
      </c>
      <c r="BH142" t="e">
        <f>AND(Bills!#REF!,"AAAAAE3+9js=")</f>
        <v>#REF!</v>
      </c>
      <c r="BI142" t="e">
        <f>AND(Bills!D480,"AAAAAE3+9jw=")</f>
        <v>#VALUE!</v>
      </c>
      <c r="BJ142" t="e">
        <f>AND(Bills!#REF!,"AAAAAE3+9j0=")</f>
        <v>#REF!</v>
      </c>
      <c r="BK142" t="e">
        <f>AND(Bills!E480,"AAAAAE3+9j4=")</f>
        <v>#VALUE!</v>
      </c>
      <c r="BL142" t="e">
        <f>AND(Bills!F480,"AAAAAE3+9j8=")</f>
        <v>#VALUE!</v>
      </c>
      <c r="BM142" t="e">
        <f>AND(Bills!G480,"AAAAAE3+9kA=")</f>
        <v>#VALUE!</v>
      </c>
      <c r="BN142" t="e">
        <f>AND(Bills!H480,"AAAAAE3+9kE=")</f>
        <v>#VALUE!</v>
      </c>
      <c r="BO142" t="e">
        <f>AND(Bills!I480,"AAAAAE3+9kI=")</f>
        <v>#VALUE!</v>
      </c>
      <c r="BP142" t="e">
        <f>AND(Bills!J480,"AAAAAE3+9kM=")</f>
        <v>#VALUE!</v>
      </c>
      <c r="BQ142" t="e">
        <f>AND(Bills!#REF!,"AAAAAE3+9kQ=")</f>
        <v>#REF!</v>
      </c>
      <c r="BR142" t="e">
        <f>AND(Bills!K480,"AAAAAE3+9kU=")</f>
        <v>#VALUE!</v>
      </c>
      <c r="BS142" t="e">
        <f>AND(Bills!L480,"AAAAAE3+9kY=")</f>
        <v>#VALUE!</v>
      </c>
      <c r="BT142" t="e">
        <f>AND(Bills!M480,"AAAAAE3+9kc=")</f>
        <v>#VALUE!</v>
      </c>
      <c r="BU142" t="e">
        <f>AND(Bills!N480,"AAAAAE3+9kg=")</f>
        <v>#VALUE!</v>
      </c>
      <c r="BV142" t="e">
        <f>AND(Bills!O480,"AAAAAE3+9kk=")</f>
        <v>#VALUE!</v>
      </c>
      <c r="BW142" t="e">
        <f>AND(Bills!P480,"AAAAAE3+9ko=")</f>
        <v>#VALUE!</v>
      </c>
      <c r="BX142" t="e">
        <f>AND(Bills!Q480,"AAAAAE3+9ks=")</f>
        <v>#VALUE!</v>
      </c>
      <c r="BY142" t="e">
        <f>AND(Bills!R480,"AAAAAE3+9kw=")</f>
        <v>#VALUE!</v>
      </c>
      <c r="BZ142" t="e">
        <f>AND(Bills!#REF!,"AAAAAE3+9k0=")</f>
        <v>#REF!</v>
      </c>
      <c r="CA142" t="e">
        <f>AND(Bills!S480,"AAAAAE3+9k4=")</f>
        <v>#VALUE!</v>
      </c>
      <c r="CB142" t="e">
        <f>AND(Bills!T480,"AAAAAE3+9k8=")</f>
        <v>#VALUE!</v>
      </c>
      <c r="CC142" t="e">
        <f>AND(Bills!U480,"AAAAAE3+9lA=")</f>
        <v>#VALUE!</v>
      </c>
      <c r="CD142" t="e">
        <f>AND(Bills!#REF!,"AAAAAE3+9lE=")</f>
        <v>#REF!</v>
      </c>
      <c r="CE142" t="e">
        <f>AND(Bills!#REF!,"AAAAAE3+9lI=")</f>
        <v>#REF!</v>
      </c>
      <c r="CF142" t="e">
        <f>AND(Bills!W480,"AAAAAE3+9lM=")</f>
        <v>#VALUE!</v>
      </c>
      <c r="CG142" t="e">
        <f>AND(Bills!X480,"AAAAAE3+9lQ=")</f>
        <v>#VALUE!</v>
      </c>
      <c r="CH142" t="e">
        <f>AND(Bills!#REF!,"AAAAAE3+9lU=")</f>
        <v>#REF!</v>
      </c>
      <c r="CI142" t="e">
        <f>AND(Bills!#REF!,"AAAAAE3+9lY=")</f>
        <v>#REF!</v>
      </c>
      <c r="CJ142" t="e">
        <f>AND(Bills!#REF!,"AAAAAE3+9lc=")</f>
        <v>#REF!</v>
      </c>
      <c r="CK142" t="e">
        <f>AND(Bills!#REF!,"AAAAAE3+9lg=")</f>
        <v>#REF!</v>
      </c>
      <c r="CL142" t="e">
        <f>AND(Bills!#REF!,"AAAAAE3+9lk=")</f>
        <v>#REF!</v>
      </c>
      <c r="CM142" t="e">
        <f>AND(Bills!#REF!,"AAAAAE3+9lo=")</f>
        <v>#REF!</v>
      </c>
      <c r="CN142" t="e">
        <f>AND(Bills!#REF!,"AAAAAE3+9ls=")</f>
        <v>#REF!</v>
      </c>
      <c r="CO142" t="e">
        <f>AND(Bills!#REF!,"AAAAAE3+9lw=")</f>
        <v>#REF!</v>
      </c>
      <c r="CP142" t="e">
        <f>AND(Bills!#REF!,"AAAAAE3+9l0=")</f>
        <v>#REF!</v>
      </c>
      <c r="CQ142" t="e">
        <f>AND(Bills!Y480,"AAAAAE3+9l4=")</f>
        <v>#VALUE!</v>
      </c>
      <c r="CR142" t="e">
        <f>AND(Bills!Z480,"AAAAAE3+9l8=")</f>
        <v>#VALUE!</v>
      </c>
      <c r="CS142" t="e">
        <f>AND(Bills!#REF!,"AAAAAE3+9mA=")</f>
        <v>#REF!</v>
      </c>
      <c r="CT142" t="e">
        <f>AND(Bills!#REF!,"AAAAAE3+9mE=")</f>
        <v>#REF!</v>
      </c>
      <c r="CU142" t="e">
        <f>AND(Bills!#REF!,"AAAAAE3+9mI=")</f>
        <v>#REF!</v>
      </c>
      <c r="CV142" t="e">
        <f>AND(Bills!AA480,"AAAAAE3+9mM=")</f>
        <v>#VALUE!</v>
      </c>
      <c r="CW142" t="e">
        <f>AND(Bills!AB480,"AAAAAE3+9mQ=")</f>
        <v>#VALUE!</v>
      </c>
      <c r="CX142" t="e">
        <f>AND(Bills!#REF!,"AAAAAE3+9mU=")</f>
        <v>#REF!</v>
      </c>
      <c r="CY142">
        <f>IF(Bills!481:481,"AAAAAE3+9mY=",0)</f>
        <v>0</v>
      </c>
      <c r="CZ142" t="e">
        <f>AND(Bills!B481,"AAAAAE3+9mc=")</f>
        <v>#VALUE!</v>
      </c>
      <c r="DA142" t="e">
        <f>AND(Bills!#REF!,"AAAAAE3+9mg=")</f>
        <v>#REF!</v>
      </c>
      <c r="DB142" t="e">
        <f>AND(Bills!C481,"AAAAAE3+9mk=")</f>
        <v>#VALUE!</v>
      </c>
      <c r="DC142" t="e">
        <f>AND(Bills!#REF!,"AAAAAE3+9mo=")</f>
        <v>#REF!</v>
      </c>
      <c r="DD142" t="e">
        <f>AND(Bills!#REF!,"AAAAAE3+9ms=")</f>
        <v>#REF!</v>
      </c>
      <c r="DE142" t="e">
        <f>AND(Bills!#REF!,"AAAAAE3+9mw=")</f>
        <v>#REF!</v>
      </c>
      <c r="DF142" t="e">
        <f>AND(Bills!#REF!,"AAAAAE3+9m0=")</f>
        <v>#REF!</v>
      </c>
      <c r="DG142" t="e">
        <f>AND(Bills!#REF!,"AAAAAE3+9m4=")</f>
        <v>#REF!</v>
      </c>
      <c r="DH142" t="e">
        <f>AND(Bills!D481,"AAAAAE3+9m8=")</f>
        <v>#VALUE!</v>
      </c>
      <c r="DI142" t="e">
        <f>AND(Bills!#REF!,"AAAAAE3+9nA=")</f>
        <v>#REF!</v>
      </c>
      <c r="DJ142" t="e">
        <f>AND(Bills!E481,"AAAAAE3+9nE=")</f>
        <v>#VALUE!</v>
      </c>
      <c r="DK142" t="e">
        <f>AND(Bills!F481,"AAAAAE3+9nI=")</f>
        <v>#VALUE!</v>
      </c>
      <c r="DL142" t="e">
        <f>AND(Bills!G481,"AAAAAE3+9nM=")</f>
        <v>#VALUE!</v>
      </c>
      <c r="DM142" t="e">
        <f>AND(Bills!H481,"AAAAAE3+9nQ=")</f>
        <v>#VALUE!</v>
      </c>
      <c r="DN142" t="e">
        <f>AND(Bills!I481,"AAAAAE3+9nU=")</f>
        <v>#VALUE!</v>
      </c>
      <c r="DO142" t="e">
        <f>AND(Bills!J481,"AAAAAE3+9nY=")</f>
        <v>#VALUE!</v>
      </c>
      <c r="DP142" t="e">
        <f>AND(Bills!#REF!,"AAAAAE3+9nc=")</f>
        <v>#REF!</v>
      </c>
      <c r="DQ142" t="e">
        <f>AND(Bills!K481,"AAAAAE3+9ng=")</f>
        <v>#VALUE!</v>
      </c>
      <c r="DR142" t="e">
        <f>AND(Bills!L481,"AAAAAE3+9nk=")</f>
        <v>#VALUE!</v>
      </c>
      <c r="DS142" t="e">
        <f>AND(Bills!M481,"AAAAAE3+9no=")</f>
        <v>#VALUE!</v>
      </c>
      <c r="DT142" t="e">
        <f>AND(Bills!N481,"AAAAAE3+9ns=")</f>
        <v>#VALUE!</v>
      </c>
      <c r="DU142" t="e">
        <f>AND(Bills!O481,"AAAAAE3+9nw=")</f>
        <v>#VALUE!</v>
      </c>
      <c r="DV142" t="e">
        <f>AND(Bills!P481,"AAAAAE3+9n0=")</f>
        <v>#VALUE!</v>
      </c>
      <c r="DW142" t="e">
        <f>AND(Bills!Q481,"AAAAAE3+9n4=")</f>
        <v>#VALUE!</v>
      </c>
      <c r="DX142" t="e">
        <f>AND(Bills!R481,"AAAAAE3+9n8=")</f>
        <v>#VALUE!</v>
      </c>
      <c r="DY142" t="e">
        <f>AND(Bills!#REF!,"AAAAAE3+9oA=")</f>
        <v>#REF!</v>
      </c>
      <c r="DZ142" t="e">
        <f>AND(Bills!S481,"AAAAAE3+9oE=")</f>
        <v>#VALUE!</v>
      </c>
      <c r="EA142" t="e">
        <f>AND(Bills!T481,"AAAAAE3+9oI=")</f>
        <v>#VALUE!</v>
      </c>
      <c r="EB142" t="e">
        <f>AND(Bills!U481,"AAAAAE3+9oM=")</f>
        <v>#VALUE!</v>
      </c>
      <c r="EC142" t="e">
        <f>AND(Bills!#REF!,"AAAAAE3+9oQ=")</f>
        <v>#REF!</v>
      </c>
      <c r="ED142" t="e">
        <f>AND(Bills!#REF!,"AAAAAE3+9oU=")</f>
        <v>#REF!</v>
      </c>
      <c r="EE142" t="e">
        <f>AND(Bills!W481,"AAAAAE3+9oY=")</f>
        <v>#VALUE!</v>
      </c>
      <c r="EF142" t="e">
        <f>AND(Bills!X481,"AAAAAE3+9oc=")</f>
        <v>#VALUE!</v>
      </c>
      <c r="EG142" t="e">
        <f>AND(Bills!#REF!,"AAAAAE3+9og=")</f>
        <v>#REF!</v>
      </c>
      <c r="EH142" t="e">
        <f>AND(Bills!#REF!,"AAAAAE3+9ok=")</f>
        <v>#REF!</v>
      </c>
      <c r="EI142" t="e">
        <f>AND(Bills!#REF!,"AAAAAE3+9oo=")</f>
        <v>#REF!</v>
      </c>
      <c r="EJ142" t="e">
        <f>AND(Bills!#REF!,"AAAAAE3+9os=")</f>
        <v>#REF!</v>
      </c>
      <c r="EK142" t="e">
        <f>AND(Bills!#REF!,"AAAAAE3+9ow=")</f>
        <v>#REF!</v>
      </c>
      <c r="EL142" t="e">
        <f>AND(Bills!#REF!,"AAAAAE3+9o0=")</f>
        <v>#REF!</v>
      </c>
      <c r="EM142" t="e">
        <f>AND(Bills!#REF!,"AAAAAE3+9o4=")</f>
        <v>#REF!</v>
      </c>
      <c r="EN142" t="e">
        <f>AND(Bills!#REF!,"AAAAAE3+9o8=")</f>
        <v>#REF!</v>
      </c>
      <c r="EO142" t="e">
        <f>AND(Bills!#REF!,"AAAAAE3+9pA=")</f>
        <v>#REF!</v>
      </c>
      <c r="EP142" t="e">
        <f>AND(Bills!Y481,"AAAAAE3+9pE=")</f>
        <v>#VALUE!</v>
      </c>
      <c r="EQ142" t="e">
        <f>AND(Bills!Z481,"AAAAAE3+9pI=")</f>
        <v>#VALUE!</v>
      </c>
      <c r="ER142" t="e">
        <f>AND(Bills!#REF!,"AAAAAE3+9pM=")</f>
        <v>#REF!</v>
      </c>
      <c r="ES142" t="e">
        <f>AND(Bills!#REF!,"AAAAAE3+9pQ=")</f>
        <v>#REF!</v>
      </c>
      <c r="ET142" t="e">
        <f>AND(Bills!#REF!,"AAAAAE3+9pU=")</f>
        <v>#REF!</v>
      </c>
      <c r="EU142" t="e">
        <f>AND(Bills!AA481,"AAAAAE3+9pY=")</f>
        <v>#VALUE!</v>
      </c>
      <c r="EV142" t="e">
        <f>AND(Bills!AB481,"AAAAAE3+9pc=")</f>
        <v>#VALUE!</v>
      </c>
      <c r="EW142" t="e">
        <f>AND(Bills!#REF!,"AAAAAE3+9pg=")</f>
        <v>#REF!</v>
      </c>
      <c r="EX142">
        <f>IF(Bills!482:482,"AAAAAE3+9pk=",0)</f>
        <v>0</v>
      </c>
      <c r="EY142" t="e">
        <f>AND(Bills!B482,"AAAAAE3+9po=")</f>
        <v>#VALUE!</v>
      </c>
      <c r="EZ142" t="e">
        <f>AND(Bills!#REF!,"AAAAAE3+9ps=")</f>
        <v>#REF!</v>
      </c>
      <c r="FA142" t="e">
        <f>AND(Bills!C482,"AAAAAE3+9pw=")</f>
        <v>#VALUE!</v>
      </c>
      <c r="FB142" t="e">
        <f>AND(Bills!#REF!,"AAAAAE3+9p0=")</f>
        <v>#REF!</v>
      </c>
      <c r="FC142" t="e">
        <f>AND(Bills!#REF!,"AAAAAE3+9p4=")</f>
        <v>#REF!</v>
      </c>
      <c r="FD142" t="e">
        <f>AND(Bills!#REF!,"AAAAAE3+9p8=")</f>
        <v>#REF!</v>
      </c>
      <c r="FE142" t="e">
        <f>AND(Bills!#REF!,"AAAAAE3+9qA=")</f>
        <v>#REF!</v>
      </c>
      <c r="FF142" t="e">
        <f>AND(Bills!#REF!,"AAAAAE3+9qE=")</f>
        <v>#REF!</v>
      </c>
      <c r="FG142" t="e">
        <f>AND(Bills!D482,"AAAAAE3+9qI=")</f>
        <v>#VALUE!</v>
      </c>
      <c r="FH142" t="e">
        <f>AND(Bills!#REF!,"AAAAAE3+9qM=")</f>
        <v>#REF!</v>
      </c>
      <c r="FI142" t="e">
        <f>AND(Bills!E482,"AAAAAE3+9qQ=")</f>
        <v>#VALUE!</v>
      </c>
      <c r="FJ142" t="e">
        <f>AND(Bills!F482,"AAAAAE3+9qU=")</f>
        <v>#VALUE!</v>
      </c>
      <c r="FK142" t="e">
        <f>AND(Bills!G482,"AAAAAE3+9qY=")</f>
        <v>#VALUE!</v>
      </c>
      <c r="FL142" t="e">
        <f>AND(Bills!H482,"AAAAAE3+9qc=")</f>
        <v>#VALUE!</v>
      </c>
      <c r="FM142" t="e">
        <f>AND(Bills!I482,"AAAAAE3+9qg=")</f>
        <v>#VALUE!</v>
      </c>
      <c r="FN142" t="e">
        <f>AND(Bills!J482,"AAAAAE3+9qk=")</f>
        <v>#VALUE!</v>
      </c>
      <c r="FO142" t="e">
        <f>AND(Bills!#REF!,"AAAAAE3+9qo=")</f>
        <v>#REF!</v>
      </c>
      <c r="FP142" t="e">
        <f>AND(Bills!K482,"AAAAAE3+9qs=")</f>
        <v>#VALUE!</v>
      </c>
      <c r="FQ142" t="e">
        <f>AND(Bills!L482,"AAAAAE3+9qw=")</f>
        <v>#VALUE!</v>
      </c>
      <c r="FR142" t="e">
        <f>AND(Bills!M482,"AAAAAE3+9q0=")</f>
        <v>#VALUE!</v>
      </c>
      <c r="FS142" t="e">
        <f>AND(Bills!N482,"AAAAAE3+9q4=")</f>
        <v>#VALUE!</v>
      </c>
      <c r="FT142" t="e">
        <f>AND(Bills!O482,"AAAAAE3+9q8=")</f>
        <v>#VALUE!</v>
      </c>
      <c r="FU142" t="e">
        <f>AND(Bills!P482,"AAAAAE3+9rA=")</f>
        <v>#VALUE!</v>
      </c>
      <c r="FV142" t="e">
        <f>AND(Bills!Q482,"AAAAAE3+9rE=")</f>
        <v>#VALUE!</v>
      </c>
      <c r="FW142" t="e">
        <f>AND(Bills!R482,"AAAAAE3+9rI=")</f>
        <v>#VALUE!</v>
      </c>
      <c r="FX142" t="e">
        <f>AND(Bills!#REF!,"AAAAAE3+9rM=")</f>
        <v>#REF!</v>
      </c>
      <c r="FY142" t="e">
        <f>AND(Bills!S482,"AAAAAE3+9rQ=")</f>
        <v>#VALUE!</v>
      </c>
      <c r="FZ142" t="e">
        <f>AND(Bills!T482,"AAAAAE3+9rU=")</f>
        <v>#VALUE!</v>
      </c>
      <c r="GA142" t="e">
        <f>AND(Bills!U482,"AAAAAE3+9rY=")</f>
        <v>#VALUE!</v>
      </c>
      <c r="GB142" t="e">
        <f>AND(Bills!#REF!,"AAAAAE3+9rc=")</f>
        <v>#REF!</v>
      </c>
      <c r="GC142" t="e">
        <f>AND(Bills!#REF!,"AAAAAE3+9rg=")</f>
        <v>#REF!</v>
      </c>
      <c r="GD142" t="e">
        <f>AND(Bills!W482,"AAAAAE3+9rk=")</f>
        <v>#VALUE!</v>
      </c>
      <c r="GE142" t="e">
        <f>AND(Bills!X482,"AAAAAE3+9ro=")</f>
        <v>#VALUE!</v>
      </c>
      <c r="GF142" t="e">
        <f>AND(Bills!#REF!,"AAAAAE3+9rs=")</f>
        <v>#REF!</v>
      </c>
      <c r="GG142" t="e">
        <f>AND(Bills!#REF!,"AAAAAE3+9rw=")</f>
        <v>#REF!</v>
      </c>
      <c r="GH142" t="e">
        <f>AND(Bills!#REF!,"AAAAAE3+9r0=")</f>
        <v>#REF!</v>
      </c>
      <c r="GI142" t="e">
        <f>AND(Bills!#REF!,"AAAAAE3+9r4=")</f>
        <v>#REF!</v>
      </c>
      <c r="GJ142" t="e">
        <f>AND(Bills!#REF!,"AAAAAE3+9r8=")</f>
        <v>#REF!</v>
      </c>
      <c r="GK142" t="e">
        <f>AND(Bills!#REF!,"AAAAAE3+9sA=")</f>
        <v>#REF!</v>
      </c>
      <c r="GL142" t="e">
        <f>AND(Bills!#REF!,"AAAAAE3+9sE=")</f>
        <v>#REF!</v>
      </c>
      <c r="GM142" t="e">
        <f>AND(Bills!#REF!,"AAAAAE3+9sI=")</f>
        <v>#REF!</v>
      </c>
      <c r="GN142" t="e">
        <f>AND(Bills!#REF!,"AAAAAE3+9sM=")</f>
        <v>#REF!</v>
      </c>
      <c r="GO142" t="e">
        <f>AND(Bills!Y482,"AAAAAE3+9sQ=")</f>
        <v>#VALUE!</v>
      </c>
      <c r="GP142" t="e">
        <f>AND(Bills!Z482,"AAAAAE3+9sU=")</f>
        <v>#VALUE!</v>
      </c>
      <c r="GQ142" t="e">
        <f>AND(Bills!#REF!,"AAAAAE3+9sY=")</f>
        <v>#REF!</v>
      </c>
      <c r="GR142" t="e">
        <f>AND(Bills!#REF!,"AAAAAE3+9sc=")</f>
        <v>#REF!</v>
      </c>
      <c r="GS142" t="e">
        <f>AND(Bills!#REF!,"AAAAAE3+9sg=")</f>
        <v>#REF!</v>
      </c>
      <c r="GT142" t="e">
        <f>AND(Bills!AA482,"AAAAAE3+9sk=")</f>
        <v>#VALUE!</v>
      </c>
      <c r="GU142" t="e">
        <f>AND(Bills!AB482,"AAAAAE3+9so=")</f>
        <v>#VALUE!</v>
      </c>
      <c r="GV142" t="e">
        <f>AND(Bills!#REF!,"AAAAAE3+9ss=")</f>
        <v>#REF!</v>
      </c>
      <c r="GW142">
        <f>IF(Bills!483:483,"AAAAAE3+9sw=",0)</f>
        <v>0</v>
      </c>
      <c r="GX142" t="e">
        <f>AND(Bills!B483,"AAAAAE3+9s0=")</f>
        <v>#VALUE!</v>
      </c>
      <c r="GY142" t="e">
        <f>AND(Bills!#REF!,"AAAAAE3+9s4=")</f>
        <v>#REF!</v>
      </c>
      <c r="GZ142" t="e">
        <f>AND(Bills!C483,"AAAAAE3+9s8=")</f>
        <v>#VALUE!</v>
      </c>
      <c r="HA142" t="e">
        <f>AND(Bills!#REF!,"AAAAAE3+9tA=")</f>
        <v>#REF!</v>
      </c>
      <c r="HB142" t="e">
        <f>AND(Bills!#REF!,"AAAAAE3+9tE=")</f>
        <v>#REF!</v>
      </c>
      <c r="HC142" t="e">
        <f>AND(Bills!#REF!,"AAAAAE3+9tI=")</f>
        <v>#REF!</v>
      </c>
      <c r="HD142" t="e">
        <f>AND(Bills!#REF!,"AAAAAE3+9tM=")</f>
        <v>#REF!</v>
      </c>
      <c r="HE142" t="e">
        <f>AND(Bills!#REF!,"AAAAAE3+9tQ=")</f>
        <v>#REF!</v>
      </c>
      <c r="HF142" t="e">
        <f>AND(Bills!D483,"AAAAAE3+9tU=")</f>
        <v>#VALUE!</v>
      </c>
      <c r="HG142" t="e">
        <f>AND(Bills!#REF!,"AAAAAE3+9tY=")</f>
        <v>#REF!</v>
      </c>
      <c r="HH142" t="e">
        <f>AND(Bills!E483,"AAAAAE3+9tc=")</f>
        <v>#VALUE!</v>
      </c>
      <c r="HI142" t="e">
        <f>AND(Bills!F483,"AAAAAE3+9tg=")</f>
        <v>#VALUE!</v>
      </c>
      <c r="HJ142" t="e">
        <f>AND(Bills!G483,"AAAAAE3+9tk=")</f>
        <v>#VALUE!</v>
      </c>
      <c r="HK142" t="e">
        <f>AND(Bills!H483,"AAAAAE3+9to=")</f>
        <v>#VALUE!</v>
      </c>
      <c r="HL142" t="e">
        <f>AND(Bills!I483,"AAAAAE3+9ts=")</f>
        <v>#VALUE!</v>
      </c>
      <c r="HM142" t="e">
        <f>AND(Bills!J483,"AAAAAE3+9tw=")</f>
        <v>#VALUE!</v>
      </c>
      <c r="HN142" t="e">
        <f>AND(Bills!#REF!,"AAAAAE3+9t0=")</f>
        <v>#REF!</v>
      </c>
      <c r="HO142" t="e">
        <f>AND(Bills!K483,"AAAAAE3+9t4=")</f>
        <v>#VALUE!</v>
      </c>
      <c r="HP142" t="e">
        <f>AND(Bills!L483,"AAAAAE3+9t8=")</f>
        <v>#VALUE!</v>
      </c>
      <c r="HQ142" t="e">
        <f>AND(Bills!M483,"AAAAAE3+9uA=")</f>
        <v>#VALUE!</v>
      </c>
      <c r="HR142" t="e">
        <f>AND(Bills!N483,"AAAAAE3+9uE=")</f>
        <v>#VALUE!</v>
      </c>
      <c r="HS142" t="e">
        <f>AND(Bills!O483,"AAAAAE3+9uI=")</f>
        <v>#VALUE!</v>
      </c>
      <c r="HT142" t="e">
        <f>AND(Bills!P483,"AAAAAE3+9uM=")</f>
        <v>#VALUE!</v>
      </c>
      <c r="HU142" t="e">
        <f>AND(Bills!Q483,"AAAAAE3+9uQ=")</f>
        <v>#VALUE!</v>
      </c>
      <c r="HV142" t="e">
        <f>AND(Bills!R483,"AAAAAE3+9uU=")</f>
        <v>#VALUE!</v>
      </c>
      <c r="HW142" t="e">
        <f>AND(Bills!#REF!,"AAAAAE3+9uY=")</f>
        <v>#REF!</v>
      </c>
      <c r="HX142" t="e">
        <f>AND(Bills!S483,"AAAAAE3+9uc=")</f>
        <v>#VALUE!</v>
      </c>
      <c r="HY142" t="e">
        <f>AND(Bills!T483,"AAAAAE3+9ug=")</f>
        <v>#VALUE!</v>
      </c>
      <c r="HZ142" t="e">
        <f>AND(Bills!U483,"AAAAAE3+9uk=")</f>
        <v>#VALUE!</v>
      </c>
      <c r="IA142" t="e">
        <f>AND(Bills!#REF!,"AAAAAE3+9uo=")</f>
        <v>#REF!</v>
      </c>
      <c r="IB142" t="e">
        <f>AND(Bills!#REF!,"AAAAAE3+9us=")</f>
        <v>#REF!</v>
      </c>
      <c r="IC142" t="e">
        <f>AND(Bills!W483,"AAAAAE3+9uw=")</f>
        <v>#VALUE!</v>
      </c>
      <c r="ID142" t="e">
        <f>AND(Bills!X483,"AAAAAE3+9u0=")</f>
        <v>#VALUE!</v>
      </c>
      <c r="IE142" t="e">
        <f>AND(Bills!#REF!,"AAAAAE3+9u4=")</f>
        <v>#REF!</v>
      </c>
      <c r="IF142" t="e">
        <f>AND(Bills!#REF!,"AAAAAE3+9u8=")</f>
        <v>#REF!</v>
      </c>
      <c r="IG142" t="e">
        <f>AND(Bills!#REF!,"AAAAAE3+9vA=")</f>
        <v>#REF!</v>
      </c>
      <c r="IH142" t="e">
        <f>AND(Bills!#REF!,"AAAAAE3+9vE=")</f>
        <v>#REF!</v>
      </c>
      <c r="II142" t="e">
        <f>AND(Bills!#REF!,"AAAAAE3+9vI=")</f>
        <v>#REF!</v>
      </c>
      <c r="IJ142" t="e">
        <f>AND(Bills!#REF!,"AAAAAE3+9vM=")</f>
        <v>#REF!</v>
      </c>
      <c r="IK142" t="e">
        <f>AND(Bills!#REF!,"AAAAAE3+9vQ=")</f>
        <v>#REF!</v>
      </c>
      <c r="IL142" t="e">
        <f>AND(Bills!#REF!,"AAAAAE3+9vU=")</f>
        <v>#REF!</v>
      </c>
      <c r="IM142" t="e">
        <f>AND(Bills!#REF!,"AAAAAE3+9vY=")</f>
        <v>#REF!</v>
      </c>
      <c r="IN142" t="e">
        <f>AND(Bills!Y483,"AAAAAE3+9vc=")</f>
        <v>#VALUE!</v>
      </c>
      <c r="IO142" t="e">
        <f>AND(Bills!Z483,"AAAAAE3+9vg=")</f>
        <v>#VALUE!</v>
      </c>
      <c r="IP142" t="e">
        <f>AND(Bills!#REF!,"AAAAAE3+9vk=")</f>
        <v>#REF!</v>
      </c>
      <c r="IQ142" t="e">
        <f>AND(Bills!#REF!,"AAAAAE3+9vo=")</f>
        <v>#REF!</v>
      </c>
      <c r="IR142" t="e">
        <f>AND(Bills!#REF!,"AAAAAE3+9vs=")</f>
        <v>#REF!</v>
      </c>
      <c r="IS142" t="e">
        <f>AND(Bills!AA483,"AAAAAE3+9vw=")</f>
        <v>#VALUE!</v>
      </c>
      <c r="IT142" t="e">
        <f>AND(Bills!AB483,"AAAAAE3+9v0=")</f>
        <v>#VALUE!</v>
      </c>
      <c r="IU142" t="e">
        <f>AND(Bills!#REF!,"AAAAAE3+9v4=")</f>
        <v>#REF!</v>
      </c>
      <c r="IV142">
        <f>IF(Bills!484:484,"AAAAAE3+9v8=",0)</f>
        <v>0</v>
      </c>
    </row>
    <row r="143" spans="1:256">
      <c r="A143" t="e">
        <f>AND(Bills!B484,"AAAAADn7swA=")</f>
        <v>#VALUE!</v>
      </c>
      <c r="B143" t="e">
        <f>AND(Bills!#REF!,"AAAAADn7swE=")</f>
        <v>#REF!</v>
      </c>
      <c r="C143" t="e">
        <f>AND(Bills!C484,"AAAAADn7swI=")</f>
        <v>#VALUE!</v>
      </c>
      <c r="D143" t="e">
        <f>AND(Bills!#REF!,"AAAAADn7swM=")</f>
        <v>#REF!</v>
      </c>
      <c r="E143" t="e">
        <f>AND(Bills!#REF!,"AAAAADn7swQ=")</f>
        <v>#REF!</v>
      </c>
      <c r="F143" t="e">
        <f>AND(Bills!#REF!,"AAAAADn7swU=")</f>
        <v>#REF!</v>
      </c>
      <c r="G143" t="e">
        <f>AND(Bills!#REF!,"AAAAADn7swY=")</f>
        <v>#REF!</v>
      </c>
      <c r="H143" t="e">
        <f>AND(Bills!#REF!,"AAAAADn7swc=")</f>
        <v>#REF!</v>
      </c>
      <c r="I143" t="e">
        <f>AND(Bills!D484,"AAAAADn7swg=")</f>
        <v>#VALUE!</v>
      </c>
      <c r="J143" t="e">
        <f>AND(Bills!#REF!,"AAAAADn7swk=")</f>
        <v>#REF!</v>
      </c>
      <c r="K143" t="e">
        <f>AND(Bills!E484,"AAAAADn7swo=")</f>
        <v>#VALUE!</v>
      </c>
      <c r="L143" t="e">
        <f>AND(Bills!F484,"AAAAADn7sws=")</f>
        <v>#VALUE!</v>
      </c>
      <c r="M143" t="e">
        <f>AND(Bills!G484,"AAAAADn7sww=")</f>
        <v>#VALUE!</v>
      </c>
      <c r="N143" t="e">
        <f>AND(Bills!H484,"AAAAADn7sw0=")</f>
        <v>#VALUE!</v>
      </c>
      <c r="O143" t="e">
        <f>AND(Bills!I484,"AAAAADn7sw4=")</f>
        <v>#VALUE!</v>
      </c>
      <c r="P143" t="e">
        <f>AND(Bills!J484,"AAAAADn7sw8=")</f>
        <v>#VALUE!</v>
      </c>
      <c r="Q143" t="e">
        <f>AND(Bills!#REF!,"AAAAADn7sxA=")</f>
        <v>#REF!</v>
      </c>
      <c r="R143" t="e">
        <f>AND(Bills!K484,"AAAAADn7sxE=")</f>
        <v>#VALUE!</v>
      </c>
      <c r="S143" t="e">
        <f>AND(Bills!L484,"AAAAADn7sxI=")</f>
        <v>#VALUE!</v>
      </c>
      <c r="T143" t="e">
        <f>AND(Bills!M484,"AAAAADn7sxM=")</f>
        <v>#VALUE!</v>
      </c>
      <c r="U143" t="e">
        <f>AND(Bills!N484,"AAAAADn7sxQ=")</f>
        <v>#VALUE!</v>
      </c>
      <c r="V143" t="e">
        <f>AND(Bills!O484,"AAAAADn7sxU=")</f>
        <v>#VALUE!</v>
      </c>
      <c r="W143" t="e">
        <f>AND(Bills!P484,"AAAAADn7sxY=")</f>
        <v>#VALUE!</v>
      </c>
      <c r="X143" t="e">
        <f>AND(Bills!Q484,"AAAAADn7sxc=")</f>
        <v>#VALUE!</v>
      </c>
      <c r="Y143" t="e">
        <f>AND(Bills!R484,"AAAAADn7sxg=")</f>
        <v>#VALUE!</v>
      </c>
      <c r="Z143" t="e">
        <f>AND(Bills!#REF!,"AAAAADn7sxk=")</f>
        <v>#REF!</v>
      </c>
      <c r="AA143" t="e">
        <f>AND(Bills!S484,"AAAAADn7sxo=")</f>
        <v>#VALUE!</v>
      </c>
      <c r="AB143" t="e">
        <f>AND(Bills!T484,"AAAAADn7sxs=")</f>
        <v>#VALUE!</v>
      </c>
      <c r="AC143" t="e">
        <f>AND(Bills!U484,"AAAAADn7sxw=")</f>
        <v>#VALUE!</v>
      </c>
      <c r="AD143" t="e">
        <f>AND(Bills!#REF!,"AAAAADn7sx0=")</f>
        <v>#REF!</v>
      </c>
      <c r="AE143" t="e">
        <f>AND(Bills!#REF!,"AAAAADn7sx4=")</f>
        <v>#REF!</v>
      </c>
      <c r="AF143" t="e">
        <f>AND(Bills!W484,"AAAAADn7sx8=")</f>
        <v>#VALUE!</v>
      </c>
      <c r="AG143" t="e">
        <f>AND(Bills!X484,"AAAAADn7syA=")</f>
        <v>#VALUE!</v>
      </c>
      <c r="AH143" t="e">
        <f>AND(Bills!#REF!,"AAAAADn7syE=")</f>
        <v>#REF!</v>
      </c>
      <c r="AI143" t="e">
        <f>AND(Bills!#REF!,"AAAAADn7syI=")</f>
        <v>#REF!</v>
      </c>
      <c r="AJ143" t="e">
        <f>AND(Bills!#REF!,"AAAAADn7syM=")</f>
        <v>#REF!</v>
      </c>
      <c r="AK143" t="e">
        <f>AND(Bills!#REF!,"AAAAADn7syQ=")</f>
        <v>#REF!</v>
      </c>
      <c r="AL143" t="e">
        <f>AND(Bills!#REF!,"AAAAADn7syU=")</f>
        <v>#REF!</v>
      </c>
      <c r="AM143" t="e">
        <f>AND(Bills!#REF!,"AAAAADn7syY=")</f>
        <v>#REF!</v>
      </c>
      <c r="AN143" t="e">
        <f>AND(Bills!#REF!,"AAAAADn7syc=")</f>
        <v>#REF!</v>
      </c>
      <c r="AO143" t="e">
        <f>AND(Bills!#REF!,"AAAAADn7syg=")</f>
        <v>#REF!</v>
      </c>
      <c r="AP143" t="e">
        <f>AND(Bills!#REF!,"AAAAADn7syk=")</f>
        <v>#REF!</v>
      </c>
      <c r="AQ143" t="e">
        <f>AND(Bills!Y484,"AAAAADn7syo=")</f>
        <v>#VALUE!</v>
      </c>
      <c r="AR143" t="e">
        <f>AND(Bills!Z484,"AAAAADn7sys=")</f>
        <v>#VALUE!</v>
      </c>
      <c r="AS143" t="e">
        <f>AND(Bills!#REF!,"AAAAADn7syw=")</f>
        <v>#REF!</v>
      </c>
      <c r="AT143" t="e">
        <f>AND(Bills!#REF!,"AAAAADn7sy0=")</f>
        <v>#REF!</v>
      </c>
      <c r="AU143" t="e">
        <f>AND(Bills!#REF!,"AAAAADn7sy4=")</f>
        <v>#REF!</v>
      </c>
      <c r="AV143" t="e">
        <f>AND(Bills!AA484,"AAAAADn7sy8=")</f>
        <v>#VALUE!</v>
      </c>
      <c r="AW143" t="e">
        <f>AND(Bills!AB484,"AAAAADn7szA=")</f>
        <v>#VALUE!</v>
      </c>
      <c r="AX143" t="e">
        <f>AND(Bills!#REF!,"AAAAADn7szE=")</f>
        <v>#REF!</v>
      </c>
      <c r="AY143">
        <f>IF(Bills!485:485,"AAAAADn7szI=",0)</f>
        <v>0</v>
      </c>
      <c r="AZ143" t="e">
        <f>AND(Bills!B485,"AAAAADn7szM=")</f>
        <v>#VALUE!</v>
      </c>
      <c r="BA143" t="e">
        <f>AND(Bills!#REF!,"AAAAADn7szQ=")</f>
        <v>#REF!</v>
      </c>
      <c r="BB143" t="e">
        <f>AND(Bills!C485,"AAAAADn7szU=")</f>
        <v>#VALUE!</v>
      </c>
      <c r="BC143" t="e">
        <f>AND(Bills!#REF!,"AAAAADn7szY=")</f>
        <v>#REF!</v>
      </c>
      <c r="BD143" t="e">
        <f>AND(Bills!#REF!,"AAAAADn7szc=")</f>
        <v>#REF!</v>
      </c>
      <c r="BE143" t="e">
        <f>AND(Bills!#REF!,"AAAAADn7szg=")</f>
        <v>#REF!</v>
      </c>
      <c r="BF143" t="e">
        <f>AND(Bills!#REF!,"AAAAADn7szk=")</f>
        <v>#REF!</v>
      </c>
      <c r="BG143" t="e">
        <f>AND(Bills!#REF!,"AAAAADn7szo=")</f>
        <v>#REF!</v>
      </c>
      <c r="BH143" t="e">
        <f>AND(Bills!D485,"AAAAADn7szs=")</f>
        <v>#VALUE!</v>
      </c>
      <c r="BI143" t="e">
        <f>AND(Bills!#REF!,"AAAAADn7szw=")</f>
        <v>#REF!</v>
      </c>
      <c r="BJ143" t="e">
        <f>AND(Bills!E485,"AAAAADn7sz0=")</f>
        <v>#VALUE!</v>
      </c>
      <c r="BK143" t="e">
        <f>AND(Bills!F485,"AAAAADn7sz4=")</f>
        <v>#VALUE!</v>
      </c>
      <c r="BL143" t="e">
        <f>AND(Bills!G485,"AAAAADn7sz8=")</f>
        <v>#VALUE!</v>
      </c>
      <c r="BM143" t="e">
        <f>AND(Bills!H485,"AAAAADn7s0A=")</f>
        <v>#VALUE!</v>
      </c>
      <c r="BN143" t="e">
        <f>AND(Bills!I485,"AAAAADn7s0E=")</f>
        <v>#VALUE!</v>
      </c>
      <c r="BO143" t="e">
        <f>AND(Bills!J485,"AAAAADn7s0I=")</f>
        <v>#VALUE!</v>
      </c>
      <c r="BP143" t="e">
        <f>AND(Bills!#REF!,"AAAAADn7s0M=")</f>
        <v>#REF!</v>
      </c>
      <c r="BQ143" t="e">
        <f>AND(Bills!K485,"AAAAADn7s0Q=")</f>
        <v>#VALUE!</v>
      </c>
      <c r="BR143" t="e">
        <f>AND(Bills!L485,"AAAAADn7s0U=")</f>
        <v>#VALUE!</v>
      </c>
      <c r="BS143" t="e">
        <f>AND(Bills!M485,"AAAAADn7s0Y=")</f>
        <v>#VALUE!</v>
      </c>
      <c r="BT143" t="e">
        <f>AND(Bills!N485,"AAAAADn7s0c=")</f>
        <v>#VALUE!</v>
      </c>
      <c r="BU143" t="e">
        <f>AND(Bills!O485,"AAAAADn7s0g=")</f>
        <v>#VALUE!</v>
      </c>
      <c r="BV143" t="e">
        <f>AND(Bills!P485,"AAAAADn7s0k=")</f>
        <v>#VALUE!</v>
      </c>
      <c r="BW143" t="e">
        <f>AND(Bills!Q485,"AAAAADn7s0o=")</f>
        <v>#VALUE!</v>
      </c>
      <c r="BX143" t="e">
        <f>AND(Bills!R485,"AAAAADn7s0s=")</f>
        <v>#VALUE!</v>
      </c>
      <c r="BY143" t="e">
        <f>AND(Bills!#REF!,"AAAAADn7s0w=")</f>
        <v>#REF!</v>
      </c>
      <c r="BZ143" t="e">
        <f>AND(Bills!S485,"AAAAADn7s00=")</f>
        <v>#VALUE!</v>
      </c>
      <c r="CA143" t="e">
        <f>AND(Bills!T485,"AAAAADn7s04=")</f>
        <v>#VALUE!</v>
      </c>
      <c r="CB143" t="e">
        <f>AND(Bills!U485,"AAAAADn7s08=")</f>
        <v>#VALUE!</v>
      </c>
      <c r="CC143" t="e">
        <f>AND(Bills!#REF!,"AAAAADn7s1A=")</f>
        <v>#REF!</v>
      </c>
      <c r="CD143" t="e">
        <f>AND(Bills!#REF!,"AAAAADn7s1E=")</f>
        <v>#REF!</v>
      </c>
      <c r="CE143" t="e">
        <f>AND(Bills!W485,"AAAAADn7s1I=")</f>
        <v>#VALUE!</v>
      </c>
      <c r="CF143" t="e">
        <f>AND(Bills!X485,"AAAAADn7s1M=")</f>
        <v>#VALUE!</v>
      </c>
      <c r="CG143" t="e">
        <f>AND(Bills!#REF!,"AAAAADn7s1Q=")</f>
        <v>#REF!</v>
      </c>
      <c r="CH143" t="e">
        <f>AND(Bills!#REF!,"AAAAADn7s1U=")</f>
        <v>#REF!</v>
      </c>
      <c r="CI143" t="e">
        <f>AND(Bills!#REF!,"AAAAADn7s1Y=")</f>
        <v>#REF!</v>
      </c>
      <c r="CJ143" t="e">
        <f>AND(Bills!#REF!,"AAAAADn7s1c=")</f>
        <v>#REF!</v>
      </c>
      <c r="CK143" t="e">
        <f>AND(Bills!#REF!,"AAAAADn7s1g=")</f>
        <v>#REF!</v>
      </c>
      <c r="CL143" t="e">
        <f>AND(Bills!#REF!,"AAAAADn7s1k=")</f>
        <v>#REF!</v>
      </c>
      <c r="CM143" t="e">
        <f>AND(Bills!#REF!,"AAAAADn7s1o=")</f>
        <v>#REF!</v>
      </c>
      <c r="CN143" t="e">
        <f>AND(Bills!#REF!,"AAAAADn7s1s=")</f>
        <v>#REF!</v>
      </c>
      <c r="CO143" t="e">
        <f>AND(Bills!#REF!,"AAAAADn7s1w=")</f>
        <v>#REF!</v>
      </c>
      <c r="CP143" t="e">
        <f>AND(Bills!Y485,"AAAAADn7s10=")</f>
        <v>#VALUE!</v>
      </c>
      <c r="CQ143" t="e">
        <f>AND(Bills!Z485,"AAAAADn7s14=")</f>
        <v>#VALUE!</v>
      </c>
      <c r="CR143" t="e">
        <f>AND(Bills!#REF!,"AAAAADn7s18=")</f>
        <v>#REF!</v>
      </c>
      <c r="CS143" t="e">
        <f>AND(Bills!#REF!,"AAAAADn7s2A=")</f>
        <v>#REF!</v>
      </c>
      <c r="CT143" t="e">
        <f>AND(Bills!#REF!,"AAAAADn7s2E=")</f>
        <v>#REF!</v>
      </c>
      <c r="CU143" t="e">
        <f>AND(Bills!AA485,"AAAAADn7s2I=")</f>
        <v>#VALUE!</v>
      </c>
      <c r="CV143" t="e">
        <f>AND(Bills!AB485,"AAAAADn7s2M=")</f>
        <v>#VALUE!</v>
      </c>
      <c r="CW143" t="e">
        <f>AND(Bills!#REF!,"AAAAADn7s2Q=")</f>
        <v>#REF!</v>
      </c>
      <c r="CX143">
        <f>IF(Bills!486:486,"AAAAADn7s2U=",0)</f>
        <v>0</v>
      </c>
      <c r="CY143" t="e">
        <f>AND(Bills!B486,"AAAAADn7s2Y=")</f>
        <v>#VALUE!</v>
      </c>
      <c r="CZ143" t="e">
        <f>AND(Bills!#REF!,"AAAAADn7s2c=")</f>
        <v>#REF!</v>
      </c>
      <c r="DA143" t="e">
        <f>AND(Bills!C486,"AAAAADn7s2g=")</f>
        <v>#VALUE!</v>
      </c>
      <c r="DB143" t="e">
        <f>AND(Bills!#REF!,"AAAAADn7s2k=")</f>
        <v>#REF!</v>
      </c>
      <c r="DC143" t="e">
        <f>AND(Bills!#REF!,"AAAAADn7s2o=")</f>
        <v>#REF!</v>
      </c>
      <c r="DD143" t="e">
        <f>AND(Bills!#REF!,"AAAAADn7s2s=")</f>
        <v>#REF!</v>
      </c>
      <c r="DE143" t="e">
        <f>AND(Bills!#REF!,"AAAAADn7s2w=")</f>
        <v>#REF!</v>
      </c>
      <c r="DF143" t="e">
        <f>AND(Bills!#REF!,"AAAAADn7s20=")</f>
        <v>#REF!</v>
      </c>
      <c r="DG143" t="e">
        <f>AND(Bills!D486,"AAAAADn7s24=")</f>
        <v>#VALUE!</v>
      </c>
      <c r="DH143" t="e">
        <f>AND(Bills!#REF!,"AAAAADn7s28=")</f>
        <v>#REF!</v>
      </c>
      <c r="DI143" t="e">
        <f>AND(Bills!E486,"AAAAADn7s3A=")</f>
        <v>#VALUE!</v>
      </c>
      <c r="DJ143" t="e">
        <f>AND(Bills!F486,"AAAAADn7s3E=")</f>
        <v>#VALUE!</v>
      </c>
      <c r="DK143" t="e">
        <f>AND(Bills!G486,"AAAAADn7s3I=")</f>
        <v>#VALUE!</v>
      </c>
      <c r="DL143" t="e">
        <f>AND(Bills!H486,"AAAAADn7s3M=")</f>
        <v>#VALUE!</v>
      </c>
      <c r="DM143" t="e">
        <f>AND(Bills!I486,"AAAAADn7s3Q=")</f>
        <v>#VALUE!</v>
      </c>
      <c r="DN143" t="e">
        <f>AND(Bills!J486,"AAAAADn7s3U=")</f>
        <v>#VALUE!</v>
      </c>
      <c r="DO143" t="e">
        <f>AND(Bills!#REF!,"AAAAADn7s3Y=")</f>
        <v>#REF!</v>
      </c>
      <c r="DP143" t="e">
        <f>AND(Bills!K486,"AAAAADn7s3c=")</f>
        <v>#VALUE!</v>
      </c>
      <c r="DQ143" t="e">
        <f>AND(Bills!L486,"AAAAADn7s3g=")</f>
        <v>#VALUE!</v>
      </c>
      <c r="DR143" t="e">
        <f>AND(Bills!M486,"AAAAADn7s3k=")</f>
        <v>#VALUE!</v>
      </c>
      <c r="DS143" t="e">
        <f>AND(Bills!N486,"AAAAADn7s3o=")</f>
        <v>#VALUE!</v>
      </c>
      <c r="DT143" t="e">
        <f>AND(Bills!O486,"AAAAADn7s3s=")</f>
        <v>#VALUE!</v>
      </c>
      <c r="DU143" t="e">
        <f>AND(Bills!P486,"AAAAADn7s3w=")</f>
        <v>#VALUE!</v>
      </c>
      <c r="DV143" t="e">
        <f>AND(Bills!Q486,"AAAAADn7s30=")</f>
        <v>#VALUE!</v>
      </c>
      <c r="DW143" t="e">
        <f>AND(Bills!R486,"AAAAADn7s34=")</f>
        <v>#VALUE!</v>
      </c>
      <c r="DX143" t="e">
        <f>AND(Bills!#REF!,"AAAAADn7s38=")</f>
        <v>#REF!</v>
      </c>
      <c r="DY143" t="e">
        <f>AND(Bills!S486,"AAAAADn7s4A=")</f>
        <v>#VALUE!</v>
      </c>
      <c r="DZ143" t="e">
        <f>AND(Bills!T486,"AAAAADn7s4E=")</f>
        <v>#VALUE!</v>
      </c>
      <c r="EA143" t="e">
        <f>AND(Bills!U486,"AAAAADn7s4I=")</f>
        <v>#VALUE!</v>
      </c>
      <c r="EB143" t="e">
        <f>AND(Bills!#REF!,"AAAAADn7s4M=")</f>
        <v>#REF!</v>
      </c>
      <c r="EC143" t="e">
        <f>AND(Bills!#REF!,"AAAAADn7s4Q=")</f>
        <v>#REF!</v>
      </c>
      <c r="ED143" t="e">
        <f>AND(Bills!W486,"AAAAADn7s4U=")</f>
        <v>#VALUE!</v>
      </c>
      <c r="EE143" t="e">
        <f>AND(Bills!X486,"AAAAADn7s4Y=")</f>
        <v>#VALUE!</v>
      </c>
      <c r="EF143" t="e">
        <f>AND(Bills!#REF!,"AAAAADn7s4c=")</f>
        <v>#REF!</v>
      </c>
      <c r="EG143" t="e">
        <f>AND(Bills!#REF!,"AAAAADn7s4g=")</f>
        <v>#REF!</v>
      </c>
      <c r="EH143" t="e">
        <f>AND(Bills!#REF!,"AAAAADn7s4k=")</f>
        <v>#REF!</v>
      </c>
      <c r="EI143" t="e">
        <f>AND(Bills!#REF!,"AAAAADn7s4o=")</f>
        <v>#REF!</v>
      </c>
      <c r="EJ143" t="e">
        <f>AND(Bills!#REF!,"AAAAADn7s4s=")</f>
        <v>#REF!</v>
      </c>
      <c r="EK143" t="e">
        <f>AND(Bills!#REF!,"AAAAADn7s4w=")</f>
        <v>#REF!</v>
      </c>
      <c r="EL143" t="e">
        <f>AND(Bills!#REF!,"AAAAADn7s40=")</f>
        <v>#REF!</v>
      </c>
      <c r="EM143" t="e">
        <f>AND(Bills!#REF!,"AAAAADn7s44=")</f>
        <v>#REF!</v>
      </c>
      <c r="EN143" t="e">
        <f>AND(Bills!#REF!,"AAAAADn7s48=")</f>
        <v>#REF!</v>
      </c>
      <c r="EO143" t="e">
        <f>AND(Bills!Y486,"AAAAADn7s5A=")</f>
        <v>#VALUE!</v>
      </c>
      <c r="EP143" t="e">
        <f>AND(Bills!Z486,"AAAAADn7s5E=")</f>
        <v>#VALUE!</v>
      </c>
      <c r="EQ143" t="e">
        <f>AND(Bills!#REF!,"AAAAADn7s5I=")</f>
        <v>#REF!</v>
      </c>
      <c r="ER143" t="e">
        <f>AND(Bills!#REF!,"AAAAADn7s5M=")</f>
        <v>#REF!</v>
      </c>
      <c r="ES143" t="e">
        <f>AND(Bills!#REF!,"AAAAADn7s5Q=")</f>
        <v>#REF!</v>
      </c>
      <c r="ET143" t="e">
        <f>AND(Bills!AA486,"AAAAADn7s5U=")</f>
        <v>#VALUE!</v>
      </c>
      <c r="EU143" t="e">
        <f>AND(Bills!AB486,"AAAAADn7s5Y=")</f>
        <v>#VALUE!</v>
      </c>
      <c r="EV143" t="e">
        <f>AND(Bills!#REF!,"AAAAADn7s5c=")</f>
        <v>#REF!</v>
      </c>
      <c r="EW143">
        <f>IF(Bills!487:487,"AAAAADn7s5g=",0)</f>
        <v>0</v>
      </c>
      <c r="EX143" t="e">
        <f>AND(Bills!B487,"AAAAADn7s5k=")</f>
        <v>#VALUE!</v>
      </c>
      <c r="EY143" t="e">
        <f>AND(Bills!#REF!,"AAAAADn7s5o=")</f>
        <v>#REF!</v>
      </c>
      <c r="EZ143" t="e">
        <f>AND(Bills!C487,"AAAAADn7s5s=")</f>
        <v>#VALUE!</v>
      </c>
      <c r="FA143" t="e">
        <f>AND(Bills!#REF!,"AAAAADn7s5w=")</f>
        <v>#REF!</v>
      </c>
      <c r="FB143" t="e">
        <f>AND(Bills!#REF!,"AAAAADn7s50=")</f>
        <v>#REF!</v>
      </c>
      <c r="FC143" t="e">
        <f>AND(Bills!#REF!,"AAAAADn7s54=")</f>
        <v>#REF!</v>
      </c>
      <c r="FD143" t="e">
        <f>AND(Bills!#REF!,"AAAAADn7s58=")</f>
        <v>#REF!</v>
      </c>
      <c r="FE143" t="e">
        <f>AND(Bills!#REF!,"AAAAADn7s6A=")</f>
        <v>#REF!</v>
      </c>
      <c r="FF143" t="e">
        <f>AND(Bills!D487,"AAAAADn7s6E=")</f>
        <v>#VALUE!</v>
      </c>
      <c r="FG143" t="e">
        <f>AND(Bills!#REF!,"AAAAADn7s6I=")</f>
        <v>#REF!</v>
      </c>
      <c r="FH143" t="e">
        <f>AND(Bills!E487,"AAAAADn7s6M=")</f>
        <v>#VALUE!</v>
      </c>
      <c r="FI143" t="e">
        <f>AND(Bills!F487,"AAAAADn7s6Q=")</f>
        <v>#VALUE!</v>
      </c>
      <c r="FJ143" t="e">
        <f>AND(Bills!G487,"AAAAADn7s6U=")</f>
        <v>#VALUE!</v>
      </c>
      <c r="FK143" t="e">
        <f>AND(Bills!H487,"AAAAADn7s6Y=")</f>
        <v>#VALUE!</v>
      </c>
      <c r="FL143" t="e">
        <f>AND(Bills!I487,"AAAAADn7s6c=")</f>
        <v>#VALUE!</v>
      </c>
      <c r="FM143" t="e">
        <f>AND(Bills!J487,"AAAAADn7s6g=")</f>
        <v>#VALUE!</v>
      </c>
      <c r="FN143" t="e">
        <f>AND(Bills!#REF!,"AAAAADn7s6k=")</f>
        <v>#REF!</v>
      </c>
      <c r="FO143" t="e">
        <f>AND(Bills!K487,"AAAAADn7s6o=")</f>
        <v>#VALUE!</v>
      </c>
      <c r="FP143" t="e">
        <f>AND(Bills!L487,"AAAAADn7s6s=")</f>
        <v>#VALUE!</v>
      </c>
      <c r="FQ143" t="e">
        <f>AND(Bills!M487,"AAAAADn7s6w=")</f>
        <v>#VALUE!</v>
      </c>
      <c r="FR143" t="e">
        <f>AND(Bills!N487,"AAAAADn7s60=")</f>
        <v>#VALUE!</v>
      </c>
      <c r="FS143" t="e">
        <f>AND(Bills!O487,"AAAAADn7s64=")</f>
        <v>#VALUE!</v>
      </c>
      <c r="FT143" t="e">
        <f>AND(Bills!P487,"AAAAADn7s68=")</f>
        <v>#VALUE!</v>
      </c>
      <c r="FU143" t="e">
        <f>AND(Bills!Q487,"AAAAADn7s7A=")</f>
        <v>#VALUE!</v>
      </c>
      <c r="FV143" t="e">
        <f>AND(Bills!R487,"AAAAADn7s7E=")</f>
        <v>#VALUE!</v>
      </c>
      <c r="FW143" t="e">
        <f>AND(Bills!#REF!,"AAAAADn7s7I=")</f>
        <v>#REF!</v>
      </c>
      <c r="FX143" t="e">
        <f>AND(Bills!S487,"AAAAADn7s7M=")</f>
        <v>#VALUE!</v>
      </c>
      <c r="FY143" t="e">
        <f>AND(Bills!T487,"AAAAADn7s7Q=")</f>
        <v>#VALUE!</v>
      </c>
      <c r="FZ143" t="e">
        <f>AND(Bills!U487,"AAAAADn7s7U=")</f>
        <v>#VALUE!</v>
      </c>
      <c r="GA143" t="e">
        <f>AND(Bills!#REF!,"AAAAADn7s7Y=")</f>
        <v>#REF!</v>
      </c>
      <c r="GB143" t="e">
        <f>AND(Bills!#REF!,"AAAAADn7s7c=")</f>
        <v>#REF!</v>
      </c>
      <c r="GC143" t="e">
        <f>AND(Bills!W487,"AAAAADn7s7g=")</f>
        <v>#VALUE!</v>
      </c>
      <c r="GD143" t="e">
        <f>AND(Bills!X487,"AAAAADn7s7k=")</f>
        <v>#VALUE!</v>
      </c>
      <c r="GE143" t="e">
        <f>AND(Bills!#REF!,"AAAAADn7s7o=")</f>
        <v>#REF!</v>
      </c>
      <c r="GF143" t="e">
        <f>AND(Bills!#REF!,"AAAAADn7s7s=")</f>
        <v>#REF!</v>
      </c>
      <c r="GG143" t="e">
        <f>AND(Bills!#REF!,"AAAAADn7s7w=")</f>
        <v>#REF!</v>
      </c>
      <c r="GH143" t="e">
        <f>AND(Bills!#REF!,"AAAAADn7s70=")</f>
        <v>#REF!</v>
      </c>
      <c r="GI143" t="e">
        <f>AND(Bills!#REF!,"AAAAADn7s74=")</f>
        <v>#REF!</v>
      </c>
      <c r="GJ143" t="e">
        <f>AND(Bills!#REF!,"AAAAADn7s78=")</f>
        <v>#REF!</v>
      </c>
      <c r="GK143" t="e">
        <f>AND(Bills!#REF!,"AAAAADn7s8A=")</f>
        <v>#REF!</v>
      </c>
      <c r="GL143" t="e">
        <f>AND(Bills!#REF!,"AAAAADn7s8E=")</f>
        <v>#REF!</v>
      </c>
      <c r="GM143" t="e">
        <f>AND(Bills!#REF!,"AAAAADn7s8I=")</f>
        <v>#REF!</v>
      </c>
      <c r="GN143" t="e">
        <f>AND(Bills!Y487,"AAAAADn7s8M=")</f>
        <v>#VALUE!</v>
      </c>
      <c r="GO143" t="e">
        <f>AND(Bills!Z487,"AAAAADn7s8Q=")</f>
        <v>#VALUE!</v>
      </c>
      <c r="GP143" t="e">
        <f>AND(Bills!#REF!,"AAAAADn7s8U=")</f>
        <v>#REF!</v>
      </c>
      <c r="GQ143" t="e">
        <f>AND(Bills!#REF!,"AAAAADn7s8Y=")</f>
        <v>#REF!</v>
      </c>
      <c r="GR143" t="e">
        <f>AND(Bills!#REF!,"AAAAADn7s8c=")</f>
        <v>#REF!</v>
      </c>
      <c r="GS143" t="e">
        <f>AND(Bills!AA487,"AAAAADn7s8g=")</f>
        <v>#VALUE!</v>
      </c>
      <c r="GT143" t="e">
        <f>AND(Bills!AB487,"AAAAADn7s8k=")</f>
        <v>#VALUE!</v>
      </c>
      <c r="GU143" t="e">
        <f>AND(Bills!#REF!,"AAAAADn7s8o=")</f>
        <v>#REF!</v>
      </c>
      <c r="GV143">
        <f>IF(Bills!488:488,"AAAAADn7s8s=",0)</f>
        <v>0</v>
      </c>
      <c r="GW143" t="e">
        <f>AND(Bills!B488,"AAAAADn7s8w=")</f>
        <v>#VALUE!</v>
      </c>
      <c r="GX143" t="e">
        <f>AND(Bills!#REF!,"AAAAADn7s80=")</f>
        <v>#REF!</v>
      </c>
      <c r="GY143" t="e">
        <f>AND(Bills!C488,"AAAAADn7s84=")</f>
        <v>#VALUE!</v>
      </c>
      <c r="GZ143" t="e">
        <f>AND(Bills!#REF!,"AAAAADn7s88=")</f>
        <v>#REF!</v>
      </c>
      <c r="HA143" t="e">
        <f>AND(Bills!#REF!,"AAAAADn7s9A=")</f>
        <v>#REF!</v>
      </c>
      <c r="HB143" t="e">
        <f>AND(Bills!#REF!,"AAAAADn7s9E=")</f>
        <v>#REF!</v>
      </c>
      <c r="HC143" t="e">
        <f>AND(Bills!#REF!,"AAAAADn7s9I=")</f>
        <v>#REF!</v>
      </c>
      <c r="HD143" t="e">
        <f>AND(Bills!#REF!,"AAAAADn7s9M=")</f>
        <v>#REF!</v>
      </c>
      <c r="HE143" t="e">
        <f>AND(Bills!D488,"AAAAADn7s9Q=")</f>
        <v>#VALUE!</v>
      </c>
      <c r="HF143" t="e">
        <f>AND(Bills!#REF!,"AAAAADn7s9U=")</f>
        <v>#REF!</v>
      </c>
      <c r="HG143" t="e">
        <f>AND(Bills!E488,"AAAAADn7s9Y=")</f>
        <v>#VALUE!</v>
      </c>
      <c r="HH143" t="e">
        <f>AND(Bills!F488,"AAAAADn7s9c=")</f>
        <v>#VALUE!</v>
      </c>
      <c r="HI143" t="e">
        <f>AND(Bills!G488,"AAAAADn7s9g=")</f>
        <v>#VALUE!</v>
      </c>
      <c r="HJ143" t="e">
        <f>AND(Bills!H488,"AAAAADn7s9k=")</f>
        <v>#VALUE!</v>
      </c>
      <c r="HK143" t="e">
        <f>AND(Bills!I488,"AAAAADn7s9o=")</f>
        <v>#VALUE!</v>
      </c>
      <c r="HL143" t="e">
        <f>AND(Bills!J488,"AAAAADn7s9s=")</f>
        <v>#VALUE!</v>
      </c>
      <c r="HM143" t="e">
        <f>AND(Bills!#REF!,"AAAAADn7s9w=")</f>
        <v>#REF!</v>
      </c>
      <c r="HN143" t="e">
        <f>AND(Bills!K488,"AAAAADn7s90=")</f>
        <v>#VALUE!</v>
      </c>
      <c r="HO143" t="e">
        <f>AND(Bills!L488,"AAAAADn7s94=")</f>
        <v>#VALUE!</v>
      </c>
      <c r="HP143" t="e">
        <f>AND(Bills!M488,"AAAAADn7s98=")</f>
        <v>#VALUE!</v>
      </c>
      <c r="HQ143" t="e">
        <f>AND(Bills!N488,"AAAAADn7s+A=")</f>
        <v>#VALUE!</v>
      </c>
      <c r="HR143" t="e">
        <f>AND(Bills!O488,"AAAAADn7s+E=")</f>
        <v>#VALUE!</v>
      </c>
      <c r="HS143" t="e">
        <f>AND(Bills!P488,"AAAAADn7s+I=")</f>
        <v>#VALUE!</v>
      </c>
      <c r="HT143" t="e">
        <f>AND(Bills!Q488,"AAAAADn7s+M=")</f>
        <v>#VALUE!</v>
      </c>
      <c r="HU143" t="e">
        <f>AND(Bills!R488,"AAAAADn7s+Q=")</f>
        <v>#VALUE!</v>
      </c>
      <c r="HV143" t="e">
        <f>AND(Bills!#REF!,"AAAAADn7s+U=")</f>
        <v>#REF!</v>
      </c>
      <c r="HW143" t="e">
        <f>AND(Bills!S488,"AAAAADn7s+Y=")</f>
        <v>#VALUE!</v>
      </c>
      <c r="HX143" t="e">
        <f>AND(Bills!T488,"AAAAADn7s+c=")</f>
        <v>#VALUE!</v>
      </c>
      <c r="HY143" t="e">
        <f>AND(Bills!U488,"AAAAADn7s+g=")</f>
        <v>#VALUE!</v>
      </c>
      <c r="HZ143" t="e">
        <f>AND(Bills!#REF!,"AAAAADn7s+k=")</f>
        <v>#REF!</v>
      </c>
      <c r="IA143" t="e">
        <f>AND(Bills!#REF!,"AAAAADn7s+o=")</f>
        <v>#REF!</v>
      </c>
      <c r="IB143" t="e">
        <f>AND(Bills!W488,"AAAAADn7s+s=")</f>
        <v>#VALUE!</v>
      </c>
      <c r="IC143" t="e">
        <f>AND(Bills!X488,"AAAAADn7s+w=")</f>
        <v>#VALUE!</v>
      </c>
      <c r="ID143" t="e">
        <f>AND(Bills!#REF!,"AAAAADn7s+0=")</f>
        <v>#REF!</v>
      </c>
      <c r="IE143" t="e">
        <f>AND(Bills!#REF!,"AAAAADn7s+4=")</f>
        <v>#REF!</v>
      </c>
      <c r="IF143" t="e">
        <f>AND(Bills!#REF!,"AAAAADn7s+8=")</f>
        <v>#REF!</v>
      </c>
      <c r="IG143" t="e">
        <f>AND(Bills!#REF!,"AAAAADn7s/A=")</f>
        <v>#REF!</v>
      </c>
      <c r="IH143" t="e">
        <f>AND(Bills!#REF!,"AAAAADn7s/E=")</f>
        <v>#REF!</v>
      </c>
      <c r="II143" t="e">
        <f>AND(Bills!#REF!,"AAAAADn7s/I=")</f>
        <v>#REF!</v>
      </c>
      <c r="IJ143" t="e">
        <f>AND(Bills!#REF!,"AAAAADn7s/M=")</f>
        <v>#REF!</v>
      </c>
      <c r="IK143" t="e">
        <f>AND(Bills!#REF!,"AAAAADn7s/Q=")</f>
        <v>#REF!</v>
      </c>
      <c r="IL143" t="e">
        <f>AND(Bills!#REF!,"AAAAADn7s/U=")</f>
        <v>#REF!</v>
      </c>
      <c r="IM143" t="e">
        <f>AND(Bills!Y488,"AAAAADn7s/Y=")</f>
        <v>#VALUE!</v>
      </c>
      <c r="IN143" t="e">
        <f>AND(Bills!Z488,"AAAAADn7s/c=")</f>
        <v>#VALUE!</v>
      </c>
      <c r="IO143" t="e">
        <f>AND(Bills!#REF!,"AAAAADn7s/g=")</f>
        <v>#REF!</v>
      </c>
      <c r="IP143" t="e">
        <f>AND(Bills!#REF!,"AAAAADn7s/k=")</f>
        <v>#REF!</v>
      </c>
      <c r="IQ143" t="e">
        <f>AND(Bills!#REF!,"AAAAADn7s/o=")</f>
        <v>#REF!</v>
      </c>
      <c r="IR143" t="e">
        <f>AND(Bills!AA488,"AAAAADn7s/s=")</f>
        <v>#VALUE!</v>
      </c>
      <c r="IS143" t="e">
        <f>AND(Bills!AB488,"AAAAADn7s/w=")</f>
        <v>#VALUE!</v>
      </c>
      <c r="IT143" t="e">
        <f>AND(Bills!#REF!,"AAAAADn7s/0=")</f>
        <v>#REF!</v>
      </c>
      <c r="IU143">
        <f>IF(Bills!489:489,"AAAAADn7s/4=",0)</f>
        <v>0</v>
      </c>
      <c r="IV143" t="e">
        <f>AND(Bills!B489,"AAAAADn7s/8=")</f>
        <v>#VALUE!</v>
      </c>
    </row>
    <row r="144" spans="1:256">
      <c r="A144" t="e">
        <f>AND(Bills!#REF!,"AAAAAE7PjgA=")</f>
        <v>#REF!</v>
      </c>
      <c r="B144" t="e">
        <f>AND(Bills!C489,"AAAAAE7PjgE=")</f>
        <v>#VALUE!</v>
      </c>
      <c r="C144" t="e">
        <f>AND(Bills!#REF!,"AAAAAE7PjgI=")</f>
        <v>#REF!</v>
      </c>
      <c r="D144" t="e">
        <f>AND(Bills!#REF!,"AAAAAE7PjgM=")</f>
        <v>#REF!</v>
      </c>
      <c r="E144" t="e">
        <f>AND(Bills!#REF!,"AAAAAE7PjgQ=")</f>
        <v>#REF!</v>
      </c>
      <c r="F144" t="e">
        <f>AND(Bills!#REF!,"AAAAAE7PjgU=")</f>
        <v>#REF!</v>
      </c>
      <c r="G144" t="e">
        <f>AND(Bills!#REF!,"AAAAAE7PjgY=")</f>
        <v>#REF!</v>
      </c>
      <c r="H144" t="e">
        <f>AND(Bills!D489,"AAAAAE7Pjgc=")</f>
        <v>#VALUE!</v>
      </c>
      <c r="I144" t="e">
        <f>AND(Bills!#REF!,"AAAAAE7Pjgg=")</f>
        <v>#REF!</v>
      </c>
      <c r="J144" t="e">
        <f>AND(Bills!E489,"AAAAAE7Pjgk=")</f>
        <v>#VALUE!</v>
      </c>
      <c r="K144" t="e">
        <f>AND(Bills!F489,"AAAAAE7Pjgo=")</f>
        <v>#VALUE!</v>
      </c>
      <c r="L144" t="e">
        <f>AND(Bills!G489,"AAAAAE7Pjgs=")</f>
        <v>#VALUE!</v>
      </c>
      <c r="M144" t="e">
        <f>AND(Bills!H489,"AAAAAE7Pjgw=")</f>
        <v>#VALUE!</v>
      </c>
      <c r="N144" t="e">
        <f>AND(Bills!I489,"AAAAAE7Pjg0=")</f>
        <v>#VALUE!</v>
      </c>
      <c r="O144" t="e">
        <f>AND(Bills!J489,"AAAAAE7Pjg4=")</f>
        <v>#VALUE!</v>
      </c>
      <c r="P144" t="e">
        <f>AND(Bills!#REF!,"AAAAAE7Pjg8=")</f>
        <v>#REF!</v>
      </c>
      <c r="Q144" t="e">
        <f>AND(Bills!K489,"AAAAAE7PjhA=")</f>
        <v>#VALUE!</v>
      </c>
      <c r="R144" t="e">
        <f>AND(Bills!L489,"AAAAAE7PjhE=")</f>
        <v>#VALUE!</v>
      </c>
      <c r="S144" t="e">
        <f>AND(Bills!M489,"AAAAAE7PjhI=")</f>
        <v>#VALUE!</v>
      </c>
      <c r="T144" t="e">
        <f>AND(Bills!N489,"AAAAAE7PjhM=")</f>
        <v>#VALUE!</v>
      </c>
      <c r="U144" t="e">
        <f>AND(Bills!O489,"AAAAAE7PjhQ=")</f>
        <v>#VALUE!</v>
      </c>
      <c r="V144" t="e">
        <f>AND(Bills!P489,"AAAAAE7PjhU=")</f>
        <v>#VALUE!</v>
      </c>
      <c r="W144" t="e">
        <f>AND(Bills!Q489,"AAAAAE7PjhY=")</f>
        <v>#VALUE!</v>
      </c>
      <c r="X144" t="e">
        <f>AND(Bills!R489,"AAAAAE7Pjhc=")</f>
        <v>#VALUE!</v>
      </c>
      <c r="Y144" t="e">
        <f>AND(Bills!#REF!,"AAAAAE7Pjhg=")</f>
        <v>#REF!</v>
      </c>
      <c r="Z144" t="e">
        <f>AND(Bills!S489,"AAAAAE7Pjhk=")</f>
        <v>#VALUE!</v>
      </c>
      <c r="AA144" t="e">
        <f>AND(Bills!T489,"AAAAAE7Pjho=")</f>
        <v>#VALUE!</v>
      </c>
      <c r="AB144" t="e">
        <f>AND(Bills!U489,"AAAAAE7Pjhs=")</f>
        <v>#VALUE!</v>
      </c>
      <c r="AC144" t="e">
        <f>AND(Bills!#REF!,"AAAAAE7Pjhw=")</f>
        <v>#REF!</v>
      </c>
      <c r="AD144" t="e">
        <f>AND(Bills!#REF!,"AAAAAE7Pjh0=")</f>
        <v>#REF!</v>
      </c>
      <c r="AE144" t="e">
        <f>AND(Bills!W489,"AAAAAE7Pjh4=")</f>
        <v>#VALUE!</v>
      </c>
      <c r="AF144" t="e">
        <f>AND(Bills!X489,"AAAAAE7Pjh8=")</f>
        <v>#VALUE!</v>
      </c>
      <c r="AG144" t="e">
        <f>AND(Bills!#REF!,"AAAAAE7PjiA=")</f>
        <v>#REF!</v>
      </c>
      <c r="AH144" t="e">
        <f>AND(Bills!#REF!,"AAAAAE7PjiE=")</f>
        <v>#REF!</v>
      </c>
      <c r="AI144" t="e">
        <f>AND(Bills!#REF!,"AAAAAE7PjiI=")</f>
        <v>#REF!</v>
      </c>
      <c r="AJ144" t="e">
        <f>AND(Bills!#REF!,"AAAAAE7PjiM=")</f>
        <v>#REF!</v>
      </c>
      <c r="AK144" t="e">
        <f>AND(Bills!#REF!,"AAAAAE7PjiQ=")</f>
        <v>#REF!</v>
      </c>
      <c r="AL144" t="e">
        <f>AND(Bills!#REF!,"AAAAAE7PjiU=")</f>
        <v>#REF!</v>
      </c>
      <c r="AM144" t="e">
        <f>AND(Bills!#REF!,"AAAAAE7PjiY=")</f>
        <v>#REF!</v>
      </c>
      <c r="AN144" t="e">
        <f>AND(Bills!#REF!,"AAAAAE7Pjic=")</f>
        <v>#REF!</v>
      </c>
      <c r="AO144" t="e">
        <f>AND(Bills!#REF!,"AAAAAE7Pjig=")</f>
        <v>#REF!</v>
      </c>
      <c r="AP144" t="e">
        <f>AND(Bills!Y489,"AAAAAE7Pjik=")</f>
        <v>#VALUE!</v>
      </c>
      <c r="AQ144" t="e">
        <f>AND(Bills!Z489,"AAAAAE7Pjio=")</f>
        <v>#VALUE!</v>
      </c>
      <c r="AR144" t="e">
        <f>AND(Bills!#REF!,"AAAAAE7Pjis=")</f>
        <v>#REF!</v>
      </c>
      <c r="AS144" t="e">
        <f>AND(Bills!#REF!,"AAAAAE7Pjiw=")</f>
        <v>#REF!</v>
      </c>
      <c r="AT144" t="e">
        <f>AND(Bills!#REF!,"AAAAAE7Pji0=")</f>
        <v>#REF!</v>
      </c>
      <c r="AU144" t="e">
        <f>AND(Bills!AA489,"AAAAAE7Pji4=")</f>
        <v>#VALUE!</v>
      </c>
      <c r="AV144" t="e">
        <f>AND(Bills!AB489,"AAAAAE7Pji8=")</f>
        <v>#VALUE!</v>
      </c>
      <c r="AW144" t="e">
        <f>AND(Bills!#REF!,"AAAAAE7PjjA=")</f>
        <v>#REF!</v>
      </c>
      <c r="AX144">
        <f>IF(Bills!490:490,"AAAAAE7PjjE=",0)</f>
        <v>0</v>
      </c>
      <c r="AY144" t="e">
        <f>AND(Bills!B490,"AAAAAE7PjjI=")</f>
        <v>#VALUE!</v>
      </c>
      <c r="AZ144" t="e">
        <f>AND(Bills!#REF!,"AAAAAE7PjjM=")</f>
        <v>#REF!</v>
      </c>
      <c r="BA144" t="e">
        <f>AND(Bills!C490,"AAAAAE7PjjQ=")</f>
        <v>#VALUE!</v>
      </c>
      <c r="BB144" t="e">
        <f>AND(Bills!#REF!,"AAAAAE7PjjU=")</f>
        <v>#REF!</v>
      </c>
      <c r="BC144" t="e">
        <f>AND(Bills!#REF!,"AAAAAE7PjjY=")</f>
        <v>#REF!</v>
      </c>
      <c r="BD144" t="e">
        <f>AND(Bills!#REF!,"AAAAAE7Pjjc=")</f>
        <v>#REF!</v>
      </c>
      <c r="BE144" t="e">
        <f>AND(Bills!#REF!,"AAAAAE7Pjjg=")</f>
        <v>#REF!</v>
      </c>
      <c r="BF144" t="e">
        <f>AND(Bills!#REF!,"AAAAAE7Pjjk=")</f>
        <v>#REF!</v>
      </c>
      <c r="BG144" t="e">
        <f>AND(Bills!D490,"AAAAAE7Pjjo=")</f>
        <v>#VALUE!</v>
      </c>
      <c r="BH144" t="e">
        <f>AND(Bills!#REF!,"AAAAAE7Pjjs=")</f>
        <v>#REF!</v>
      </c>
      <c r="BI144" t="e">
        <f>AND(Bills!E490,"AAAAAE7Pjjw=")</f>
        <v>#VALUE!</v>
      </c>
      <c r="BJ144" t="e">
        <f>AND(Bills!F490,"AAAAAE7Pjj0=")</f>
        <v>#VALUE!</v>
      </c>
      <c r="BK144" t="e">
        <f>AND(Bills!G490,"AAAAAE7Pjj4=")</f>
        <v>#VALUE!</v>
      </c>
      <c r="BL144" t="e">
        <f>AND(Bills!H490,"AAAAAE7Pjj8=")</f>
        <v>#VALUE!</v>
      </c>
      <c r="BM144" t="e">
        <f>AND(Bills!I490,"AAAAAE7PjkA=")</f>
        <v>#VALUE!</v>
      </c>
      <c r="BN144" t="e">
        <f>AND(Bills!J490,"AAAAAE7PjkE=")</f>
        <v>#VALUE!</v>
      </c>
      <c r="BO144" t="e">
        <f>AND(Bills!#REF!,"AAAAAE7PjkI=")</f>
        <v>#REF!</v>
      </c>
      <c r="BP144" t="e">
        <f>AND(Bills!K490,"AAAAAE7PjkM=")</f>
        <v>#VALUE!</v>
      </c>
      <c r="BQ144" t="e">
        <f>AND(Bills!L490,"AAAAAE7PjkQ=")</f>
        <v>#VALUE!</v>
      </c>
      <c r="BR144" t="e">
        <f>AND(Bills!M490,"AAAAAE7PjkU=")</f>
        <v>#VALUE!</v>
      </c>
      <c r="BS144" t="e">
        <f>AND(Bills!N490,"AAAAAE7PjkY=")</f>
        <v>#VALUE!</v>
      </c>
      <c r="BT144" t="e">
        <f>AND(Bills!O490,"AAAAAE7Pjkc=")</f>
        <v>#VALUE!</v>
      </c>
      <c r="BU144" t="e">
        <f>AND(Bills!P490,"AAAAAE7Pjkg=")</f>
        <v>#VALUE!</v>
      </c>
      <c r="BV144" t="e">
        <f>AND(Bills!Q490,"AAAAAE7Pjkk=")</f>
        <v>#VALUE!</v>
      </c>
      <c r="BW144" t="e">
        <f>AND(Bills!R490,"AAAAAE7Pjko=")</f>
        <v>#VALUE!</v>
      </c>
      <c r="BX144" t="e">
        <f>AND(Bills!#REF!,"AAAAAE7Pjks=")</f>
        <v>#REF!</v>
      </c>
      <c r="BY144" t="e">
        <f>AND(Bills!S490,"AAAAAE7Pjkw=")</f>
        <v>#VALUE!</v>
      </c>
      <c r="BZ144" t="e">
        <f>AND(Bills!T490,"AAAAAE7Pjk0=")</f>
        <v>#VALUE!</v>
      </c>
      <c r="CA144" t="e">
        <f>AND(Bills!U490,"AAAAAE7Pjk4=")</f>
        <v>#VALUE!</v>
      </c>
      <c r="CB144" t="e">
        <f>AND(Bills!#REF!,"AAAAAE7Pjk8=")</f>
        <v>#REF!</v>
      </c>
      <c r="CC144" t="e">
        <f>AND(Bills!#REF!,"AAAAAE7PjlA=")</f>
        <v>#REF!</v>
      </c>
      <c r="CD144" t="e">
        <f>AND(Bills!W490,"AAAAAE7PjlE=")</f>
        <v>#VALUE!</v>
      </c>
      <c r="CE144" t="e">
        <f>AND(Bills!X490,"AAAAAE7PjlI=")</f>
        <v>#VALUE!</v>
      </c>
      <c r="CF144" t="e">
        <f>AND(Bills!#REF!,"AAAAAE7PjlM=")</f>
        <v>#REF!</v>
      </c>
      <c r="CG144" t="e">
        <f>AND(Bills!#REF!,"AAAAAE7PjlQ=")</f>
        <v>#REF!</v>
      </c>
      <c r="CH144" t="e">
        <f>AND(Bills!#REF!,"AAAAAE7PjlU=")</f>
        <v>#REF!</v>
      </c>
      <c r="CI144" t="e">
        <f>AND(Bills!#REF!,"AAAAAE7PjlY=")</f>
        <v>#REF!</v>
      </c>
      <c r="CJ144" t="e">
        <f>AND(Bills!#REF!,"AAAAAE7Pjlc=")</f>
        <v>#REF!</v>
      </c>
      <c r="CK144" t="e">
        <f>AND(Bills!#REF!,"AAAAAE7Pjlg=")</f>
        <v>#REF!</v>
      </c>
      <c r="CL144" t="e">
        <f>AND(Bills!#REF!,"AAAAAE7Pjlk=")</f>
        <v>#REF!</v>
      </c>
      <c r="CM144" t="e">
        <f>AND(Bills!#REF!,"AAAAAE7Pjlo=")</f>
        <v>#REF!</v>
      </c>
      <c r="CN144" t="e">
        <f>AND(Bills!#REF!,"AAAAAE7Pjls=")</f>
        <v>#REF!</v>
      </c>
      <c r="CO144" t="e">
        <f>AND(Bills!Y490,"AAAAAE7Pjlw=")</f>
        <v>#VALUE!</v>
      </c>
      <c r="CP144" t="e">
        <f>AND(Bills!Z490,"AAAAAE7Pjl0=")</f>
        <v>#VALUE!</v>
      </c>
      <c r="CQ144" t="e">
        <f>AND(Bills!#REF!,"AAAAAE7Pjl4=")</f>
        <v>#REF!</v>
      </c>
      <c r="CR144" t="e">
        <f>AND(Bills!#REF!,"AAAAAE7Pjl8=")</f>
        <v>#REF!</v>
      </c>
      <c r="CS144" t="e">
        <f>AND(Bills!#REF!,"AAAAAE7PjmA=")</f>
        <v>#REF!</v>
      </c>
      <c r="CT144" t="e">
        <f>AND(Bills!AA490,"AAAAAE7PjmE=")</f>
        <v>#VALUE!</v>
      </c>
      <c r="CU144" t="e">
        <f>AND(Bills!AB490,"AAAAAE7PjmI=")</f>
        <v>#VALUE!</v>
      </c>
      <c r="CV144" t="e">
        <f>AND(Bills!#REF!,"AAAAAE7PjmM=")</f>
        <v>#REF!</v>
      </c>
      <c r="CW144">
        <f>IF(Bills!491:491,"AAAAAE7PjmQ=",0)</f>
        <v>0</v>
      </c>
      <c r="CX144" t="e">
        <f>AND(Bills!B491,"AAAAAE7PjmU=")</f>
        <v>#VALUE!</v>
      </c>
      <c r="CY144" t="e">
        <f>AND(Bills!#REF!,"AAAAAE7PjmY=")</f>
        <v>#REF!</v>
      </c>
      <c r="CZ144" t="e">
        <f>AND(Bills!C491,"AAAAAE7Pjmc=")</f>
        <v>#VALUE!</v>
      </c>
      <c r="DA144" t="e">
        <f>AND(Bills!#REF!,"AAAAAE7Pjmg=")</f>
        <v>#REF!</v>
      </c>
      <c r="DB144" t="e">
        <f>AND(Bills!#REF!,"AAAAAE7Pjmk=")</f>
        <v>#REF!</v>
      </c>
      <c r="DC144" t="e">
        <f>AND(Bills!#REF!,"AAAAAE7Pjmo=")</f>
        <v>#REF!</v>
      </c>
      <c r="DD144" t="e">
        <f>AND(Bills!#REF!,"AAAAAE7Pjms=")</f>
        <v>#REF!</v>
      </c>
      <c r="DE144" t="e">
        <f>AND(Bills!#REF!,"AAAAAE7Pjmw=")</f>
        <v>#REF!</v>
      </c>
      <c r="DF144" t="e">
        <f>AND(Bills!D491,"AAAAAE7Pjm0=")</f>
        <v>#VALUE!</v>
      </c>
      <c r="DG144" t="e">
        <f>AND(Bills!#REF!,"AAAAAE7Pjm4=")</f>
        <v>#REF!</v>
      </c>
      <c r="DH144" t="e">
        <f>AND(Bills!E491,"AAAAAE7Pjm8=")</f>
        <v>#VALUE!</v>
      </c>
      <c r="DI144" t="e">
        <f>AND(Bills!F491,"AAAAAE7PjnA=")</f>
        <v>#VALUE!</v>
      </c>
      <c r="DJ144" t="e">
        <f>AND(Bills!G491,"AAAAAE7PjnE=")</f>
        <v>#VALUE!</v>
      </c>
      <c r="DK144" t="e">
        <f>AND(Bills!H491,"AAAAAE7PjnI=")</f>
        <v>#VALUE!</v>
      </c>
      <c r="DL144" t="e">
        <f>AND(Bills!I491,"AAAAAE7PjnM=")</f>
        <v>#VALUE!</v>
      </c>
      <c r="DM144" t="e">
        <f>AND(Bills!J491,"AAAAAE7PjnQ=")</f>
        <v>#VALUE!</v>
      </c>
      <c r="DN144" t="e">
        <f>AND(Bills!#REF!,"AAAAAE7PjnU=")</f>
        <v>#REF!</v>
      </c>
      <c r="DO144" t="e">
        <f>AND(Bills!K491,"AAAAAE7PjnY=")</f>
        <v>#VALUE!</v>
      </c>
      <c r="DP144" t="e">
        <f>AND(Bills!L491,"AAAAAE7Pjnc=")</f>
        <v>#VALUE!</v>
      </c>
      <c r="DQ144" t="e">
        <f>AND(Bills!M491,"AAAAAE7Pjng=")</f>
        <v>#VALUE!</v>
      </c>
      <c r="DR144" t="e">
        <f>AND(Bills!N491,"AAAAAE7Pjnk=")</f>
        <v>#VALUE!</v>
      </c>
      <c r="DS144" t="e">
        <f>AND(Bills!O491,"AAAAAE7Pjno=")</f>
        <v>#VALUE!</v>
      </c>
      <c r="DT144" t="e">
        <f>AND(Bills!P491,"AAAAAE7Pjns=")</f>
        <v>#VALUE!</v>
      </c>
      <c r="DU144" t="e">
        <f>AND(Bills!Q491,"AAAAAE7Pjnw=")</f>
        <v>#VALUE!</v>
      </c>
      <c r="DV144" t="e">
        <f>AND(Bills!R491,"AAAAAE7Pjn0=")</f>
        <v>#VALUE!</v>
      </c>
      <c r="DW144" t="e">
        <f>AND(Bills!#REF!,"AAAAAE7Pjn4=")</f>
        <v>#REF!</v>
      </c>
      <c r="DX144" t="e">
        <f>AND(Bills!S491,"AAAAAE7Pjn8=")</f>
        <v>#VALUE!</v>
      </c>
      <c r="DY144" t="e">
        <f>AND(Bills!T491,"AAAAAE7PjoA=")</f>
        <v>#VALUE!</v>
      </c>
      <c r="DZ144" t="e">
        <f>AND(Bills!U491,"AAAAAE7PjoE=")</f>
        <v>#VALUE!</v>
      </c>
      <c r="EA144" t="e">
        <f>AND(Bills!#REF!,"AAAAAE7PjoI=")</f>
        <v>#REF!</v>
      </c>
      <c r="EB144" t="e">
        <f>AND(Bills!#REF!,"AAAAAE7PjoM=")</f>
        <v>#REF!</v>
      </c>
      <c r="EC144" t="e">
        <f>AND(Bills!W491,"AAAAAE7PjoQ=")</f>
        <v>#VALUE!</v>
      </c>
      <c r="ED144" t="e">
        <f>AND(Bills!X491,"AAAAAE7PjoU=")</f>
        <v>#VALUE!</v>
      </c>
      <c r="EE144" t="e">
        <f>AND(Bills!#REF!,"AAAAAE7PjoY=")</f>
        <v>#REF!</v>
      </c>
      <c r="EF144" t="e">
        <f>AND(Bills!#REF!,"AAAAAE7Pjoc=")</f>
        <v>#REF!</v>
      </c>
      <c r="EG144" t="e">
        <f>AND(Bills!#REF!,"AAAAAE7Pjog=")</f>
        <v>#REF!</v>
      </c>
      <c r="EH144" t="e">
        <f>AND(Bills!#REF!,"AAAAAE7Pjok=")</f>
        <v>#REF!</v>
      </c>
      <c r="EI144" t="e">
        <f>AND(Bills!#REF!,"AAAAAE7Pjoo=")</f>
        <v>#REF!</v>
      </c>
      <c r="EJ144" t="e">
        <f>AND(Bills!#REF!,"AAAAAE7Pjos=")</f>
        <v>#REF!</v>
      </c>
      <c r="EK144" t="e">
        <f>AND(Bills!#REF!,"AAAAAE7Pjow=")</f>
        <v>#REF!</v>
      </c>
      <c r="EL144" t="e">
        <f>AND(Bills!#REF!,"AAAAAE7Pjo0=")</f>
        <v>#REF!</v>
      </c>
      <c r="EM144" t="e">
        <f>AND(Bills!#REF!,"AAAAAE7Pjo4=")</f>
        <v>#REF!</v>
      </c>
      <c r="EN144" t="e">
        <f>AND(Bills!Y491,"AAAAAE7Pjo8=")</f>
        <v>#VALUE!</v>
      </c>
      <c r="EO144" t="e">
        <f>AND(Bills!Z491,"AAAAAE7PjpA=")</f>
        <v>#VALUE!</v>
      </c>
      <c r="EP144" t="e">
        <f>AND(Bills!#REF!,"AAAAAE7PjpE=")</f>
        <v>#REF!</v>
      </c>
      <c r="EQ144" t="e">
        <f>AND(Bills!#REF!,"AAAAAE7PjpI=")</f>
        <v>#REF!</v>
      </c>
      <c r="ER144" t="e">
        <f>AND(Bills!#REF!,"AAAAAE7PjpM=")</f>
        <v>#REF!</v>
      </c>
      <c r="ES144" t="e">
        <f>AND(Bills!AA491,"AAAAAE7PjpQ=")</f>
        <v>#VALUE!</v>
      </c>
      <c r="ET144" t="e">
        <f>AND(Bills!AB491,"AAAAAE7PjpU=")</f>
        <v>#VALUE!</v>
      </c>
      <c r="EU144" t="e">
        <f>AND(Bills!#REF!,"AAAAAE7PjpY=")</f>
        <v>#REF!</v>
      </c>
      <c r="EV144">
        <f>IF(Bills!492:492,"AAAAAE7Pjpc=",0)</f>
        <v>0</v>
      </c>
      <c r="EW144" t="e">
        <f>AND(Bills!B492,"AAAAAE7Pjpg=")</f>
        <v>#VALUE!</v>
      </c>
      <c r="EX144" t="e">
        <f>AND(Bills!#REF!,"AAAAAE7Pjpk=")</f>
        <v>#REF!</v>
      </c>
      <c r="EY144" t="e">
        <f>AND(Bills!C492,"AAAAAE7Pjpo=")</f>
        <v>#VALUE!</v>
      </c>
      <c r="EZ144" t="e">
        <f>AND(Bills!#REF!,"AAAAAE7Pjps=")</f>
        <v>#REF!</v>
      </c>
      <c r="FA144" t="e">
        <f>AND(Bills!#REF!,"AAAAAE7Pjpw=")</f>
        <v>#REF!</v>
      </c>
      <c r="FB144" t="e">
        <f>AND(Bills!#REF!,"AAAAAE7Pjp0=")</f>
        <v>#REF!</v>
      </c>
      <c r="FC144" t="e">
        <f>AND(Bills!#REF!,"AAAAAE7Pjp4=")</f>
        <v>#REF!</v>
      </c>
      <c r="FD144" t="e">
        <f>AND(Bills!#REF!,"AAAAAE7Pjp8=")</f>
        <v>#REF!</v>
      </c>
      <c r="FE144" t="e">
        <f>AND(Bills!D492,"AAAAAE7PjqA=")</f>
        <v>#VALUE!</v>
      </c>
      <c r="FF144" t="e">
        <f>AND(Bills!#REF!,"AAAAAE7PjqE=")</f>
        <v>#REF!</v>
      </c>
      <c r="FG144" t="e">
        <f>AND(Bills!E492,"AAAAAE7PjqI=")</f>
        <v>#VALUE!</v>
      </c>
      <c r="FH144" t="e">
        <f>AND(Bills!F492,"AAAAAE7PjqM=")</f>
        <v>#VALUE!</v>
      </c>
      <c r="FI144" t="e">
        <f>AND(Bills!G492,"AAAAAE7PjqQ=")</f>
        <v>#VALUE!</v>
      </c>
      <c r="FJ144" t="e">
        <f>AND(Bills!H492,"AAAAAE7PjqU=")</f>
        <v>#VALUE!</v>
      </c>
      <c r="FK144" t="e">
        <f>AND(Bills!I492,"AAAAAE7PjqY=")</f>
        <v>#VALUE!</v>
      </c>
      <c r="FL144" t="e">
        <f>AND(Bills!J492,"AAAAAE7Pjqc=")</f>
        <v>#VALUE!</v>
      </c>
      <c r="FM144" t="e">
        <f>AND(Bills!#REF!,"AAAAAE7Pjqg=")</f>
        <v>#REF!</v>
      </c>
      <c r="FN144" t="e">
        <f>AND(Bills!K492,"AAAAAE7Pjqk=")</f>
        <v>#VALUE!</v>
      </c>
      <c r="FO144" t="e">
        <f>AND(Bills!L492,"AAAAAE7Pjqo=")</f>
        <v>#VALUE!</v>
      </c>
      <c r="FP144" t="e">
        <f>AND(Bills!M492,"AAAAAE7Pjqs=")</f>
        <v>#VALUE!</v>
      </c>
      <c r="FQ144" t="e">
        <f>AND(Bills!N492,"AAAAAE7Pjqw=")</f>
        <v>#VALUE!</v>
      </c>
      <c r="FR144" t="e">
        <f>AND(Bills!O492,"AAAAAE7Pjq0=")</f>
        <v>#VALUE!</v>
      </c>
      <c r="FS144" t="e">
        <f>AND(Bills!P492,"AAAAAE7Pjq4=")</f>
        <v>#VALUE!</v>
      </c>
      <c r="FT144" t="e">
        <f>AND(Bills!Q492,"AAAAAE7Pjq8=")</f>
        <v>#VALUE!</v>
      </c>
      <c r="FU144" t="e">
        <f>AND(Bills!R492,"AAAAAE7PjrA=")</f>
        <v>#VALUE!</v>
      </c>
      <c r="FV144" t="e">
        <f>AND(Bills!#REF!,"AAAAAE7PjrE=")</f>
        <v>#REF!</v>
      </c>
      <c r="FW144" t="e">
        <f>AND(Bills!S492,"AAAAAE7PjrI=")</f>
        <v>#VALUE!</v>
      </c>
      <c r="FX144" t="e">
        <f>AND(Bills!T492,"AAAAAE7PjrM=")</f>
        <v>#VALUE!</v>
      </c>
      <c r="FY144" t="e">
        <f>AND(Bills!U492,"AAAAAE7PjrQ=")</f>
        <v>#VALUE!</v>
      </c>
      <c r="FZ144" t="e">
        <f>AND(Bills!#REF!,"AAAAAE7PjrU=")</f>
        <v>#REF!</v>
      </c>
      <c r="GA144" t="e">
        <f>AND(Bills!#REF!,"AAAAAE7PjrY=")</f>
        <v>#REF!</v>
      </c>
      <c r="GB144" t="e">
        <f>AND(Bills!W492,"AAAAAE7Pjrc=")</f>
        <v>#VALUE!</v>
      </c>
      <c r="GC144" t="e">
        <f>AND(Bills!X492,"AAAAAE7Pjrg=")</f>
        <v>#VALUE!</v>
      </c>
      <c r="GD144" t="e">
        <f>AND(Bills!#REF!,"AAAAAE7Pjrk=")</f>
        <v>#REF!</v>
      </c>
      <c r="GE144" t="e">
        <f>AND(Bills!#REF!,"AAAAAE7Pjro=")</f>
        <v>#REF!</v>
      </c>
      <c r="GF144" t="e">
        <f>AND(Bills!#REF!,"AAAAAE7Pjrs=")</f>
        <v>#REF!</v>
      </c>
      <c r="GG144" t="e">
        <f>AND(Bills!#REF!,"AAAAAE7Pjrw=")</f>
        <v>#REF!</v>
      </c>
      <c r="GH144" t="e">
        <f>AND(Bills!#REF!,"AAAAAE7Pjr0=")</f>
        <v>#REF!</v>
      </c>
      <c r="GI144" t="e">
        <f>AND(Bills!#REF!,"AAAAAE7Pjr4=")</f>
        <v>#REF!</v>
      </c>
      <c r="GJ144" t="e">
        <f>AND(Bills!#REF!,"AAAAAE7Pjr8=")</f>
        <v>#REF!</v>
      </c>
      <c r="GK144" t="e">
        <f>AND(Bills!#REF!,"AAAAAE7PjsA=")</f>
        <v>#REF!</v>
      </c>
      <c r="GL144" t="e">
        <f>AND(Bills!#REF!,"AAAAAE7PjsE=")</f>
        <v>#REF!</v>
      </c>
      <c r="GM144" t="e">
        <f>AND(Bills!Y492,"AAAAAE7PjsI=")</f>
        <v>#VALUE!</v>
      </c>
      <c r="GN144" t="e">
        <f>AND(Bills!Z492,"AAAAAE7PjsM=")</f>
        <v>#VALUE!</v>
      </c>
      <c r="GO144" t="e">
        <f>AND(Bills!#REF!,"AAAAAE7PjsQ=")</f>
        <v>#REF!</v>
      </c>
      <c r="GP144" t="e">
        <f>AND(Bills!#REF!,"AAAAAE7PjsU=")</f>
        <v>#REF!</v>
      </c>
      <c r="GQ144" t="e">
        <f>AND(Bills!#REF!,"AAAAAE7PjsY=")</f>
        <v>#REF!</v>
      </c>
      <c r="GR144" t="e">
        <f>AND(Bills!AA492,"AAAAAE7Pjsc=")</f>
        <v>#VALUE!</v>
      </c>
      <c r="GS144" t="e">
        <f>AND(Bills!AB492,"AAAAAE7Pjsg=")</f>
        <v>#VALUE!</v>
      </c>
      <c r="GT144" t="e">
        <f>AND(Bills!#REF!,"AAAAAE7Pjsk=")</f>
        <v>#REF!</v>
      </c>
      <c r="GU144">
        <f>IF(Bills!493:493,"AAAAAE7Pjso=",0)</f>
        <v>0</v>
      </c>
      <c r="GV144" t="e">
        <f>AND(Bills!B493,"AAAAAE7Pjss=")</f>
        <v>#VALUE!</v>
      </c>
      <c r="GW144" t="e">
        <f>AND(Bills!#REF!,"AAAAAE7Pjsw=")</f>
        <v>#REF!</v>
      </c>
      <c r="GX144" t="e">
        <f>AND(Bills!C493,"AAAAAE7Pjs0=")</f>
        <v>#VALUE!</v>
      </c>
      <c r="GY144" t="e">
        <f>AND(Bills!#REF!,"AAAAAE7Pjs4=")</f>
        <v>#REF!</v>
      </c>
      <c r="GZ144" t="e">
        <f>AND(Bills!#REF!,"AAAAAE7Pjs8=")</f>
        <v>#REF!</v>
      </c>
      <c r="HA144" t="e">
        <f>AND(Bills!#REF!,"AAAAAE7PjtA=")</f>
        <v>#REF!</v>
      </c>
      <c r="HB144" t="e">
        <f>AND(Bills!#REF!,"AAAAAE7PjtE=")</f>
        <v>#REF!</v>
      </c>
      <c r="HC144" t="e">
        <f>AND(Bills!#REF!,"AAAAAE7PjtI=")</f>
        <v>#REF!</v>
      </c>
      <c r="HD144" t="e">
        <f>AND(Bills!D493,"AAAAAE7PjtM=")</f>
        <v>#VALUE!</v>
      </c>
      <c r="HE144" t="e">
        <f>AND(Bills!#REF!,"AAAAAE7PjtQ=")</f>
        <v>#REF!</v>
      </c>
      <c r="HF144" t="e">
        <f>AND(Bills!E493,"AAAAAE7PjtU=")</f>
        <v>#VALUE!</v>
      </c>
      <c r="HG144" t="e">
        <f>AND(Bills!F493,"AAAAAE7PjtY=")</f>
        <v>#VALUE!</v>
      </c>
      <c r="HH144" t="e">
        <f>AND(Bills!G493,"AAAAAE7Pjtc=")</f>
        <v>#VALUE!</v>
      </c>
      <c r="HI144" t="e">
        <f>AND(Bills!H493,"AAAAAE7Pjtg=")</f>
        <v>#VALUE!</v>
      </c>
      <c r="HJ144" t="e">
        <f>AND(Bills!I493,"AAAAAE7Pjtk=")</f>
        <v>#VALUE!</v>
      </c>
      <c r="HK144" t="e">
        <f>AND(Bills!J493,"AAAAAE7Pjto=")</f>
        <v>#VALUE!</v>
      </c>
      <c r="HL144" t="e">
        <f>AND(Bills!#REF!,"AAAAAE7Pjts=")</f>
        <v>#REF!</v>
      </c>
      <c r="HM144" t="e">
        <f>AND(Bills!K493,"AAAAAE7Pjtw=")</f>
        <v>#VALUE!</v>
      </c>
      <c r="HN144" t="e">
        <f>AND(Bills!L493,"AAAAAE7Pjt0=")</f>
        <v>#VALUE!</v>
      </c>
      <c r="HO144" t="e">
        <f>AND(Bills!M493,"AAAAAE7Pjt4=")</f>
        <v>#VALUE!</v>
      </c>
      <c r="HP144" t="e">
        <f>AND(Bills!N493,"AAAAAE7Pjt8=")</f>
        <v>#VALUE!</v>
      </c>
      <c r="HQ144" t="e">
        <f>AND(Bills!O493,"AAAAAE7PjuA=")</f>
        <v>#VALUE!</v>
      </c>
      <c r="HR144" t="e">
        <f>AND(Bills!P493,"AAAAAE7PjuE=")</f>
        <v>#VALUE!</v>
      </c>
      <c r="HS144" t="e">
        <f>AND(Bills!Q493,"AAAAAE7PjuI=")</f>
        <v>#VALUE!</v>
      </c>
      <c r="HT144" t="e">
        <f>AND(Bills!R493,"AAAAAE7PjuM=")</f>
        <v>#VALUE!</v>
      </c>
      <c r="HU144" t="e">
        <f>AND(Bills!#REF!,"AAAAAE7PjuQ=")</f>
        <v>#REF!</v>
      </c>
      <c r="HV144" t="e">
        <f>AND(Bills!S493,"AAAAAE7PjuU=")</f>
        <v>#VALUE!</v>
      </c>
      <c r="HW144" t="e">
        <f>AND(Bills!T493,"AAAAAE7PjuY=")</f>
        <v>#VALUE!</v>
      </c>
      <c r="HX144" t="e">
        <f>AND(Bills!U493,"AAAAAE7Pjuc=")</f>
        <v>#VALUE!</v>
      </c>
      <c r="HY144" t="e">
        <f>AND(Bills!#REF!,"AAAAAE7Pjug=")</f>
        <v>#REF!</v>
      </c>
      <c r="HZ144" t="e">
        <f>AND(Bills!#REF!,"AAAAAE7Pjuk=")</f>
        <v>#REF!</v>
      </c>
      <c r="IA144" t="e">
        <f>AND(Bills!W493,"AAAAAE7Pjuo=")</f>
        <v>#VALUE!</v>
      </c>
      <c r="IB144" t="e">
        <f>AND(Bills!X493,"AAAAAE7Pjus=")</f>
        <v>#VALUE!</v>
      </c>
      <c r="IC144" t="e">
        <f>AND(Bills!#REF!,"AAAAAE7Pjuw=")</f>
        <v>#REF!</v>
      </c>
      <c r="ID144" t="e">
        <f>AND(Bills!#REF!,"AAAAAE7Pju0=")</f>
        <v>#REF!</v>
      </c>
      <c r="IE144" t="e">
        <f>AND(Bills!#REF!,"AAAAAE7Pju4=")</f>
        <v>#REF!</v>
      </c>
      <c r="IF144" t="e">
        <f>AND(Bills!#REF!,"AAAAAE7Pju8=")</f>
        <v>#REF!</v>
      </c>
      <c r="IG144" t="e">
        <f>AND(Bills!#REF!,"AAAAAE7PjvA=")</f>
        <v>#REF!</v>
      </c>
      <c r="IH144" t="e">
        <f>AND(Bills!#REF!,"AAAAAE7PjvE=")</f>
        <v>#REF!</v>
      </c>
      <c r="II144" t="e">
        <f>AND(Bills!#REF!,"AAAAAE7PjvI=")</f>
        <v>#REF!</v>
      </c>
      <c r="IJ144" t="e">
        <f>AND(Bills!#REF!,"AAAAAE7PjvM=")</f>
        <v>#REF!</v>
      </c>
      <c r="IK144" t="e">
        <f>AND(Bills!#REF!,"AAAAAE7PjvQ=")</f>
        <v>#REF!</v>
      </c>
      <c r="IL144" t="e">
        <f>AND(Bills!Y493,"AAAAAE7PjvU=")</f>
        <v>#VALUE!</v>
      </c>
      <c r="IM144" t="e">
        <f>AND(Bills!Z493,"AAAAAE7PjvY=")</f>
        <v>#VALUE!</v>
      </c>
      <c r="IN144" t="e">
        <f>AND(Bills!#REF!,"AAAAAE7Pjvc=")</f>
        <v>#REF!</v>
      </c>
      <c r="IO144" t="e">
        <f>AND(Bills!#REF!,"AAAAAE7Pjvg=")</f>
        <v>#REF!</v>
      </c>
      <c r="IP144" t="e">
        <f>AND(Bills!#REF!,"AAAAAE7Pjvk=")</f>
        <v>#REF!</v>
      </c>
      <c r="IQ144" t="e">
        <f>AND(Bills!AA493,"AAAAAE7Pjvo=")</f>
        <v>#VALUE!</v>
      </c>
      <c r="IR144" t="e">
        <f>AND(Bills!AB493,"AAAAAE7Pjvs=")</f>
        <v>#VALUE!</v>
      </c>
      <c r="IS144" t="e">
        <f>AND(Bills!#REF!,"AAAAAE7Pjvw=")</f>
        <v>#REF!</v>
      </c>
      <c r="IT144">
        <f>IF(Bills!494:494,"AAAAAE7Pjv0=",0)</f>
        <v>0</v>
      </c>
      <c r="IU144" t="e">
        <f>AND(Bills!B494,"AAAAAE7Pjv4=")</f>
        <v>#VALUE!</v>
      </c>
      <c r="IV144" t="e">
        <f>AND(Bills!#REF!,"AAAAAE7Pjv8=")</f>
        <v>#REF!</v>
      </c>
    </row>
    <row r="145" spans="1:256">
      <c r="A145" t="e">
        <f>AND(Bills!C494,"AAAAAH/efQA=")</f>
        <v>#VALUE!</v>
      </c>
      <c r="B145" t="e">
        <f>AND(Bills!#REF!,"AAAAAH/efQE=")</f>
        <v>#REF!</v>
      </c>
      <c r="C145" t="e">
        <f>AND(Bills!#REF!,"AAAAAH/efQI=")</f>
        <v>#REF!</v>
      </c>
      <c r="D145" t="e">
        <f>AND(Bills!#REF!,"AAAAAH/efQM=")</f>
        <v>#REF!</v>
      </c>
      <c r="E145" t="e">
        <f>AND(Bills!#REF!,"AAAAAH/efQQ=")</f>
        <v>#REF!</v>
      </c>
      <c r="F145" t="e">
        <f>AND(Bills!#REF!,"AAAAAH/efQU=")</f>
        <v>#REF!</v>
      </c>
      <c r="G145" t="e">
        <f>AND(Bills!D494,"AAAAAH/efQY=")</f>
        <v>#VALUE!</v>
      </c>
      <c r="H145" t="e">
        <f>AND(Bills!#REF!,"AAAAAH/efQc=")</f>
        <v>#REF!</v>
      </c>
      <c r="I145" t="e">
        <f>AND(Bills!E494,"AAAAAH/efQg=")</f>
        <v>#VALUE!</v>
      </c>
      <c r="J145" t="e">
        <f>AND(Bills!F494,"AAAAAH/efQk=")</f>
        <v>#VALUE!</v>
      </c>
      <c r="K145" t="e">
        <f>AND(Bills!G494,"AAAAAH/efQo=")</f>
        <v>#VALUE!</v>
      </c>
      <c r="L145" t="e">
        <f>AND(Bills!H494,"AAAAAH/efQs=")</f>
        <v>#VALUE!</v>
      </c>
      <c r="M145" t="e">
        <f>AND(Bills!I494,"AAAAAH/efQw=")</f>
        <v>#VALUE!</v>
      </c>
      <c r="N145" t="e">
        <f>AND(Bills!J494,"AAAAAH/efQ0=")</f>
        <v>#VALUE!</v>
      </c>
      <c r="O145" t="e">
        <f>AND(Bills!#REF!,"AAAAAH/efQ4=")</f>
        <v>#REF!</v>
      </c>
      <c r="P145" t="e">
        <f>AND(Bills!K494,"AAAAAH/efQ8=")</f>
        <v>#VALUE!</v>
      </c>
      <c r="Q145" t="e">
        <f>AND(Bills!L494,"AAAAAH/efRA=")</f>
        <v>#VALUE!</v>
      </c>
      <c r="R145" t="e">
        <f>AND(Bills!M494,"AAAAAH/efRE=")</f>
        <v>#VALUE!</v>
      </c>
      <c r="S145" t="e">
        <f>AND(Bills!N494,"AAAAAH/efRI=")</f>
        <v>#VALUE!</v>
      </c>
      <c r="T145" t="e">
        <f>AND(Bills!O494,"AAAAAH/efRM=")</f>
        <v>#VALUE!</v>
      </c>
      <c r="U145" t="e">
        <f>AND(Bills!P494,"AAAAAH/efRQ=")</f>
        <v>#VALUE!</v>
      </c>
      <c r="V145" t="e">
        <f>AND(Bills!Q494,"AAAAAH/efRU=")</f>
        <v>#VALUE!</v>
      </c>
      <c r="W145" t="e">
        <f>AND(Bills!R494,"AAAAAH/efRY=")</f>
        <v>#VALUE!</v>
      </c>
      <c r="X145" t="e">
        <f>AND(Bills!#REF!,"AAAAAH/efRc=")</f>
        <v>#REF!</v>
      </c>
      <c r="Y145" t="e">
        <f>AND(Bills!S494,"AAAAAH/efRg=")</f>
        <v>#VALUE!</v>
      </c>
      <c r="Z145" t="e">
        <f>AND(Bills!T494,"AAAAAH/efRk=")</f>
        <v>#VALUE!</v>
      </c>
      <c r="AA145" t="e">
        <f>AND(Bills!U494,"AAAAAH/efRo=")</f>
        <v>#VALUE!</v>
      </c>
      <c r="AB145" t="e">
        <f>AND(Bills!#REF!,"AAAAAH/efRs=")</f>
        <v>#REF!</v>
      </c>
      <c r="AC145" t="e">
        <f>AND(Bills!#REF!,"AAAAAH/efRw=")</f>
        <v>#REF!</v>
      </c>
      <c r="AD145" t="e">
        <f>AND(Bills!W494,"AAAAAH/efR0=")</f>
        <v>#VALUE!</v>
      </c>
      <c r="AE145" t="e">
        <f>AND(Bills!X494,"AAAAAH/efR4=")</f>
        <v>#VALUE!</v>
      </c>
      <c r="AF145" t="e">
        <f>AND(Bills!#REF!,"AAAAAH/efR8=")</f>
        <v>#REF!</v>
      </c>
      <c r="AG145" t="e">
        <f>AND(Bills!#REF!,"AAAAAH/efSA=")</f>
        <v>#REF!</v>
      </c>
      <c r="AH145" t="e">
        <f>AND(Bills!#REF!,"AAAAAH/efSE=")</f>
        <v>#REF!</v>
      </c>
      <c r="AI145" t="e">
        <f>AND(Bills!#REF!,"AAAAAH/efSI=")</f>
        <v>#REF!</v>
      </c>
      <c r="AJ145" t="e">
        <f>AND(Bills!#REF!,"AAAAAH/efSM=")</f>
        <v>#REF!</v>
      </c>
      <c r="AK145" t="e">
        <f>AND(Bills!#REF!,"AAAAAH/efSQ=")</f>
        <v>#REF!</v>
      </c>
      <c r="AL145" t="e">
        <f>AND(Bills!#REF!,"AAAAAH/efSU=")</f>
        <v>#REF!</v>
      </c>
      <c r="AM145" t="e">
        <f>AND(Bills!#REF!,"AAAAAH/efSY=")</f>
        <v>#REF!</v>
      </c>
      <c r="AN145" t="e">
        <f>AND(Bills!#REF!,"AAAAAH/efSc=")</f>
        <v>#REF!</v>
      </c>
      <c r="AO145" t="e">
        <f>AND(Bills!Y494,"AAAAAH/efSg=")</f>
        <v>#VALUE!</v>
      </c>
      <c r="AP145" t="e">
        <f>AND(Bills!Z494,"AAAAAH/efSk=")</f>
        <v>#VALUE!</v>
      </c>
      <c r="AQ145" t="e">
        <f>AND(Bills!#REF!,"AAAAAH/efSo=")</f>
        <v>#REF!</v>
      </c>
      <c r="AR145" t="e">
        <f>AND(Bills!#REF!,"AAAAAH/efSs=")</f>
        <v>#REF!</v>
      </c>
      <c r="AS145" t="e">
        <f>AND(Bills!#REF!,"AAAAAH/efSw=")</f>
        <v>#REF!</v>
      </c>
      <c r="AT145" t="e">
        <f>AND(Bills!AA494,"AAAAAH/efS0=")</f>
        <v>#VALUE!</v>
      </c>
      <c r="AU145" t="e">
        <f>AND(Bills!AB494,"AAAAAH/efS4=")</f>
        <v>#VALUE!</v>
      </c>
      <c r="AV145" t="e">
        <f>AND(Bills!#REF!,"AAAAAH/efS8=")</f>
        <v>#REF!</v>
      </c>
      <c r="AW145">
        <f>IF(Bills!495:495,"AAAAAH/efTA=",0)</f>
        <v>0</v>
      </c>
      <c r="AX145" t="e">
        <f>AND(Bills!B495,"AAAAAH/efTE=")</f>
        <v>#VALUE!</v>
      </c>
      <c r="AY145" t="e">
        <f>AND(Bills!#REF!,"AAAAAH/efTI=")</f>
        <v>#REF!</v>
      </c>
      <c r="AZ145" t="e">
        <f>AND(Bills!C495,"AAAAAH/efTM=")</f>
        <v>#VALUE!</v>
      </c>
      <c r="BA145" t="e">
        <f>AND(Bills!#REF!,"AAAAAH/efTQ=")</f>
        <v>#REF!</v>
      </c>
      <c r="BB145" t="e">
        <f>AND(Bills!#REF!,"AAAAAH/efTU=")</f>
        <v>#REF!</v>
      </c>
      <c r="BC145" t="e">
        <f>AND(Bills!#REF!,"AAAAAH/efTY=")</f>
        <v>#REF!</v>
      </c>
      <c r="BD145" t="e">
        <f>AND(Bills!#REF!,"AAAAAH/efTc=")</f>
        <v>#REF!</v>
      </c>
      <c r="BE145" t="e">
        <f>AND(Bills!#REF!,"AAAAAH/efTg=")</f>
        <v>#REF!</v>
      </c>
      <c r="BF145" t="e">
        <f>AND(Bills!D495,"AAAAAH/efTk=")</f>
        <v>#VALUE!</v>
      </c>
      <c r="BG145" t="e">
        <f>AND(Bills!#REF!,"AAAAAH/efTo=")</f>
        <v>#REF!</v>
      </c>
      <c r="BH145" t="e">
        <f>AND(Bills!E495,"AAAAAH/efTs=")</f>
        <v>#VALUE!</v>
      </c>
      <c r="BI145" t="e">
        <f>AND(Bills!F495,"AAAAAH/efTw=")</f>
        <v>#VALUE!</v>
      </c>
      <c r="BJ145" t="e">
        <f>AND(Bills!G495,"AAAAAH/efT0=")</f>
        <v>#VALUE!</v>
      </c>
      <c r="BK145" t="e">
        <f>AND(Bills!H495,"AAAAAH/efT4=")</f>
        <v>#VALUE!</v>
      </c>
      <c r="BL145" t="e">
        <f>AND(Bills!I495,"AAAAAH/efT8=")</f>
        <v>#VALUE!</v>
      </c>
      <c r="BM145" t="e">
        <f>AND(Bills!J495,"AAAAAH/efUA=")</f>
        <v>#VALUE!</v>
      </c>
      <c r="BN145" t="e">
        <f>AND(Bills!#REF!,"AAAAAH/efUE=")</f>
        <v>#REF!</v>
      </c>
      <c r="BO145" t="e">
        <f>AND(Bills!K495,"AAAAAH/efUI=")</f>
        <v>#VALUE!</v>
      </c>
      <c r="BP145" t="e">
        <f>AND(Bills!L495,"AAAAAH/efUM=")</f>
        <v>#VALUE!</v>
      </c>
      <c r="BQ145" t="e">
        <f>AND(Bills!M495,"AAAAAH/efUQ=")</f>
        <v>#VALUE!</v>
      </c>
      <c r="BR145" t="e">
        <f>AND(Bills!N495,"AAAAAH/efUU=")</f>
        <v>#VALUE!</v>
      </c>
      <c r="BS145" t="e">
        <f>AND(Bills!O495,"AAAAAH/efUY=")</f>
        <v>#VALUE!</v>
      </c>
      <c r="BT145" t="e">
        <f>AND(Bills!P495,"AAAAAH/efUc=")</f>
        <v>#VALUE!</v>
      </c>
      <c r="BU145" t="e">
        <f>AND(Bills!Q495,"AAAAAH/efUg=")</f>
        <v>#VALUE!</v>
      </c>
      <c r="BV145" t="e">
        <f>AND(Bills!R495,"AAAAAH/efUk=")</f>
        <v>#VALUE!</v>
      </c>
      <c r="BW145" t="e">
        <f>AND(Bills!#REF!,"AAAAAH/efUo=")</f>
        <v>#REF!</v>
      </c>
      <c r="BX145" t="e">
        <f>AND(Bills!S495,"AAAAAH/efUs=")</f>
        <v>#VALUE!</v>
      </c>
      <c r="BY145" t="e">
        <f>AND(Bills!T495,"AAAAAH/efUw=")</f>
        <v>#VALUE!</v>
      </c>
      <c r="BZ145" t="e">
        <f>AND(Bills!U495,"AAAAAH/efU0=")</f>
        <v>#VALUE!</v>
      </c>
      <c r="CA145" t="e">
        <f>AND(Bills!#REF!,"AAAAAH/efU4=")</f>
        <v>#REF!</v>
      </c>
      <c r="CB145" t="e">
        <f>AND(Bills!#REF!,"AAAAAH/efU8=")</f>
        <v>#REF!</v>
      </c>
      <c r="CC145" t="e">
        <f>AND(Bills!W495,"AAAAAH/efVA=")</f>
        <v>#VALUE!</v>
      </c>
      <c r="CD145" t="e">
        <f>AND(Bills!X495,"AAAAAH/efVE=")</f>
        <v>#VALUE!</v>
      </c>
      <c r="CE145" t="e">
        <f>AND(Bills!#REF!,"AAAAAH/efVI=")</f>
        <v>#REF!</v>
      </c>
      <c r="CF145" t="e">
        <f>AND(Bills!#REF!,"AAAAAH/efVM=")</f>
        <v>#REF!</v>
      </c>
      <c r="CG145" t="e">
        <f>AND(Bills!#REF!,"AAAAAH/efVQ=")</f>
        <v>#REF!</v>
      </c>
      <c r="CH145" t="e">
        <f>AND(Bills!#REF!,"AAAAAH/efVU=")</f>
        <v>#REF!</v>
      </c>
      <c r="CI145" t="e">
        <f>AND(Bills!#REF!,"AAAAAH/efVY=")</f>
        <v>#REF!</v>
      </c>
      <c r="CJ145" t="e">
        <f>AND(Bills!#REF!,"AAAAAH/efVc=")</f>
        <v>#REF!</v>
      </c>
      <c r="CK145" t="e">
        <f>AND(Bills!#REF!,"AAAAAH/efVg=")</f>
        <v>#REF!</v>
      </c>
      <c r="CL145" t="e">
        <f>AND(Bills!#REF!,"AAAAAH/efVk=")</f>
        <v>#REF!</v>
      </c>
      <c r="CM145" t="e">
        <f>AND(Bills!#REF!,"AAAAAH/efVo=")</f>
        <v>#REF!</v>
      </c>
      <c r="CN145" t="e">
        <f>AND(Bills!Y495,"AAAAAH/efVs=")</f>
        <v>#VALUE!</v>
      </c>
      <c r="CO145" t="e">
        <f>AND(Bills!Z495,"AAAAAH/efVw=")</f>
        <v>#VALUE!</v>
      </c>
      <c r="CP145" t="e">
        <f>AND(Bills!#REF!,"AAAAAH/efV0=")</f>
        <v>#REF!</v>
      </c>
      <c r="CQ145" t="e">
        <f>AND(Bills!#REF!,"AAAAAH/efV4=")</f>
        <v>#REF!</v>
      </c>
      <c r="CR145" t="e">
        <f>AND(Bills!#REF!,"AAAAAH/efV8=")</f>
        <v>#REF!</v>
      </c>
      <c r="CS145" t="e">
        <f>AND(Bills!AA495,"AAAAAH/efWA=")</f>
        <v>#VALUE!</v>
      </c>
      <c r="CT145" t="e">
        <f>AND(Bills!AB495,"AAAAAH/efWE=")</f>
        <v>#VALUE!</v>
      </c>
      <c r="CU145" t="e">
        <f>AND(Bills!#REF!,"AAAAAH/efWI=")</f>
        <v>#REF!</v>
      </c>
      <c r="CV145">
        <f>IF(Bills!496:496,"AAAAAH/efWM=",0)</f>
        <v>0</v>
      </c>
      <c r="CW145" t="e">
        <f>AND(Bills!B496,"AAAAAH/efWQ=")</f>
        <v>#VALUE!</v>
      </c>
      <c r="CX145" t="e">
        <f>AND(Bills!#REF!,"AAAAAH/efWU=")</f>
        <v>#REF!</v>
      </c>
      <c r="CY145" t="e">
        <f>AND(Bills!C496,"AAAAAH/efWY=")</f>
        <v>#VALUE!</v>
      </c>
      <c r="CZ145" t="e">
        <f>AND(Bills!#REF!,"AAAAAH/efWc=")</f>
        <v>#REF!</v>
      </c>
      <c r="DA145" t="e">
        <f>AND(Bills!#REF!,"AAAAAH/efWg=")</f>
        <v>#REF!</v>
      </c>
      <c r="DB145" t="e">
        <f>AND(Bills!#REF!,"AAAAAH/efWk=")</f>
        <v>#REF!</v>
      </c>
      <c r="DC145" t="e">
        <f>AND(Bills!#REF!,"AAAAAH/efWo=")</f>
        <v>#REF!</v>
      </c>
      <c r="DD145" t="e">
        <f>AND(Bills!#REF!,"AAAAAH/efWs=")</f>
        <v>#REF!</v>
      </c>
      <c r="DE145" t="e">
        <f>AND(Bills!D496,"AAAAAH/efWw=")</f>
        <v>#VALUE!</v>
      </c>
      <c r="DF145" t="e">
        <f>AND(Bills!#REF!,"AAAAAH/efW0=")</f>
        <v>#REF!</v>
      </c>
      <c r="DG145" t="e">
        <f>AND(Bills!E496,"AAAAAH/efW4=")</f>
        <v>#VALUE!</v>
      </c>
      <c r="DH145" t="e">
        <f>AND(Bills!F496,"AAAAAH/efW8=")</f>
        <v>#VALUE!</v>
      </c>
      <c r="DI145" t="e">
        <f>AND(Bills!G496,"AAAAAH/efXA=")</f>
        <v>#VALUE!</v>
      </c>
      <c r="DJ145" t="e">
        <f>AND(Bills!H496,"AAAAAH/efXE=")</f>
        <v>#VALUE!</v>
      </c>
      <c r="DK145" t="e">
        <f>AND(Bills!I496,"AAAAAH/efXI=")</f>
        <v>#VALUE!</v>
      </c>
      <c r="DL145" t="e">
        <f>AND(Bills!J496,"AAAAAH/efXM=")</f>
        <v>#VALUE!</v>
      </c>
      <c r="DM145" t="e">
        <f>AND(Bills!#REF!,"AAAAAH/efXQ=")</f>
        <v>#REF!</v>
      </c>
      <c r="DN145" t="e">
        <f>AND(Bills!K496,"AAAAAH/efXU=")</f>
        <v>#VALUE!</v>
      </c>
      <c r="DO145" t="e">
        <f>AND(Bills!L496,"AAAAAH/efXY=")</f>
        <v>#VALUE!</v>
      </c>
      <c r="DP145" t="e">
        <f>AND(Bills!M496,"AAAAAH/efXc=")</f>
        <v>#VALUE!</v>
      </c>
      <c r="DQ145" t="e">
        <f>AND(Bills!N496,"AAAAAH/efXg=")</f>
        <v>#VALUE!</v>
      </c>
      <c r="DR145" t="e">
        <f>AND(Bills!O496,"AAAAAH/efXk=")</f>
        <v>#VALUE!</v>
      </c>
      <c r="DS145" t="e">
        <f>AND(Bills!P496,"AAAAAH/efXo=")</f>
        <v>#VALUE!</v>
      </c>
      <c r="DT145" t="e">
        <f>AND(Bills!Q496,"AAAAAH/efXs=")</f>
        <v>#VALUE!</v>
      </c>
      <c r="DU145" t="e">
        <f>AND(Bills!R496,"AAAAAH/efXw=")</f>
        <v>#VALUE!</v>
      </c>
      <c r="DV145" t="e">
        <f>AND(Bills!#REF!,"AAAAAH/efX0=")</f>
        <v>#REF!</v>
      </c>
      <c r="DW145" t="e">
        <f>AND(Bills!S496,"AAAAAH/efX4=")</f>
        <v>#VALUE!</v>
      </c>
      <c r="DX145" t="e">
        <f>AND(Bills!T496,"AAAAAH/efX8=")</f>
        <v>#VALUE!</v>
      </c>
      <c r="DY145" t="e">
        <f>AND(Bills!U496,"AAAAAH/efYA=")</f>
        <v>#VALUE!</v>
      </c>
      <c r="DZ145" t="e">
        <f>AND(Bills!#REF!,"AAAAAH/efYE=")</f>
        <v>#REF!</v>
      </c>
      <c r="EA145" t="e">
        <f>AND(Bills!#REF!,"AAAAAH/efYI=")</f>
        <v>#REF!</v>
      </c>
      <c r="EB145" t="e">
        <f>AND(Bills!W496,"AAAAAH/efYM=")</f>
        <v>#VALUE!</v>
      </c>
      <c r="EC145" t="e">
        <f>AND(Bills!X496,"AAAAAH/efYQ=")</f>
        <v>#VALUE!</v>
      </c>
      <c r="ED145" t="e">
        <f>AND(Bills!#REF!,"AAAAAH/efYU=")</f>
        <v>#REF!</v>
      </c>
      <c r="EE145" t="e">
        <f>AND(Bills!#REF!,"AAAAAH/efYY=")</f>
        <v>#REF!</v>
      </c>
      <c r="EF145" t="e">
        <f>AND(Bills!#REF!,"AAAAAH/efYc=")</f>
        <v>#REF!</v>
      </c>
      <c r="EG145" t="e">
        <f>AND(Bills!#REF!,"AAAAAH/efYg=")</f>
        <v>#REF!</v>
      </c>
      <c r="EH145" t="e">
        <f>AND(Bills!#REF!,"AAAAAH/efYk=")</f>
        <v>#REF!</v>
      </c>
      <c r="EI145" t="e">
        <f>AND(Bills!#REF!,"AAAAAH/efYo=")</f>
        <v>#REF!</v>
      </c>
      <c r="EJ145" t="e">
        <f>AND(Bills!#REF!,"AAAAAH/efYs=")</f>
        <v>#REF!</v>
      </c>
      <c r="EK145" t="e">
        <f>AND(Bills!#REF!,"AAAAAH/efYw=")</f>
        <v>#REF!</v>
      </c>
      <c r="EL145" t="e">
        <f>AND(Bills!#REF!,"AAAAAH/efY0=")</f>
        <v>#REF!</v>
      </c>
      <c r="EM145" t="e">
        <f>AND(Bills!Y496,"AAAAAH/efY4=")</f>
        <v>#VALUE!</v>
      </c>
      <c r="EN145" t="e">
        <f>AND(Bills!Z496,"AAAAAH/efY8=")</f>
        <v>#VALUE!</v>
      </c>
      <c r="EO145" t="e">
        <f>AND(Bills!#REF!,"AAAAAH/efZA=")</f>
        <v>#REF!</v>
      </c>
      <c r="EP145" t="e">
        <f>AND(Bills!#REF!,"AAAAAH/efZE=")</f>
        <v>#REF!</v>
      </c>
      <c r="EQ145" t="e">
        <f>AND(Bills!#REF!,"AAAAAH/efZI=")</f>
        <v>#REF!</v>
      </c>
      <c r="ER145" t="e">
        <f>AND(Bills!AA496,"AAAAAH/efZM=")</f>
        <v>#VALUE!</v>
      </c>
      <c r="ES145" t="e">
        <f>AND(Bills!AB496,"AAAAAH/efZQ=")</f>
        <v>#VALUE!</v>
      </c>
      <c r="ET145" t="e">
        <f>AND(Bills!#REF!,"AAAAAH/efZU=")</f>
        <v>#REF!</v>
      </c>
      <c r="EU145">
        <f>IF(Bills!497:497,"AAAAAH/efZY=",0)</f>
        <v>0</v>
      </c>
      <c r="EV145" t="e">
        <f>AND(Bills!B497,"AAAAAH/efZc=")</f>
        <v>#VALUE!</v>
      </c>
      <c r="EW145" t="e">
        <f>AND(Bills!#REF!,"AAAAAH/efZg=")</f>
        <v>#REF!</v>
      </c>
      <c r="EX145" t="e">
        <f>AND(Bills!C497,"AAAAAH/efZk=")</f>
        <v>#VALUE!</v>
      </c>
      <c r="EY145" t="e">
        <f>AND(Bills!#REF!,"AAAAAH/efZo=")</f>
        <v>#REF!</v>
      </c>
      <c r="EZ145" t="e">
        <f>AND(Bills!#REF!,"AAAAAH/efZs=")</f>
        <v>#REF!</v>
      </c>
      <c r="FA145" t="e">
        <f>AND(Bills!#REF!,"AAAAAH/efZw=")</f>
        <v>#REF!</v>
      </c>
      <c r="FB145" t="e">
        <f>AND(Bills!#REF!,"AAAAAH/efZ0=")</f>
        <v>#REF!</v>
      </c>
      <c r="FC145" t="e">
        <f>AND(Bills!#REF!,"AAAAAH/efZ4=")</f>
        <v>#REF!</v>
      </c>
      <c r="FD145" t="e">
        <f>AND(Bills!D497,"AAAAAH/efZ8=")</f>
        <v>#VALUE!</v>
      </c>
      <c r="FE145" t="e">
        <f>AND(Bills!#REF!,"AAAAAH/efaA=")</f>
        <v>#REF!</v>
      </c>
      <c r="FF145" t="e">
        <f>AND(Bills!E497,"AAAAAH/efaE=")</f>
        <v>#VALUE!</v>
      </c>
      <c r="FG145" t="e">
        <f>AND(Bills!F497,"AAAAAH/efaI=")</f>
        <v>#VALUE!</v>
      </c>
      <c r="FH145" t="e">
        <f>AND(Bills!G497,"AAAAAH/efaM=")</f>
        <v>#VALUE!</v>
      </c>
      <c r="FI145" t="e">
        <f>AND(Bills!H497,"AAAAAH/efaQ=")</f>
        <v>#VALUE!</v>
      </c>
      <c r="FJ145" t="e">
        <f>AND(Bills!I497,"AAAAAH/efaU=")</f>
        <v>#VALUE!</v>
      </c>
      <c r="FK145" t="e">
        <f>AND(Bills!J497,"AAAAAH/efaY=")</f>
        <v>#VALUE!</v>
      </c>
      <c r="FL145" t="e">
        <f>AND(Bills!#REF!,"AAAAAH/efac=")</f>
        <v>#REF!</v>
      </c>
      <c r="FM145" t="e">
        <f>AND(Bills!K497,"AAAAAH/efag=")</f>
        <v>#VALUE!</v>
      </c>
      <c r="FN145" t="e">
        <f>AND(Bills!L497,"AAAAAH/efak=")</f>
        <v>#VALUE!</v>
      </c>
      <c r="FO145" t="e">
        <f>AND(Bills!M497,"AAAAAH/efao=")</f>
        <v>#VALUE!</v>
      </c>
      <c r="FP145" t="e">
        <f>AND(Bills!N497,"AAAAAH/efas=")</f>
        <v>#VALUE!</v>
      </c>
      <c r="FQ145" t="e">
        <f>AND(Bills!O497,"AAAAAH/efaw=")</f>
        <v>#VALUE!</v>
      </c>
      <c r="FR145" t="e">
        <f>AND(Bills!P497,"AAAAAH/efa0=")</f>
        <v>#VALUE!</v>
      </c>
      <c r="FS145" t="e">
        <f>AND(Bills!Q497,"AAAAAH/efa4=")</f>
        <v>#VALUE!</v>
      </c>
      <c r="FT145" t="e">
        <f>AND(Bills!R497,"AAAAAH/efa8=")</f>
        <v>#VALUE!</v>
      </c>
      <c r="FU145" t="e">
        <f>AND(Bills!#REF!,"AAAAAH/efbA=")</f>
        <v>#REF!</v>
      </c>
      <c r="FV145" t="e">
        <f>AND(Bills!S497,"AAAAAH/efbE=")</f>
        <v>#VALUE!</v>
      </c>
      <c r="FW145" t="e">
        <f>AND(Bills!T497,"AAAAAH/efbI=")</f>
        <v>#VALUE!</v>
      </c>
      <c r="FX145" t="e">
        <f>AND(Bills!U497,"AAAAAH/efbM=")</f>
        <v>#VALUE!</v>
      </c>
      <c r="FY145" t="e">
        <f>AND(Bills!#REF!,"AAAAAH/efbQ=")</f>
        <v>#REF!</v>
      </c>
      <c r="FZ145" t="e">
        <f>AND(Bills!#REF!,"AAAAAH/efbU=")</f>
        <v>#REF!</v>
      </c>
      <c r="GA145" t="e">
        <f>AND(Bills!W497,"AAAAAH/efbY=")</f>
        <v>#VALUE!</v>
      </c>
      <c r="GB145" t="e">
        <f>AND(Bills!X497,"AAAAAH/efbc=")</f>
        <v>#VALUE!</v>
      </c>
      <c r="GC145" t="e">
        <f>AND(Bills!#REF!,"AAAAAH/efbg=")</f>
        <v>#REF!</v>
      </c>
      <c r="GD145" t="e">
        <f>AND(Bills!#REF!,"AAAAAH/efbk=")</f>
        <v>#REF!</v>
      </c>
      <c r="GE145" t="e">
        <f>AND(Bills!#REF!,"AAAAAH/efbo=")</f>
        <v>#REF!</v>
      </c>
      <c r="GF145" t="e">
        <f>AND(Bills!#REF!,"AAAAAH/efbs=")</f>
        <v>#REF!</v>
      </c>
      <c r="GG145" t="e">
        <f>AND(Bills!#REF!,"AAAAAH/efbw=")</f>
        <v>#REF!</v>
      </c>
      <c r="GH145" t="e">
        <f>AND(Bills!#REF!,"AAAAAH/efb0=")</f>
        <v>#REF!</v>
      </c>
      <c r="GI145" t="e">
        <f>AND(Bills!#REF!,"AAAAAH/efb4=")</f>
        <v>#REF!</v>
      </c>
      <c r="GJ145" t="e">
        <f>AND(Bills!#REF!,"AAAAAH/efb8=")</f>
        <v>#REF!</v>
      </c>
      <c r="GK145" t="e">
        <f>AND(Bills!#REF!,"AAAAAH/efcA=")</f>
        <v>#REF!</v>
      </c>
      <c r="GL145" t="e">
        <f>AND(Bills!Y497,"AAAAAH/efcE=")</f>
        <v>#VALUE!</v>
      </c>
      <c r="GM145" t="e">
        <f>AND(Bills!Z497,"AAAAAH/efcI=")</f>
        <v>#VALUE!</v>
      </c>
      <c r="GN145" t="e">
        <f>AND(Bills!#REF!,"AAAAAH/efcM=")</f>
        <v>#REF!</v>
      </c>
      <c r="GO145" t="e">
        <f>AND(Bills!#REF!,"AAAAAH/efcQ=")</f>
        <v>#REF!</v>
      </c>
      <c r="GP145" t="e">
        <f>AND(Bills!#REF!,"AAAAAH/efcU=")</f>
        <v>#REF!</v>
      </c>
      <c r="GQ145" t="e">
        <f>AND(Bills!AA497,"AAAAAH/efcY=")</f>
        <v>#VALUE!</v>
      </c>
      <c r="GR145" t="e">
        <f>AND(Bills!AB497,"AAAAAH/efcc=")</f>
        <v>#VALUE!</v>
      </c>
      <c r="GS145" t="e">
        <f>AND(Bills!#REF!,"AAAAAH/efcg=")</f>
        <v>#REF!</v>
      </c>
      <c r="GT145">
        <f>IF(Bills!498:498,"AAAAAH/efck=",0)</f>
        <v>0</v>
      </c>
      <c r="GU145" t="e">
        <f>AND(Bills!B498,"AAAAAH/efco=")</f>
        <v>#VALUE!</v>
      </c>
      <c r="GV145" t="e">
        <f>AND(Bills!#REF!,"AAAAAH/efcs=")</f>
        <v>#REF!</v>
      </c>
      <c r="GW145" t="e">
        <f>AND(Bills!C498,"AAAAAH/efcw=")</f>
        <v>#VALUE!</v>
      </c>
      <c r="GX145" t="e">
        <f>AND(Bills!#REF!,"AAAAAH/efc0=")</f>
        <v>#REF!</v>
      </c>
      <c r="GY145" t="e">
        <f>AND(Bills!#REF!,"AAAAAH/efc4=")</f>
        <v>#REF!</v>
      </c>
      <c r="GZ145" t="e">
        <f>AND(Bills!#REF!,"AAAAAH/efc8=")</f>
        <v>#REF!</v>
      </c>
      <c r="HA145" t="e">
        <f>AND(Bills!#REF!,"AAAAAH/efdA=")</f>
        <v>#REF!</v>
      </c>
      <c r="HB145" t="e">
        <f>AND(Bills!#REF!,"AAAAAH/efdE=")</f>
        <v>#REF!</v>
      </c>
      <c r="HC145" t="e">
        <f>AND(Bills!D498,"AAAAAH/efdI=")</f>
        <v>#VALUE!</v>
      </c>
      <c r="HD145" t="e">
        <f>AND(Bills!#REF!,"AAAAAH/efdM=")</f>
        <v>#REF!</v>
      </c>
      <c r="HE145" t="e">
        <f>AND(Bills!E498,"AAAAAH/efdQ=")</f>
        <v>#VALUE!</v>
      </c>
      <c r="HF145" t="e">
        <f>AND(Bills!F498,"AAAAAH/efdU=")</f>
        <v>#VALUE!</v>
      </c>
      <c r="HG145" t="e">
        <f>AND(Bills!G498,"AAAAAH/efdY=")</f>
        <v>#VALUE!</v>
      </c>
      <c r="HH145" t="e">
        <f>AND(Bills!H498,"AAAAAH/efdc=")</f>
        <v>#VALUE!</v>
      </c>
      <c r="HI145" t="e">
        <f>AND(Bills!I498,"AAAAAH/efdg=")</f>
        <v>#VALUE!</v>
      </c>
      <c r="HJ145" t="e">
        <f>AND(Bills!J498,"AAAAAH/efdk=")</f>
        <v>#VALUE!</v>
      </c>
      <c r="HK145" t="e">
        <f>AND(Bills!#REF!,"AAAAAH/efdo=")</f>
        <v>#REF!</v>
      </c>
      <c r="HL145" t="e">
        <f>AND(Bills!K498,"AAAAAH/efds=")</f>
        <v>#VALUE!</v>
      </c>
      <c r="HM145" t="e">
        <f>AND(Bills!L498,"AAAAAH/efdw=")</f>
        <v>#VALUE!</v>
      </c>
      <c r="HN145" t="e">
        <f>AND(Bills!M498,"AAAAAH/efd0=")</f>
        <v>#VALUE!</v>
      </c>
      <c r="HO145" t="e">
        <f>AND(Bills!N498,"AAAAAH/efd4=")</f>
        <v>#VALUE!</v>
      </c>
      <c r="HP145" t="e">
        <f>AND(Bills!O498,"AAAAAH/efd8=")</f>
        <v>#VALUE!</v>
      </c>
      <c r="HQ145" t="e">
        <f>AND(Bills!P498,"AAAAAH/efeA=")</f>
        <v>#VALUE!</v>
      </c>
      <c r="HR145" t="e">
        <f>AND(Bills!Q498,"AAAAAH/efeE=")</f>
        <v>#VALUE!</v>
      </c>
      <c r="HS145" t="e">
        <f>AND(Bills!R498,"AAAAAH/efeI=")</f>
        <v>#VALUE!</v>
      </c>
      <c r="HT145" t="e">
        <f>AND(Bills!#REF!,"AAAAAH/efeM=")</f>
        <v>#REF!</v>
      </c>
      <c r="HU145" t="e">
        <f>AND(Bills!S498,"AAAAAH/efeQ=")</f>
        <v>#VALUE!</v>
      </c>
      <c r="HV145" t="e">
        <f>AND(Bills!T498,"AAAAAH/efeU=")</f>
        <v>#VALUE!</v>
      </c>
      <c r="HW145" t="e">
        <f>AND(Bills!U498,"AAAAAH/efeY=")</f>
        <v>#VALUE!</v>
      </c>
      <c r="HX145" t="e">
        <f>AND(Bills!#REF!,"AAAAAH/efec=")</f>
        <v>#REF!</v>
      </c>
      <c r="HY145" t="e">
        <f>AND(Bills!#REF!,"AAAAAH/efeg=")</f>
        <v>#REF!</v>
      </c>
      <c r="HZ145" t="e">
        <f>AND(Bills!W498,"AAAAAH/efek=")</f>
        <v>#VALUE!</v>
      </c>
      <c r="IA145" t="e">
        <f>AND(Bills!X498,"AAAAAH/efeo=")</f>
        <v>#VALUE!</v>
      </c>
      <c r="IB145" t="e">
        <f>AND(Bills!#REF!,"AAAAAH/efes=")</f>
        <v>#REF!</v>
      </c>
      <c r="IC145" t="e">
        <f>AND(Bills!#REF!,"AAAAAH/efew=")</f>
        <v>#REF!</v>
      </c>
      <c r="ID145" t="e">
        <f>AND(Bills!#REF!,"AAAAAH/efe0=")</f>
        <v>#REF!</v>
      </c>
      <c r="IE145" t="e">
        <f>AND(Bills!#REF!,"AAAAAH/efe4=")</f>
        <v>#REF!</v>
      </c>
      <c r="IF145" t="e">
        <f>AND(Bills!#REF!,"AAAAAH/efe8=")</f>
        <v>#REF!</v>
      </c>
      <c r="IG145" t="e">
        <f>AND(Bills!#REF!,"AAAAAH/effA=")</f>
        <v>#REF!</v>
      </c>
      <c r="IH145" t="e">
        <f>AND(Bills!#REF!,"AAAAAH/effE=")</f>
        <v>#REF!</v>
      </c>
      <c r="II145" t="e">
        <f>AND(Bills!#REF!,"AAAAAH/effI=")</f>
        <v>#REF!</v>
      </c>
      <c r="IJ145" t="e">
        <f>AND(Bills!#REF!,"AAAAAH/effM=")</f>
        <v>#REF!</v>
      </c>
      <c r="IK145" t="e">
        <f>AND(Bills!Y498,"AAAAAH/effQ=")</f>
        <v>#VALUE!</v>
      </c>
      <c r="IL145" t="e">
        <f>AND(Bills!Z498,"AAAAAH/effU=")</f>
        <v>#VALUE!</v>
      </c>
      <c r="IM145" t="e">
        <f>AND(Bills!#REF!,"AAAAAH/effY=")</f>
        <v>#REF!</v>
      </c>
      <c r="IN145" t="e">
        <f>AND(Bills!#REF!,"AAAAAH/effc=")</f>
        <v>#REF!</v>
      </c>
      <c r="IO145" t="e">
        <f>AND(Bills!#REF!,"AAAAAH/effg=")</f>
        <v>#REF!</v>
      </c>
      <c r="IP145" t="e">
        <f>AND(Bills!AA498,"AAAAAH/effk=")</f>
        <v>#VALUE!</v>
      </c>
      <c r="IQ145" t="e">
        <f>AND(Bills!AB498,"AAAAAH/effo=")</f>
        <v>#VALUE!</v>
      </c>
      <c r="IR145" t="e">
        <f>AND(Bills!#REF!,"AAAAAH/effs=")</f>
        <v>#REF!</v>
      </c>
      <c r="IS145">
        <f>IF(Bills!499:499,"AAAAAH/effw=",0)</f>
        <v>0</v>
      </c>
      <c r="IT145" t="e">
        <f>AND(Bills!B499,"AAAAAH/eff0=")</f>
        <v>#VALUE!</v>
      </c>
      <c r="IU145" t="e">
        <f>AND(Bills!#REF!,"AAAAAH/eff4=")</f>
        <v>#REF!</v>
      </c>
      <c r="IV145" t="e">
        <f>AND(Bills!C499,"AAAAAH/eff8=")</f>
        <v>#VALUE!</v>
      </c>
    </row>
    <row r="146" spans="1:256">
      <c r="A146" t="e">
        <f>AND(Bills!#REF!,"AAAAADmnNQA=")</f>
        <v>#REF!</v>
      </c>
      <c r="B146" t="e">
        <f>AND(Bills!#REF!,"AAAAADmnNQE=")</f>
        <v>#REF!</v>
      </c>
      <c r="C146" t="e">
        <f>AND(Bills!#REF!,"AAAAADmnNQI=")</f>
        <v>#REF!</v>
      </c>
      <c r="D146" t="e">
        <f>AND(Bills!#REF!,"AAAAADmnNQM=")</f>
        <v>#REF!</v>
      </c>
      <c r="E146" t="e">
        <f>AND(Bills!#REF!,"AAAAADmnNQQ=")</f>
        <v>#REF!</v>
      </c>
      <c r="F146" t="e">
        <f>AND(Bills!D499,"AAAAADmnNQU=")</f>
        <v>#VALUE!</v>
      </c>
      <c r="G146" t="e">
        <f>AND(Bills!#REF!,"AAAAADmnNQY=")</f>
        <v>#REF!</v>
      </c>
      <c r="H146" t="e">
        <f>AND(Bills!E499,"AAAAADmnNQc=")</f>
        <v>#VALUE!</v>
      </c>
      <c r="I146" t="e">
        <f>AND(Bills!F499,"AAAAADmnNQg=")</f>
        <v>#VALUE!</v>
      </c>
      <c r="J146" t="e">
        <f>AND(Bills!G499,"AAAAADmnNQk=")</f>
        <v>#VALUE!</v>
      </c>
      <c r="K146" t="e">
        <f>AND(Bills!H499,"AAAAADmnNQo=")</f>
        <v>#VALUE!</v>
      </c>
      <c r="L146" t="e">
        <f>AND(Bills!I499,"AAAAADmnNQs=")</f>
        <v>#VALUE!</v>
      </c>
      <c r="M146" t="e">
        <f>AND(Bills!J499,"AAAAADmnNQw=")</f>
        <v>#VALUE!</v>
      </c>
      <c r="N146" t="e">
        <f>AND(Bills!#REF!,"AAAAADmnNQ0=")</f>
        <v>#REF!</v>
      </c>
      <c r="O146" t="e">
        <f>AND(Bills!K499,"AAAAADmnNQ4=")</f>
        <v>#VALUE!</v>
      </c>
      <c r="P146" t="e">
        <f>AND(Bills!L499,"AAAAADmnNQ8=")</f>
        <v>#VALUE!</v>
      </c>
      <c r="Q146" t="e">
        <f>AND(Bills!M499,"AAAAADmnNRA=")</f>
        <v>#VALUE!</v>
      </c>
      <c r="R146" t="e">
        <f>AND(Bills!N499,"AAAAADmnNRE=")</f>
        <v>#VALUE!</v>
      </c>
      <c r="S146" t="e">
        <f>AND(Bills!O499,"AAAAADmnNRI=")</f>
        <v>#VALUE!</v>
      </c>
      <c r="T146" t="e">
        <f>AND(Bills!P499,"AAAAADmnNRM=")</f>
        <v>#VALUE!</v>
      </c>
      <c r="U146" t="e">
        <f>AND(Bills!Q499,"AAAAADmnNRQ=")</f>
        <v>#VALUE!</v>
      </c>
      <c r="V146" t="e">
        <f>AND(Bills!R499,"AAAAADmnNRU=")</f>
        <v>#VALUE!</v>
      </c>
      <c r="W146" t="e">
        <f>AND(Bills!#REF!,"AAAAADmnNRY=")</f>
        <v>#REF!</v>
      </c>
      <c r="X146" t="e">
        <f>AND(Bills!S499,"AAAAADmnNRc=")</f>
        <v>#VALUE!</v>
      </c>
      <c r="Y146" t="e">
        <f>AND(Bills!T499,"AAAAADmnNRg=")</f>
        <v>#VALUE!</v>
      </c>
      <c r="Z146" t="e">
        <f>AND(Bills!U499,"AAAAADmnNRk=")</f>
        <v>#VALUE!</v>
      </c>
      <c r="AA146" t="e">
        <f>AND(Bills!#REF!,"AAAAADmnNRo=")</f>
        <v>#REF!</v>
      </c>
      <c r="AB146" t="e">
        <f>AND(Bills!#REF!,"AAAAADmnNRs=")</f>
        <v>#REF!</v>
      </c>
      <c r="AC146" t="e">
        <f>AND(Bills!W499,"AAAAADmnNRw=")</f>
        <v>#VALUE!</v>
      </c>
      <c r="AD146" t="e">
        <f>AND(Bills!X499,"AAAAADmnNR0=")</f>
        <v>#VALUE!</v>
      </c>
      <c r="AE146" t="e">
        <f>AND(Bills!#REF!,"AAAAADmnNR4=")</f>
        <v>#REF!</v>
      </c>
      <c r="AF146" t="e">
        <f>AND(Bills!#REF!,"AAAAADmnNR8=")</f>
        <v>#REF!</v>
      </c>
      <c r="AG146" t="e">
        <f>AND(Bills!#REF!,"AAAAADmnNSA=")</f>
        <v>#REF!</v>
      </c>
      <c r="AH146" t="e">
        <f>AND(Bills!#REF!,"AAAAADmnNSE=")</f>
        <v>#REF!</v>
      </c>
      <c r="AI146" t="e">
        <f>AND(Bills!#REF!,"AAAAADmnNSI=")</f>
        <v>#REF!</v>
      </c>
      <c r="AJ146" t="e">
        <f>AND(Bills!#REF!,"AAAAADmnNSM=")</f>
        <v>#REF!</v>
      </c>
      <c r="AK146" t="e">
        <f>AND(Bills!#REF!,"AAAAADmnNSQ=")</f>
        <v>#REF!</v>
      </c>
      <c r="AL146" t="e">
        <f>AND(Bills!#REF!,"AAAAADmnNSU=")</f>
        <v>#REF!</v>
      </c>
      <c r="AM146" t="e">
        <f>AND(Bills!#REF!,"AAAAADmnNSY=")</f>
        <v>#REF!</v>
      </c>
      <c r="AN146" t="e">
        <f>AND(Bills!Y499,"AAAAADmnNSc=")</f>
        <v>#VALUE!</v>
      </c>
      <c r="AO146" t="e">
        <f>AND(Bills!Z499,"AAAAADmnNSg=")</f>
        <v>#VALUE!</v>
      </c>
      <c r="AP146" t="e">
        <f>AND(Bills!#REF!,"AAAAADmnNSk=")</f>
        <v>#REF!</v>
      </c>
      <c r="AQ146" t="e">
        <f>AND(Bills!#REF!,"AAAAADmnNSo=")</f>
        <v>#REF!</v>
      </c>
      <c r="AR146" t="e">
        <f>AND(Bills!#REF!,"AAAAADmnNSs=")</f>
        <v>#REF!</v>
      </c>
      <c r="AS146" t="e">
        <f>AND(Bills!AA499,"AAAAADmnNSw=")</f>
        <v>#VALUE!</v>
      </c>
      <c r="AT146" t="e">
        <f>AND(Bills!AB499,"AAAAADmnNS0=")</f>
        <v>#VALUE!</v>
      </c>
      <c r="AU146" t="e">
        <f>AND(Bills!#REF!,"AAAAADmnNS4=")</f>
        <v>#REF!</v>
      </c>
      <c r="AV146">
        <f>IF(Bills!500:500,"AAAAADmnNS8=",0)</f>
        <v>0</v>
      </c>
      <c r="AW146" t="e">
        <f>AND(Bills!B500,"AAAAADmnNTA=")</f>
        <v>#VALUE!</v>
      </c>
      <c r="AX146" t="e">
        <f>AND(Bills!#REF!,"AAAAADmnNTE=")</f>
        <v>#REF!</v>
      </c>
      <c r="AY146" t="e">
        <f>AND(Bills!C500,"AAAAADmnNTI=")</f>
        <v>#VALUE!</v>
      </c>
      <c r="AZ146" t="e">
        <f>AND(Bills!#REF!,"AAAAADmnNTM=")</f>
        <v>#REF!</v>
      </c>
      <c r="BA146" t="e">
        <f>AND(Bills!#REF!,"AAAAADmnNTQ=")</f>
        <v>#REF!</v>
      </c>
      <c r="BB146" t="e">
        <f>AND(Bills!#REF!,"AAAAADmnNTU=")</f>
        <v>#REF!</v>
      </c>
      <c r="BC146" t="e">
        <f>AND(Bills!#REF!,"AAAAADmnNTY=")</f>
        <v>#REF!</v>
      </c>
      <c r="BD146" t="e">
        <f>AND(Bills!#REF!,"AAAAADmnNTc=")</f>
        <v>#REF!</v>
      </c>
      <c r="BE146" t="e">
        <f>AND(Bills!D500,"AAAAADmnNTg=")</f>
        <v>#VALUE!</v>
      </c>
      <c r="BF146" t="e">
        <f>AND(Bills!#REF!,"AAAAADmnNTk=")</f>
        <v>#REF!</v>
      </c>
      <c r="BG146" t="e">
        <f>AND(Bills!E500,"AAAAADmnNTo=")</f>
        <v>#VALUE!</v>
      </c>
      <c r="BH146" t="e">
        <f>AND(Bills!F500,"AAAAADmnNTs=")</f>
        <v>#VALUE!</v>
      </c>
      <c r="BI146" t="e">
        <f>AND(Bills!G500,"AAAAADmnNTw=")</f>
        <v>#VALUE!</v>
      </c>
      <c r="BJ146" t="e">
        <f>AND(Bills!H500,"AAAAADmnNT0=")</f>
        <v>#VALUE!</v>
      </c>
      <c r="BK146" t="e">
        <f>AND(Bills!I500,"AAAAADmnNT4=")</f>
        <v>#VALUE!</v>
      </c>
      <c r="BL146" t="e">
        <f>AND(Bills!J500,"AAAAADmnNT8=")</f>
        <v>#VALUE!</v>
      </c>
      <c r="BM146" t="e">
        <f>AND(Bills!#REF!,"AAAAADmnNUA=")</f>
        <v>#REF!</v>
      </c>
      <c r="BN146" t="e">
        <f>AND(Bills!K500,"AAAAADmnNUE=")</f>
        <v>#VALUE!</v>
      </c>
      <c r="BO146" t="e">
        <f>AND(Bills!L500,"AAAAADmnNUI=")</f>
        <v>#VALUE!</v>
      </c>
      <c r="BP146" t="e">
        <f>AND(Bills!M500,"AAAAADmnNUM=")</f>
        <v>#VALUE!</v>
      </c>
      <c r="BQ146" t="e">
        <f>AND(Bills!N500,"AAAAADmnNUQ=")</f>
        <v>#VALUE!</v>
      </c>
      <c r="BR146" t="e">
        <f>AND(Bills!O500,"AAAAADmnNUU=")</f>
        <v>#VALUE!</v>
      </c>
      <c r="BS146" t="e">
        <f>AND(Bills!P500,"AAAAADmnNUY=")</f>
        <v>#VALUE!</v>
      </c>
      <c r="BT146" t="e">
        <f>AND(Bills!Q500,"AAAAADmnNUc=")</f>
        <v>#VALUE!</v>
      </c>
      <c r="BU146" t="e">
        <f>AND(Bills!R500,"AAAAADmnNUg=")</f>
        <v>#VALUE!</v>
      </c>
      <c r="BV146" t="e">
        <f>AND(Bills!#REF!,"AAAAADmnNUk=")</f>
        <v>#REF!</v>
      </c>
      <c r="BW146" t="e">
        <f>AND(Bills!S500,"AAAAADmnNUo=")</f>
        <v>#VALUE!</v>
      </c>
      <c r="BX146" t="e">
        <f>AND(Bills!T500,"AAAAADmnNUs=")</f>
        <v>#VALUE!</v>
      </c>
      <c r="BY146" t="e">
        <f>AND(Bills!U500,"AAAAADmnNUw=")</f>
        <v>#VALUE!</v>
      </c>
      <c r="BZ146" t="e">
        <f>AND(Bills!#REF!,"AAAAADmnNU0=")</f>
        <v>#REF!</v>
      </c>
      <c r="CA146" t="e">
        <f>AND(Bills!#REF!,"AAAAADmnNU4=")</f>
        <v>#REF!</v>
      </c>
      <c r="CB146" t="e">
        <f>AND(Bills!W500,"AAAAADmnNU8=")</f>
        <v>#VALUE!</v>
      </c>
      <c r="CC146" t="e">
        <f>AND(Bills!X500,"AAAAADmnNVA=")</f>
        <v>#VALUE!</v>
      </c>
      <c r="CD146" t="e">
        <f>AND(Bills!#REF!,"AAAAADmnNVE=")</f>
        <v>#REF!</v>
      </c>
      <c r="CE146" t="e">
        <f>AND(Bills!#REF!,"AAAAADmnNVI=")</f>
        <v>#REF!</v>
      </c>
      <c r="CF146" t="e">
        <f>AND(Bills!#REF!,"AAAAADmnNVM=")</f>
        <v>#REF!</v>
      </c>
      <c r="CG146" t="e">
        <f>AND(Bills!#REF!,"AAAAADmnNVQ=")</f>
        <v>#REF!</v>
      </c>
      <c r="CH146" t="e">
        <f>AND(Bills!#REF!,"AAAAADmnNVU=")</f>
        <v>#REF!</v>
      </c>
      <c r="CI146" t="e">
        <f>AND(Bills!#REF!,"AAAAADmnNVY=")</f>
        <v>#REF!</v>
      </c>
      <c r="CJ146" t="e">
        <f>AND(Bills!#REF!,"AAAAADmnNVc=")</f>
        <v>#REF!</v>
      </c>
      <c r="CK146" t="e">
        <f>AND(Bills!#REF!,"AAAAADmnNVg=")</f>
        <v>#REF!</v>
      </c>
      <c r="CL146" t="e">
        <f>AND(Bills!#REF!,"AAAAADmnNVk=")</f>
        <v>#REF!</v>
      </c>
      <c r="CM146" t="e">
        <f>AND(Bills!Y500,"AAAAADmnNVo=")</f>
        <v>#VALUE!</v>
      </c>
      <c r="CN146" t="e">
        <f>AND(Bills!Z500,"AAAAADmnNVs=")</f>
        <v>#VALUE!</v>
      </c>
      <c r="CO146" t="e">
        <f>AND(Bills!#REF!,"AAAAADmnNVw=")</f>
        <v>#REF!</v>
      </c>
      <c r="CP146" t="e">
        <f>AND(Bills!#REF!,"AAAAADmnNV0=")</f>
        <v>#REF!</v>
      </c>
      <c r="CQ146" t="e">
        <f>AND(Bills!#REF!,"AAAAADmnNV4=")</f>
        <v>#REF!</v>
      </c>
      <c r="CR146" t="e">
        <f>AND(Bills!AA500,"AAAAADmnNV8=")</f>
        <v>#VALUE!</v>
      </c>
      <c r="CS146" t="e">
        <f>AND(Bills!AB500,"AAAAADmnNWA=")</f>
        <v>#VALUE!</v>
      </c>
      <c r="CT146" t="e">
        <f>AND(Bills!#REF!,"AAAAADmnNWE=")</f>
        <v>#REF!</v>
      </c>
      <c r="CU146">
        <f>IF(Bills!501:501,"AAAAADmnNWI=",0)</f>
        <v>0</v>
      </c>
      <c r="CV146" t="e">
        <f>AND(Bills!B501,"AAAAADmnNWM=")</f>
        <v>#VALUE!</v>
      </c>
      <c r="CW146" t="e">
        <f>AND(Bills!#REF!,"AAAAADmnNWQ=")</f>
        <v>#REF!</v>
      </c>
      <c r="CX146" t="e">
        <f>AND(Bills!C501,"AAAAADmnNWU=")</f>
        <v>#VALUE!</v>
      </c>
      <c r="CY146" t="e">
        <f>AND(Bills!#REF!,"AAAAADmnNWY=")</f>
        <v>#REF!</v>
      </c>
      <c r="CZ146" t="e">
        <f>AND(Bills!#REF!,"AAAAADmnNWc=")</f>
        <v>#REF!</v>
      </c>
      <c r="DA146" t="e">
        <f>AND(Bills!#REF!,"AAAAADmnNWg=")</f>
        <v>#REF!</v>
      </c>
      <c r="DB146" t="e">
        <f>AND(Bills!#REF!,"AAAAADmnNWk=")</f>
        <v>#REF!</v>
      </c>
      <c r="DC146" t="e">
        <f>AND(Bills!#REF!,"AAAAADmnNWo=")</f>
        <v>#REF!</v>
      </c>
      <c r="DD146" t="e">
        <f>AND(Bills!D501,"AAAAADmnNWs=")</f>
        <v>#VALUE!</v>
      </c>
      <c r="DE146" t="e">
        <f>AND(Bills!#REF!,"AAAAADmnNWw=")</f>
        <v>#REF!</v>
      </c>
      <c r="DF146" t="e">
        <f>AND(Bills!E501,"AAAAADmnNW0=")</f>
        <v>#VALUE!</v>
      </c>
      <c r="DG146" t="e">
        <f>AND(Bills!F501,"AAAAADmnNW4=")</f>
        <v>#VALUE!</v>
      </c>
      <c r="DH146" t="e">
        <f>AND(Bills!G501,"AAAAADmnNW8=")</f>
        <v>#VALUE!</v>
      </c>
      <c r="DI146" t="e">
        <f>AND(Bills!H501,"AAAAADmnNXA=")</f>
        <v>#VALUE!</v>
      </c>
      <c r="DJ146" t="e">
        <f>AND(Bills!I501,"AAAAADmnNXE=")</f>
        <v>#VALUE!</v>
      </c>
      <c r="DK146" t="e">
        <f>AND(Bills!J501,"AAAAADmnNXI=")</f>
        <v>#VALUE!</v>
      </c>
      <c r="DL146" t="e">
        <f>AND(Bills!#REF!,"AAAAADmnNXM=")</f>
        <v>#REF!</v>
      </c>
      <c r="DM146" t="e">
        <f>AND(Bills!K501,"AAAAADmnNXQ=")</f>
        <v>#VALUE!</v>
      </c>
      <c r="DN146" t="e">
        <f>AND(Bills!L501,"AAAAADmnNXU=")</f>
        <v>#VALUE!</v>
      </c>
      <c r="DO146" t="e">
        <f>AND(Bills!M501,"AAAAADmnNXY=")</f>
        <v>#VALUE!</v>
      </c>
      <c r="DP146" t="e">
        <f>AND(Bills!N501,"AAAAADmnNXc=")</f>
        <v>#VALUE!</v>
      </c>
      <c r="DQ146" t="e">
        <f>AND(Bills!O501,"AAAAADmnNXg=")</f>
        <v>#VALUE!</v>
      </c>
      <c r="DR146" t="e">
        <f>AND(Bills!P501,"AAAAADmnNXk=")</f>
        <v>#VALUE!</v>
      </c>
      <c r="DS146" t="e">
        <f>AND(Bills!Q501,"AAAAADmnNXo=")</f>
        <v>#VALUE!</v>
      </c>
      <c r="DT146" t="e">
        <f>AND(Bills!R501,"AAAAADmnNXs=")</f>
        <v>#VALUE!</v>
      </c>
      <c r="DU146" t="e">
        <f>AND(Bills!#REF!,"AAAAADmnNXw=")</f>
        <v>#REF!</v>
      </c>
      <c r="DV146" t="e">
        <f>AND(Bills!S501,"AAAAADmnNX0=")</f>
        <v>#VALUE!</v>
      </c>
      <c r="DW146" t="e">
        <f>AND(Bills!T501,"AAAAADmnNX4=")</f>
        <v>#VALUE!</v>
      </c>
      <c r="DX146" t="e">
        <f>AND(Bills!U501,"AAAAADmnNX8=")</f>
        <v>#VALUE!</v>
      </c>
      <c r="DY146" t="e">
        <f>AND(Bills!#REF!,"AAAAADmnNYA=")</f>
        <v>#REF!</v>
      </c>
      <c r="DZ146" t="e">
        <f>AND(Bills!#REF!,"AAAAADmnNYE=")</f>
        <v>#REF!</v>
      </c>
      <c r="EA146" t="e">
        <f>AND(Bills!W501,"AAAAADmnNYI=")</f>
        <v>#VALUE!</v>
      </c>
      <c r="EB146" t="e">
        <f>AND(Bills!X501,"AAAAADmnNYM=")</f>
        <v>#VALUE!</v>
      </c>
      <c r="EC146" t="e">
        <f>AND(Bills!#REF!,"AAAAADmnNYQ=")</f>
        <v>#REF!</v>
      </c>
      <c r="ED146" t="e">
        <f>AND(Bills!#REF!,"AAAAADmnNYU=")</f>
        <v>#REF!</v>
      </c>
      <c r="EE146" t="e">
        <f>AND(Bills!#REF!,"AAAAADmnNYY=")</f>
        <v>#REF!</v>
      </c>
      <c r="EF146" t="e">
        <f>AND(Bills!#REF!,"AAAAADmnNYc=")</f>
        <v>#REF!</v>
      </c>
      <c r="EG146" t="e">
        <f>AND(Bills!#REF!,"AAAAADmnNYg=")</f>
        <v>#REF!</v>
      </c>
      <c r="EH146" t="e">
        <f>AND(Bills!#REF!,"AAAAADmnNYk=")</f>
        <v>#REF!</v>
      </c>
      <c r="EI146" t="e">
        <f>AND(Bills!#REF!,"AAAAADmnNYo=")</f>
        <v>#REF!</v>
      </c>
      <c r="EJ146" t="e">
        <f>AND(Bills!#REF!,"AAAAADmnNYs=")</f>
        <v>#REF!</v>
      </c>
      <c r="EK146" t="e">
        <f>AND(Bills!#REF!,"AAAAADmnNYw=")</f>
        <v>#REF!</v>
      </c>
      <c r="EL146" t="e">
        <f>AND(Bills!Y501,"AAAAADmnNY0=")</f>
        <v>#VALUE!</v>
      </c>
      <c r="EM146" t="e">
        <f>AND(Bills!Z501,"AAAAADmnNY4=")</f>
        <v>#VALUE!</v>
      </c>
      <c r="EN146" t="e">
        <f>AND(Bills!#REF!,"AAAAADmnNY8=")</f>
        <v>#REF!</v>
      </c>
      <c r="EO146" t="e">
        <f>AND(Bills!#REF!,"AAAAADmnNZA=")</f>
        <v>#REF!</v>
      </c>
      <c r="EP146" t="e">
        <f>AND(Bills!#REF!,"AAAAADmnNZE=")</f>
        <v>#REF!</v>
      </c>
      <c r="EQ146" t="e">
        <f>AND(Bills!AA501,"AAAAADmnNZI=")</f>
        <v>#VALUE!</v>
      </c>
      <c r="ER146" t="e">
        <f>AND(Bills!AB501,"AAAAADmnNZM=")</f>
        <v>#VALUE!</v>
      </c>
      <c r="ES146" t="e">
        <f>AND(Bills!#REF!,"AAAAADmnNZQ=")</f>
        <v>#REF!</v>
      </c>
      <c r="ET146">
        <f>IF(Bills!502:502,"AAAAADmnNZU=",0)</f>
        <v>0</v>
      </c>
      <c r="EU146" t="e">
        <f>AND(Bills!B502,"AAAAADmnNZY=")</f>
        <v>#VALUE!</v>
      </c>
      <c r="EV146" t="e">
        <f>AND(Bills!#REF!,"AAAAADmnNZc=")</f>
        <v>#REF!</v>
      </c>
      <c r="EW146" t="e">
        <f>AND(Bills!C502,"AAAAADmnNZg=")</f>
        <v>#VALUE!</v>
      </c>
      <c r="EX146" t="e">
        <f>AND(Bills!#REF!,"AAAAADmnNZk=")</f>
        <v>#REF!</v>
      </c>
      <c r="EY146" t="e">
        <f>AND(Bills!#REF!,"AAAAADmnNZo=")</f>
        <v>#REF!</v>
      </c>
      <c r="EZ146" t="e">
        <f>AND(Bills!#REF!,"AAAAADmnNZs=")</f>
        <v>#REF!</v>
      </c>
      <c r="FA146" t="e">
        <f>AND(Bills!#REF!,"AAAAADmnNZw=")</f>
        <v>#REF!</v>
      </c>
      <c r="FB146" t="e">
        <f>AND(Bills!#REF!,"AAAAADmnNZ0=")</f>
        <v>#REF!</v>
      </c>
      <c r="FC146" t="e">
        <f>AND(Bills!D502,"AAAAADmnNZ4=")</f>
        <v>#VALUE!</v>
      </c>
      <c r="FD146" t="e">
        <f>AND(Bills!#REF!,"AAAAADmnNZ8=")</f>
        <v>#REF!</v>
      </c>
      <c r="FE146" t="e">
        <f>AND(Bills!E502,"AAAAADmnNaA=")</f>
        <v>#VALUE!</v>
      </c>
      <c r="FF146" t="e">
        <f>AND(Bills!F502,"AAAAADmnNaE=")</f>
        <v>#VALUE!</v>
      </c>
      <c r="FG146" t="e">
        <f>AND(Bills!G502,"AAAAADmnNaI=")</f>
        <v>#VALUE!</v>
      </c>
      <c r="FH146" t="e">
        <f>AND(Bills!H502,"AAAAADmnNaM=")</f>
        <v>#VALUE!</v>
      </c>
      <c r="FI146" t="e">
        <f>AND(Bills!I502,"AAAAADmnNaQ=")</f>
        <v>#VALUE!</v>
      </c>
      <c r="FJ146" t="e">
        <f>AND(Bills!J502,"AAAAADmnNaU=")</f>
        <v>#VALUE!</v>
      </c>
      <c r="FK146" t="e">
        <f>AND(Bills!#REF!,"AAAAADmnNaY=")</f>
        <v>#REF!</v>
      </c>
      <c r="FL146" t="e">
        <f>AND(Bills!K502,"AAAAADmnNac=")</f>
        <v>#VALUE!</v>
      </c>
      <c r="FM146" t="e">
        <f>AND(Bills!L502,"AAAAADmnNag=")</f>
        <v>#VALUE!</v>
      </c>
      <c r="FN146" t="e">
        <f>AND(Bills!M502,"AAAAADmnNak=")</f>
        <v>#VALUE!</v>
      </c>
      <c r="FO146" t="e">
        <f>AND(Bills!N502,"AAAAADmnNao=")</f>
        <v>#VALUE!</v>
      </c>
      <c r="FP146" t="e">
        <f>AND(Bills!O502,"AAAAADmnNas=")</f>
        <v>#VALUE!</v>
      </c>
      <c r="FQ146" t="e">
        <f>AND(Bills!P502,"AAAAADmnNaw=")</f>
        <v>#VALUE!</v>
      </c>
      <c r="FR146" t="e">
        <f>AND(Bills!Q502,"AAAAADmnNa0=")</f>
        <v>#VALUE!</v>
      </c>
      <c r="FS146" t="e">
        <f>AND(Bills!R502,"AAAAADmnNa4=")</f>
        <v>#VALUE!</v>
      </c>
      <c r="FT146" t="e">
        <f>AND(Bills!#REF!,"AAAAADmnNa8=")</f>
        <v>#REF!</v>
      </c>
      <c r="FU146" t="e">
        <f>AND(Bills!S502,"AAAAADmnNbA=")</f>
        <v>#VALUE!</v>
      </c>
      <c r="FV146" t="e">
        <f>AND(Bills!T502,"AAAAADmnNbE=")</f>
        <v>#VALUE!</v>
      </c>
      <c r="FW146" t="e">
        <f>AND(Bills!U502,"AAAAADmnNbI=")</f>
        <v>#VALUE!</v>
      </c>
      <c r="FX146" t="e">
        <f>AND(Bills!#REF!,"AAAAADmnNbM=")</f>
        <v>#REF!</v>
      </c>
      <c r="FY146" t="e">
        <f>AND(Bills!#REF!,"AAAAADmnNbQ=")</f>
        <v>#REF!</v>
      </c>
      <c r="FZ146" t="e">
        <f>AND(Bills!W502,"AAAAADmnNbU=")</f>
        <v>#VALUE!</v>
      </c>
      <c r="GA146" t="e">
        <f>AND(Bills!X502,"AAAAADmnNbY=")</f>
        <v>#VALUE!</v>
      </c>
      <c r="GB146" t="e">
        <f>AND(Bills!#REF!,"AAAAADmnNbc=")</f>
        <v>#REF!</v>
      </c>
      <c r="GC146" t="e">
        <f>AND(Bills!#REF!,"AAAAADmnNbg=")</f>
        <v>#REF!</v>
      </c>
      <c r="GD146" t="e">
        <f>AND(Bills!#REF!,"AAAAADmnNbk=")</f>
        <v>#REF!</v>
      </c>
      <c r="GE146" t="e">
        <f>AND(Bills!#REF!,"AAAAADmnNbo=")</f>
        <v>#REF!</v>
      </c>
      <c r="GF146" t="e">
        <f>AND(Bills!#REF!,"AAAAADmnNbs=")</f>
        <v>#REF!</v>
      </c>
      <c r="GG146" t="e">
        <f>AND(Bills!#REF!,"AAAAADmnNbw=")</f>
        <v>#REF!</v>
      </c>
      <c r="GH146" t="e">
        <f>AND(Bills!#REF!,"AAAAADmnNb0=")</f>
        <v>#REF!</v>
      </c>
      <c r="GI146" t="e">
        <f>AND(Bills!#REF!,"AAAAADmnNb4=")</f>
        <v>#REF!</v>
      </c>
      <c r="GJ146" t="e">
        <f>AND(Bills!#REF!,"AAAAADmnNb8=")</f>
        <v>#REF!</v>
      </c>
      <c r="GK146" t="e">
        <f>AND(Bills!Y502,"AAAAADmnNcA=")</f>
        <v>#VALUE!</v>
      </c>
      <c r="GL146" t="e">
        <f>AND(Bills!Z502,"AAAAADmnNcE=")</f>
        <v>#VALUE!</v>
      </c>
      <c r="GM146" t="e">
        <f>AND(Bills!#REF!,"AAAAADmnNcI=")</f>
        <v>#REF!</v>
      </c>
      <c r="GN146" t="e">
        <f>AND(Bills!#REF!,"AAAAADmnNcM=")</f>
        <v>#REF!</v>
      </c>
      <c r="GO146" t="e">
        <f>AND(Bills!#REF!,"AAAAADmnNcQ=")</f>
        <v>#REF!</v>
      </c>
      <c r="GP146" t="e">
        <f>AND(Bills!AA502,"AAAAADmnNcU=")</f>
        <v>#VALUE!</v>
      </c>
      <c r="GQ146" t="e">
        <f>AND(Bills!AB502,"AAAAADmnNcY=")</f>
        <v>#VALUE!</v>
      </c>
      <c r="GR146" t="e">
        <f>AND(Bills!#REF!,"AAAAADmnNcc=")</f>
        <v>#REF!</v>
      </c>
      <c r="GS146">
        <f>IF(Bills!503:503,"AAAAADmnNcg=",0)</f>
        <v>0</v>
      </c>
      <c r="GT146" t="e">
        <f>AND(Bills!B503,"AAAAADmnNck=")</f>
        <v>#VALUE!</v>
      </c>
      <c r="GU146" t="e">
        <f>AND(Bills!#REF!,"AAAAADmnNco=")</f>
        <v>#REF!</v>
      </c>
      <c r="GV146" t="e">
        <f>AND(Bills!C503,"AAAAADmnNcs=")</f>
        <v>#VALUE!</v>
      </c>
      <c r="GW146" t="e">
        <f>AND(Bills!#REF!,"AAAAADmnNcw=")</f>
        <v>#REF!</v>
      </c>
      <c r="GX146" t="e">
        <f>AND(Bills!#REF!,"AAAAADmnNc0=")</f>
        <v>#REF!</v>
      </c>
      <c r="GY146" t="e">
        <f>AND(Bills!#REF!,"AAAAADmnNc4=")</f>
        <v>#REF!</v>
      </c>
      <c r="GZ146" t="e">
        <f>AND(Bills!#REF!,"AAAAADmnNc8=")</f>
        <v>#REF!</v>
      </c>
      <c r="HA146" t="e">
        <f>AND(Bills!#REF!,"AAAAADmnNdA=")</f>
        <v>#REF!</v>
      </c>
      <c r="HB146" t="e">
        <f>AND(Bills!D503,"AAAAADmnNdE=")</f>
        <v>#VALUE!</v>
      </c>
      <c r="HC146" t="e">
        <f>AND(Bills!#REF!,"AAAAADmnNdI=")</f>
        <v>#REF!</v>
      </c>
      <c r="HD146" t="e">
        <f>AND(Bills!E503,"AAAAADmnNdM=")</f>
        <v>#VALUE!</v>
      </c>
      <c r="HE146" t="e">
        <f>AND(Bills!F503,"AAAAADmnNdQ=")</f>
        <v>#VALUE!</v>
      </c>
      <c r="HF146" t="e">
        <f>AND(Bills!G503,"AAAAADmnNdU=")</f>
        <v>#VALUE!</v>
      </c>
      <c r="HG146" t="e">
        <f>AND(Bills!H503,"AAAAADmnNdY=")</f>
        <v>#VALUE!</v>
      </c>
      <c r="HH146" t="e">
        <f>AND(Bills!I503,"AAAAADmnNdc=")</f>
        <v>#VALUE!</v>
      </c>
      <c r="HI146" t="e">
        <f>AND(Bills!J503,"AAAAADmnNdg=")</f>
        <v>#VALUE!</v>
      </c>
      <c r="HJ146" t="e">
        <f>AND(Bills!#REF!,"AAAAADmnNdk=")</f>
        <v>#REF!</v>
      </c>
      <c r="HK146" t="e">
        <f>AND(Bills!K503,"AAAAADmnNdo=")</f>
        <v>#VALUE!</v>
      </c>
      <c r="HL146" t="e">
        <f>AND(Bills!L503,"AAAAADmnNds=")</f>
        <v>#VALUE!</v>
      </c>
      <c r="HM146" t="e">
        <f>AND(Bills!M503,"AAAAADmnNdw=")</f>
        <v>#VALUE!</v>
      </c>
      <c r="HN146" t="e">
        <f>AND(Bills!N503,"AAAAADmnNd0=")</f>
        <v>#VALUE!</v>
      </c>
      <c r="HO146" t="e">
        <f>AND(Bills!O503,"AAAAADmnNd4=")</f>
        <v>#VALUE!</v>
      </c>
      <c r="HP146" t="e">
        <f>AND(Bills!P503,"AAAAADmnNd8=")</f>
        <v>#VALUE!</v>
      </c>
      <c r="HQ146" t="e">
        <f>AND(Bills!Q503,"AAAAADmnNeA=")</f>
        <v>#VALUE!</v>
      </c>
      <c r="HR146" t="e">
        <f>AND(Bills!R503,"AAAAADmnNeE=")</f>
        <v>#VALUE!</v>
      </c>
      <c r="HS146" t="e">
        <f>AND(Bills!#REF!,"AAAAADmnNeI=")</f>
        <v>#REF!</v>
      </c>
      <c r="HT146" t="e">
        <f>AND(Bills!S503,"AAAAADmnNeM=")</f>
        <v>#VALUE!</v>
      </c>
      <c r="HU146" t="e">
        <f>AND(Bills!T503,"AAAAADmnNeQ=")</f>
        <v>#VALUE!</v>
      </c>
      <c r="HV146" t="e">
        <f>AND(Bills!U503,"AAAAADmnNeU=")</f>
        <v>#VALUE!</v>
      </c>
      <c r="HW146" t="e">
        <f>AND(Bills!#REF!,"AAAAADmnNeY=")</f>
        <v>#REF!</v>
      </c>
      <c r="HX146" t="e">
        <f>AND(Bills!#REF!,"AAAAADmnNec=")</f>
        <v>#REF!</v>
      </c>
      <c r="HY146" t="e">
        <f>AND(Bills!W503,"AAAAADmnNeg=")</f>
        <v>#VALUE!</v>
      </c>
      <c r="HZ146" t="e">
        <f>AND(Bills!X503,"AAAAADmnNek=")</f>
        <v>#VALUE!</v>
      </c>
      <c r="IA146" t="e">
        <f>AND(Bills!#REF!,"AAAAADmnNeo=")</f>
        <v>#REF!</v>
      </c>
      <c r="IB146" t="e">
        <f>AND(Bills!#REF!,"AAAAADmnNes=")</f>
        <v>#REF!</v>
      </c>
      <c r="IC146" t="e">
        <f>AND(Bills!#REF!,"AAAAADmnNew=")</f>
        <v>#REF!</v>
      </c>
      <c r="ID146" t="e">
        <f>AND(Bills!#REF!,"AAAAADmnNe0=")</f>
        <v>#REF!</v>
      </c>
      <c r="IE146" t="e">
        <f>AND(Bills!#REF!,"AAAAADmnNe4=")</f>
        <v>#REF!</v>
      </c>
      <c r="IF146" t="e">
        <f>AND(Bills!#REF!,"AAAAADmnNe8=")</f>
        <v>#REF!</v>
      </c>
      <c r="IG146" t="e">
        <f>AND(Bills!#REF!,"AAAAADmnNfA=")</f>
        <v>#REF!</v>
      </c>
      <c r="IH146" t="e">
        <f>AND(Bills!#REF!,"AAAAADmnNfE=")</f>
        <v>#REF!</v>
      </c>
      <c r="II146" t="e">
        <f>AND(Bills!#REF!,"AAAAADmnNfI=")</f>
        <v>#REF!</v>
      </c>
      <c r="IJ146" t="e">
        <f>AND(Bills!Y503,"AAAAADmnNfM=")</f>
        <v>#VALUE!</v>
      </c>
      <c r="IK146" t="e">
        <f>AND(Bills!Z503,"AAAAADmnNfQ=")</f>
        <v>#VALUE!</v>
      </c>
      <c r="IL146" t="e">
        <f>AND(Bills!#REF!,"AAAAADmnNfU=")</f>
        <v>#REF!</v>
      </c>
      <c r="IM146" t="e">
        <f>AND(Bills!#REF!,"AAAAADmnNfY=")</f>
        <v>#REF!</v>
      </c>
      <c r="IN146" t="e">
        <f>AND(Bills!#REF!,"AAAAADmnNfc=")</f>
        <v>#REF!</v>
      </c>
      <c r="IO146" t="e">
        <f>AND(Bills!AA503,"AAAAADmnNfg=")</f>
        <v>#VALUE!</v>
      </c>
      <c r="IP146" t="e">
        <f>AND(Bills!AB503,"AAAAADmnNfk=")</f>
        <v>#VALUE!</v>
      </c>
      <c r="IQ146" t="e">
        <f>AND(Bills!#REF!,"AAAAADmnNfo=")</f>
        <v>#REF!</v>
      </c>
      <c r="IR146">
        <f>IF(Bills!504:504,"AAAAADmnNfs=",0)</f>
        <v>0</v>
      </c>
      <c r="IS146" t="e">
        <f>AND(Bills!B504,"AAAAADmnNfw=")</f>
        <v>#VALUE!</v>
      </c>
      <c r="IT146" t="e">
        <f>AND(Bills!#REF!,"AAAAADmnNf0=")</f>
        <v>#REF!</v>
      </c>
      <c r="IU146" t="e">
        <f>AND(Bills!C504,"AAAAADmnNf4=")</f>
        <v>#VALUE!</v>
      </c>
      <c r="IV146" t="e">
        <f>AND(Bills!#REF!,"AAAAADmnNf8=")</f>
        <v>#REF!</v>
      </c>
    </row>
    <row r="147" spans="1:256">
      <c r="A147" t="e">
        <f>AND(Bills!#REF!,"AAAAAGzM+QA=")</f>
        <v>#REF!</v>
      </c>
      <c r="B147" t="e">
        <f>AND(Bills!#REF!,"AAAAAGzM+QE=")</f>
        <v>#REF!</v>
      </c>
      <c r="C147" t="e">
        <f>AND(Bills!#REF!,"AAAAAGzM+QI=")</f>
        <v>#REF!</v>
      </c>
      <c r="D147" t="e">
        <f>AND(Bills!#REF!,"AAAAAGzM+QM=")</f>
        <v>#REF!</v>
      </c>
      <c r="E147" t="e">
        <f>AND(Bills!D504,"AAAAAGzM+QQ=")</f>
        <v>#VALUE!</v>
      </c>
      <c r="F147" t="e">
        <f>AND(Bills!#REF!,"AAAAAGzM+QU=")</f>
        <v>#REF!</v>
      </c>
      <c r="G147" t="e">
        <f>AND(Bills!E504,"AAAAAGzM+QY=")</f>
        <v>#VALUE!</v>
      </c>
      <c r="H147" t="e">
        <f>AND(Bills!F504,"AAAAAGzM+Qc=")</f>
        <v>#VALUE!</v>
      </c>
      <c r="I147" t="e">
        <f>AND(Bills!G504,"AAAAAGzM+Qg=")</f>
        <v>#VALUE!</v>
      </c>
      <c r="J147" t="e">
        <f>AND(Bills!H504,"AAAAAGzM+Qk=")</f>
        <v>#VALUE!</v>
      </c>
      <c r="K147" t="e">
        <f>AND(Bills!I504,"AAAAAGzM+Qo=")</f>
        <v>#VALUE!</v>
      </c>
      <c r="L147" t="e">
        <f>AND(Bills!J504,"AAAAAGzM+Qs=")</f>
        <v>#VALUE!</v>
      </c>
      <c r="M147" t="e">
        <f>AND(Bills!#REF!,"AAAAAGzM+Qw=")</f>
        <v>#REF!</v>
      </c>
      <c r="N147" t="e">
        <f>AND(Bills!K504,"AAAAAGzM+Q0=")</f>
        <v>#VALUE!</v>
      </c>
      <c r="O147" t="e">
        <f>AND(Bills!L504,"AAAAAGzM+Q4=")</f>
        <v>#VALUE!</v>
      </c>
      <c r="P147" t="e">
        <f>AND(Bills!M504,"AAAAAGzM+Q8=")</f>
        <v>#VALUE!</v>
      </c>
      <c r="Q147" t="e">
        <f>AND(Bills!N504,"AAAAAGzM+RA=")</f>
        <v>#VALUE!</v>
      </c>
      <c r="R147" t="e">
        <f>AND(Bills!O504,"AAAAAGzM+RE=")</f>
        <v>#VALUE!</v>
      </c>
      <c r="S147" t="e">
        <f>AND(Bills!P504,"AAAAAGzM+RI=")</f>
        <v>#VALUE!</v>
      </c>
      <c r="T147" t="e">
        <f>AND(Bills!Q504,"AAAAAGzM+RM=")</f>
        <v>#VALUE!</v>
      </c>
      <c r="U147" t="e">
        <f>AND(Bills!R504,"AAAAAGzM+RQ=")</f>
        <v>#VALUE!</v>
      </c>
      <c r="V147" t="e">
        <f>AND(Bills!#REF!,"AAAAAGzM+RU=")</f>
        <v>#REF!</v>
      </c>
      <c r="W147" t="e">
        <f>AND(Bills!S504,"AAAAAGzM+RY=")</f>
        <v>#VALUE!</v>
      </c>
      <c r="X147" t="e">
        <f>AND(Bills!T504,"AAAAAGzM+Rc=")</f>
        <v>#VALUE!</v>
      </c>
      <c r="Y147" t="e">
        <f>AND(Bills!U504,"AAAAAGzM+Rg=")</f>
        <v>#VALUE!</v>
      </c>
      <c r="Z147" t="e">
        <f>AND(Bills!#REF!,"AAAAAGzM+Rk=")</f>
        <v>#REF!</v>
      </c>
      <c r="AA147" t="e">
        <f>AND(Bills!#REF!,"AAAAAGzM+Ro=")</f>
        <v>#REF!</v>
      </c>
      <c r="AB147" t="e">
        <f>AND(Bills!W504,"AAAAAGzM+Rs=")</f>
        <v>#VALUE!</v>
      </c>
      <c r="AC147" t="e">
        <f>AND(Bills!X504,"AAAAAGzM+Rw=")</f>
        <v>#VALUE!</v>
      </c>
      <c r="AD147" t="e">
        <f>AND(Bills!#REF!,"AAAAAGzM+R0=")</f>
        <v>#REF!</v>
      </c>
      <c r="AE147" t="e">
        <f>AND(Bills!#REF!,"AAAAAGzM+R4=")</f>
        <v>#REF!</v>
      </c>
      <c r="AF147" t="e">
        <f>AND(Bills!#REF!,"AAAAAGzM+R8=")</f>
        <v>#REF!</v>
      </c>
      <c r="AG147" t="e">
        <f>AND(Bills!#REF!,"AAAAAGzM+SA=")</f>
        <v>#REF!</v>
      </c>
      <c r="AH147" t="e">
        <f>AND(Bills!#REF!,"AAAAAGzM+SE=")</f>
        <v>#REF!</v>
      </c>
      <c r="AI147" t="e">
        <f>AND(Bills!#REF!,"AAAAAGzM+SI=")</f>
        <v>#REF!</v>
      </c>
      <c r="AJ147" t="e">
        <f>AND(Bills!#REF!,"AAAAAGzM+SM=")</f>
        <v>#REF!</v>
      </c>
      <c r="AK147" t="e">
        <f>AND(Bills!#REF!,"AAAAAGzM+SQ=")</f>
        <v>#REF!</v>
      </c>
      <c r="AL147" t="e">
        <f>AND(Bills!#REF!,"AAAAAGzM+SU=")</f>
        <v>#REF!</v>
      </c>
      <c r="AM147" t="e">
        <f>AND(Bills!Y504,"AAAAAGzM+SY=")</f>
        <v>#VALUE!</v>
      </c>
      <c r="AN147" t="e">
        <f>AND(Bills!Z504,"AAAAAGzM+Sc=")</f>
        <v>#VALUE!</v>
      </c>
      <c r="AO147" t="e">
        <f>AND(Bills!#REF!,"AAAAAGzM+Sg=")</f>
        <v>#REF!</v>
      </c>
      <c r="AP147" t="e">
        <f>AND(Bills!#REF!,"AAAAAGzM+Sk=")</f>
        <v>#REF!</v>
      </c>
      <c r="AQ147" t="e">
        <f>AND(Bills!#REF!,"AAAAAGzM+So=")</f>
        <v>#REF!</v>
      </c>
      <c r="AR147" t="e">
        <f>AND(Bills!AA504,"AAAAAGzM+Ss=")</f>
        <v>#VALUE!</v>
      </c>
      <c r="AS147" t="e">
        <f>AND(Bills!AB504,"AAAAAGzM+Sw=")</f>
        <v>#VALUE!</v>
      </c>
      <c r="AT147" t="e">
        <f>AND(Bills!#REF!,"AAAAAGzM+S0=")</f>
        <v>#REF!</v>
      </c>
      <c r="AU147">
        <f>IF(Bills!505:505,"AAAAAGzM+S4=",0)</f>
        <v>0</v>
      </c>
      <c r="AV147" t="e">
        <f>AND(Bills!B505,"AAAAAGzM+S8=")</f>
        <v>#VALUE!</v>
      </c>
      <c r="AW147" t="e">
        <f>AND(Bills!#REF!,"AAAAAGzM+TA=")</f>
        <v>#REF!</v>
      </c>
      <c r="AX147" t="e">
        <f>AND(Bills!C505,"AAAAAGzM+TE=")</f>
        <v>#VALUE!</v>
      </c>
      <c r="AY147" t="e">
        <f>AND(Bills!#REF!,"AAAAAGzM+TI=")</f>
        <v>#REF!</v>
      </c>
      <c r="AZ147" t="e">
        <f>AND(Bills!#REF!,"AAAAAGzM+TM=")</f>
        <v>#REF!</v>
      </c>
      <c r="BA147" t="e">
        <f>AND(Bills!#REF!,"AAAAAGzM+TQ=")</f>
        <v>#REF!</v>
      </c>
      <c r="BB147" t="e">
        <f>AND(Bills!#REF!,"AAAAAGzM+TU=")</f>
        <v>#REF!</v>
      </c>
      <c r="BC147" t="e">
        <f>AND(Bills!#REF!,"AAAAAGzM+TY=")</f>
        <v>#REF!</v>
      </c>
      <c r="BD147" t="e">
        <f>AND(Bills!D505,"AAAAAGzM+Tc=")</f>
        <v>#VALUE!</v>
      </c>
      <c r="BE147" t="e">
        <f>AND(Bills!#REF!,"AAAAAGzM+Tg=")</f>
        <v>#REF!</v>
      </c>
      <c r="BF147" t="e">
        <f>AND(Bills!E505,"AAAAAGzM+Tk=")</f>
        <v>#VALUE!</v>
      </c>
      <c r="BG147" t="e">
        <f>AND(Bills!F505,"AAAAAGzM+To=")</f>
        <v>#VALUE!</v>
      </c>
      <c r="BH147" t="e">
        <f>AND(Bills!G505,"AAAAAGzM+Ts=")</f>
        <v>#VALUE!</v>
      </c>
      <c r="BI147" t="e">
        <f>AND(Bills!H505,"AAAAAGzM+Tw=")</f>
        <v>#VALUE!</v>
      </c>
      <c r="BJ147" t="e">
        <f>AND(Bills!I505,"AAAAAGzM+T0=")</f>
        <v>#VALUE!</v>
      </c>
      <c r="BK147" t="e">
        <f>AND(Bills!J505,"AAAAAGzM+T4=")</f>
        <v>#VALUE!</v>
      </c>
      <c r="BL147" t="e">
        <f>AND(Bills!#REF!,"AAAAAGzM+T8=")</f>
        <v>#REF!</v>
      </c>
      <c r="BM147" t="e">
        <f>AND(Bills!K505,"AAAAAGzM+UA=")</f>
        <v>#VALUE!</v>
      </c>
      <c r="BN147" t="e">
        <f>AND(Bills!L505,"AAAAAGzM+UE=")</f>
        <v>#VALUE!</v>
      </c>
      <c r="BO147" t="e">
        <f>AND(Bills!M505,"AAAAAGzM+UI=")</f>
        <v>#VALUE!</v>
      </c>
      <c r="BP147" t="e">
        <f>AND(Bills!N505,"AAAAAGzM+UM=")</f>
        <v>#VALUE!</v>
      </c>
      <c r="BQ147" t="e">
        <f>AND(Bills!O505,"AAAAAGzM+UQ=")</f>
        <v>#VALUE!</v>
      </c>
      <c r="BR147" t="e">
        <f>AND(Bills!P505,"AAAAAGzM+UU=")</f>
        <v>#VALUE!</v>
      </c>
      <c r="BS147" t="e">
        <f>AND(Bills!Q505,"AAAAAGzM+UY=")</f>
        <v>#VALUE!</v>
      </c>
      <c r="BT147" t="e">
        <f>AND(Bills!R505,"AAAAAGzM+Uc=")</f>
        <v>#VALUE!</v>
      </c>
      <c r="BU147" t="e">
        <f>AND(Bills!#REF!,"AAAAAGzM+Ug=")</f>
        <v>#REF!</v>
      </c>
      <c r="BV147" t="e">
        <f>AND(Bills!S505,"AAAAAGzM+Uk=")</f>
        <v>#VALUE!</v>
      </c>
      <c r="BW147" t="e">
        <f>AND(Bills!T505,"AAAAAGzM+Uo=")</f>
        <v>#VALUE!</v>
      </c>
      <c r="BX147" t="e">
        <f>AND(Bills!U505,"AAAAAGzM+Us=")</f>
        <v>#VALUE!</v>
      </c>
      <c r="BY147" t="e">
        <f>AND(Bills!#REF!,"AAAAAGzM+Uw=")</f>
        <v>#REF!</v>
      </c>
      <c r="BZ147" t="e">
        <f>AND(Bills!#REF!,"AAAAAGzM+U0=")</f>
        <v>#REF!</v>
      </c>
      <c r="CA147" t="e">
        <f>AND(Bills!W505,"AAAAAGzM+U4=")</f>
        <v>#VALUE!</v>
      </c>
      <c r="CB147" t="e">
        <f>AND(Bills!X505,"AAAAAGzM+U8=")</f>
        <v>#VALUE!</v>
      </c>
      <c r="CC147" t="e">
        <f>AND(Bills!#REF!,"AAAAAGzM+VA=")</f>
        <v>#REF!</v>
      </c>
      <c r="CD147" t="e">
        <f>AND(Bills!#REF!,"AAAAAGzM+VE=")</f>
        <v>#REF!</v>
      </c>
      <c r="CE147" t="e">
        <f>AND(Bills!#REF!,"AAAAAGzM+VI=")</f>
        <v>#REF!</v>
      </c>
      <c r="CF147" t="e">
        <f>AND(Bills!#REF!,"AAAAAGzM+VM=")</f>
        <v>#REF!</v>
      </c>
      <c r="CG147" t="e">
        <f>AND(Bills!#REF!,"AAAAAGzM+VQ=")</f>
        <v>#REF!</v>
      </c>
      <c r="CH147" t="e">
        <f>AND(Bills!#REF!,"AAAAAGzM+VU=")</f>
        <v>#REF!</v>
      </c>
      <c r="CI147" t="e">
        <f>AND(Bills!#REF!,"AAAAAGzM+VY=")</f>
        <v>#REF!</v>
      </c>
      <c r="CJ147" t="e">
        <f>AND(Bills!#REF!,"AAAAAGzM+Vc=")</f>
        <v>#REF!</v>
      </c>
      <c r="CK147" t="e">
        <f>AND(Bills!#REF!,"AAAAAGzM+Vg=")</f>
        <v>#REF!</v>
      </c>
      <c r="CL147" t="e">
        <f>AND(Bills!Y505,"AAAAAGzM+Vk=")</f>
        <v>#VALUE!</v>
      </c>
      <c r="CM147" t="e">
        <f>AND(Bills!Z505,"AAAAAGzM+Vo=")</f>
        <v>#VALUE!</v>
      </c>
      <c r="CN147" t="e">
        <f>AND(Bills!#REF!,"AAAAAGzM+Vs=")</f>
        <v>#REF!</v>
      </c>
      <c r="CO147" t="e">
        <f>AND(Bills!#REF!,"AAAAAGzM+Vw=")</f>
        <v>#REF!</v>
      </c>
      <c r="CP147" t="e">
        <f>AND(Bills!#REF!,"AAAAAGzM+V0=")</f>
        <v>#REF!</v>
      </c>
      <c r="CQ147" t="e">
        <f>AND(Bills!AA505,"AAAAAGzM+V4=")</f>
        <v>#VALUE!</v>
      </c>
      <c r="CR147" t="e">
        <f>AND(Bills!AB505,"AAAAAGzM+V8=")</f>
        <v>#VALUE!</v>
      </c>
      <c r="CS147" t="e">
        <f>AND(Bills!#REF!,"AAAAAGzM+WA=")</f>
        <v>#REF!</v>
      </c>
      <c r="CT147">
        <f>IF(Bills!506:506,"AAAAAGzM+WE=",0)</f>
        <v>0</v>
      </c>
      <c r="CU147" t="e">
        <f>AND(Bills!B506,"AAAAAGzM+WI=")</f>
        <v>#VALUE!</v>
      </c>
      <c r="CV147" t="e">
        <f>AND(Bills!#REF!,"AAAAAGzM+WM=")</f>
        <v>#REF!</v>
      </c>
      <c r="CW147" t="e">
        <f>AND(Bills!C506,"AAAAAGzM+WQ=")</f>
        <v>#VALUE!</v>
      </c>
      <c r="CX147" t="e">
        <f>AND(Bills!#REF!,"AAAAAGzM+WU=")</f>
        <v>#REF!</v>
      </c>
      <c r="CY147" t="e">
        <f>AND(Bills!#REF!,"AAAAAGzM+WY=")</f>
        <v>#REF!</v>
      </c>
      <c r="CZ147" t="e">
        <f>AND(Bills!#REF!,"AAAAAGzM+Wc=")</f>
        <v>#REF!</v>
      </c>
      <c r="DA147" t="e">
        <f>AND(Bills!#REF!,"AAAAAGzM+Wg=")</f>
        <v>#REF!</v>
      </c>
      <c r="DB147" t="e">
        <f>AND(Bills!#REF!,"AAAAAGzM+Wk=")</f>
        <v>#REF!</v>
      </c>
      <c r="DC147" t="e">
        <f>AND(Bills!D506,"AAAAAGzM+Wo=")</f>
        <v>#VALUE!</v>
      </c>
      <c r="DD147" t="e">
        <f>AND(Bills!#REF!,"AAAAAGzM+Ws=")</f>
        <v>#REF!</v>
      </c>
      <c r="DE147" t="e">
        <f>AND(Bills!E506,"AAAAAGzM+Ww=")</f>
        <v>#VALUE!</v>
      </c>
      <c r="DF147" t="e">
        <f>AND(Bills!F506,"AAAAAGzM+W0=")</f>
        <v>#VALUE!</v>
      </c>
      <c r="DG147" t="e">
        <f>AND(Bills!G506,"AAAAAGzM+W4=")</f>
        <v>#VALUE!</v>
      </c>
      <c r="DH147" t="e">
        <f>AND(Bills!H506,"AAAAAGzM+W8=")</f>
        <v>#VALUE!</v>
      </c>
      <c r="DI147" t="e">
        <f>AND(Bills!I506,"AAAAAGzM+XA=")</f>
        <v>#VALUE!</v>
      </c>
      <c r="DJ147" t="e">
        <f>AND(Bills!J506,"AAAAAGzM+XE=")</f>
        <v>#VALUE!</v>
      </c>
      <c r="DK147" t="e">
        <f>AND(Bills!#REF!,"AAAAAGzM+XI=")</f>
        <v>#REF!</v>
      </c>
      <c r="DL147" t="e">
        <f>AND(Bills!K506,"AAAAAGzM+XM=")</f>
        <v>#VALUE!</v>
      </c>
      <c r="DM147" t="e">
        <f>AND(Bills!L506,"AAAAAGzM+XQ=")</f>
        <v>#VALUE!</v>
      </c>
      <c r="DN147" t="e">
        <f>AND(Bills!M506,"AAAAAGzM+XU=")</f>
        <v>#VALUE!</v>
      </c>
      <c r="DO147" t="e">
        <f>AND(Bills!N506,"AAAAAGzM+XY=")</f>
        <v>#VALUE!</v>
      </c>
      <c r="DP147" t="e">
        <f>AND(Bills!O506,"AAAAAGzM+Xc=")</f>
        <v>#VALUE!</v>
      </c>
      <c r="DQ147" t="e">
        <f>AND(Bills!P506,"AAAAAGzM+Xg=")</f>
        <v>#VALUE!</v>
      </c>
      <c r="DR147" t="e">
        <f>AND(Bills!Q506,"AAAAAGzM+Xk=")</f>
        <v>#VALUE!</v>
      </c>
      <c r="DS147" t="e">
        <f>AND(Bills!R506,"AAAAAGzM+Xo=")</f>
        <v>#VALUE!</v>
      </c>
      <c r="DT147" t="e">
        <f>AND(Bills!#REF!,"AAAAAGzM+Xs=")</f>
        <v>#REF!</v>
      </c>
      <c r="DU147" t="e">
        <f>AND(Bills!S506,"AAAAAGzM+Xw=")</f>
        <v>#VALUE!</v>
      </c>
      <c r="DV147" t="e">
        <f>AND(Bills!T506,"AAAAAGzM+X0=")</f>
        <v>#VALUE!</v>
      </c>
      <c r="DW147" t="e">
        <f>AND(Bills!U506,"AAAAAGzM+X4=")</f>
        <v>#VALUE!</v>
      </c>
      <c r="DX147" t="e">
        <f>AND(Bills!#REF!,"AAAAAGzM+X8=")</f>
        <v>#REF!</v>
      </c>
      <c r="DY147" t="e">
        <f>AND(Bills!#REF!,"AAAAAGzM+YA=")</f>
        <v>#REF!</v>
      </c>
      <c r="DZ147" t="e">
        <f>AND(Bills!W506,"AAAAAGzM+YE=")</f>
        <v>#VALUE!</v>
      </c>
      <c r="EA147" t="e">
        <f>AND(Bills!X506,"AAAAAGzM+YI=")</f>
        <v>#VALUE!</v>
      </c>
      <c r="EB147" t="e">
        <f>AND(Bills!#REF!,"AAAAAGzM+YM=")</f>
        <v>#REF!</v>
      </c>
      <c r="EC147" t="e">
        <f>AND(Bills!#REF!,"AAAAAGzM+YQ=")</f>
        <v>#REF!</v>
      </c>
      <c r="ED147" t="e">
        <f>AND(Bills!#REF!,"AAAAAGzM+YU=")</f>
        <v>#REF!</v>
      </c>
      <c r="EE147" t="e">
        <f>AND(Bills!#REF!,"AAAAAGzM+YY=")</f>
        <v>#REF!</v>
      </c>
      <c r="EF147" t="e">
        <f>AND(Bills!#REF!,"AAAAAGzM+Yc=")</f>
        <v>#REF!</v>
      </c>
      <c r="EG147" t="e">
        <f>AND(Bills!#REF!,"AAAAAGzM+Yg=")</f>
        <v>#REF!</v>
      </c>
      <c r="EH147" t="e">
        <f>AND(Bills!#REF!,"AAAAAGzM+Yk=")</f>
        <v>#REF!</v>
      </c>
      <c r="EI147" t="e">
        <f>AND(Bills!#REF!,"AAAAAGzM+Yo=")</f>
        <v>#REF!</v>
      </c>
      <c r="EJ147" t="e">
        <f>AND(Bills!#REF!,"AAAAAGzM+Ys=")</f>
        <v>#REF!</v>
      </c>
      <c r="EK147" t="e">
        <f>AND(Bills!Y506,"AAAAAGzM+Yw=")</f>
        <v>#VALUE!</v>
      </c>
      <c r="EL147" t="e">
        <f>AND(Bills!Z506,"AAAAAGzM+Y0=")</f>
        <v>#VALUE!</v>
      </c>
      <c r="EM147" t="e">
        <f>AND(Bills!#REF!,"AAAAAGzM+Y4=")</f>
        <v>#REF!</v>
      </c>
      <c r="EN147" t="e">
        <f>AND(Bills!#REF!,"AAAAAGzM+Y8=")</f>
        <v>#REF!</v>
      </c>
      <c r="EO147" t="e">
        <f>AND(Bills!#REF!,"AAAAAGzM+ZA=")</f>
        <v>#REF!</v>
      </c>
      <c r="EP147" t="e">
        <f>AND(Bills!AA506,"AAAAAGzM+ZE=")</f>
        <v>#VALUE!</v>
      </c>
      <c r="EQ147" t="e">
        <f>AND(Bills!AB506,"AAAAAGzM+ZI=")</f>
        <v>#VALUE!</v>
      </c>
      <c r="ER147" t="e">
        <f>AND(Bills!#REF!,"AAAAAGzM+ZM=")</f>
        <v>#REF!</v>
      </c>
      <c r="ES147">
        <f>IF(Bills!507:507,"AAAAAGzM+ZQ=",0)</f>
        <v>0</v>
      </c>
      <c r="ET147" t="e">
        <f>AND(Bills!B507,"AAAAAGzM+ZU=")</f>
        <v>#VALUE!</v>
      </c>
      <c r="EU147" t="e">
        <f>AND(Bills!#REF!,"AAAAAGzM+ZY=")</f>
        <v>#REF!</v>
      </c>
      <c r="EV147" t="e">
        <f>AND(Bills!C507,"AAAAAGzM+Zc=")</f>
        <v>#VALUE!</v>
      </c>
      <c r="EW147" t="e">
        <f>AND(Bills!#REF!,"AAAAAGzM+Zg=")</f>
        <v>#REF!</v>
      </c>
      <c r="EX147" t="e">
        <f>AND(Bills!#REF!,"AAAAAGzM+Zk=")</f>
        <v>#REF!</v>
      </c>
      <c r="EY147" t="e">
        <f>AND(Bills!#REF!,"AAAAAGzM+Zo=")</f>
        <v>#REF!</v>
      </c>
      <c r="EZ147" t="e">
        <f>AND(Bills!#REF!,"AAAAAGzM+Zs=")</f>
        <v>#REF!</v>
      </c>
      <c r="FA147" t="e">
        <f>AND(Bills!#REF!,"AAAAAGzM+Zw=")</f>
        <v>#REF!</v>
      </c>
      <c r="FB147" t="e">
        <f>AND(Bills!D507,"AAAAAGzM+Z0=")</f>
        <v>#VALUE!</v>
      </c>
      <c r="FC147" t="e">
        <f>AND(Bills!#REF!,"AAAAAGzM+Z4=")</f>
        <v>#REF!</v>
      </c>
      <c r="FD147" t="e">
        <f>AND(Bills!E507,"AAAAAGzM+Z8=")</f>
        <v>#VALUE!</v>
      </c>
      <c r="FE147" t="e">
        <f>AND(Bills!F507,"AAAAAGzM+aA=")</f>
        <v>#VALUE!</v>
      </c>
      <c r="FF147" t="e">
        <f>AND(Bills!G507,"AAAAAGzM+aE=")</f>
        <v>#VALUE!</v>
      </c>
      <c r="FG147" t="e">
        <f>AND(Bills!H507,"AAAAAGzM+aI=")</f>
        <v>#VALUE!</v>
      </c>
      <c r="FH147" t="e">
        <f>AND(Bills!I507,"AAAAAGzM+aM=")</f>
        <v>#VALUE!</v>
      </c>
      <c r="FI147" t="e">
        <f>AND(Bills!J507,"AAAAAGzM+aQ=")</f>
        <v>#VALUE!</v>
      </c>
      <c r="FJ147" t="e">
        <f>AND(Bills!#REF!,"AAAAAGzM+aU=")</f>
        <v>#REF!</v>
      </c>
      <c r="FK147" t="e">
        <f>AND(Bills!K507,"AAAAAGzM+aY=")</f>
        <v>#VALUE!</v>
      </c>
      <c r="FL147" t="e">
        <f>AND(Bills!L507,"AAAAAGzM+ac=")</f>
        <v>#VALUE!</v>
      </c>
      <c r="FM147" t="e">
        <f>AND(Bills!M507,"AAAAAGzM+ag=")</f>
        <v>#VALUE!</v>
      </c>
      <c r="FN147" t="e">
        <f>AND(Bills!N507,"AAAAAGzM+ak=")</f>
        <v>#VALUE!</v>
      </c>
      <c r="FO147" t="e">
        <f>AND(Bills!O507,"AAAAAGzM+ao=")</f>
        <v>#VALUE!</v>
      </c>
      <c r="FP147" t="e">
        <f>AND(Bills!P507,"AAAAAGzM+as=")</f>
        <v>#VALUE!</v>
      </c>
      <c r="FQ147" t="e">
        <f>AND(Bills!Q507,"AAAAAGzM+aw=")</f>
        <v>#VALUE!</v>
      </c>
      <c r="FR147" t="e">
        <f>AND(Bills!R507,"AAAAAGzM+a0=")</f>
        <v>#VALUE!</v>
      </c>
      <c r="FS147" t="e">
        <f>AND(Bills!#REF!,"AAAAAGzM+a4=")</f>
        <v>#REF!</v>
      </c>
      <c r="FT147" t="e">
        <f>AND(Bills!S507,"AAAAAGzM+a8=")</f>
        <v>#VALUE!</v>
      </c>
      <c r="FU147" t="e">
        <f>AND(Bills!T507,"AAAAAGzM+bA=")</f>
        <v>#VALUE!</v>
      </c>
      <c r="FV147" t="e">
        <f>AND(Bills!U507,"AAAAAGzM+bE=")</f>
        <v>#VALUE!</v>
      </c>
      <c r="FW147" t="e">
        <f>AND(Bills!#REF!,"AAAAAGzM+bI=")</f>
        <v>#REF!</v>
      </c>
      <c r="FX147" t="e">
        <f>AND(Bills!#REF!,"AAAAAGzM+bM=")</f>
        <v>#REF!</v>
      </c>
      <c r="FY147" t="e">
        <f>AND(Bills!W507,"AAAAAGzM+bQ=")</f>
        <v>#VALUE!</v>
      </c>
      <c r="FZ147" t="e">
        <f>AND(Bills!X507,"AAAAAGzM+bU=")</f>
        <v>#VALUE!</v>
      </c>
      <c r="GA147" t="e">
        <f>AND(Bills!#REF!,"AAAAAGzM+bY=")</f>
        <v>#REF!</v>
      </c>
      <c r="GB147" t="e">
        <f>AND(Bills!#REF!,"AAAAAGzM+bc=")</f>
        <v>#REF!</v>
      </c>
      <c r="GC147" t="e">
        <f>AND(Bills!#REF!,"AAAAAGzM+bg=")</f>
        <v>#REF!</v>
      </c>
      <c r="GD147" t="e">
        <f>AND(Bills!#REF!,"AAAAAGzM+bk=")</f>
        <v>#REF!</v>
      </c>
      <c r="GE147" t="e">
        <f>AND(Bills!#REF!,"AAAAAGzM+bo=")</f>
        <v>#REF!</v>
      </c>
      <c r="GF147" t="e">
        <f>AND(Bills!#REF!,"AAAAAGzM+bs=")</f>
        <v>#REF!</v>
      </c>
      <c r="GG147" t="e">
        <f>AND(Bills!#REF!,"AAAAAGzM+bw=")</f>
        <v>#REF!</v>
      </c>
      <c r="GH147" t="e">
        <f>AND(Bills!#REF!,"AAAAAGzM+b0=")</f>
        <v>#REF!</v>
      </c>
      <c r="GI147" t="e">
        <f>AND(Bills!#REF!,"AAAAAGzM+b4=")</f>
        <v>#REF!</v>
      </c>
      <c r="GJ147" t="e">
        <f>AND(Bills!Y507,"AAAAAGzM+b8=")</f>
        <v>#VALUE!</v>
      </c>
      <c r="GK147" t="e">
        <f>AND(Bills!Z507,"AAAAAGzM+cA=")</f>
        <v>#VALUE!</v>
      </c>
      <c r="GL147" t="e">
        <f>AND(Bills!#REF!,"AAAAAGzM+cE=")</f>
        <v>#REF!</v>
      </c>
      <c r="GM147" t="e">
        <f>AND(Bills!#REF!,"AAAAAGzM+cI=")</f>
        <v>#REF!</v>
      </c>
      <c r="GN147" t="e">
        <f>AND(Bills!#REF!,"AAAAAGzM+cM=")</f>
        <v>#REF!</v>
      </c>
      <c r="GO147" t="e">
        <f>AND(Bills!AA507,"AAAAAGzM+cQ=")</f>
        <v>#VALUE!</v>
      </c>
      <c r="GP147" t="e">
        <f>AND(Bills!AB507,"AAAAAGzM+cU=")</f>
        <v>#VALUE!</v>
      </c>
      <c r="GQ147" t="e">
        <f>AND(Bills!#REF!,"AAAAAGzM+cY=")</f>
        <v>#REF!</v>
      </c>
      <c r="GR147">
        <f>IF(Bills!508:508,"AAAAAGzM+cc=",0)</f>
        <v>0</v>
      </c>
      <c r="GS147" t="e">
        <f>AND(Bills!B508,"AAAAAGzM+cg=")</f>
        <v>#VALUE!</v>
      </c>
      <c r="GT147" t="e">
        <f>AND(Bills!#REF!,"AAAAAGzM+ck=")</f>
        <v>#REF!</v>
      </c>
      <c r="GU147" t="e">
        <f>AND(Bills!C508,"AAAAAGzM+co=")</f>
        <v>#VALUE!</v>
      </c>
      <c r="GV147" t="e">
        <f>AND(Bills!#REF!,"AAAAAGzM+cs=")</f>
        <v>#REF!</v>
      </c>
      <c r="GW147" t="e">
        <f>AND(Bills!#REF!,"AAAAAGzM+cw=")</f>
        <v>#REF!</v>
      </c>
      <c r="GX147" t="e">
        <f>AND(Bills!#REF!,"AAAAAGzM+c0=")</f>
        <v>#REF!</v>
      </c>
      <c r="GY147" t="e">
        <f>AND(Bills!#REF!,"AAAAAGzM+c4=")</f>
        <v>#REF!</v>
      </c>
      <c r="GZ147" t="e">
        <f>AND(Bills!#REF!,"AAAAAGzM+c8=")</f>
        <v>#REF!</v>
      </c>
      <c r="HA147" t="e">
        <f>AND(Bills!D508,"AAAAAGzM+dA=")</f>
        <v>#VALUE!</v>
      </c>
      <c r="HB147" t="e">
        <f>AND(Bills!#REF!,"AAAAAGzM+dE=")</f>
        <v>#REF!</v>
      </c>
      <c r="HC147" t="e">
        <f>AND(Bills!E508,"AAAAAGzM+dI=")</f>
        <v>#VALUE!</v>
      </c>
      <c r="HD147" t="e">
        <f>AND(Bills!F508,"AAAAAGzM+dM=")</f>
        <v>#VALUE!</v>
      </c>
      <c r="HE147" t="e">
        <f>AND(Bills!G508,"AAAAAGzM+dQ=")</f>
        <v>#VALUE!</v>
      </c>
      <c r="HF147" t="e">
        <f>AND(Bills!H508,"AAAAAGzM+dU=")</f>
        <v>#VALUE!</v>
      </c>
      <c r="HG147" t="e">
        <f>AND(Bills!I508,"AAAAAGzM+dY=")</f>
        <v>#VALUE!</v>
      </c>
      <c r="HH147" t="e">
        <f>AND(Bills!J508,"AAAAAGzM+dc=")</f>
        <v>#VALUE!</v>
      </c>
      <c r="HI147" t="e">
        <f>AND(Bills!#REF!,"AAAAAGzM+dg=")</f>
        <v>#REF!</v>
      </c>
      <c r="HJ147" t="e">
        <f>AND(Bills!K508,"AAAAAGzM+dk=")</f>
        <v>#VALUE!</v>
      </c>
      <c r="HK147" t="e">
        <f>AND(Bills!L508,"AAAAAGzM+do=")</f>
        <v>#VALUE!</v>
      </c>
      <c r="HL147" t="e">
        <f>AND(Bills!M508,"AAAAAGzM+ds=")</f>
        <v>#VALUE!</v>
      </c>
      <c r="HM147" t="e">
        <f>AND(Bills!N508,"AAAAAGzM+dw=")</f>
        <v>#VALUE!</v>
      </c>
      <c r="HN147" t="e">
        <f>AND(Bills!O508,"AAAAAGzM+d0=")</f>
        <v>#VALUE!</v>
      </c>
      <c r="HO147" t="e">
        <f>AND(Bills!P508,"AAAAAGzM+d4=")</f>
        <v>#VALUE!</v>
      </c>
      <c r="HP147" t="e">
        <f>AND(Bills!Q508,"AAAAAGzM+d8=")</f>
        <v>#VALUE!</v>
      </c>
      <c r="HQ147" t="e">
        <f>AND(Bills!R508,"AAAAAGzM+eA=")</f>
        <v>#VALUE!</v>
      </c>
      <c r="HR147" t="e">
        <f>AND(Bills!#REF!,"AAAAAGzM+eE=")</f>
        <v>#REF!</v>
      </c>
      <c r="HS147" t="e">
        <f>AND(Bills!S508,"AAAAAGzM+eI=")</f>
        <v>#VALUE!</v>
      </c>
      <c r="HT147" t="e">
        <f>AND(Bills!T508,"AAAAAGzM+eM=")</f>
        <v>#VALUE!</v>
      </c>
      <c r="HU147" t="e">
        <f>AND(Bills!U508,"AAAAAGzM+eQ=")</f>
        <v>#VALUE!</v>
      </c>
      <c r="HV147" t="e">
        <f>AND(Bills!#REF!,"AAAAAGzM+eU=")</f>
        <v>#REF!</v>
      </c>
      <c r="HW147" t="e">
        <f>AND(Bills!#REF!,"AAAAAGzM+eY=")</f>
        <v>#REF!</v>
      </c>
      <c r="HX147" t="e">
        <f>AND(Bills!W508,"AAAAAGzM+ec=")</f>
        <v>#VALUE!</v>
      </c>
      <c r="HY147" t="e">
        <f>AND(Bills!X508,"AAAAAGzM+eg=")</f>
        <v>#VALUE!</v>
      </c>
      <c r="HZ147" t="e">
        <f>AND(Bills!#REF!,"AAAAAGzM+ek=")</f>
        <v>#REF!</v>
      </c>
      <c r="IA147" t="e">
        <f>AND(Bills!#REF!,"AAAAAGzM+eo=")</f>
        <v>#REF!</v>
      </c>
      <c r="IB147" t="e">
        <f>AND(Bills!#REF!,"AAAAAGzM+es=")</f>
        <v>#REF!</v>
      </c>
      <c r="IC147" t="e">
        <f>AND(Bills!#REF!,"AAAAAGzM+ew=")</f>
        <v>#REF!</v>
      </c>
      <c r="ID147" t="e">
        <f>AND(Bills!#REF!,"AAAAAGzM+e0=")</f>
        <v>#REF!</v>
      </c>
      <c r="IE147" t="e">
        <f>AND(Bills!#REF!,"AAAAAGzM+e4=")</f>
        <v>#REF!</v>
      </c>
      <c r="IF147" t="e">
        <f>AND(Bills!#REF!,"AAAAAGzM+e8=")</f>
        <v>#REF!</v>
      </c>
      <c r="IG147" t="e">
        <f>AND(Bills!#REF!,"AAAAAGzM+fA=")</f>
        <v>#REF!</v>
      </c>
      <c r="IH147" t="e">
        <f>AND(Bills!#REF!,"AAAAAGzM+fE=")</f>
        <v>#REF!</v>
      </c>
      <c r="II147" t="e">
        <f>AND(Bills!Y508,"AAAAAGzM+fI=")</f>
        <v>#VALUE!</v>
      </c>
      <c r="IJ147" t="e">
        <f>AND(Bills!Z508,"AAAAAGzM+fM=")</f>
        <v>#VALUE!</v>
      </c>
      <c r="IK147" t="e">
        <f>AND(Bills!#REF!,"AAAAAGzM+fQ=")</f>
        <v>#REF!</v>
      </c>
      <c r="IL147" t="e">
        <f>AND(Bills!#REF!,"AAAAAGzM+fU=")</f>
        <v>#REF!</v>
      </c>
      <c r="IM147" t="e">
        <f>AND(Bills!#REF!,"AAAAAGzM+fY=")</f>
        <v>#REF!</v>
      </c>
      <c r="IN147" t="e">
        <f>AND(Bills!AA508,"AAAAAGzM+fc=")</f>
        <v>#VALUE!</v>
      </c>
      <c r="IO147" t="e">
        <f>AND(Bills!AB508,"AAAAAGzM+fg=")</f>
        <v>#VALUE!</v>
      </c>
      <c r="IP147" t="e">
        <f>AND(Bills!#REF!,"AAAAAGzM+fk=")</f>
        <v>#REF!</v>
      </c>
      <c r="IQ147">
        <f>IF(Bills!509:509,"AAAAAGzM+fo=",0)</f>
        <v>0</v>
      </c>
      <c r="IR147" t="e">
        <f>AND(Bills!B509,"AAAAAGzM+fs=")</f>
        <v>#VALUE!</v>
      </c>
      <c r="IS147" t="e">
        <f>AND(Bills!#REF!,"AAAAAGzM+fw=")</f>
        <v>#REF!</v>
      </c>
      <c r="IT147" t="e">
        <f>AND(Bills!C509,"AAAAAGzM+f0=")</f>
        <v>#VALUE!</v>
      </c>
      <c r="IU147" t="e">
        <f>AND(Bills!#REF!,"AAAAAGzM+f4=")</f>
        <v>#REF!</v>
      </c>
      <c r="IV147" t="e">
        <f>AND(Bills!#REF!,"AAAAAGzM+f8=")</f>
        <v>#REF!</v>
      </c>
    </row>
    <row r="148" spans="1:256">
      <c r="A148" t="e">
        <f>AND(Bills!#REF!,"AAAAAHvfvwA=")</f>
        <v>#REF!</v>
      </c>
      <c r="B148" t="e">
        <f>AND(Bills!#REF!,"AAAAAHvfvwE=")</f>
        <v>#REF!</v>
      </c>
      <c r="C148" t="e">
        <f>AND(Bills!#REF!,"AAAAAHvfvwI=")</f>
        <v>#REF!</v>
      </c>
      <c r="D148" t="e">
        <f>AND(Bills!D509,"AAAAAHvfvwM=")</f>
        <v>#VALUE!</v>
      </c>
      <c r="E148" t="e">
        <f>AND(Bills!#REF!,"AAAAAHvfvwQ=")</f>
        <v>#REF!</v>
      </c>
      <c r="F148" t="e">
        <f>AND(Bills!E509,"AAAAAHvfvwU=")</f>
        <v>#VALUE!</v>
      </c>
      <c r="G148" t="e">
        <f>AND(Bills!F509,"AAAAAHvfvwY=")</f>
        <v>#VALUE!</v>
      </c>
      <c r="H148" t="e">
        <f>AND(Bills!G509,"AAAAAHvfvwc=")</f>
        <v>#VALUE!</v>
      </c>
      <c r="I148" t="e">
        <f>AND(Bills!H509,"AAAAAHvfvwg=")</f>
        <v>#VALUE!</v>
      </c>
      <c r="J148" t="e">
        <f>AND(Bills!I509,"AAAAAHvfvwk=")</f>
        <v>#VALUE!</v>
      </c>
      <c r="K148" t="e">
        <f>AND(Bills!J509,"AAAAAHvfvwo=")</f>
        <v>#VALUE!</v>
      </c>
      <c r="L148" t="e">
        <f>AND(Bills!#REF!,"AAAAAHvfvws=")</f>
        <v>#REF!</v>
      </c>
      <c r="M148" t="e">
        <f>AND(Bills!K509,"AAAAAHvfvww=")</f>
        <v>#VALUE!</v>
      </c>
      <c r="N148" t="e">
        <f>AND(Bills!L509,"AAAAAHvfvw0=")</f>
        <v>#VALUE!</v>
      </c>
      <c r="O148" t="e">
        <f>AND(Bills!M509,"AAAAAHvfvw4=")</f>
        <v>#VALUE!</v>
      </c>
      <c r="P148" t="e">
        <f>AND(Bills!N509,"AAAAAHvfvw8=")</f>
        <v>#VALUE!</v>
      </c>
      <c r="Q148" t="e">
        <f>AND(Bills!O509,"AAAAAHvfvxA=")</f>
        <v>#VALUE!</v>
      </c>
      <c r="R148" t="e">
        <f>AND(Bills!P509,"AAAAAHvfvxE=")</f>
        <v>#VALUE!</v>
      </c>
      <c r="S148" t="e">
        <f>AND(Bills!Q509,"AAAAAHvfvxI=")</f>
        <v>#VALUE!</v>
      </c>
      <c r="T148" t="e">
        <f>AND(Bills!R509,"AAAAAHvfvxM=")</f>
        <v>#VALUE!</v>
      </c>
      <c r="U148" t="e">
        <f>AND(Bills!#REF!,"AAAAAHvfvxQ=")</f>
        <v>#REF!</v>
      </c>
      <c r="V148" t="e">
        <f>AND(Bills!S509,"AAAAAHvfvxU=")</f>
        <v>#VALUE!</v>
      </c>
      <c r="W148" t="e">
        <f>AND(Bills!T509,"AAAAAHvfvxY=")</f>
        <v>#VALUE!</v>
      </c>
      <c r="X148" t="e">
        <f>AND(Bills!U509,"AAAAAHvfvxc=")</f>
        <v>#VALUE!</v>
      </c>
      <c r="Y148" t="e">
        <f>AND(Bills!#REF!,"AAAAAHvfvxg=")</f>
        <v>#REF!</v>
      </c>
      <c r="Z148" t="e">
        <f>AND(Bills!#REF!,"AAAAAHvfvxk=")</f>
        <v>#REF!</v>
      </c>
      <c r="AA148" t="e">
        <f>AND(Bills!W509,"AAAAAHvfvxo=")</f>
        <v>#VALUE!</v>
      </c>
      <c r="AB148" t="e">
        <f>AND(Bills!X509,"AAAAAHvfvxs=")</f>
        <v>#VALUE!</v>
      </c>
      <c r="AC148" t="e">
        <f>AND(Bills!#REF!,"AAAAAHvfvxw=")</f>
        <v>#REF!</v>
      </c>
      <c r="AD148" t="e">
        <f>AND(Bills!#REF!,"AAAAAHvfvx0=")</f>
        <v>#REF!</v>
      </c>
      <c r="AE148" t="e">
        <f>AND(Bills!#REF!,"AAAAAHvfvx4=")</f>
        <v>#REF!</v>
      </c>
      <c r="AF148" t="e">
        <f>AND(Bills!#REF!,"AAAAAHvfvx8=")</f>
        <v>#REF!</v>
      </c>
      <c r="AG148" t="e">
        <f>AND(Bills!#REF!,"AAAAAHvfvyA=")</f>
        <v>#REF!</v>
      </c>
      <c r="AH148" t="e">
        <f>AND(Bills!#REF!,"AAAAAHvfvyE=")</f>
        <v>#REF!</v>
      </c>
      <c r="AI148" t="e">
        <f>AND(Bills!#REF!,"AAAAAHvfvyI=")</f>
        <v>#REF!</v>
      </c>
      <c r="AJ148" t="e">
        <f>AND(Bills!#REF!,"AAAAAHvfvyM=")</f>
        <v>#REF!</v>
      </c>
      <c r="AK148" t="e">
        <f>AND(Bills!#REF!,"AAAAAHvfvyQ=")</f>
        <v>#REF!</v>
      </c>
      <c r="AL148" t="e">
        <f>AND(Bills!Y509,"AAAAAHvfvyU=")</f>
        <v>#VALUE!</v>
      </c>
      <c r="AM148" t="e">
        <f>AND(Bills!Z509,"AAAAAHvfvyY=")</f>
        <v>#VALUE!</v>
      </c>
      <c r="AN148" t="e">
        <f>AND(Bills!#REF!,"AAAAAHvfvyc=")</f>
        <v>#REF!</v>
      </c>
      <c r="AO148" t="e">
        <f>AND(Bills!#REF!,"AAAAAHvfvyg=")</f>
        <v>#REF!</v>
      </c>
      <c r="AP148" t="e">
        <f>AND(Bills!#REF!,"AAAAAHvfvyk=")</f>
        <v>#REF!</v>
      </c>
      <c r="AQ148" t="e">
        <f>AND(Bills!AA509,"AAAAAHvfvyo=")</f>
        <v>#VALUE!</v>
      </c>
      <c r="AR148" t="e">
        <f>AND(Bills!AB509,"AAAAAHvfvys=")</f>
        <v>#VALUE!</v>
      </c>
      <c r="AS148" t="e">
        <f>AND(Bills!#REF!,"AAAAAHvfvyw=")</f>
        <v>#REF!</v>
      </c>
      <c r="AT148">
        <f>IF(Bills!510:510,"AAAAAHvfvy0=",0)</f>
        <v>0</v>
      </c>
      <c r="AU148" t="e">
        <f>AND(Bills!B510,"AAAAAHvfvy4=")</f>
        <v>#VALUE!</v>
      </c>
      <c r="AV148" t="e">
        <f>AND(Bills!#REF!,"AAAAAHvfvy8=")</f>
        <v>#REF!</v>
      </c>
      <c r="AW148" t="e">
        <f>AND(Bills!C510,"AAAAAHvfvzA=")</f>
        <v>#VALUE!</v>
      </c>
      <c r="AX148" t="e">
        <f>AND(Bills!#REF!,"AAAAAHvfvzE=")</f>
        <v>#REF!</v>
      </c>
      <c r="AY148" t="e">
        <f>AND(Bills!#REF!,"AAAAAHvfvzI=")</f>
        <v>#REF!</v>
      </c>
      <c r="AZ148" t="e">
        <f>AND(Bills!#REF!,"AAAAAHvfvzM=")</f>
        <v>#REF!</v>
      </c>
      <c r="BA148" t="e">
        <f>AND(Bills!#REF!,"AAAAAHvfvzQ=")</f>
        <v>#REF!</v>
      </c>
      <c r="BB148" t="e">
        <f>AND(Bills!#REF!,"AAAAAHvfvzU=")</f>
        <v>#REF!</v>
      </c>
      <c r="BC148" t="e">
        <f>AND(Bills!D510,"AAAAAHvfvzY=")</f>
        <v>#VALUE!</v>
      </c>
      <c r="BD148" t="e">
        <f>AND(Bills!#REF!,"AAAAAHvfvzc=")</f>
        <v>#REF!</v>
      </c>
      <c r="BE148" t="e">
        <f>AND(Bills!E510,"AAAAAHvfvzg=")</f>
        <v>#VALUE!</v>
      </c>
      <c r="BF148" t="e">
        <f>AND(Bills!F510,"AAAAAHvfvzk=")</f>
        <v>#VALUE!</v>
      </c>
      <c r="BG148" t="e">
        <f>AND(Bills!G510,"AAAAAHvfvzo=")</f>
        <v>#VALUE!</v>
      </c>
      <c r="BH148" t="e">
        <f>AND(Bills!H510,"AAAAAHvfvzs=")</f>
        <v>#VALUE!</v>
      </c>
      <c r="BI148" t="e">
        <f>AND(Bills!I510,"AAAAAHvfvzw=")</f>
        <v>#VALUE!</v>
      </c>
      <c r="BJ148" t="e">
        <f>AND(Bills!J510,"AAAAAHvfvz0=")</f>
        <v>#VALUE!</v>
      </c>
      <c r="BK148" t="e">
        <f>AND(Bills!#REF!,"AAAAAHvfvz4=")</f>
        <v>#REF!</v>
      </c>
      <c r="BL148" t="e">
        <f>AND(Bills!K510,"AAAAAHvfvz8=")</f>
        <v>#VALUE!</v>
      </c>
      <c r="BM148" t="e">
        <f>AND(Bills!L510,"AAAAAHvfv0A=")</f>
        <v>#VALUE!</v>
      </c>
      <c r="BN148" t="e">
        <f>AND(Bills!M510,"AAAAAHvfv0E=")</f>
        <v>#VALUE!</v>
      </c>
      <c r="BO148" t="e">
        <f>AND(Bills!N510,"AAAAAHvfv0I=")</f>
        <v>#VALUE!</v>
      </c>
      <c r="BP148" t="e">
        <f>AND(Bills!O510,"AAAAAHvfv0M=")</f>
        <v>#VALUE!</v>
      </c>
      <c r="BQ148" t="e">
        <f>AND(Bills!P510,"AAAAAHvfv0Q=")</f>
        <v>#VALUE!</v>
      </c>
      <c r="BR148" t="e">
        <f>AND(Bills!Q510,"AAAAAHvfv0U=")</f>
        <v>#VALUE!</v>
      </c>
      <c r="BS148" t="e">
        <f>AND(Bills!R510,"AAAAAHvfv0Y=")</f>
        <v>#VALUE!</v>
      </c>
      <c r="BT148" t="e">
        <f>AND(Bills!#REF!,"AAAAAHvfv0c=")</f>
        <v>#REF!</v>
      </c>
      <c r="BU148" t="e">
        <f>AND(Bills!S510,"AAAAAHvfv0g=")</f>
        <v>#VALUE!</v>
      </c>
      <c r="BV148" t="e">
        <f>AND(Bills!T510,"AAAAAHvfv0k=")</f>
        <v>#VALUE!</v>
      </c>
      <c r="BW148" t="e">
        <f>AND(Bills!U510,"AAAAAHvfv0o=")</f>
        <v>#VALUE!</v>
      </c>
      <c r="BX148" t="e">
        <f>AND(Bills!#REF!,"AAAAAHvfv0s=")</f>
        <v>#REF!</v>
      </c>
      <c r="BY148" t="e">
        <f>AND(Bills!#REF!,"AAAAAHvfv0w=")</f>
        <v>#REF!</v>
      </c>
      <c r="BZ148" t="e">
        <f>AND(Bills!W510,"AAAAAHvfv00=")</f>
        <v>#VALUE!</v>
      </c>
      <c r="CA148" t="e">
        <f>AND(Bills!X510,"AAAAAHvfv04=")</f>
        <v>#VALUE!</v>
      </c>
      <c r="CB148" t="e">
        <f>AND(Bills!#REF!,"AAAAAHvfv08=")</f>
        <v>#REF!</v>
      </c>
      <c r="CC148" t="e">
        <f>AND(Bills!#REF!,"AAAAAHvfv1A=")</f>
        <v>#REF!</v>
      </c>
      <c r="CD148" t="e">
        <f>AND(Bills!#REF!,"AAAAAHvfv1E=")</f>
        <v>#REF!</v>
      </c>
      <c r="CE148" t="e">
        <f>AND(Bills!#REF!,"AAAAAHvfv1I=")</f>
        <v>#REF!</v>
      </c>
      <c r="CF148" t="e">
        <f>AND(Bills!#REF!,"AAAAAHvfv1M=")</f>
        <v>#REF!</v>
      </c>
      <c r="CG148" t="e">
        <f>AND(Bills!#REF!,"AAAAAHvfv1Q=")</f>
        <v>#REF!</v>
      </c>
      <c r="CH148" t="e">
        <f>AND(Bills!#REF!,"AAAAAHvfv1U=")</f>
        <v>#REF!</v>
      </c>
      <c r="CI148" t="e">
        <f>AND(Bills!#REF!,"AAAAAHvfv1Y=")</f>
        <v>#REF!</v>
      </c>
      <c r="CJ148" t="e">
        <f>AND(Bills!#REF!,"AAAAAHvfv1c=")</f>
        <v>#REF!</v>
      </c>
      <c r="CK148" t="e">
        <f>AND(Bills!Y510,"AAAAAHvfv1g=")</f>
        <v>#VALUE!</v>
      </c>
      <c r="CL148" t="e">
        <f>AND(Bills!Z510,"AAAAAHvfv1k=")</f>
        <v>#VALUE!</v>
      </c>
      <c r="CM148" t="e">
        <f>AND(Bills!#REF!,"AAAAAHvfv1o=")</f>
        <v>#REF!</v>
      </c>
      <c r="CN148" t="e">
        <f>AND(Bills!#REF!,"AAAAAHvfv1s=")</f>
        <v>#REF!</v>
      </c>
      <c r="CO148" t="e">
        <f>AND(Bills!#REF!,"AAAAAHvfv1w=")</f>
        <v>#REF!</v>
      </c>
      <c r="CP148" t="e">
        <f>AND(Bills!AA510,"AAAAAHvfv10=")</f>
        <v>#VALUE!</v>
      </c>
      <c r="CQ148" t="e">
        <f>AND(Bills!AB510,"AAAAAHvfv14=")</f>
        <v>#VALUE!</v>
      </c>
      <c r="CR148" t="e">
        <f>AND(Bills!#REF!,"AAAAAHvfv18=")</f>
        <v>#REF!</v>
      </c>
      <c r="CS148">
        <f>IF(Bills!511:511,"AAAAAHvfv2A=",0)</f>
        <v>0</v>
      </c>
      <c r="CT148" t="e">
        <f>AND(Bills!B511,"AAAAAHvfv2E=")</f>
        <v>#VALUE!</v>
      </c>
      <c r="CU148" t="e">
        <f>AND(Bills!#REF!,"AAAAAHvfv2I=")</f>
        <v>#REF!</v>
      </c>
      <c r="CV148" t="e">
        <f>AND(Bills!C511,"AAAAAHvfv2M=")</f>
        <v>#VALUE!</v>
      </c>
      <c r="CW148" t="e">
        <f>AND(Bills!#REF!,"AAAAAHvfv2Q=")</f>
        <v>#REF!</v>
      </c>
      <c r="CX148" t="e">
        <f>AND(Bills!#REF!,"AAAAAHvfv2U=")</f>
        <v>#REF!</v>
      </c>
      <c r="CY148" t="e">
        <f>AND(Bills!#REF!,"AAAAAHvfv2Y=")</f>
        <v>#REF!</v>
      </c>
      <c r="CZ148" t="e">
        <f>AND(Bills!#REF!,"AAAAAHvfv2c=")</f>
        <v>#REF!</v>
      </c>
      <c r="DA148" t="e">
        <f>AND(Bills!#REF!,"AAAAAHvfv2g=")</f>
        <v>#REF!</v>
      </c>
      <c r="DB148" t="e">
        <f>AND(Bills!D511,"AAAAAHvfv2k=")</f>
        <v>#VALUE!</v>
      </c>
      <c r="DC148" t="e">
        <f>AND(Bills!#REF!,"AAAAAHvfv2o=")</f>
        <v>#REF!</v>
      </c>
      <c r="DD148" t="e">
        <f>AND(Bills!E511,"AAAAAHvfv2s=")</f>
        <v>#VALUE!</v>
      </c>
      <c r="DE148" t="e">
        <f>AND(Bills!F511,"AAAAAHvfv2w=")</f>
        <v>#VALUE!</v>
      </c>
      <c r="DF148" t="e">
        <f>AND(Bills!G511,"AAAAAHvfv20=")</f>
        <v>#VALUE!</v>
      </c>
      <c r="DG148" t="e">
        <f>AND(Bills!H511,"AAAAAHvfv24=")</f>
        <v>#VALUE!</v>
      </c>
      <c r="DH148" t="e">
        <f>AND(Bills!I511,"AAAAAHvfv28=")</f>
        <v>#VALUE!</v>
      </c>
      <c r="DI148" t="e">
        <f>AND(Bills!J511,"AAAAAHvfv3A=")</f>
        <v>#VALUE!</v>
      </c>
      <c r="DJ148" t="e">
        <f>AND(Bills!#REF!,"AAAAAHvfv3E=")</f>
        <v>#REF!</v>
      </c>
      <c r="DK148" t="e">
        <f>AND(Bills!K511,"AAAAAHvfv3I=")</f>
        <v>#VALUE!</v>
      </c>
      <c r="DL148" t="e">
        <f>AND(Bills!L511,"AAAAAHvfv3M=")</f>
        <v>#VALUE!</v>
      </c>
      <c r="DM148" t="e">
        <f>AND(Bills!M511,"AAAAAHvfv3Q=")</f>
        <v>#VALUE!</v>
      </c>
      <c r="DN148" t="e">
        <f>AND(Bills!N511,"AAAAAHvfv3U=")</f>
        <v>#VALUE!</v>
      </c>
      <c r="DO148" t="e">
        <f>AND(Bills!O511,"AAAAAHvfv3Y=")</f>
        <v>#VALUE!</v>
      </c>
      <c r="DP148" t="e">
        <f>AND(Bills!P511,"AAAAAHvfv3c=")</f>
        <v>#VALUE!</v>
      </c>
      <c r="DQ148" t="e">
        <f>AND(Bills!Q511,"AAAAAHvfv3g=")</f>
        <v>#VALUE!</v>
      </c>
      <c r="DR148" t="e">
        <f>AND(Bills!R511,"AAAAAHvfv3k=")</f>
        <v>#VALUE!</v>
      </c>
      <c r="DS148" t="e">
        <f>AND(Bills!#REF!,"AAAAAHvfv3o=")</f>
        <v>#REF!</v>
      </c>
      <c r="DT148" t="e">
        <f>AND(Bills!S511,"AAAAAHvfv3s=")</f>
        <v>#VALUE!</v>
      </c>
      <c r="DU148" t="e">
        <f>AND(Bills!T511,"AAAAAHvfv3w=")</f>
        <v>#VALUE!</v>
      </c>
      <c r="DV148" t="e">
        <f>AND(Bills!U511,"AAAAAHvfv30=")</f>
        <v>#VALUE!</v>
      </c>
      <c r="DW148" t="e">
        <f>AND(Bills!#REF!,"AAAAAHvfv34=")</f>
        <v>#REF!</v>
      </c>
      <c r="DX148" t="e">
        <f>AND(Bills!#REF!,"AAAAAHvfv38=")</f>
        <v>#REF!</v>
      </c>
      <c r="DY148" t="e">
        <f>AND(Bills!W511,"AAAAAHvfv4A=")</f>
        <v>#VALUE!</v>
      </c>
      <c r="DZ148" t="e">
        <f>AND(Bills!X511,"AAAAAHvfv4E=")</f>
        <v>#VALUE!</v>
      </c>
      <c r="EA148" t="e">
        <f>AND(Bills!#REF!,"AAAAAHvfv4I=")</f>
        <v>#REF!</v>
      </c>
      <c r="EB148" t="e">
        <f>AND(Bills!#REF!,"AAAAAHvfv4M=")</f>
        <v>#REF!</v>
      </c>
      <c r="EC148" t="e">
        <f>AND(Bills!#REF!,"AAAAAHvfv4Q=")</f>
        <v>#REF!</v>
      </c>
      <c r="ED148" t="e">
        <f>AND(Bills!#REF!,"AAAAAHvfv4U=")</f>
        <v>#REF!</v>
      </c>
      <c r="EE148" t="e">
        <f>AND(Bills!#REF!,"AAAAAHvfv4Y=")</f>
        <v>#REF!</v>
      </c>
      <c r="EF148" t="e">
        <f>AND(Bills!#REF!,"AAAAAHvfv4c=")</f>
        <v>#REF!</v>
      </c>
      <c r="EG148" t="e">
        <f>AND(Bills!#REF!,"AAAAAHvfv4g=")</f>
        <v>#REF!</v>
      </c>
      <c r="EH148" t="e">
        <f>AND(Bills!#REF!,"AAAAAHvfv4k=")</f>
        <v>#REF!</v>
      </c>
      <c r="EI148" t="e">
        <f>AND(Bills!#REF!,"AAAAAHvfv4o=")</f>
        <v>#REF!</v>
      </c>
      <c r="EJ148" t="e">
        <f>AND(Bills!Y511,"AAAAAHvfv4s=")</f>
        <v>#VALUE!</v>
      </c>
      <c r="EK148" t="e">
        <f>AND(Bills!Z511,"AAAAAHvfv4w=")</f>
        <v>#VALUE!</v>
      </c>
      <c r="EL148" t="e">
        <f>AND(Bills!#REF!,"AAAAAHvfv40=")</f>
        <v>#REF!</v>
      </c>
      <c r="EM148" t="e">
        <f>AND(Bills!#REF!,"AAAAAHvfv44=")</f>
        <v>#REF!</v>
      </c>
      <c r="EN148" t="e">
        <f>AND(Bills!#REF!,"AAAAAHvfv48=")</f>
        <v>#REF!</v>
      </c>
      <c r="EO148" t="e">
        <f>AND(Bills!AA511,"AAAAAHvfv5A=")</f>
        <v>#VALUE!</v>
      </c>
      <c r="EP148" t="e">
        <f>AND(Bills!AB511,"AAAAAHvfv5E=")</f>
        <v>#VALUE!</v>
      </c>
      <c r="EQ148" t="e">
        <f>AND(Bills!#REF!,"AAAAAHvfv5I=")</f>
        <v>#REF!</v>
      </c>
      <c r="ER148">
        <f>IF(Bills!512:512,"AAAAAHvfv5M=",0)</f>
        <v>0</v>
      </c>
      <c r="ES148" t="e">
        <f>AND(Bills!B512,"AAAAAHvfv5Q=")</f>
        <v>#VALUE!</v>
      </c>
      <c r="ET148" t="e">
        <f>AND(Bills!#REF!,"AAAAAHvfv5U=")</f>
        <v>#REF!</v>
      </c>
      <c r="EU148" t="e">
        <f>AND(Bills!C512,"AAAAAHvfv5Y=")</f>
        <v>#VALUE!</v>
      </c>
      <c r="EV148" t="e">
        <f>AND(Bills!#REF!,"AAAAAHvfv5c=")</f>
        <v>#REF!</v>
      </c>
      <c r="EW148" t="e">
        <f>AND(Bills!#REF!,"AAAAAHvfv5g=")</f>
        <v>#REF!</v>
      </c>
      <c r="EX148" t="e">
        <f>AND(Bills!#REF!,"AAAAAHvfv5k=")</f>
        <v>#REF!</v>
      </c>
      <c r="EY148" t="e">
        <f>AND(Bills!#REF!,"AAAAAHvfv5o=")</f>
        <v>#REF!</v>
      </c>
      <c r="EZ148" t="e">
        <f>AND(Bills!#REF!,"AAAAAHvfv5s=")</f>
        <v>#REF!</v>
      </c>
      <c r="FA148" t="e">
        <f>AND(Bills!D512,"AAAAAHvfv5w=")</f>
        <v>#VALUE!</v>
      </c>
      <c r="FB148" t="e">
        <f>AND(Bills!#REF!,"AAAAAHvfv50=")</f>
        <v>#REF!</v>
      </c>
      <c r="FC148" t="e">
        <f>AND(Bills!E512,"AAAAAHvfv54=")</f>
        <v>#VALUE!</v>
      </c>
      <c r="FD148" t="e">
        <f>AND(Bills!F512,"AAAAAHvfv58=")</f>
        <v>#VALUE!</v>
      </c>
      <c r="FE148" t="e">
        <f>AND(Bills!G512,"AAAAAHvfv6A=")</f>
        <v>#VALUE!</v>
      </c>
      <c r="FF148" t="e">
        <f>AND(Bills!H512,"AAAAAHvfv6E=")</f>
        <v>#VALUE!</v>
      </c>
      <c r="FG148" t="e">
        <f>AND(Bills!I512,"AAAAAHvfv6I=")</f>
        <v>#VALUE!</v>
      </c>
      <c r="FH148" t="e">
        <f>AND(Bills!J512,"AAAAAHvfv6M=")</f>
        <v>#VALUE!</v>
      </c>
      <c r="FI148" t="e">
        <f>AND(Bills!#REF!,"AAAAAHvfv6Q=")</f>
        <v>#REF!</v>
      </c>
      <c r="FJ148" t="e">
        <f>AND(Bills!K512,"AAAAAHvfv6U=")</f>
        <v>#VALUE!</v>
      </c>
      <c r="FK148" t="e">
        <f>AND(Bills!L512,"AAAAAHvfv6Y=")</f>
        <v>#VALUE!</v>
      </c>
      <c r="FL148" t="e">
        <f>AND(Bills!M512,"AAAAAHvfv6c=")</f>
        <v>#VALUE!</v>
      </c>
      <c r="FM148" t="e">
        <f>AND(Bills!N512,"AAAAAHvfv6g=")</f>
        <v>#VALUE!</v>
      </c>
      <c r="FN148" t="e">
        <f>AND(Bills!O512,"AAAAAHvfv6k=")</f>
        <v>#VALUE!</v>
      </c>
      <c r="FO148" t="e">
        <f>AND(Bills!P512,"AAAAAHvfv6o=")</f>
        <v>#VALUE!</v>
      </c>
      <c r="FP148" t="e">
        <f>AND(Bills!Q512,"AAAAAHvfv6s=")</f>
        <v>#VALUE!</v>
      </c>
      <c r="FQ148" t="e">
        <f>AND(Bills!R512,"AAAAAHvfv6w=")</f>
        <v>#VALUE!</v>
      </c>
      <c r="FR148" t="e">
        <f>AND(Bills!#REF!,"AAAAAHvfv60=")</f>
        <v>#REF!</v>
      </c>
      <c r="FS148" t="e">
        <f>AND(Bills!S512,"AAAAAHvfv64=")</f>
        <v>#VALUE!</v>
      </c>
      <c r="FT148" t="e">
        <f>AND(Bills!T512,"AAAAAHvfv68=")</f>
        <v>#VALUE!</v>
      </c>
      <c r="FU148" t="e">
        <f>AND(Bills!U512,"AAAAAHvfv7A=")</f>
        <v>#VALUE!</v>
      </c>
      <c r="FV148" t="e">
        <f>AND(Bills!#REF!,"AAAAAHvfv7E=")</f>
        <v>#REF!</v>
      </c>
      <c r="FW148" t="e">
        <f>AND(Bills!#REF!,"AAAAAHvfv7I=")</f>
        <v>#REF!</v>
      </c>
      <c r="FX148" t="e">
        <f>AND(Bills!W512,"AAAAAHvfv7M=")</f>
        <v>#VALUE!</v>
      </c>
      <c r="FY148" t="e">
        <f>AND(Bills!X512,"AAAAAHvfv7Q=")</f>
        <v>#VALUE!</v>
      </c>
      <c r="FZ148" t="e">
        <f>AND(Bills!#REF!,"AAAAAHvfv7U=")</f>
        <v>#REF!</v>
      </c>
      <c r="GA148" t="e">
        <f>AND(Bills!#REF!,"AAAAAHvfv7Y=")</f>
        <v>#REF!</v>
      </c>
      <c r="GB148" t="e">
        <f>AND(Bills!#REF!,"AAAAAHvfv7c=")</f>
        <v>#REF!</v>
      </c>
      <c r="GC148" t="e">
        <f>AND(Bills!#REF!,"AAAAAHvfv7g=")</f>
        <v>#REF!</v>
      </c>
      <c r="GD148" t="e">
        <f>AND(Bills!#REF!,"AAAAAHvfv7k=")</f>
        <v>#REF!</v>
      </c>
      <c r="GE148" t="e">
        <f>AND(Bills!#REF!,"AAAAAHvfv7o=")</f>
        <v>#REF!</v>
      </c>
      <c r="GF148" t="e">
        <f>AND(Bills!#REF!,"AAAAAHvfv7s=")</f>
        <v>#REF!</v>
      </c>
      <c r="GG148" t="e">
        <f>AND(Bills!#REF!,"AAAAAHvfv7w=")</f>
        <v>#REF!</v>
      </c>
      <c r="GH148" t="e">
        <f>AND(Bills!#REF!,"AAAAAHvfv70=")</f>
        <v>#REF!</v>
      </c>
      <c r="GI148" t="e">
        <f>AND(Bills!Y512,"AAAAAHvfv74=")</f>
        <v>#VALUE!</v>
      </c>
      <c r="GJ148" t="e">
        <f>AND(Bills!Z512,"AAAAAHvfv78=")</f>
        <v>#VALUE!</v>
      </c>
      <c r="GK148" t="e">
        <f>AND(Bills!#REF!,"AAAAAHvfv8A=")</f>
        <v>#REF!</v>
      </c>
      <c r="GL148" t="e">
        <f>AND(Bills!#REF!,"AAAAAHvfv8E=")</f>
        <v>#REF!</v>
      </c>
      <c r="GM148" t="e">
        <f>AND(Bills!#REF!,"AAAAAHvfv8I=")</f>
        <v>#REF!</v>
      </c>
      <c r="GN148" t="e">
        <f>AND(Bills!AA512,"AAAAAHvfv8M=")</f>
        <v>#VALUE!</v>
      </c>
      <c r="GO148" t="e">
        <f>AND(Bills!AB512,"AAAAAHvfv8Q=")</f>
        <v>#VALUE!</v>
      </c>
      <c r="GP148" t="e">
        <f>AND(Bills!#REF!,"AAAAAHvfv8U=")</f>
        <v>#REF!</v>
      </c>
      <c r="GQ148">
        <f>IF(Bills!513:513,"AAAAAHvfv8Y=",0)</f>
        <v>0</v>
      </c>
      <c r="GR148" t="e">
        <f>AND(Bills!B513,"AAAAAHvfv8c=")</f>
        <v>#VALUE!</v>
      </c>
      <c r="GS148" t="e">
        <f>AND(Bills!#REF!,"AAAAAHvfv8g=")</f>
        <v>#REF!</v>
      </c>
      <c r="GT148" t="e">
        <f>AND(Bills!C513,"AAAAAHvfv8k=")</f>
        <v>#VALUE!</v>
      </c>
      <c r="GU148" t="e">
        <f>AND(Bills!#REF!,"AAAAAHvfv8o=")</f>
        <v>#REF!</v>
      </c>
      <c r="GV148" t="e">
        <f>AND(Bills!#REF!,"AAAAAHvfv8s=")</f>
        <v>#REF!</v>
      </c>
      <c r="GW148" t="e">
        <f>AND(Bills!#REF!,"AAAAAHvfv8w=")</f>
        <v>#REF!</v>
      </c>
      <c r="GX148" t="e">
        <f>AND(Bills!#REF!,"AAAAAHvfv80=")</f>
        <v>#REF!</v>
      </c>
      <c r="GY148" t="e">
        <f>AND(Bills!#REF!,"AAAAAHvfv84=")</f>
        <v>#REF!</v>
      </c>
      <c r="GZ148" t="e">
        <f>AND(Bills!D513,"AAAAAHvfv88=")</f>
        <v>#VALUE!</v>
      </c>
      <c r="HA148" t="e">
        <f>AND(Bills!#REF!,"AAAAAHvfv9A=")</f>
        <v>#REF!</v>
      </c>
      <c r="HB148" t="e">
        <f>AND(Bills!E513,"AAAAAHvfv9E=")</f>
        <v>#VALUE!</v>
      </c>
      <c r="HC148" t="e">
        <f>AND(Bills!F513,"AAAAAHvfv9I=")</f>
        <v>#VALUE!</v>
      </c>
      <c r="HD148" t="e">
        <f>AND(Bills!G513,"AAAAAHvfv9M=")</f>
        <v>#VALUE!</v>
      </c>
      <c r="HE148" t="e">
        <f>AND(Bills!H513,"AAAAAHvfv9Q=")</f>
        <v>#VALUE!</v>
      </c>
      <c r="HF148" t="e">
        <f>AND(Bills!I513,"AAAAAHvfv9U=")</f>
        <v>#VALUE!</v>
      </c>
      <c r="HG148" t="e">
        <f>AND(Bills!J513,"AAAAAHvfv9Y=")</f>
        <v>#VALUE!</v>
      </c>
      <c r="HH148" t="e">
        <f>AND(Bills!#REF!,"AAAAAHvfv9c=")</f>
        <v>#REF!</v>
      </c>
      <c r="HI148" t="e">
        <f>AND(Bills!K513,"AAAAAHvfv9g=")</f>
        <v>#VALUE!</v>
      </c>
      <c r="HJ148" t="e">
        <f>AND(Bills!L513,"AAAAAHvfv9k=")</f>
        <v>#VALUE!</v>
      </c>
      <c r="HK148" t="e">
        <f>AND(Bills!M513,"AAAAAHvfv9o=")</f>
        <v>#VALUE!</v>
      </c>
      <c r="HL148" t="e">
        <f>AND(Bills!N513,"AAAAAHvfv9s=")</f>
        <v>#VALUE!</v>
      </c>
      <c r="HM148" t="e">
        <f>AND(Bills!O513,"AAAAAHvfv9w=")</f>
        <v>#VALUE!</v>
      </c>
      <c r="HN148" t="e">
        <f>AND(Bills!P513,"AAAAAHvfv90=")</f>
        <v>#VALUE!</v>
      </c>
      <c r="HO148" t="e">
        <f>AND(Bills!Q513,"AAAAAHvfv94=")</f>
        <v>#VALUE!</v>
      </c>
      <c r="HP148" t="e">
        <f>AND(Bills!R513,"AAAAAHvfv98=")</f>
        <v>#VALUE!</v>
      </c>
      <c r="HQ148" t="e">
        <f>AND(Bills!#REF!,"AAAAAHvfv+A=")</f>
        <v>#REF!</v>
      </c>
      <c r="HR148" t="e">
        <f>AND(Bills!S513,"AAAAAHvfv+E=")</f>
        <v>#VALUE!</v>
      </c>
      <c r="HS148" t="e">
        <f>AND(Bills!T513,"AAAAAHvfv+I=")</f>
        <v>#VALUE!</v>
      </c>
      <c r="HT148" t="e">
        <f>AND(Bills!U513,"AAAAAHvfv+M=")</f>
        <v>#VALUE!</v>
      </c>
      <c r="HU148" t="e">
        <f>AND(Bills!#REF!,"AAAAAHvfv+Q=")</f>
        <v>#REF!</v>
      </c>
      <c r="HV148" t="e">
        <f>AND(Bills!#REF!,"AAAAAHvfv+U=")</f>
        <v>#REF!</v>
      </c>
      <c r="HW148" t="e">
        <f>AND(Bills!W513,"AAAAAHvfv+Y=")</f>
        <v>#VALUE!</v>
      </c>
      <c r="HX148" t="e">
        <f>AND(Bills!X513,"AAAAAHvfv+c=")</f>
        <v>#VALUE!</v>
      </c>
      <c r="HY148" t="e">
        <f>AND(Bills!#REF!,"AAAAAHvfv+g=")</f>
        <v>#REF!</v>
      </c>
      <c r="HZ148" t="e">
        <f>AND(Bills!#REF!,"AAAAAHvfv+k=")</f>
        <v>#REF!</v>
      </c>
      <c r="IA148" t="e">
        <f>AND(Bills!#REF!,"AAAAAHvfv+o=")</f>
        <v>#REF!</v>
      </c>
      <c r="IB148" t="e">
        <f>AND(Bills!#REF!,"AAAAAHvfv+s=")</f>
        <v>#REF!</v>
      </c>
      <c r="IC148" t="e">
        <f>AND(Bills!#REF!,"AAAAAHvfv+w=")</f>
        <v>#REF!</v>
      </c>
      <c r="ID148" t="e">
        <f>AND(Bills!#REF!,"AAAAAHvfv+0=")</f>
        <v>#REF!</v>
      </c>
      <c r="IE148" t="e">
        <f>AND(Bills!#REF!,"AAAAAHvfv+4=")</f>
        <v>#REF!</v>
      </c>
      <c r="IF148" t="e">
        <f>AND(Bills!#REF!,"AAAAAHvfv+8=")</f>
        <v>#REF!</v>
      </c>
      <c r="IG148" t="e">
        <f>AND(Bills!#REF!,"AAAAAHvfv/A=")</f>
        <v>#REF!</v>
      </c>
      <c r="IH148" t="e">
        <f>AND(Bills!Y513,"AAAAAHvfv/E=")</f>
        <v>#VALUE!</v>
      </c>
      <c r="II148" t="e">
        <f>AND(Bills!Z513,"AAAAAHvfv/I=")</f>
        <v>#VALUE!</v>
      </c>
      <c r="IJ148" t="e">
        <f>AND(Bills!#REF!,"AAAAAHvfv/M=")</f>
        <v>#REF!</v>
      </c>
      <c r="IK148" t="e">
        <f>AND(Bills!#REF!,"AAAAAHvfv/Q=")</f>
        <v>#REF!</v>
      </c>
      <c r="IL148" t="e">
        <f>AND(Bills!#REF!,"AAAAAHvfv/U=")</f>
        <v>#REF!</v>
      </c>
      <c r="IM148" t="e">
        <f>AND(Bills!AA513,"AAAAAHvfv/Y=")</f>
        <v>#VALUE!</v>
      </c>
      <c r="IN148" t="e">
        <f>AND(Bills!AB513,"AAAAAHvfv/c=")</f>
        <v>#VALUE!</v>
      </c>
      <c r="IO148" t="e">
        <f>AND(Bills!#REF!,"AAAAAHvfv/g=")</f>
        <v>#REF!</v>
      </c>
      <c r="IP148">
        <f>IF(Bills!514:514,"AAAAAHvfv/k=",0)</f>
        <v>0</v>
      </c>
      <c r="IQ148" t="e">
        <f>AND(Bills!B514,"AAAAAHvfv/o=")</f>
        <v>#VALUE!</v>
      </c>
      <c r="IR148" t="e">
        <f>AND(Bills!#REF!,"AAAAAHvfv/s=")</f>
        <v>#REF!</v>
      </c>
      <c r="IS148" t="e">
        <f>AND(Bills!C514,"AAAAAHvfv/w=")</f>
        <v>#VALUE!</v>
      </c>
      <c r="IT148" t="e">
        <f>AND(Bills!#REF!,"AAAAAHvfv/0=")</f>
        <v>#REF!</v>
      </c>
      <c r="IU148" t="e">
        <f>AND(Bills!#REF!,"AAAAAHvfv/4=")</f>
        <v>#REF!</v>
      </c>
      <c r="IV148" t="e">
        <f>AND(Bills!#REF!,"AAAAAHvfv/8=")</f>
        <v>#REF!</v>
      </c>
    </row>
    <row r="149" spans="1:256">
      <c r="A149" t="e">
        <f>AND(Bills!#REF!,"AAAAAH/z3gA=")</f>
        <v>#REF!</v>
      </c>
      <c r="B149" t="e">
        <f>AND(Bills!#REF!,"AAAAAH/z3gE=")</f>
        <v>#REF!</v>
      </c>
      <c r="C149" t="e">
        <f>AND(Bills!D514,"AAAAAH/z3gI=")</f>
        <v>#VALUE!</v>
      </c>
      <c r="D149" t="e">
        <f>AND(Bills!#REF!,"AAAAAH/z3gM=")</f>
        <v>#REF!</v>
      </c>
      <c r="E149" t="e">
        <f>AND(Bills!E514,"AAAAAH/z3gQ=")</f>
        <v>#VALUE!</v>
      </c>
      <c r="F149" t="e">
        <f>AND(Bills!F514,"AAAAAH/z3gU=")</f>
        <v>#VALUE!</v>
      </c>
      <c r="G149" t="e">
        <f>AND(Bills!G514,"AAAAAH/z3gY=")</f>
        <v>#VALUE!</v>
      </c>
      <c r="H149" t="e">
        <f>AND(Bills!H514,"AAAAAH/z3gc=")</f>
        <v>#VALUE!</v>
      </c>
      <c r="I149" t="e">
        <f>AND(Bills!I514,"AAAAAH/z3gg=")</f>
        <v>#VALUE!</v>
      </c>
      <c r="J149" t="e">
        <f>AND(Bills!J514,"AAAAAH/z3gk=")</f>
        <v>#VALUE!</v>
      </c>
      <c r="K149" t="e">
        <f>AND(Bills!#REF!,"AAAAAH/z3go=")</f>
        <v>#REF!</v>
      </c>
      <c r="L149" t="e">
        <f>AND(Bills!K514,"AAAAAH/z3gs=")</f>
        <v>#VALUE!</v>
      </c>
      <c r="M149" t="e">
        <f>AND(Bills!L514,"AAAAAH/z3gw=")</f>
        <v>#VALUE!</v>
      </c>
      <c r="N149" t="e">
        <f>AND(Bills!M514,"AAAAAH/z3g0=")</f>
        <v>#VALUE!</v>
      </c>
      <c r="O149" t="e">
        <f>AND(Bills!N514,"AAAAAH/z3g4=")</f>
        <v>#VALUE!</v>
      </c>
      <c r="P149" t="e">
        <f>AND(Bills!O514,"AAAAAH/z3g8=")</f>
        <v>#VALUE!</v>
      </c>
      <c r="Q149" t="e">
        <f>AND(Bills!P514,"AAAAAH/z3hA=")</f>
        <v>#VALUE!</v>
      </c>
      <c r="R149" t="e">
        <f>AND(Bills!Q514,"AAAAAH/z3hE=")</f>
        <v>#VALUE!</v>
      </c>
      <c r="S149" t="e">
        <f>AND(Bills!R514,"AAAAAH/z3hI=")</f>
        <v>#VALUE!</v>
      </c>
      <c r="T149" t="e">
        <f>AND(Bills!#REF!,"AAAAAH/z3hM=")</f>
        <v>#REF!</v>
      </c>
      <c r="U149" t="e">
        <f>AND(Bills!S514,"AAAAAH/z3hQ=")</f>
        <v>#VALUE!</v>
      </c>
      <c r="V149" t="e">
        <f>AND(Bills!T514,"AAAAAH/z3hU=")</f>
        <v>#VALUE!</v>
      </c>
      <c r="W149" t="e">
        <f>AND(Bills!U514,"AAAAAH/z3hY=")</f>
        <v>#VALUE!</v>
      </c>
      <c r="X149" t="e">
        <f>AND(Bills!#REF!,"AAAAAH/z3hc=")</f>
        <v>#REF!</v>
      </c>
      <c r="Y149" t="e">
        <f>AND(Bills!#REF!,"AAAAAH/z3hg=")</f>
        <v>#REF!</v>
      </c>
      <c r="Z149" t="e">
        <f>AND(Bills!W514,"AAAAAH/z3hk=")</f>
        <v>#VALUE!</v>
      </c>
      <c r="AA149" t="e">
        <f>AND(Bills!X514,"AAAAAH/z3ho=")</f>
        <v>#VALUE!</v>
      </c>
      <c r="AB149" t="e">
        <f>AND(Bills!#REF!,"AAAAAH/z3hs=")</f>
        <v>#REF!</v>
      </c>
      <c r="AC149" t="e">
        <f>AND(Bills!#REF!,"AAAAAH/z3hw=")</f>
        <v>#REF!</v>
      </c>
      <c r="AD149" t="e">
        <f>AND(Bills!#REF!,"AAAAAH/z3h0=")</f>
        <v>#REF!</v>
      </c>
      <c r="AE149" t="e">
        <f>AND(Bills!#REF!,"AAAAAH/z3h4=")</f>
        <v>#REF!</v>
      </c>
      <c r="AF149" t="e">
        <f>AND(Bills!#REF!,"AAAAAH/z3h8=")</f>
        <v>#REF!</v>
      </c>
      <c r="AG149" t="e">
        <f>AND(Bills!#REF!,"AAAAAH/z3iA=")</f>
        <v>#REF!</v>
      </c>
      <c r="AH149" t="e">
        <f>AND(Bills!#REF!,"AAAAAH/z3iE=")</f>
        <v>#REF!</v>
      </c>
      <c r="AI149" t="e">
        <f>AND(Bills!#REF!,"AAAAAH/z3iI=")</f>
        <v>#REF!</v>
      </c>
      <c r="AJ149" t="e">
        <f>AND(Bills!#REF!,"AAAAAH/z3iM=")</f>
        <v>#REF!</v>
      </c>
      <c r="AK149" t="e">
        <f>AND(Bills!Y514,"AAAAAH/z3iQ=")</f>
        <v>#VALUE!</v>
      </c>
      <c r="AL149" t="e">
        <f>AND(Bills!Z514,"AAAAAH/z3iU=")</f>
        <v>#VALUE!</v>
      </c>
      <c r="AM149" t="e">
        <f>AND(Bills!#REF!,"AAAAAH/z3iY=")</f>
        <v>#REF!</v>
      </c>
      <c r="AN149" t="e">
        <f>AND(Bills!#REF!,"AAAAAH/z3ic=")</f>
        <v>#REF!</v>
      </c>
      <c r="AO149" t="e">
        <f>AND(Bills!#REF!,"AAAAAH/z3ig=")</f>
        <v>#REF!</v>
      </c>
      <c r="AP149" t="e">
        <f>AND(Bills!AA514,"AAAAAH/z3ik=")</f>
        <v>#VALUE!</v>
      </c>
      <c r="AQ149" t="e">
        <f>AND(Bills!AB514,"AAAAAH/z3io=")</f>
        <v>#VALUE!</v>
      </c>
      <c r="AR149" t="e">
        <f>AND(Bills!#REF!,"AAAAAH/z3is=")</f>
        <v>#REF!</v>
      </c>
      <c r="AS149">
        <f>IF(Bills!515:515,"AAAAAH/z3iw=",0)</f>
        <v>0</v>
      </c>
      <c r="AT149" t="e">
        <f>AND(Bills!B515,"AAAAAH/z3i0=")</f>
        <v>#VALUE!</v>
      </c>
      <c r="AU149" t="e">
        <f>AND(Bills!#REF!,"AAAAAH/z3i4=")</f>
        <v>#REF!</v>
      </c>
      <c r="AV149" t="e">
        <f>AND(Bills!C515,"AAAAAH/z3i8=")</f>
        <v>#VALUE!</v>
      </c>
      <c r="AW149" t="e">
        <f>AND(Bills!#REF!,"AAAAAH/z3jA=")</f>
        <v>#REF!</v>
      </c>
      <c r="AX149" t="e">
        <f>AND(Bills!#REF!,"AAAAAH/z3jE=")</f>
        <v>#REF!</v>
      </c>
      <c r="AY149" t="e">
        <f>AND(Bills!#REF!,"AAAAAH/z3jI=")</f>
        <v>#REF!</v>
      </c>
      <c r="AZ149" t="e">
        <f>AND(Bills!#REF!,"AAAAAH/z3jM=")</f>
        <v>#REF!</v>
      </c>
      <c r="BA149" t="e">
        <f>AND(Bills!#REF!,"AAAAAH/z3jQ=")</f>
        <v>#REF!</v>
      </c>
      <c r="BB149" t="e">
        <f>AND(Bills!D515,"AAAAAH/z3jU=")</f>
        <v>#VALUE!</v>
      </c>
      <c r="BC149" t="e">
        <f>AND(Bills!#REF!,"AAAAAH/z3jY=")</f>
        <v>#REF!</v>
      </c>
      <c r="BD149" t="e">
        <f>AND(Bills!E515,"AAAAAH/z3jc=")</f>
        <v>#VALUE!</v>
      </c>
      <c r="BE149" t="e">
        <f>AND(Bills!F515,"AAAAAH/z3jg=")</f>
        <v>#VALUE!</v>
      </c>
      <c r="BF149" t="e">
        <f>AND(Bills!G515,"AAAAAH/z3jk=")</f>
        <v>#VALUE!</v>
      </c>
      <c r="BG149" t="e">
        <f>AND(Bills!H515,"AAAAAH/z3jo=")</f>
        <v>#VALUE!</v>
      </c>
      <c r="BH149" t="e">
        <f>AND(Bills!I515,"AAAAAH/z3js=")</f>
        <v>#VALUE!</v>
      </c>
      <c r="BI149" t="e">
        <f>AND(Bills!J515,"AAAAAH/z3jw=")</f>
        <v>#VALUE!</v>
      </c>
      <c r="BJ149" t="e">
        <f>AND(Bills!#REF!,"AAAAAH/z3j0=")</f>
        <v>#REF!</v>
      </c>
      <c r="BK149" t="e">
        <f>AND(Bills!K515,"AAAAAH/z3j4=")</f>
        <v>#VALUE!</v>
      </c>
      <c r="BL149" t="e">
        <f>AND(Bills!L515,"AAAAAH/z3j8=")</f>
        <v>#VALUE!</v>
      </c>
      <c r="BM149" t="e">
        <f>AND(Bills!M515,"AAAAAH/z3kA=")</f>
        <v>#VALUE!</v>
      </c>
      <c r="BN149" t="e">
        <f>AND(Bills!N515,"AAAAAH/z3kE=")</f>
        <v>#VALUE!</v>
      </c>
      <c r="BO149" t="e">
        <f>AND(Bills!O515,"AAAAAH/z3kI=")</f>
        <v>#VALUE!</v>
      </c>
      <c r="BP149" t="e">
        <f>AND(Bills!P515,"AAAAAH/z3kM=")</f>
        <v>#VALUE!</v>
      </c>
      <c r="BQ149" t="e">
        <f>AND(Bills!Q515,"AAAAAH/z3kQ=")</f>
        <v>#VALUE!</v>
      </c>
      <c r="BR149" t="e">
        <f>AND(Bills!R515,"AAAAAH/z3kU=")</f>
        <v>#VALUE!</v>
      </c>
      <c r="BS149" t="e">
        <f>AND(Bills!#REF!,"AAAAAH/z3kY=")</f>
        <v>#REF!</v>
      </c>
      <c r="BT149" t="e">
        <f>AND(Bills!S515,"AAAAAH/z3kc=")</f>
        <v>#VALUE!</v>
      </c>
      <c r="BU149" t="e">
        <f>AND(Bills!T515,"AAAAAH/z3kg=")</f>
        <v>#VALUE!</v>
      </c>
      <c r="BV149" t="e">
        <f>AND(Bills!U515,"AAAAAH/z3kk=")</f>
        <v>#VALUE!</v>
      </c>
      <c r="BW149" t="e">
        <f>AND(Bills!#REF!,"AAAAAH/z3ko=")</f>
        <v>#REF!</v>
      </c>
      <c r="BX149" t="e">
        <f>AND(Bills!#REF!,"AAAAAH/z3ks=")</f>
        <v>#REF!</v>
      </c>
      <c r="BY149" t="e">
        <f>AND(Bills!W515,"AAAAAH/z3kw=")</f>
        <v>#VALUE!</v>
      </c>
      <c r="BZ149" t="e">
        <f>AND(Bills!X515,"AAAAAH/z3k0=")</f>
        <v>#VALUE!</v>
      </c>
      <c r="CA149" t="e">
        <f>AND(Bills!#REF!,"AAAAAH/z3k4=")</f>
        <v>#REF!</v>
      </c>
      <c r="CB149" t="e">
        <f>AND(Bills!#REF!,"AAAAAH/z3k8=")</f>
        <v>#REF!</v>
      </c>
      <c r="CC149" t="e">
        <f>AND(Bills!#REF!,"AAAAAH/z3lA=")</f>
        <v>#REF!</v>
      </c>
      <c r="CD149" t="e">
        <f>AND(Bills!#REF!,"AAAAAH/z3lE=")</f>
        <v>#REF!</v>
      </c>
      <c r="CE149" t="e">
        <f>AND(Bills!#REF!,"AAAAAH/z3lI=")</f>
        <v>#REF!</v>
      </c>
      <c r="CF149" t="e">
        <f>AND(Bills!#REF!,"AAAAAH/z3lM=")</f>
        <v>#REF!</v>
      </c>
      <c r="CG149" t="e">
        <f>AND(Bills!#REF!,"AAAAAH/z3lQ=")</f>
        <v>#REF!</v>
      </c>
      <c r="CH149" t="e">
        <f>AND(Bills!#REF!,"AAAAAH/z3lU=")</f>
        <v>#REF!</v>
      </c>
      <c r="CI149" t="e">
        <f>AND(Bills!#REF!,"AAAAAH/z3lY=")</f>
        <v>#REF!</v>
      </c>
      <c r="CJ149" t="e">
        <f>AND(Bills!Y515,"AAAAAH/z3lc=")</f>
        <v>#VALUE!</v>
      </c>
      <c r="CK149" t="e">
        <f>AND(Bills!Z515,"AAAAAH/z3lg=")</f>
        <v>#VALUE!</v>
      </c>
      <c r="CL149" t="e">
        <f>AND(Bills!#REF!,"AAAAAH/z3lk=")</f>
        <v>#REF!</v>
      </c>
      <c r="CM149" t="e">
        <f>AND(Bills!#REF!,"AAAAAH/z3lo=")</f>
        <v>#REF!</v>
      </c>
      <c r="CN149" t="e">
        <f>AND(Bills!#REF!,"AAAAAH/z3ls=")</f>
        <v>#REF!</v>
      </c>
      <c r="CO149" t="e">
        <f>AND(Bills!AA515,"AAAAAH/z3lw=")</f>
        <v>#VALUE!</v>
      </c>
      <c r="CP149" t="e">
        <f>AND(Bills!AB515,"AAAAAH/z3l0=")</f>
        <v>#VALUE!</v>
      </c>
      <c r="CQ149" t="e">
        <f>AND(Bills!#REF!,"AAAAAH/z3l4=")</f>
        <v>#REF!</v>
      </c>
      <c r="CR149">
        <f>IF(Bills!516:516,"AAAAAH/z3l8=",0)</f>
        <v>0</v>
      </c>
      <c r="CS149" t="e">
        <f>AND(Bills!B516,"AAAAAH/z3mA=")</f>
        <v>#VALUE!</v>
      </c>
      <c r="CT149" t="e">
        <f>AND(Bills!#REF!,"AAAAAH/z3mE=")</f>
        <v>#REF!</v>
      </c>
      <c r="CU149" t="e">
        <f>AND(Bills!C516,"AAAAAH/z3mI=")</f>
        <v>#VALUE!</v>
      </c>
      <c r="CV149" t="e">
        <f>AND(Bills!#REF!,"AAAAAH/z3mM=")</f>
        <v>#REF!</v>
      </c>
      <c r="CW149" t="e">
        <f>AND(Bills!#REF!,"AAAAAH/z3mQ=")</f>
        <v>#REF!</v>
      </c>
      <c r="CX149" t="e">
        <f>AND(Bills!#REF!,"AAAAAH/z3mU=")</f>
        <v>#REF!</v>
      </c>
      <c r="CY149" t="e">
        <f>AND(Bills!#REF!,"AAAAAH/z3mY=")</f>
        <v>#REF!</v>
      </c>
      <c r="CZ149" t="e">
        <f>AND(Bills!#REF!,"AAAAAH/z3mc=")</f>
        <v>#REF!</v>
      </c>
      <c r="DA149" t="e">
        <f>AND(Bills!D516,"AAAAAH/z3mg=")</f>
        <v>#VALUE!</v>
      </c>
      <c r="DB149" t="e">
        <f>AND(Bills!#REF!,"AAAAAH/z3mk=")</f>
        <v>#REF!</v>
      </c>
      <c r="DC149" t="e">
        <f>AND(Bills!E516,"AAAAAH/z3mo=")</f>
        <v>#VALUE!</v>
      </c>
      <c r="DD149" t="e">
        <f>AND(Bills!F516,"AAAAAH/z3ms=")</f>
        <v>#VALUE!</v>
      </c>
      <c r="DE149" t="e">
        <f>AND(Bills!G516,"AAAAAH/z3mw=")</f>
        <v>#VALUE!</v>
      </c>
      <c r="DF149" t="e">
        <f>AND(Bills!H516,"AAAAAH/z3m0=")</f>
        <v>#VALUE!</v>
      </c>
      <c r="DG149" t="e">
        <f>AND(Bills!I516,"AAAAAH/z3m4=")</f>
        <v>#VALUE!</v>
      </c>
      <c r="DH149" t="e">
        <f>AND(Bills!J516,"AAAAAH/z3m8=")</f>
        <v>#VALUE!</v>
      </c>
      <c r="DI149" t="e">
        <f>AND(Bills!#REF!,"AAAAAH/z3nA=")</f>
        <v>#REF!</v>
      </c>
      <c r="DJ149" t="e">
        <f>AND(Bills!K516,"AAAAAH/z3nE=")</f>
        <v>#VALUE!</v>
      </c>
      <c r="DK149" t="e">
        <f>AND(Bills!L516,"AAAAAH/z3nI=")</f>
        <v>#VALUE!</v>
      </c>
      <c r="DL149" t="e">
        <f>AND(Bills!M516,"AAAAAH/z3nM=")</f>
        <v>#VALUE!</v>
      </c>
      <c r="DM149" t="e">
        <f>AND(Bills!N516,"AAAAAH/z3nQ=")</f>
        <v>#VALUE!</v>
      </c>
      <c r="DN149" t="e">
        <f>AND(Bills!O516,"AAAAAH/z3nU=")</f>
        <v>#VALUE!</v>
      </c>
      <c r="DO149" t="e">
        <f>AND(Bills!P516,"AAAAAH/z3nY=")</f>
        <v>#VALUE!</v>
      </c>
      <c r="DP149" t="e">
        <f>AND(Bills!Q516,"AAAAAH/z3nc=")</f>
        <v>#VALUE!</v>
      </c>
      <c r="DQ149" t="e">
        <f>AND(Bills!R516,"AAAAAH/z3ng=")</f>
        <v>#VALUE!</v>
      </c>
      <c r="DR149" t="e">
        <f>AND(Bills!#REF!,"AAAAAH/z3nk=")</f>
        <v>#REF!</v>
      </c>
      <c r="DS149" t="e">
        <f>AND(Bills!S516,"AAAAAH/z3no=")</f>
        <v>#VALUE!</v>
      </c>
      <c r="DT149" t="e">
        <f>AND(Bills!T516,"AAAAAH/z3ns=")</f>
        <v>#VALUE!</v>
      </c>
      <c r="DU149" t="e">
        <f>AND(Bills!U516,"AAAAAH/z3nw=")</f>
        <v>#VALUE!</v>
      </c>
      <c r="DV149" t="e">
        <f>AND(Bills!#REF!,"AAAAAH/z3n0=")</f>
        <v>#REF!</v>
      </c>
      <c r="DW149" t="e">
        <f>AND(Bills!#REF!,"AAAAAH/z3n4=")</f>
        <v>#REF!</v>
      </c>
      <c r="DX149" t="e">
        <f>AND(Bills!W516,"AAAAAH/z3n8=")</f>
        <v>#VALUE!</v>
      </c>
      <c r="DY149" t="e">
        <f>AND(Bills!X516,"AAAAAH/z3oA=")</f>
        <v>#VALUE!</v>
      </c>
      <c r="DZ149" t="e">
        <f>AND(Bills!#REF!,"AAAAAH/z3oE=")</f>
        <v>#REF!</v>
      </c>
      <c r="EA149" t="e">
        <f>AND(Bills!#REF!,"AAAAAH/z3oI=")</f>
        <v>#REF!</v>
      </c>
      <c r="EB149" t="e">
        <f>AND(Bills!#REF!,"AAAAAH/z3oM=")</f>
        <v>#REF!</v>
      </c>
      <c r="EC149" t="e">
        <f>AND(Bills!#REF!,"AAAAAH/z3oQ=")</f>
        <v>#REF!</v>
      </c>
      <c r="ED149" t="e">
        <f>AND(Bills!#REF!,"AAAAAH/z3oU=")</f>
        <v>#REF!</v>
      </c>
      <c r="EE149" t="e">
        <f>AND(Bills!#REF!,"AAAAAH/z3oY=")</f>
        <v>#REF!</v>
      </c>
      <c r="EF149" t="e">
        <f>AND(Bills!#REF!,"AAAAAH/z3oc=")</f>
        <v>#REF!</v>
      </c>
      <c r="EG149" t="e">
        <f>AND(Bills!#REF!,"AAAAAH/z3og=")</f>
        <v>#REF!</v>
      </c>
      <c r="EH149" t="e">
        <f>AND(Bills!#REF!,"AAAAAH/z3ok=")</f>
        <v>#REF!</v>
      </c>
      <c r="EI149" t="e">
        <f>AND(Bills!Y516,"AAAAAH/z3oo=")</f>
        <v>#VALUE!</v>
      </c>
      <c r="EJ149" t="e">
        <f>AND(Bills!Z516,"AAAAAH/z3os=")</f>
        <v>#VALUE!</v>
      </c>
      <c r="EK149" t="e">
        <f>AND(Bills!#REF!,"AAAAAH/z3ow=")</f>
        <v>#REF!</v>
      </c>
      <c r="EL149" t="e">
        <f>AND(Bills!#REF!,"AAAAAH/z3o0=")</f>
        <v>#REF!</v>
      </c>
      <c r="EM149" t="e">
        <f>AND(Bills!#REF!,"AAAAAH/z3o4=")</f>
        <v>#REF!</v>
      </c>
      <c r="EN149" t="e">
        <f>AND(Bills!AA516,"AAAAAH/z3o8=")</f>
        <v>#VALUE!</v>
      </c>
      <c r="EO149" t="e">
        <f>AND(Bills!AB516,"AAAAAH/z3pA=")</f>
        <v>#VALUE!</v>
      </c>
      <c r="EP149" t="e">
        <f>AND(Bills!#REF!,"AAAAAH/z3pE=")</f>
        <v>#REF!</v>
      </c>
      <c r="EQ149">
        <f>IF(Bills!517:517,"AAAAAH/z3pI=",0)</f>
        <v>0</v>
      </c>
      <c r="ER149" t="e">
        <f>AND(Bills!B517,"AAAAAH/z3pM=")</f>
        <v>#VALUE!</v>
      </c>
      <c r="ES149" t="e">
        <f>AND(Bills!#REF!,"AAAAAH/z3pQ=")</f>
        <v>#REF!</v>
      </c>
      <c r="ET149" t="e">
        <f>AND(Bills!C517,"AAAAAH/z3pU=")</f>
        <v>#VALUE!</v>
      </c>
      <c r="EU149" t="e">
        <f>AND(Bills!#REF!,"AAAAAH/z3pY=")</f>
        <v>#REF!</v>
      </c>
      <c r="EV149" t="e">
        <f>AND(Bills!#REF!,"AAAAAH/z3pc=")</f>
        <v>#REF!</v>
      </c>
      <c r="EW149" t="e">
        <f>AND(Bills!#REF!,"AAAAAH/z3pg=")</f>
        <v>#REF!</v>
      </c>
      <c r="EX149" t="e">
        <f>AND(Bills!#REF!,"AAAAAH/z3pk=")</f>
        <v>#REF!</v>
      </c>
      <c r="EY149" t="e">
        <f>AND(Bills!#REF!,"AAAAAH/z3po=")</f>
        <v>#REF!</v>
      </c>
      <c r="EZ149" t="e">
        <f>AND(Bills!D517,"AAAAAH/z3ps=")</f>
        <v>#VALUE!</v>
      </c>
      <c r="FA149" t="e">
        <f>AND(Bills!#REF!,"AAAAAH/z3pw=")</f>
        <v>#REF!</v>
      </c>
      <c r="FB149" t="e">
        <f>AND(Bills!E517,"AAAAAH/z3p0=")</f>
        <v>#VALUE!</v>
      </c>
      <c r="FC149" t="e">
        <f>AND(Bills!F517,"AAAAAH/z3p4=")</f>
        <v>#VALUE!</v>
      </c>
      <c r="FD149" t="e">
        <f>AND(Bills!G517,"AAAAAH/z3p8=")</f>
        <v>#VALUE!</v>
      </c>
      <c r="FE149" t="e">
        <f>AND(Bills!H517,"AAAAAH/z3qA=")</f>
        <v>#VALUE!</v>
      </c>
      <c r="FF149" t="e">
        <f>AND(Bills!I517,"AAAAAH/z3qE=")</f>
        <v>#VALUE!</v>
      </c>
      <c r="FG149" t="e">
        <f>AND(Bills!J517,"AAAAAH/z3qI=")</f>
        <v>#VALUE!</v>
      </c>
      <c r="FH149" t="e">
        <f>AND(Bills!#REF!,"AAAAAH/z3qM=")</f>
        <v>#REF!</v>
      </c>
      <c r="FI149" t="e">
        <f>AND(Bills!K517,"AAAAAH/z3qQ=")</f>
        <v>#VALUE!</v>
      </c>
      <c r="FJ149" t="e">
        <f>AND(Bills!L517,"AAAAAH/z3qU=")</f>
        <v>#VALUE!</v>
      </c>
      <c r="FK149" t="e">
        <f>AND(Bills!M517,"AAAAAH/z3qY=")</f>
        <v>#VALUE!</v>
      </c>
      <c r="FL149" t="e">
        <f>AND(Bills!N517,"AAAAAH/z3qc=")</f>
        <v>#VALUE!</v>
      </c>
      <c r="FM149" t="e">
        <f>AND(Bills!O517,"AAAAAH/z3qg=")</f>
        <v>#VALUE!</v>
      </c>
      <c r="FN149" t="e">
        <f>AND(Bills!P517,"AAAAAH/z3qk=")</f>
        <v>#VALUE!</v>
      </c>
      <c r="FO149" t="e">
        <f>AND(Bills!Q517,"AAAAAH/z3qo=")</f>
        <v>#VALUE!</v>
      </c>
      <c r="FP149" t="e">
        <f>AND(Bills!R517,"AAAAAH/z3qs=")</f>
        <v>#VALUE!</v>
      </c>
      <c r="FQ149" t="e">
        <f>AND(Bills!#REF!,"AAAAAH/z3qw=")</f>
        <v>#REF!</v>
      </c>
      <c r="FR149" t="e">
        <f>AND(Bills!S517,"AAAAAH/z3q0=")</f>
        <v>#VALUE!</v>
      </c>
      <c r="FS149" t="e">
        <f>AND(Bills!T517,"AAAAAH/z3q4=")</f>
        <v>#VALUE!</v>
      </c>
      <c r="FT149" t="e">
        <f>AND(Bills!U517,"AAAAAH/z3q8=")</f>
        <v>#VALUE!</v>
      </c>
      <c r="FU149" t="e">
        <f>AND(Bills!#REF!,"AAAAAH/z3rA=")</f>
        <v>#REF!</v>
      </c>
      <c r="FV149" t="e">
        <f>AND(Bills!#REF!,"AAAAAH/z3rE=")</f>
        <v>#REF!</v>
      </c>
      <c r="FW149" t="e">
        <f>AND(Bills!W517,"AAAAAH/z3rI=")</f>
        <v>#VALUE!</v>
      </c>
      <c r="FX149" t="e">
        <f>AND(Bills!X517,"AAAAAH/z3rM=")</f>
        <v>#VALUE!</v>
      </c>
      <c r="FY149" t="e">
        <f>AND(Bills!#REF!,"AAAAAH/z3rQ=")</f>
        <v>#REF!</v>
      </c>
      <c r="FZ149" t="e">
        <f>AND(Bills!#REF!,"AAAAAH/z3rU=")</f>
        <v>#REF!</v>
      </c>
      <c r="GA149" t="e">
        <f>AND(Bills!#REF!,"AAAAAH/z3rY=")</f>
        <v>#REF!</v>
      </c>
      <c r="GB149" t="e">
        <f>AND(Bills!#REF!,"AAAAAH/z3rc=")</f>
        <v>#REF!</v>
      </c>
      <c r="GC149" t="e">
        <f>AND(Bills!#REF!,"AAAAAH/z3rg=")</f>
        <v>#REF!</v>
      </c>
      <c r="GD149" t="e">
        <f>AND(Bills!#REF!,"AAAAAH/z3rk=")</f>
        <v>#REF!</v>
      </c>
      <c r="GE149" t="e">
        <f>AND(Bills!#REF!,"AAAAAH/z3ro=")</f>
        <v>#REF!</v>
      </c>
      <c r="GF149" t="e">
        <f>AND(Bills!#REF!,"AAAAAH/z3rs=")</f>
        <v>#REF!</v>
      </c>
      <c r="GG149" t="e">
        <f>AND(Bills!#REF!,"AAAAAH/z3rw=")</f>
        <v>#REF!</v>
      </c>
      <c r="GH149" t="e">
        <f>AND(Bills!Y517,"AAAAAH/z3r0=")</f>
        <v>#VALUE!</v>
      </c>
      <c r="GI149" t="e">
        <f>AND(Bills!Z517,"AAAAAH/z3r4=")</f>
        <v>#VALUE!</v>
      </c>
      <c r="GJ149" t="e">
        <f>AND(Bills!#REF!,"AAAAAH/z3r8=")</f>
        <v>#REF!</v>
      </c>
      <c r="GK149" t="e">
        <f>AND(Bills!#REF!,"AAAAAH/z3sA=")</f>
        <v>#REF!</v>
      </c>
      <c r="GL149" t="e">
        <f>AND(Bills!#REF!,"AAAAAH/z3sE=")</f>
        <v>#REF!</v>
      </c>
      <c r="GM149" t="e">
        <f>AND(Bills!AA517,"AAAAAH/z3sI=")</f>
        <v>#VALUE!</v>
      </c>
      <c r="GN149" t="e">
        <f>AND(Bills!AB517,"AAAAAH/z3sM=")</f>
        <v>#VALUE!</v>
      </c>
      <c r="GO149" t="e">
        <f>AND(Bills!#REF!,"AAAAAH/z3sQ=")</f>
        <v>#REF!</v>
      </c>
      <c r="GP149">
        <f>IF(Bills!518:518,"AAAAAH/z3sU=",0)</f>
        <v>0</v>
      </c>
      <c r="GQ149" t="e">
        <f>AND(Bills!B518,"AAAAAH/z3sY=")</f>
        <v>#VALUE!</v>
      </c>
      <c r="GR149" t="e">
        <f>AND(Bills!#REF!,"AAAAAH/z3sc=")</f>
        <v>#REF!</v>
      </c>
      <c r="GS149" t="e">
        <f>AND(Bills!C518,"AAAAAH/z3sg=")</f>
        <v>#VALUE!</v>
      </c>
      <c r="GT149" t="e">
        <f>AND(Bills!#REF!,"AAAAAH/z3sk=")</f>
        <v>#REF!</v>
      </c>
      <c r="GU149" t="e">
        <f>AND(Bills!#REF!,"AAAAAH/z3so=")</f>
        <v>#REF!</v>
      </c>
      <c r="GV149" t="e">
        <f>AND(Bills!#REF!,"AAAAAH/z3ss=")</f>
        <v>#REF!</v>
      </c>
      <c r="GW149" t="e">
        <f>AND(Bills!#REF!,"AAAAAH/z3sw=")</f>
        <v>#REF!</v>
      </c>
      <c r="GX149" t="e">
        <f>AND(Bills!#REF!,"AAAAAH/z3s0=")</f>
        <v>#REF!</v>
      </c>
      <c r="GY149" t="e">
        <f>AND(Bills!D518,"AAAAAH/z3s4=")</f>
        <v>#VALUE!</v>
      </c>
      <c r="GZ149" t="e">
        <f>AND(Bills!#REF!,"AAAAAH/z3s8=")</f>
        <v>#REF!</v>
      </c>
      <c r="HA149" t="e">
        <f>AND(Bills!E518,"AAAAAH/z3tA=")</f>
        <v>#VALUE!</v>
      </c>
      <c r="HB149" t="e">
        <f>AND(Bills!F518,"AAAAAH/z3tE=")</f>
        <v>#VALUE!</v>
      </c>
      <c r="HC149" t="e">
        <f>AND(Bills!G518,"AAAAAH/z3tI=")</f>
        <v>#VALUE!</v>
      </c>
      <c r="HD149" t="e">
        <f>AND(Bills!H518,"AAAAAH/z3tM=")</f>
        <v>#VALUE!</v>
      </c>
      <c r="HE149" t="e">
        <f>AND(Bills!I518,"AAAAAH/z3tQ=")</f>
        <v>#VALUE!</v>
      </c>
      <c r="HF149" t="e">
        <f>AND(Bills!J518,"AAAAAH/z3tU=")</f>
        <v>#VALUE!</v>
      </c>
      <c r="HG149" t="e">
        <f>AND(Bills!#REF!,"AAAAAH/z3tY=")</f>
        <v>#REF!</v>
      </c>
      <c r="HH149" t="e">
        <f>AND(Bills!K518,"AAAAAH/z3tc=")</f>
        <v>#VALUE!</v>
      </c>
      <c r="HI149" t="e">
        <f>AND(Bills!L518,"AAAAAH/z3tg=")</f>
        <v>#VALUE!</v>
      </c>
      <c r="HJ149" t="e">
        <f>AND(Bills!M518,"AAAAAH/z3tk=")</f>
        <v>#VALUE!</v>
      </c>
      <c r="HK149" t="e">
        <f>AND(Bills!N518,"AAAAAH/z3to=")</f>
        <v>#VALUE!</v>
      </c>
      <c r="HL149" t="e">
        <f>AND(Bills!O518,"AAAAAH/z3ts=")</f>
        <v>#VALUE!</v>
      </c>
      <c r="HM149" t="e">
        <f>AND(Bills!P518,"AAAAAH/z3tw=")</f>
        <v>#VALUE!</v>
      </c>
      <c r="HN149" t="e">
        <f>AND(Bills!Q518,"AAAAAH/z3t0=")</f>
        <v>#VALUE!</v>
      </c>
      <c r="HO149" t="e">
        <f>AND(Bills!R518,"AAAAAH/z3t4=")</f>
        <v>#VALUE!</v>
      </c>
      <c r="HP149" t="e">
        <f>AND(Bills!#REF!,"AAAAAH/z3t8=")</f>
        <v>#REF!</v>
      </c>
      <c r="HQ149" t="e">
        <f>AND(Bills!S518,"AAAAAH/z3uA=")</f>
        <v>#VALUE!</v>
      </c>
      <c r="HR149" t="e">
        <f>AND(Bills!T518,"AAAAAH/z3uE=")</f>
        <v>#VALUE!</v>
      </c>
      <c r="HS149" t="e">
        <f>AND(Bills!U518,"AAAAAH/z3uI=")</f>
        <v>#VALUE!</v>
      </c>
      <c r="HT149" t="e">
        <f>AND(Bills!#REF!,"AAAAAH/z3uM=")</f>
        <v>#REF!</v>
      </c>
      <c r="HU149" t="e">
        <f>AND(Bills!#REF!,"AAAAAH/z3uQ=")</f>
        <v>#REF!</v>
      </c>
      <c r="HV149" t="e">
        <f>AND(Bills!W518,"AAAAAH/z3uU=")</f>
        <v>#VALUE!</v>
      </c>
      <c r="HW149" t="e">
        <f>AND(Bills!X518,"AAAAAH/z3uY=")</f>
        <v>#VALUE!</v>
      </c>
      <c r="HX149" t="e">
        <f>AND(Bills!#REF!,"AAAAAH/z3uc=")</f>
        <v>#REF!</v>
      </c>
      <c r="HY149" t="e">
        <f>AND(Bills!#REF!,"AAAAAH/z3ug=")</f>
        <v>#REF!</v>
      </c>
      <c r="HZ149" t="e">
        <f>AND(Bills!#REF!,"AAAAAH/z3uk=")</f>
        <v>#REF!</v>
      </c>
      <c r="IA149" t="e">
        <f>AND(Bills!#REF!,"AAAAAH/z3uo=")</f>
        <v>#REF!</v>
      </c>
      <c r="IB149" t="e">
        <f>AND(Bills!#REF!,"AAAAAH/z3us=")</f>
        <v>#REF!</v>
      </c>
      <c r="IC149" t="e">
        <f>AND(Bills!#REF!,"AAAAAH/z3uw=")</f>
        <v>#REF!</v>
      </c>
      <c r="ID149" t="e">
        <f>AND(Bills!#REF!,"AAAAAH/z3u0=")</f>
        <v>#REF!</v>
      </c>
      <c r="IE149" t="e">
        <f>AND(Bills!#REF!,"AAAAAH/z3u4=")</f>
        <v>#REF!</v>
      </c>
      <c r="IF149" t="e">
        <f>AND(Bills!#REF!,"AAAAAH/z3u8=")</f>
        <v>#REF!</v>
      </c>
      <c r="IG149" t="e">
        <f>AND(Bills!Y518,"AAAAAH/z3vA=")</f>
        <v>#VALUE!</v>
      </c>
      <c r="IH149" t="e">
        <f>AND(Bills!Z518,"AAAAAH/z3vE=")</f>
        <v>#VALUE!</v>
      </c>
      <c r="II149" t="e">
        <f>AND(Bills!#REF!,"AAAAAH/z3vI=")</f>
        <v>#REF!</v>
      </c>
      <c r="IJ149" t="e">
        <f>AND(Bills!#REF!,"AAAAAH/z3vM=")</f>
        <v>#REF!</v>
      </c>
      <c r="IK149" t="e">
        <f>AND(Bills!#REF!,"AAAAAH/z3vQ=")</f>
        <v>#REF!</v>
      </c>
      <c r="IL149" t="e">
        <f>AND(Bills!AA518,"AAAAAH/z3vU=")</f>
        <v>#VALUE!</v>
      </c>
      <c r="IM149" t="e">
        <f>AND(Bills!AB518,"AAAAAH/z3vY=")</f>
        <v>#VALUE!</v>
      </c>
      <c r="IN149" t="e">
        <f>AND(Bills!#REF!,"AAAAAH/z3vc=")</f>
        <v>#REF!</v>
      </c>
      <c r="IO149">
        <f>IF(Bills!519:519,"AAAAAH/z3vg=",0)</f>
        <v>0</v>
      </c>
      <c r="IP149" t="e">
        <f>AND(Bills!B519,"AAAAAH/z3vk=")</f>
        <v>#VALUE!</v>
      </c>
      <c r="IQ149" t="e">
        <f>AND(Bills!#REF!,"AAAAAH/z3vo=")</f>
        <v>#REF!</v>
      </c>
      <c r="IR149" t="e">
        <f>AND(Bills!C519,"AAAAAH/z3vs=")</f>
        <v>#VALUE!</v>
      </c>
      <c r="IS149" t="e">
        <f>AND(Bills!#REF!,"AAAAAH/z3vw=")</f>
        <v>#REF!</v>
      </c>
      <c r="IT149" t="e">
        <f>AND(Bills!#REF!,"AAAAAH/z3v0=")</f>
        <v>#REF!</v>
      </c>
      <c r="IU149" t="e">
        <f>AND(Bills!#REF!,"AAAAAH/z3v4=")</f>
        <v>#REF!</v>
      </c>
      <c r="IV149" t="e">
        <f>AND(Bills!#REF!,"AAAAAH/z3v8=")</f>
        <v>#REF!</v>
      </c>
    </row>
    <row r="150" spans="1:256">
      <c r="A150" t="e">
        <f>AND(Bills!#REF!,"AAAAACqO6wA=")</f>
        <v>#REF!</v>
      </c>
      <c r="B150" t="e">
        <f>AND(Bills!D519,"AAAAACqO6wE=")</f>
        <v>#VALUE!</v>
      </c>
      <c r="C150" t="e">
        <f>AND(Bills!#REF!,"AAAAACqO6wI=")</f>
        <v>#REF!</v>
      </c>
      <c r="D150" t="e">
        <f>AND(Bills!E519,"AAAAACqO6wM=")</f>
        <v>#VALUE!</v>
      </c>
      <c r="E150" t="e">
        <f>AND(Bills!F519,"AAAAACqO6wQ=")</f>
        <v>#VALUE!</v>
      </c>
      <c r="F150" t="e">
        <f>AND(Bills!G519,"AAAAACqO6wU=")</f>
        <v>#VALUE!</v>
      </c>
      <c r="G150" t="e">
        <f>AND(Bills!H519,"AAAAACqO6wY=")</f>
        <v>#VALUE!</v>
      </c>
      <c r="H150" t="e">
        <f>AND(Bills!I519,"AAAAACqO6wc=")</f>
        <v>#VALUE!</v>
      </c>
      <c r="I150" t="e">
        <f>AND(Bills!J519,"AAAAACqO6wg=")</f>
        <v>#VALUE!</v>
      </c>
      <c r="J150" t="e">
        <f>AND(Bills!#REF!,"AAAAACqO6wk=")</f>
        <v>#REF!</v>
      </c>
      <c r="K150" t="e">
        <f>AND(Bills!K519,"AAAAACqO6wo=")</f>
        <v>#VALUE!</v>
      </c>
      <c r="L150" t="e">
        <f>AND(Bills!L519,"AAAAACqO6ws=")</f>
        <v>#VALUE!</v>
      </c>
      <c r="M150" t="e">
        <f>AND(Bills!M519,"AAAAACqO6ww=")</f>
        <v>#VALUE!</v>
      </c>
      <c r="N150" t="e">
        <f>AND(Bills!N519,"AAAAACqO6w0=")</f>
        <v>#VALUE!</v>
      </c>
      <c r="O150" t="e">
        <f>AND(Bills!O519,"AAAAACqO6w4=")</f>
        <v>#VALUE!</v>
      </c>
      <c r="P150" t="e">
        <f>AND(Bills!P519,"AAAAACqO6w8=")</f>
        <v>#VALUE!</v>
      </c>
      <c r="Q150" t="e">
        <f>AND(Bills!Q519,"AAAAACqO6xA=")</f>
        <v>#VALUE!</v>
      </c>
      <c r="R150" t="e">
        <f>AND(Bills!R519,"AAAAACqO6xE=")</f>
        <v>#VALUE!</v>
      </c>
      <c r="S150" t="e">
        <f>AND(Bills!#REF!,"AAAAACqO6xI=")</f>
        <v>#REF!</v>
      </c>
      <c r="T150" t="e">
        <f>AND(Bills!S519,"AAAAACqO6xM=")</f>
        <v>#VALUE!</v>
      </c>
      <c r="U150" t="e">
        <f>AND(Bills!T519,"AAAAACqO6xQ=")</f>
        <v>#VALUE!</v>
      </c>
      <c r="V150" t="e">
        <f>AND(Bills!U519,"AAAAACqO6xU=")</f>
        <v>#VALUE!</v>
      </c>
      <c r="W150" t="e">
        <f>AND(Bills!#REF!,"AAAAACqO6xY=")</f>
        <v>#REF!</v>
      </c>
      <c r="X150" t="e">
        <f>AND(Bills!#REF!,"AAAAACqO6xc=")</f>
        <v>#REF!</v>
      </c>
      <c r="Y150" t="e">
        <f>AND(Bills!W519,"AAAAACqO6xg=")</f>
        <v>#VALUE!</v>
      </c>
      <c r="Z150" t="e">
        <f>AND(Bills!X519,"AAAAACqO6xk=")</f>
        <v>#VALUE!</v>
      </c>
      <c r="AA150" t="e">
        <f>AND(Bills!#REF!,"AAAAACqO6xo=")</f>
        <v>#REF!</v>
      </c>
      <c r="AB150" t="e">
        <f>AND(Bills!#REF!,"AAAAACqO6xs=")</f>
        <v>#REF!</v>
      </c>
      <c r="AC150" t="e">
        <f>AND(Bills!#REF!,"AAAAACqO6xw=")</f>
        <v>#REF!</v>
      </c>
      <c r="AD150" t="e">
        <f>AND(Bills!#REF!,"AAAAACqO6x0=")</f>
        <v>#REF!</v>
      </c>
      <c r="AE150" t="e">
        <f>AND(Bills!#REF!,"AAAAACqO6x4=")</f>
        <v>#REF!</v>
      </c>
      <c r="AF150" t="e">
        <f>AND(Bills!#REF!,"AAAAACqO6x8=")</f>
        <v>#REF!</v>
      </c>
      <c r="AG150" t="e">
        <f>AND(Bills!#REF!,"AAAAACqO6yA=")</f>
        <v>#REF!</v>
      </c>
      <c r="AH150" t="e">
        <f>AND(Bills!#REF!,"AAAAACqO6yE=")</f>
        <v>#REF!</v>
      </c>
      <c r="AI150" t="e">
        <f>AND(Bills!#REF!,"AAAAACqO6yI=")</f>
        <v>#REF!</v>
      </c>
      <c r="AJ150" t="e">
        <f>AND(Bills!Y519,"AAAAACqO6yM=")</f>
        <v>#VALUE!</v>
      </c>
      <c r="AK150" t="e">
        <f>AND(Bills!Z519,"AAAAACqO6yQ=")</f>
        <v>#VALUE!</v>
      </c>
      <c r="AL150" t="e">
        <f>AND(Bills!#REF!,"AAAAACqO6yU=")</f>
        <v>#REF!</v>
      </c>
      <c r="AM150" t="e">
        <f>AND(Bills!#REF!,"AAAAACqO6yY=")</f>
        <v>#REF!</v>
      </c>
      <c r="AN150" t="e">
        <f>AND(Bills!#REF!,"AAAAACqO6yc=")</f>
        <v>#REF!</v>
      </c>
      <c r="AO150" t="e">
        <f>AND(Bills!AA519,"AAAAACqO6yg=")</f>
        <v>#VALUE!</v>
      </c>
      <c r="AP150" t="e">
        <f>AND(Bills!AB519,"AAAAACqO6yk=")</f>
        <v>#VALUE!</v>
      </c>
      <c r="AQ150" t="e">
        <f>AND(Bills!#REF!,"AAAAACqO6yo=")</f>
        <v>#REF!</v>
      </c>
      <c r="AR150">
        <f>IF(Bills!520:520,"AAAAACqO6ys=",0)</f>
        <v>0</v>
      </c>
      <c r="AS150" t="e">
        <f>AND(Bills!B520,"AAAAACqO6yw=")</f>
        <v>#VALUE!</v>
      </c>
      <c r="AT150" t="e">
        <f>AND(Bills!#REF!,"AAAAACqO6y0=")</f>
        <v>#REF!</v>
      </c>
      <c r="AU150" t="e">
        <f>AND(Bills!C520,"AAAAACqO6y4=")</f>
        <v>#VALUE!</v>
      </c>
      <c r="AV150" t="e">
        <f>AND(Bills!#REF!,"AAAAACqO6y8=")</f>
        <v>#REF!</v>
      </c>
      <c r="AW150" t="e">
        <f>AND(Bills!#REF!,"AAAAACqO6zA=")</f>
        <v>#REF!</v>
      </c>
      <c r="AX150" t="e">
        <f>AND(Bills!#REF!,"AAAAACqO6zE=")</f>
        <v>#REF!</v>
      </c>
      <c r="AY150" t="e">
        <f>AND(Bills!#REF!,"AAAAACqO6zI=")</f>
        <v>#REF!</v>
      </c>
      <c r="AZ150" t="e">
        <f>AND(Bills!#REF!,"AAAAACqO6zM=")</f>
        <v>#REF!</v>
      </c>
      <c r="BA150" t="e">
        <f>AND(Bills!D520,"AAAAACqO6zQ=")</f>
        <v>#VALUE!</v>
      </c>
      <c r="BB150" t="e">
        <f>AND(Bills!#REF!,"AAAAACqO6zU=")</f>
        <v>#REF!</v>
      </c>
      <c r="BC150" t="e">
        <f>AND(Bills!E520,"AAAAACqO6zY=")</f>
        <v>#VALUE!</v>
      </c>
      <c r="BD150" t="e">
        <f>AND(Bills!F520,"AAAAACqO6zc=")</f>
        <v>#VALUE!</v>
      </c>
      <c r="BE150" t="e">
        <f>AND(Bills!G520,"AAAAACqO6zg=")</f>
        <v>#VALUE!</v>
      </c>
      <c r="BF150" t="e">
        <f>AND(Bills!H520,"AAAAACqO6zk=")</f>
        <v>#VALUE!</v>
      </c>
      <c r="BG150" t="e">
        <f>AND(Bills!I520,"AAAAACqO6zo=")</f>
        <v>#VALUE!</v>
      </c>
      <c r="BH150" t="e">
        <f>AND(Bills!J520,"AAAAACqO6zs=")</f>
        <v>#VALUE!</v>
      </c>
      <c r="BI150" t="e">
        <f>AND(Bills!#REF!,"AAAAACqO6zw=")</f>
        <v>#REF!</v>
      </c>
      <c r="BJ150" t="e">
        <f>AND(Bills!K520,"AAAAACqO6z0=")</f>
        <v>#VALUE!</v>
      </c>
      <c r="BK150" t="e">
        <f>AND(Bills!L520,"AAAAACqO6z4=")</f>
        <v>#VALUE!</v>
      </c>
      <c r="BL150" t="e">
        <f>AND(Bills!M520,"AAAAACqO6z8=")</f>
        <v>#VALUE!</v>
      </c>
      <c r="BM150" t="e">
        <f>AND(Bills!N520,"AAAAACqO60A=")</f>
        <v>#VALUE!</v>
      </c>
      <c r="BN150" t="e">
        <f>AND(Bills!O520,"AAAAACqO60E=")</f>
        <v>#VALUE!</v>
      </c>
      <c r="BO150" t="e">
        <f>AND(Bills!P520,"AAAAACqO60I=")</f>
        <v>#VALUE!</v>
      </c>
      <c r="BP150" t="e">
        <f>AND(Bills!Q520,"AAAAACqO60M=")</f>
        <v>#VALUE!</v>
      </c>
      <c r="BQ150" t="e">
        <f>AND(Bills!R520,"AAAAACqO60Q=")</f>
        <v>#VALUE!</v>
      </c>
      <c r="BR150" t="e">
        <f>AND(Bills!#REF!,"AAAAACqO60U=")</f>
        <v>#REF!</v>
      </c>
      <c r="BS150" t="e">
        <f>AND(Bills!S520,"AAAAACqO60Y=")</f>
        <v>#VALUE!</v>
      </c>
      <c r="BT150" t="e">
        <f>AND(Bills!T520,"AAAAACqO60c=")</f>
        <v>#VALUE!</v>
      </c>
      <c r="BU150" t="e">
        <f>AND(Bills!U520,"AAAAACqO60g=")</f>
        <v>#VALUE!</v>
      </c>
      <c r="BV150" t="e">
        <f>AND(Bills!#REF!,"AAAAACqO60k=")</f>
        <v>#REF!</v>
      </c>
      <c r="BW150" t="e">
        <f>AND(Bills!#REF!,"AAAAACqO60o=")</f>
        <v>#REF!</v>
      </c>
      <c r="BX150" t="e">
        <f>AND(Bills!W520,"AAAAACqO60s=")</f>
        <v>#VALUE!</v>
      </c>
      <c r="BY150" t="e">
        <f>AND(Bills!X520,"AAAAACqO60w=")</f>
        <v>#VALUE!</v>
      </c>
      <c r="BZ150" t="e">
        <f>AND(Bills!#REF!,"AAAAACqO600=")</f>
        <v>#REF!</v>
      </c>
      <c r="CA150" t="e">
        <f>AND(Bills!#REF!,"AAAAACqO604=")</f>
        <v>#REF!</v>
      </c>
      <c r="CB150" t="e">
        <f>AND(Bills!#REF!,"AAAAACqO608=")</f>
        <v>#REF!</v>
      </c>
      <c r="CC150" t="e">
        <f>AND(Bills!#REF!,"AAAAACqO61A=")</f>
        <v>#REF!</v>
      </c>
      <c r="CD150" t="e">
        <f>AND(Bills!#REF!,"AAAAACqO61E=")</f>
        <v>#REF!</v>
      </c>
      <c r="CE150" t="e">
        <f>AND(Bills!#REF!,"AAAAACqO61I=")</f>
        <v>#REF!</v>
      </c>
      <c r="CF150" t="e">
        <f>AND(Bills!#REF!,"AAAAACqO61M=")</f>
        <v>#REF!</v>
      </c>
      <c r="CG150" t="e">
        <f>AND(Bills!#REF!,"AAAAACqO61Q=")</f>
        <v>#REF!</v>
      </c>
      <c r="CH150" t="e">
        <f>AND(Bills!#REF!,"AAAAACqO61U=")</f>
        <v>#REF!</v>
      </c>
      <c r="CI150" t="e">
        <f>AND(Bills!Y520,"AAAAACqO61Y=")</f>
        <v>#VALUE!</v>
      </c>
      <c r="CJ150" t="e">
        <f>AND(Bills!Z520,"AAAAACqO61c=")</f>
        <v>#VALUE!</v>
      </c>
      <c r="CK150" t="e">
        <f>AND(Bills!#REF!,"AAAAACqO61g=")</f>
        <v>#REF!</v>
      </c>
      <c r="CL150" t="e">
        <f>AND(Bills!#REF!,"AAAAACqO61k=")</f>
        <v>#REF!</v>
      </c>
      <c r="CM150" t="e">
        <f>AND(Bills!#REF!,"AAAAACqO61o=")</f>
        <v>#REF!</v>
      </c>
      <c r="CN150" t="e">
        <f>AND(Bills!AA520,"AAAAACqO61s=")</f>
        <v>#VALUE!</v>
      </c>
      <c r="CO150" t="e">
        <f>AND(Bills!AB520,"AAAAACqO61w=")</f>
        <v>#VALUE!</v>
      </c>
      <c r="CP150" t="e">
        <f>AND(Bills!#REF!,"AAAAACqO610=")</f>
        <v>#REF!</v>
      </c>
      <c r="CQ150">
        <f>IF(Bills!521:521,"AAAAACqO614=",0)</f>
        <v>0</v>
      </c>
      <c r="CR150" t="e">
        <f>AND(Bills!B521,"AAAAACqO618=")</f>
        <v>#VALUE!</v>
      </c>
      <c r="CS150" t="e">
        <f>AND(Bills!#REF!,"AAAAACqO62A=")</f>
        <v>#REF!</v>
      </c>
      <c r="CT150" t="e">
        <f>AND(Bills!C521,"AAAAACqO62E=")</f>
        <v>#VALUE!</v>
      </c>
      <c r="CU150" t="e">
        <f>AND(Bills!#REF!,"AAAAACqO62I=")</f>
        <v>#REF!</v>
      </c>
      <c r="CV150" t="e">
        <f>AND(Bills!#REF!,"AAAAACqO62M=")</f>
        <v>#REF!</v>
      </c>
      <c r="CW150" t="e">
        <f>AND(Bills!#REF!,"AAAAACqO62Q=")</f>
        <v>#REF!</v>
      </c>
      <c r="CX150" t="e">
        <f>AND(Bills!#REF!,"AAAAACqO62U=")</f>
        <v>#REF!</v>
      </c>
      <c r="CY150" t="e">
        <f>AND(Bills!#REF!,"AAAAACqO62Y=")</f>
        <v>#REF!</v>
      </c>
      <c r="CZ150" t="e">
        <f>AND(Bills!D521,"AAAAACqO62c=")</f>
        <v>#VALUE!</v>
      </c>
      <c r="DA150" t="e">
        <f>AND(Bills!#REF!,"AAAAACqO62g=")</f>
        <v>#REF!</v>
      </c>
      <c r="DB150" t="e">
        <f>AND(Bills!E521,"AAAAACqO62k=")</f>
        <v>#VALUE!</v>
      </c>
      <c r="DC150" t="e">
        <f>AND(Bills!F521,"AAAAACqO62o=")</f>
        <v>#VALUE!</v>
      </c>
      <c r="DD150" t="e">
        <f>AND(Bills!G521,"AAAAACqO62s=")</f>
        <v>#VALUE!</v>
      </c>
      <c r="DE150" t="e">
        <f>AND(Bills!H521,"AAAAACqO62w=")</f>
        <v>#VALUE!</v>
      </c>
      <c r="DF150" t="e">
        <f>AND(Bills!I521,"AAAAACqO620=")</f>
        <v>#VALUE!</v>
      </c>
      <c r="DG150" t="e">
        <f>AND(Bills!J521,"AAAAACqO624=")</f>
        <v>#VALUE!</v>
      </c>
      <c r="DH150" t="e">
        <f>AND(Bills!#REF!,"AAAAACqO628=")</f>
        <v>#REF!</v>
      </c>
      <c r="DI150" t="e">
        <f>AND(Bills!K521,"AAAAACqO63A=")</f>
        <v>#VALUE!</v>
      </c>
      <c r="DJ150" t="e">
        <f>AND(Bills!L521,"AAAAACqO63E=")</f>
        <v>#VALUE!</v>
      </c>
      <c r="DK150" t="e">
        <f>AND(Bills!M521,"AAAAACqO63I=")</f>
        <v>#VALUE!</v>
      </c>
      <c r="DL150" t="e">
        <f>AND(Bills!N521,"AAAAACqO63M=")</f>
        <v>#VALUE!</v>
      </c>
      <c r="DM150" t="e">
        <f>AND(Bills!O521,"AAAAACqO63Q=")</f>
        <v>#VALUE!</v>
      </c>
      <c r="DN150" t="e">
        <f>AND(Bills!P521,"AAAAACqO63U=")</f>
        <v>#VALUE!</v>
      </c>
      <c r="DO150" t="e">
        <f>AND(Bills!Q521,"AAAAACqO63Y=")</f>
        <v>#VALUE!</v>
      </c>
      <c r="DP150" t="e">
        <f>AND(Bills!R521,"AAAAACqO63c=")</f>
        <v>#VALUE!</v>
      </c>
      <c r="DQ150" t="e">
        <f>AND(Bills!#REF!,"AAAAACqO63g=")</f>
        <v>#REF!</v>
      </c>
      <c r="DR150" t="e">
        <f>AND(Bills!S521,"AAAAACqO63k=")</f>
        <v>#VALUE!</v>
      </c>
      <c r="DS150" t="e">
        <f>AND(Bills!T521,"AAAAACqO63o=")</f>
        <v>#VALUE!</v>
      </c>
      <c r="DT150" t="e">
        <f>AND(Bills!U521,"AAAAACqO63s=")</f>
        <v>#VALUE!</v>
      </c>
      <c r="DU150" t="e">
        <f>AND(Bills!#REF!,"AAAAACqO63w=")</f>
        <v>#REF!</v>
      </c>
      <c r="DV150" t="e">
        <f>AND(Bills!#REF!,"AAAAACqO630=")</f>
        <v>#REF!</v>
      </c>
      <c r="DW150" t="e">
        <f>AND(Bills!W521,"AAAAACqO634=")</f>
        <v>#VALUE!</v>
      </c>
      <c r="DX150" t="e">
        <f>AND(Bills!X521,"AAAAACqO638=")</f>
        <v>#VALUE!</v>
      </c>
      <c r="DY150" t="e">
        <f>AND(Bills!#REF!,"AAAAACqO64A=")</f>
        <v>#REF!</v>
      </c>
      <c r="DZ150" t="e">
        <f>AND(Bills!#REF!,"AAAAACqO64E=")</f>
        <v>#REF!</v>
      </c>
      <c r="EA150" t="e">
        <f>AND(Bills!#REF!,"AAAAACqO64I=")</f>
        <v>#REF!</v>
      </c>
      <c r="EB150" t="e">
        <f>AND(Bills!#REF!,"AAAAACqO64M=")</f>
        <v>#REF!</v>
      </c>
      <c r="EC150" t="e">
        <f>AND(Bills!#REF!,"AAAAACqO64Q=")</f>
        <v>#REF!</v>
      </c>
      <c r="ED150" t="e">
        <f>AND(Bills!#REF!,"AAAAACqO64U=")</f>
        <v>#REF!</v>
      </c>
      <c r="EE150" t="e">
        <f>AND(Bills!#REF!,"AAAAACqO64Y=")</f>
        <v>#REF!</v>
      </c>
      <c r="EF150" t="e">
        <f>AND(Bills!#REF!,"AAAAACqO64c=")</f>
        <v>#REF!</v>
      </c>
      <c r="EG150" t="e">
        <f>AND(Bills!#REF!,"AAAAACqO64g=")</f>
        <v>#REF!</v>
      </c>
      <c r="EH150" t="e">
        <f>AND(Bills!Y521,"AAAAACqO64k=")</f>
        <v>#VALUE!</v>
      </c>
      <c r="EI150" t="e">
        <f>AND(Bills!Z521,"AAAAACqO64o=")</f>
        <v>#VALUE!</v>
      </c>
      <c r="EJ150" t="e">
        <f>AND(Bills!#REF!,"AAAAACqO64s=")</f>
        <v>#REF!</v>
      </c>
      <c r="EK150" t="e">
        <f>AND(Bills!#REF!,"AAAAACqO64w=")</f>
        <v>#REF!</v>
      </c>
      <c r="EL150" t="e">
        <f>AND(Bills!#REF!,"AAAAACqO640=")</f>
        <v>#REF!</v>
      </c>
      <c r="EM150" t="e">
        <f>AND(Bills!AA521,"AAAAACqO644=")</f>
        <v>#VALUE!</v>
      </c>
      <c r="EN150" t="e">
        <f>AND(Bills!AB521,"AAAAACqO648=")</f>
        <v>#VALUE!</v>
      </c>
      <c r="EO150" t="e">
        <f>AND(Bills!#REF!,"AAAAACqO65A=")</f>
        <v>#REF!</v>
      </c>
      <c r="EP150">
        <f>IF(Bills!522:522,"AAAAACqO65E=",0)</f>
        <v>0</v>
      </c>
      <c r="EQ150" t="e">
        <f>AND(Bills!B522,"AAAAACqO65I=")</f>
        <v>#VALUE!</v>
      </c>
      <c r="ER150" t="e">
        <f>AND(Bills!#REF!,"AAAAACqO65M=")</f>
        <v>#REF!</v>
      </c>
      <c r="ES150" t="e">
        <f>AND(Bills!C522,"AAAAACqO65Q=")</f>
        <v>#VALUE!</v>
      </c>
      <c r="ET150" t="e">
        <f>AND(Bills!#REF!,"AAAAACqO65U=")</f>
        <v>#REF!</v>
      </c>
      <c r="EU150" t="e">
        <f>AND(Bills!#REF!,"AAAAACqO65Y=")</f>
        <v>#REF!</v>
      </c>
      <c r="EV150" t="e">
        <f>AND(Bills!#REF!,"AAAAACqO65c=")</f>
        <v>#REF!</v>
      </c>
      <c r="EW150" t="e">
        <f>AND(Bills!#REF!,"AAAAACqO65g=")</f>
        <v>#REF!</v>
      </c>
      <c r="EX150" t="e">
        <f>AND(Bills!#REF!,"AAAAACqO65k=")</f>
        <v>#REF!</v>
      </c>
      <c r="EY150" t="e">
        <f>AND(Bills!D522,"AAAAACqO65o=")</f>
        <v>#VALUE!</v>
      </c>
      <c r="EZ150" t="e">
        <f>AND(Bills!#REF!,"AAAAACqO65s=")</f>
        <v>#REF!</v>
      </c>
      <c r="FA150" t="e">
        <f>AND(Bills!E522,"AAAAACqO65w=")</f>
        <v>#VALUE!</v>
      </c>
      <c r="FB150" t="e">
        <f>AND(Bills!F522,"AAAAACqO650=")</f>
        <v>#VALUE!</v>
      </c>
      <c r="FC150" t="e">
        <f>AND(Bills!G522,"AAAAACqO654=")</f>
        <v>#VALUE!</v>
      </c>
      <c r="FD150" t="e">
        <f>AND(Bills!H522,"AAAAACqO658=")</f>
        <v>#VALUE!</v>
      </c>
      <c r="FE150" t="e">
        <f>AND(Bills!I522,"AAAAACqO66A=")</f>
        <v>#VALUE!</v>
      </c>
      <c r="FF150" t="e">
        <f>AND(Bills!J522,"AAAAACqO66E=")</f>
        <v>#VALUE!</v>
      </c>
      <c r="FG150" t="e">
        <f>AND(Bills!#REF!,"AAAAACqO66I=")</f>
        <v>#REF!</v>
      </c>
      <c r="FH150" t="e">
        <f>AND(Bills!K522,"AAAAACqO66M=")</f>
        <v>#VALUE!</v>
      </c>
      <c r="FI150" t="e">
        <f>AND(Bills!L522,"AAAAACqO66Q=")</f>
        <v>#VALUE!</v>
      </c>
      <c r="FJ150" t="e">
        <f>AND(Bills!M522,"AAAAACqO66U=")</f>
        <v>#VALUE!</v>
      </c>
      <c r="FK150" t="e">
        <f>AND(Bills!N522,"AAAAACqO66Y=")</f>
        <v>#VALUE!</v>
      </c>
      <c r="FL150" t="e">
        <f>AND(Bills!O522,"AAAAACqO66c=")</f>
        <v>#VALUE!</v>
      </c>
      <c r="FM150" t="e">
        <f>AND(Bills!P522,"AAAAACqO66g=")</f>
        <v>#VALUE!</v>
      </c>
      <c r="FN150" t="e">
        <f>AND(Bills!Q522,"AAAAACqO66k=")</f>
        <v>#VALUE!</v>
      </c>
      <c r="FO150" t="e">
        <f>AND(Bills!R522,"AAAAACqO66o=")</f>
        <v>#VALUE!</v>
      </c>
      <c r="FP150" t="e">
        <f>AND(Bills!#REF!,"AAAAACqO66s=")</f>
        <v>#REF!</v>
      </c>
      <c r="FQ150" t="e">
        <f>AND(Bills!S522,"AAAAACqO66w=")</f>
        <v>#VALUE!</v>
      </c>
      <c r="FR150" t="e">
        <f>AND(Bills!T522,"AAAAACqO660=")</f>
        <v>#VALUE!</v>
      </c>
      <c r="FS150" t="e">
        <f>AND(Bills!U522,"AAAAACqO664=")</f>
        <v>#VALUE!</v>
      </c>
      <c r="FT150" t="e">
        <f>AND(Bills!#REF!,"AAAAACqO668=")</f>
        <v>#REF!</v>
      </c>
      <c r="FU150" t="e">
        <f>AND(Bills!#REF!,"AAAAACqO67A=")</f>
        <v>#REF!</v>
      </c>
      <c r="FV150" t="e">
        <f>AND(Bills!W522,"AAAAACqO67E=")</f>
        <v>#VALUE!</v>
      </c>
      <c r="FW150" t="e">
        <f>AND(Bills!X522,"AAAAACqO67I=")</f>
        <v>#VALUE!</v>
      </c>
      <c r="FX150" t="e">
        <f>AND(Bills!#REF!,"AAAAACqO67M=")</f>
        <v>#REF!</v>
      </c>
      <c r="FY150" t="e">
        <f>AND(Bills!#REF!,"AAAAACqO67Q=")</f>
        <v>#REF!</v>
      </c>
      <c r="FZ150" t="e">
        <f>AND(Bills!#REF!,"AAAAACqO67U=")</f>
        <v>#REF!</v>
      </c>
      <c r="GA150" t="e">
        <f>AND(Bills!#REF!,"AAAAACqO67Y=")</f>
        <v>#REF!</v>
      </c>
      <c r="GB150" t="e">
        <f>AND(Bills!#REF!,"AAAAACqO67c=")</f>
        <v>#REF!</v>
      </c>
      <c r="GC150" t="e">
        <f>AND(Bills!#REF!,"AAAAACqO67g=")</f>
        <v>#REF!</v>
      </c>
      <c r="GD150" t="e">
        <f>AND(Bills!#REF!,"AAAAACqO67k=")</f>
        <v>#REF!</v>
      </c>
      <c r="GE150" t="e">
        <f>AND(Bills!#REF!,"AAAAACqO67o=")</f>
        <v>#REF!</v>
      </c>
      <c r="GF150" t="e">
        <f>AND(Bills!#REF!,"AAAAACqO67s=")</f>
        <v>#REF!</v>
      </c>
      <c r="GG150" t="e">
        <f>AND(Bills!Y522,"AAAAACqO67w=")</f>
        <v>#VALUE!</v>
      </c>
      <c r="GH150" t="e">
        <f>AND(Bills!Z522,"AAAAACqO670=")</f>
        <v>#VALUE!</v>
      </c>
      <c r="GI150" t="e">
        <f>AND(Bills!#REF!,"AAAAACqO674=")</f>
        <v>#REF!</v>
      </c>
      <c r="GJ150" t="e">
        <f>AND(Bills!#REF!,"AAAAACqO678=")</f>
        <v>#REF!</v>
      </c>
      <c r="GK150" t="e">
        <f>AND(Bills!#REF!,"AAAAACqO68A=")</f>
        <v>#REF!</v>
      </c>
      <c r="GL150" t="e">
        <f>AND(Bills!AA522,"AAAAACqO68E=")</f>
        <v>#VALUE!</v>
      </c>
      <c r="GM150" t="e">
        <f>AND(Bills!AB522,"AAAAACqO68I=")</f>
        <v>#VALUE!</v>
      </c>
      <c r="GN150" t="e">
        <f>AND(Bills!#REF!,"AAAAACqO68M=")</f>
        <v>#REF!</v>
      </c>
      <c r="GO150">
        <f>IF(Bills!523:523,"AAAAACqO68Q=",0)</f>
        <v>0</v>
      </c>
      <c r="GP150" t="e">
        <f>AND(Bills!B523,"AAAAACqO68U=")</f>
        <v>#VALUE!</v>
      </c>
      <c r="GQ150" t="e">
        <f>AND(Bills!#REF!,"AAAAACqO68Y=")</f>
        <v>#REF!</v>
      </c>
      <c r="GR150" t="e">
        <f>AND(Bills!C523,"AAAAACqO68c=")</f>
        <v>#VALUE!</v>
      </c>
      <c r="GS150" t="e">
        <f>AND(Bills!#REF!,"AAAAACqO68g=")</f>
        <v>#REF!</v>
      </c>
      <c r="GT150" t="e">
        <f>AND(Bills!#REF!,"AAAAACqO68k=")</f>
        <v>#REF!</v>
      </c>
      <c r="GU150" t="e">
        <f>AND(Bills!#REF!,"AAAAACqO68o=")</f>
        <v>#REF!</v>
      </c>
      <c r="GV150" t="e">
        <f>AND(Bills!#REF!,"AAAAACqO68s=")</f>
        <v>#REF!</v>
      </c>
      <c r="GW150" t="e">
        <f>AND(Bills!#REF!,"AAAAACqO68w=")</f>
        <v>#REF!</v>
      </c>
      <c r="GX150" t="e">
        <f>AND(Bills!D523,"AAAAACqO680=")</f>
        <v>#VALUE!</v>
      </c>
      <c r="GY150" t="e">
        <f>AND(Bills!#REF!,"AAAAACqO684=")</f>
        <v>#REF!</v>
      </c>
      <c r="GZ150" t="e">
        <f>AND(Bills!E523,"AAAAACqO688=")</f>
        <v>#VALUE!</v>
      </c>
      <c r="HA150" t="e">
        <f>AND(Bills!F523,"AAAAACqO69A=")</f>
        <v>#VALUE!</v>
      </c>
      <c r="HB150" t="e">
        <f>AND(Bills!G523,"AAAAACqO69E=")</f>
        <v>#VALUE!</v>
      </c>
      <c r="HC150" t="e">
        <f>AND(Bills!H523,"AAAAACqO69I=")</f>
        <v>#VALUE!</v>
      </c>
      <c r="HD150" t="e">
        <f>AND(Bills!I523,"AAAAACqO69M=")</f>
        <v>#VALUE!</v>
      </c>
      <c r="HE150" t="e">
        <f>AND(Bills!J523,"AAAAACqO69Q=")</f>
        <v>#VALUE!</v>
      </c>
      <c r="HF150" t="e">
        <f>AND(Bills!#REF!,"AAAAACqO69U=")</f>
        <v>#REF!</v>
      </c>
      <c r="HG150" t="e">
        <f>AND(Bills!K523,"AAAAACqO69Y=")</f>
        <v>#VALUE!</v>
      </c>
      <c r="HH150" t="e">
        <f>AND(Bills!L523,"AAAAACqO69c=")</f>
        <v>#VALUE!</v>
      </c>
      <c r="HI150" t="e">
        <f>AND(Bills!M523,"AAAAACqO69g=")</f>
        <v>#VALUE!</v>
      </c>
      <c r="HJ150" t="e">
        <f>AND(Bills!N523,"AAAAACqO69k=")</f>
        <v>#VALUE!</v>
      </c>
      <c r="HK150" t="e">
        <f>AND(Bills!O523,"AAAAACqO69o=")</f>
        <v>#VALUE!</v>
      </c>
      <c r="HL150" t="e">
        <f>AND(Bills!P523,"AAAAACqO69s=")</f>
        <v>#VALUE!</v>
      </c>
      <c r="HM150" t="e">
        <f>AND(Bills!Q523,"AAAAACqO69w=")</f>
        <v>#VALUE!</v>
      </c>
      <c r="HN150" t="e">
        <f>AND(Bills!R523,"AAAAACqO690=")</f>
        <v>#VALUE!</v>
      </c>
      <c r="HO150" t="e">
        <f>AND(Bills!#REF!,"AAAAACqO694=")</f>
        <v>#REF!</v>
      </c>
      <c r="HP150" t="e">
        <f>AND(Bills!S523,"AAAAACqO698=")</f>
        <v>#VALUE!</v>
      </c>
      <c r="HQ150" t="e">
        <f>AND(Bills!T523,"AAAAACqO6+A=")</f>
        <v>#VALUE!</v>
      </c>
      <c r="HR150" t="e">
        <f>AND(Bills!U523,"AAAAACqO6+E=")</f>
        <v>#VALUE!</v>
      </c>
      <c r="HS150" t="e">
        <f>AND(Bills!#REF!,"AAAAACqO6+I=")</f>
        <v>#REF!</v>
      </c>
      <c r="HT150" t="e">
        <f>AND(Bills!#REF!,"AAAAACqO6+M=")</f>
        <v>#REF!</v>
      </c>
      <c r="HU150" t="e">
        <f>AND(Bills!W523,"AAAAACqO6+Q=")</f>
        <v>#VALUE!</v>
      </c>
      <c r="HV150" t="e">
        <f>AND(Bills!X523,"AAAAACqO6+U=")</f>
        <v>#VALUE!</v>
      </c>
      <c r="HW150" t="e">
        <f>AND(Bills!#REF!,"AAAAACqO6+Y=")</f>
        <v>#REF!</v>
      </c>
      <c r="HX150" t="e">
        <f>AND(Bills!#REF!,"AAAAACqO6+c=")</f>
        <v>#REF!</v>
      </c>
      <c r="HY150" t="e">
        <f>AND(Bills!#REF!,"AAAAACqO6+g=")</f>
        <v>#REF!</v>
      </c>
      <c r="HZ150" t="e">
        <f>AND(Bills!#REF!,"AAAAACqO6+k=")</f>
        <v>#REF!</v>
      </c>
      <c r="IA150" t="e">
        <f>AND(Bills!#REF!,"AAAAACqO6+o=")</f>
        <v>#REF!</v>
      </c>
      <c r="IB150" t="e">
        <f>AND(Bills!#REF!,"AAAAACqO6+s=")</f>
        <v>#REF!</v>
      </c>
      <c r="IC150" t="e">
        <f>AND(Bills!#REF!,"AAAAACqO6+w=")</f>
        <v>#REF!</v>
      </c>
      <c r="ID150" t="e">
        <f>AND(Bills!#REF!,"AAAAACqO6+0=")</f>
        <v>#REF!</v>
      </c>
      <c r="IE150" t="e">
        <f>AND(Bills!#REF!,"AAAAACqO6+4=")</f>
        <v>#REF!</v>
      </c>
      <c r="IF150" t="e">
        <f>AND(Bills!Y523,"AAAAACqO6+8=")</f>
        <v>#VALUE!</v>
      </c>
      <c r="IG150" t="e">
        <f>AND(Bills!Z523,"AAAAACqO6/A=")</f>
        <v>#VALUE!</v>
      </c>
      <c r="IH150" t="e">
        <f>AND(Bills!#REF!,"AAAAACqO6/E=")</f>
        <v>#REF!</v>
      </c>
      <c r="II150" t="e">
        <f>AND(Bills!#REF!,"AAAAACqO6/I=")</f>
        <v>#REF!</v>
      </c>
      <c r="IJ150" t="e">
        <f>AND(Bills!#REF!,"AAAAACqO6/M=")</f>
        <v>#REF!</v>
      </c>
      <c r="IK150" t="e">
        <f>AND(Bills!AA523,"AAAAACqO6/Q=")</f>
        <v>#VALUE!</v>
      </c>
      <c r="IL150" t="e">
        <f>AND(Bills!AB523,"AAAAACqO6/U=")</f>
        <v>#VALUE!</v>
      </c>
      <c r="IM150" t="e">
        <f>AND(Bills!#REF!,"AAAAACqO6/Y=")</f>
        <v>#REF!</v>
      </c>
      <c r="IN150">
        <f>IF(Bills!524:524,"AAAAACqO6/c=",0)</f>
        <v>0</v>
      </c>
      <c r="IO150" t="e">
        <f>AND(Bills!B524,"AAAAACqO6/g=")</f>
        <v>#VALUE!</v>
      </c>
      <c r="IP150" t="e">
        <f>AND(Bills!#REF!,"AAAAACqO6/k=")</f>
        <v>#REF!</v>
      </c>
      <c r="IQ150" t="e">
        <f>AND(Bills!C524,"AAAAACqO6/o=")</f>
        <v>#VALUE!</v>
      </c>
      <c r="IR150" t="e">
        <f>AND(Bills!#REF!,"AAAAACqO6/s=")</f>
        <v>#REF!</v>
      </c>
      <c r="IS150" t="e">
        <f>AND(Bills!#REF!,"AAAAACqO6/w=")</f>
        <v>#REF!</v>
      </c>
      <c r="IT150" t="e">
        <f>AND(Bills!#REF!,"AAAAACqO6/0=")</f>
        <v>#REF!</v>
      </c>
      <c r="IU150" t="e">
        <f>AND(Bills!#REF!,"AAAAACqO6/4=")</f>
        <v>#REF!</v>
      </c>
      <c r="IV150" t="e">
        <f>AND(Bills!#REF!,"AAAAACqO6/8=")</f>
        <v>#REF!</v>
      </c>
    </row>
    <row r="151" spans="1:256">
      <c r="A151" t="e">
        <f>AND(Bills!D524,"AAAAAFe97gA=")</f>
        <v>#VALUE!</v>
      </c>
      <c r="B151" t="e">
        <f>AND(Bills!#REF!,"AAAAAFe97gE=")</f>
        <v>#REF!</v>
      </c>
      <c r="C151" t="e">
        <f>AND(Bills!E524,"AAAAAFe97gI=")</f>
        <v>#VALUE!</v>
      </c>
      <c r="D151" t="e">
        <f>AND(Bills!F524,"AAAAAFe97gM=")</f>
        <v>#VALUE!</v>
      </c>
      <c r="E151" t="e">
        <f>AND(Bills!G524,"AAAAAFe97gQ=")</f>
        <v>#VALUE!</v>
      </c>
      <c r="F151" t="e">
        <f>AND(Bills!H524,"AAAAAFe97gU=")</f>
        <v>#VALUE!</v>
      </c>
      <c r="G151" t="e">
        <f>AND(Bills!I524,"AAAAAFe97gY=")</f>
        <v>#VALUE!</v>
      </c>
      <c r="H151" t="e">
        <f>AND(Bills!J524,"AAAAAFe97gc=")</f>
        <v>#VALUE!</v>
      </c>
      <c r="I151" t="e">
        <f>AND(Bills!#REF!,"AAAAAFe97gg=")</f>
        <v>#REF!</v>
      </c>
      <c r="J151" t="e">
        <f>AND(Bills!K524,"AAAAAFe97gk=")</f>
        <v>#VALUE!</v>
      </c>
      <c r="K151" t="e">
        <f>AND(Bills!L524,"AAAAAFe97go=")</f>
        <v>#VALUE!</v>
      </c>
      <c r="L151" t="e">
        <f>AND(Bills!M524,"AAAAAFe97gs=")</f>
        <v>#VALUE!</v>
      </c>
      <c r="M151" t="e">
        <f>AND(Bills!N524,"AAAAAFe97gw=")</f>
        <v>#VALUE!</v>
      </c>
      <c r="N151" t="e">
        <f>AND(Bills!O524,"AAAAAFe97g0=")</f>
        <v>#VALUE!</v>
      </c>
      <c r="O151" t="e">
        <f>AND(Bills!P524,"AAAAAFe97g4=")</f>
        <v>#VALUE!</v>
      </c>
      <c r="P151" t="e">
        <f>AND(Bills!Q524,"AAAAAFe97g8=")</f>
        <v>#VALUE!</v>
      </c>
      <c r="Q151" t="e">
        <f>AND(Bills!R524,"AAAAAFe97hA=")</f>
        <v>#VALUE!</v>
      </c>
      <c r="R151" t="e">
        <f>AND(Bills!#REF!,"AAAAAFe97hE=")</f>
        <v>#REF!</v>
      </c>
      <c r="S151" t="e">
        <f>AND(Bills!S524,"AAAAAFe97hI=")</f>
        <v>#VALUE!</v>
      </c>
      <c r="T151" t="e">
        <f>AND(Bills!T524,"AAAAAFe97hM=")</f>
        <v>#VALUE!</v>
      </c>
      <c r="U151" t="e">
        <f>AND(Bills!U524,"AAAAAFe97hQ=")</f>
        <v>#VALUE!</v>
      </c>
      <c r="V151" t="e">
        <f>AND(Bills!#REF!,"AAAAAFe97hU=")</f>
        <v>#REF!</v>
      </c>
      <c r="W151" t="e">
        <f>AND(Bills!#REF!,"AAAAAFe97hY=")</f>
        <v>#REF!</v>
      </c>
      <c r="X151" t="e">
        <f>AND(Bills!W524,"AAAAAFe97hc=")</f>
        <v>#VALUE!</v>
      </c>
      <c r="Y151" t="e">
        <f>AND(Bills!X524,"AAAAAFe97hg=")</f>
        <v>#VALUE!</v>
      </c>
      <c r="Z151" t="e">
        <f>AND(Bills!#REF!,"AAAAAFe97hk=")</f>
        <v>#REF!</v>
      </c>
      <c r="AA151" t="e">
        <f>AND(Bills!#REF!,"AAAAAFe97ho=")</f>
        <v>#REF!</v>
      </c>
      <c r="AB151" t="e">
        <f>AND(Bills!#REF!,"AAAAAFe97hs=")</f>
        <v>#REF!</v>
      </c>
      <c r="AC151" t="e">
        <f>AND(Bills!#REF!,"AAAAAFe97hw=")</f>
        <v>#REF!</v>
      </c>
      <c r="AD151" t="e">
        <f>AND(Bills!#REF!,"AAAAAFe97h0=")</f>
        <v>#REF!</v>
      </c>
      <c r="AE151" t="e">
        <f>AND(Bills!#REF!,"AAAAAFe97h4=")</f>
        <v>#REF!</v>
      </c>
      <c r="AF151" t="e">
        <f>AND(Bills!#REF!,"AAAAAFe97h8=")</f>
        <v>#REF!</v>
      </c>
      <c r="AG151" t="e">
        <f>AND(Bills!#REF!,"AAAAAFe97iA=")</f>
        <v>#REF!</v>
      </c>
      <c r="AH151" t="e">
        <f>AND(Bills!#REF!,"AAAAAFe97iE=")</f>
        <v>#REF!</v>
      </c>
      <c r="AI151" t="e">
        <f>AND(Bills!Y524,"AAAAAFe97iI=")</f>
        <v>#VALUE!</v>
      </c>
      <c r="AJ151" t="e">
        <f>AND(Bills!Z524,"AAAAAFe97iM=")</f>
        <v>#VALUE!</v>
      </c>
      <c r="AK151" t="e">
        <f>AND(Bills!#REF!,"AAAAAFe97iQ=")</f>
        <v>#REF!</v>
      </c>
      <c r="AL151" t="e">
        <f>AND(Bills!#REF!,"AAAAAFe97iU=")</f>
        <v>#REF!</v>
      </c>
      <c r="AM151" t="e">
        <f>AND(Bills!#REF!,"AAAAAFe97iY=")</f>
        <v>#REF!</v>
      </c>
      <c r="AN151" t="e">
        <f>AND(Bills!AA524,"AAAAAFe97ic=")</f>
        <v>#VALUE!</v>
      </c>
      <c r="AO151" t="e">
        <f>AND(Bills!AB524,"AAAAAFe97ig=")</f>
        <v>#VALUE!</v>
      </c>
      <c r="AP151" t="e">
        <f>AND(Bills!#REF!,"AAAAAFe97ik=")</f>
        <v>#REF!</v>
      </c>
      <c r="AQ151">
        <f>IF(Bills!525:525,"AAAAAFe97io=",0)</f>
        <v>0</v>
      </c>
      <c r="AR151" t="e">
        <f>AND(Bills!B525,"AAAAAFe97is=")</f>
        <v>#VALUE!</v>
      </c>
      <c r="AS151" t="e">
        <f>AND(Bills!#REF!,"AAAAAFe97iw=")</f>
        <v>#REF!</v>
      </c>
      <c r="AT151" t="e">
        <f>AND(Bills!C525,"AAAAAFe97i0=")</f>
        <v>#VALUE!</v>
      </c>
      <c r="AU151" t="e">
        <f>AND(Bills!#REF!,"AAAAAFe97i4=")</f>
        <v>#REF!</v>
      </c>
      <c r="AV151" t="e">
        <f>AND(Bills!#REF!,"AAAAAFe97i8=")</f>
        <v>#REF!</v>
      </c>
      <c r="AW151" t="e">
        <f>AND(Bills!#REF!,"AAAAAFe97jA=")</f>
        <v>#REF!</v>
      </c>
      <c r="AX151" t="e">
        <f>AND(Bills!#REF!,"AAAAAFe97jE=")</f>
        <v>#REF!</v>
      </c>
      <c r="AY151" t="e">
        <f>AND(Bills!#REF!,"AAAAAFe97jI=")</f>
        <v>#REF!</v>
      </c>
      <c r="AZ151" t="e">
        <f>AND(Bills!D525,"AAAAAFe97jM=")</f>
        <v>#VALUE!</v>
      </c>
      <c r="BA151" t="e">
        <f>AND(Bills!#REF!,"AAAAAFe97jQ=")</f>
        <v>#REF!</v>
      </c>
      <c r="BB151" t="e">
        <f>AND(Bills!E525,"AAAAAFe97jU=")</f>
        <v>#VALUE!</v>
      </c>
      <c r="BC151" t="e">
        <f>AND(Bills!F525,"AAAAAFe97jY=")</f>
        <v>#VALUE!</v>
      </c>
      <c r="BD151" t="e">
        <f>AND(Bills!G525,"AAAAAFe97jc=")</f>
        <v>#VALUE!</v>
      </c>
      <c r="BE151" t="e">
        <f>AND(Bills!H525,"AAAAAFe97jg=")</f>
        <v>#VALUE!</v>
      </c>
      <c r="BF151" t="e">
        <f>AND(Bills!I525,"AAAAAFe97jk=")</f>
        <v>#VALUE!</v>
      </c>
      <c r="BG151" t="e">
        <f>AND(Bills!J525,"AAAAAFe97jo=")</f>
        <v>#VALUE!</v>
      </c>
      <c r="BH151" t="e">
        <f>AND(Bills!#REF!,"AAAAAFe97js=")</f>
        <v>#REF!</v>
      </c>
      <c r="BI151" t="e">
        <f>AND(Bills!K525,"AAAAAFe97jw=")</f>
        <v>#VALUE!</v>
      </c>
      <c r="BJ151" t="e">
        <f>AND(Bills!L525,"AAAAAFe97j0=")</f>
        <v>#VALUE!</v>
      </c>
      <c r="BK151" t="e">
        <f>AND(Bills!M525,"AAAAAFe97j4=")</f>
        <v>#VALUE!</v>
      </c>
      <c r="BL151" t="e">
        <f>AND(Bills!N525,"AAAAAFe97j8=")</f>
        <v>#VALUE!</v>
      </c>
      <c r="BM151" t="e">
        <f>AND(Bills!O525,"AAAAAFe97kA=")</f>
        <v>#VALUE!</v>
      </c>
      <c r="BN151" t="e">
        <f>AND(Bills!P525,"AAAAAFe97kE=")</f>
        <v>#VALUE!</v>
      </c>
      <c r="BO151" t="e">
        <f>AND(Bills!Q525,"AAAAAFe97kI=")</f>
        <v>#VALUE!</v>
      </c>
      <c r="BP151" t="e">
        <f>AND(Bills!R525,"AAAAAFe97kM=")</f>
        <v>#VALUE!</v>
      </c>
      <c r="BQ151" t="e">
        <f>AND(Bills!#REF!,"AAAAAFe97kQ=")</f>
        <v>#REF!</v>
      </c>
      <c r="BR151" t="e">
        <f>AND(Bills!S525,"AAAAAFe97kU=")</f>
        <v>#VALUE!</v>
      </c>
      <c r="BS151" t="e">
        <f>AND(Bills!T525,"AAAAAFe97kY=")</f>
        <v>#VALUE!</v>
      </c>
      <c r="BT151" t="e">
        <f>AND(Bills!U525,"AAAAAFe97kc=")</f>
        <v>#VALUE!</v>
      </c>
      <c r="BU151" t="e">
        <f>AND(Bills!#REF!,"AAAAAFe97kg=")</f>
        <v>#REF!</v>
      </c>
      <c r="BV151" t="e">
        <f>AND(Bills!#REF!,"AAAAAFe97kk=")</f>
        <v>#REF!</v>
      </c>
      <c r="BW151" t="e">
        <f>AND(Bills!W525,"AAAAAFe97ko=")</f>
        <v>#VALUE!</v>
      </c>
      <c r="BX151" t="e">
        <f>AND(Bills!X525,"AAAAAFe97ks=")</f>
        <v>#VALUE!</v>
      </c>
      <c r="BY151" t="e">
        <f>AND(Bills!#REF!,"AAAAAFe97kw=")</f>
        <v>#REF!</v>
      </c>
      <c r="BZ151" t="e">
        <f>AND(Bills!#REF!,"AAAAAFe97k0=")</f>
        <v>#REF!</v>
      </c>
      <c r="CA151" t="e">
        <f>AND(Bills!#REF!,"AAAAAFe97k4=")</f>
        <v>#REF!</v>
      </c>
      <c r="CB151" t="e">
        <f>AND(Bills!#REF!,"AAAAAFe97k8=")</f>
        <v>#REF!</v>
      </c>
      <c r="CC151" t="e">
        <f>AND(Bills!#REF!,"AAAAAFe97lA=")</f>
        <v>#REF!</v>
      </c>
      <c r="CD151" t="e">
        <f>AND(Bills!#REF!,"AAAAAFe97lE=")</f>
        <v>#REF!</v>
      </c>
      <c r="CE151" t="e">
        <f>AND(Bills!#REF!,"AAAAAFe97lI=")</f>
        <v>#REF!</v>
      </c>
      <c r="CF151" t="e">
        <f>AND(Bills!#REF!,"AAAAAFe97lM=")</f>
        <v>#REF!</v>
      </c>
      <c r="CG151" t="e">
        <f>AND(Bills!#REF!,"AAAAAFe97lQ=")</f>
        <v>#REF!</v>
      </c>
      <c r="CH151" t="e">
        <f>AND(Bills!Y525,"AAAAAFe97lU=")</f>
        <v>#VALUE!</v>
      </c>
      <c r="CI151" t="e">
        <f>AND(Bills!Z525,"AAAAAFe97lY=")</f>
        <v>#VALUE!</v>
      </c>
      <c r="CJ151" t="e">
        <f>AND(Bills!#REF!,"AAAAAFe97lc=")</f>
        <v>#REF!</v>
      </c>
      <c r="CK151" t="e">
        <f>AND(Bills!#REF!,"AAAAAFe97lg=")</f>
        <v>#REF!</v>
      </c>
      <c r="CL151" t="e">
        <f>AND(Bills!#REF!,"AAAAAFe97lk=")</f>
        <v>#REF!</v>
      </c>
      <c r="CM151" t="e">
        <f>AND(Bills!AA525,"AAAAAFe97lo=")</f>
        <v>#VALUE!</v>
      </c>
      <c r="CN151" t="e">
        <f>AND(Bills!AB525,"AAAAAFe97ls=")</f>
        <v>#VALUE!</v>
      </c>
      <c r="CO151" t="e">
        <f>AND(Bills!#REF!,"AAAAAFe97lw=")</f>
        <v>#REF!</v>
      </c>
      <c r="CP151">
        <f>IF(Bills!526:526,"AAAAAFe97l0=",0)</f>
        <v>0</v>
      </c>
      <c r="CQ151" t="e">
        <f>AND(Bills!B526,"AAAAAFe97l4=")</f>
        <v>#VALUE!</v>
      </c>
      <c r="CR151" t="e">
        <f>AND(Bills!#REF!,"AAAAAFe97l8=")</f>
        <v>#REF!</v>
      </c>
      <c r="CS151" t="e">
        <f>AND(Bills!C526,"AAAAAFe97mA=")</f>
        <v>#VALUE!</v>
      </c>
      <c r="CT151" t="e">
        <f>AND(Bills!#REF!,"AAAAAFe97mE=")</f>
        <v>#REF!</v>
      </c>
      <c r="CU151" t="e">
        <f>AND(Bills!#REF!,"AAAAAFe97mI=")</f>
        <v>#REF!</v>
      </c>
      <c r="CV151" t="e">
        <f>AND(Bills!#REF!,"AAAAAFe97mM=")</f>
        <v>#REF!</v>
      </c>
      <c r="CW151" t="e">
        <f>AND(Bills!#REF!,"AAAAAFe97mQ=")</f>
        <v>#REF!</v>
      </c>
      <c r="CX151" t="e">
        <f>AND(Bills!#REF!,"AAAAAFe97mU=")</f>
        <v>#REF!</v>
      </c>
      <c r="CY151" t="e">
        <f>AND(Bills!D526,"AAAAAFe97mY=")</f>
        <v>#VALUE!</v>
      </c>
      <c r="CZ151" t="e">
        <f>AND(Bills!#REF!,"AAAAAFe97mc=")</f>
        <v>#REF!</v>
      </c>
      <c r="DA151" t="e">
        <f>AND(Bills!E526,"AAAAAFe97mg=")</f>
        <v>#VALUE!</v>
      </c>
      <c r="DB151" t="e">
        <f>AND(Bills!F526,"AAAAAFe97mk=")</f>
        <v>#VALUE!</v>
      </c>
      <c r="DC151" t="e">
        <f>AND(Bills!G526,"AAAAAFe97mo=")</f>
        <v>#VALUE!</v>
      </c>
      <c r="DD151" t="e">
        <f>AND(Bills!H526,"AAAAAFe97ms=")</f>
        <v>#VALUE!</v>
      </c>
      <c r="DE151" t="e">
        <f>AND(Bills!I526,"AAAAAFe97mw=")</f>
        <v>#VALUE!</v>
      </c>
      <c r="DF151" t="e">
        <f>AND(Bills!J526,"AAAAAFe97m0=")</f>
        <v>#VALUE!</v>
      </c>
      <c r="DG151" t="e">
        <f>AND(Bills!#REF!,"AAAAAFe97m4=")</f>
        <v>#REF!</v>
      </c>
      <c r="DH151" t="e">
        <f>AND(Bills!K526,"AAAAAFe97m8=")</f>
        <v>#VALUE!</v>
      </c>
      <c r="DI151" t="e">
        <f>AND(Bills!L526,"AAAAAFe97nA=")</f>
        <v>#VALUE!</v>
      </c>
      <c r="DJ151" t="e">
        <f>AND(Bills!M526,"AAAAAFe97nE=")</f>
        <v>#VALUE!</v>
      </c>
      <c r="DK151" t="e">
        <f>AND(Bills!N526,"AAAAAFe97nI=")</f>
        <v>#VALUE!</v>
      </c>
      <c r="DL151" t="e">
        <f>AND(Bills!O526,"AAAAAFe97nM=")</f>
        <v>#VALUE!</v>
      </c>
      <c r="DM151" t="e">
        <f>AND(Bills!P526,"AAAAAFe97nQ=")</f>
        <v>#VALUE!</v>
      </c>
      <c r="DN151" t="e">
        <f>AND(Bills!Q526,"AAAAAFe97nU=")</f>
        <v>#VALUE!</v>
      </c>
      <c r="DO151" t="e">
        <f>AND(Bills!R526,"AAAAAFe97nY=")</f>
        <v>#VALUE!</v>
      </c>
      <c r="DP151" t="e">
        <f>AND(Bills!#REF!,"AAAAAFe97nc=")</f>
        <v>#REF!</v>
      </c>
      <c r="DQ151" t="e">
        <f>AND(Bills!S526,"AAAAAFe97ng=")</f>
        <v>#VALUE!</v>
      </c>
      <c r="DR151" t="e">
        <f>AND(Bills!T526,"AAAAAFe97nk=")</f>
        <v>#VALUE!</v>
      </c>
      <c r="DS151" t="e">
        <f>AND(Bills!U526,"AAAAAFe97no=")</f>
        <v>#VALUE!</v>
      </c>
      <c r="DT151" t="e">
        <f>AND(Bills!#REF!,"AAAAAFe97ns=")</f>
        <v>#REF!</v>
      </c>
      <c r="DU151" t="e">
        <f>AND(Bills!#REF!,"AAAAAFe97nw=")</f>
        <v>#REF!</v>
      </c>
      <c r="DV151" t="e">
        <f>AND(Bills!W526,"AAAAAFe97n0=")</f>
        <v>#VALUE!</v>
      </c>
      <c r="DW151" t="e">
        <f>AND(Bills!X526,"AAAAAFe97n4=")</f>
        <v>#VALUE!</v>
      </c>
      <c r="DX151" t="e">
        <f>AND(Bills!#REF!,"AAAAAFe97n8=")</f>
        <v>#REF!</v>
      </c>
      <c r="DY151" t="e">
        <f>AND(Bills!#REF!,"AAAAAFe97oA=")</f>
        <v>#REF!</v>
      </c>
      <c r="DZ151" t="e">
        <f>AND(Bills!#REF!,"AAAAAFe97oE=")</f>
        <v>#REF!</v>
      </c>
      <c r="EA151" t="e">
        <f>AND(Bills!#REF!,"AAAAAFe97oI=")</f>
        <v>#REF!</v>
      </c>
      <c r="EB151" t="e">
        <f>AND(Bills!#REF!,"AAAAAFe97oM=")</f>
        <v>#REF!</v>
      </c>
      <c r="EC151" t="e">
        <f>AND(Bills!#REF!,"AAAAAFe97oQ=")</f>
        <v>#REF!</v>
      </c>
      <c r="ED151" t="e">
        <f>AND(Bills!#REF!,"AAAAAFe97oU=")</f>
        <v>#REF!</v>
      </c>
      <c r="EE151" t="e">
        <f>AND(Bills!#REF!,"AAAAAFe97oY=")</f>
        <v>#REF!</v>
      </c>
      <c r="EF151" t="e">
        <f>AND(Bills!#REF!,"AAAAAFe97oc=")</f>
        <v>#REF!</v>
      </c>
      <c r="EG151" t="e">
        <f>AND(Bills!Y526,"AAAAAFe97og=")</f>
        <v>#VALUE!</v>
      </c>
      <c r="EH151" t="e">
        <f>AND(Bills!Z526,"AAAAAFe97ok=")</f>
        <v>#VALUE!</v>
      </c>
      <c r="EI151" t="e">
        <f>AND(Bills!#REF!,"AAAAAFe97oo=")</f>
        <v>#REF!</v>
      </c>
      <c r="EJ151" t="e">
        <f>AND(Bills!#REF!,"AAAAAFe97os=")</f>
        <v>#REF!</v>
      </c>
      <c r="EK151" t="e">
        <f>AND(Bills!#REF!,"AAAAAFe97ow=")</f>
        <v>#REF!</v>
      </c>
      <c r="EL151" t="e">
        <f>AND(Bills!AA526,"AAAAAFe97o0=")</f>
        <v>#VALUE!</v>
      </c>
      <c r="EM151" t="e">
        <f>AND(Bills!AB526,"AAAAAFe97o4=")</f>
        <v>#VALUE!</v>
      </c>
      <c r="EN151" t="e">
        <f>AND(Bills!#REF!,"AAAAAFe97o8=")</f>
        <v>#REF!</v>
      </c>
      <c r="EO151">
        <f>IF(Bills!527:527,"AAAAAFe97pA=",0)</f>
        <v>0</v>
      </c>
      <c r="EP151" t="e">
        <f>AND(Bills!B527,"AAAAAFe97pE=")</f>
        <v>#VALUE!</v>
      </c>
      <c r="EQ151" t="e">
        <f>AND(Bills!#REF!,"AAAAAFe97pI=")</f>
        <v>#REF!</v>
      </c>
      <c r="ER151" t="e">
        <f>AND(Bills!C527,"AAAAAFe97pM=")</f>
        <v>#VALUE!</v>
      </c>
      <c r="ES151" t="e">
        <f>AND(Bills!#REF!,"AAAAAFe97pQ=")</f>
        <v>#REF!</v>
      </c>
      <c r="ET151" t="e">
        <f>AND(Bills!#REF!,"AAAAAFe97pU=")</f>
        <v>#REF!</v>
      </c>
      <c r="EU151" t="e">
        <f>AND(Bills!#REF!,"AAAAAFe97pY=")</f>
        <v>#REF!</v>
      </c>
      <c r="EV151" t="e">
        <f>AND(Bills!#REF!,"AAAAAFe97pc=")</f>
        <v>#REF!</v>
      </c>
      <c r="EW151" t="e">
        <f>AND(Bills!#REF!,"AAAAAFe97pg=")</f>
        <v>#REF!</v>
      </c>
      <c r="EX151" t="e">
        <f>AND(Bills!D527,"AAAAAFe97pk=")</f>
        <v>#VALUE!</v>
      </c>
      <c r="EY151" t="e">
        <f>AND(Bills!#REF!,"AAAAAFe97po=")</f>
        <v>#REF!</v>
      </c>
      <c r="EZ151" t="e">
        <f>AND(Bills!E527,"AAAAAFe97ps=")</f>
        <v>#VALUE!</v>
      </c>
      <c r="FA151" t="e">
        <f>AND(Bills!F527,"AAAAAFe97pw=")</f>
        <v>#VALUE!</v>
      </c>
      <c r="FB151" t="e">
        <f>AND(Bills!G527,"AAAAAFe97p0=")</f>
        <v>#VALUE!</v>
      </c>
      <c r="FC151" t="e">
        <f>AND(Bills!H527,"AAAAAFe97p4=")</f>
        <v>#VALUE!</v>
      </c>
      <c r="FD151" t="e">
        <f>AND(Bills!I527,"AAAAAFe97p8=")</f>
        <v>#VALUE!</v>
      </c>
      <c r="FE151" t="e">
        <f>AND(Bills!J527,"AAAAAFe97qA=")</f>
        <v>#VALUE!</v>
      </c>
      <c r="FF151" t="e">
        <f>AND(Bills!#REF!,"AAAAAFe97qE=")</f>
        <v>#REF!</v>
      </c>
      <c r="FG151" t="e">
        <f>AND(Bills!K527,"AAAAAFe97qI=")</f>
        <v>#VALUE!</v>
      </c>
      <c r="FH151" t="e">
        <f>AND(Bills!L527,"AAAAAFe97qM=")</f>
        <v>#VALUE!</v>
      </c>
      <c r="FI151" t="e">
        <f>AND(Bills!M527,"AAAAAFe97qQ=")</f>
        <v>#VALUE!</v>
      </c>
      <c r="FJ151" t="e">
        <f>AND(Bills!N527,"AAAAAFe97qU=")</f>
        <v>#VALUE!</v>
      </c>
      <c r="FK151" t="e">
        <f>AND(Bills!O527,"AAAAAFe97qY=")</f>
        <v>#VALUE!</v>
      </c>
      <c r="FL151" t="e">
        <f>AND(Bills!P527,"AAAAAFe97qc=")</f>
        <v>#VALUE!</v>
      </c>
      <c r="FM151" t="e">
        <f>AND(Bills!Q527,"AAAAAFe97qg=")</f>
        <v>#VALUE!</v>
      </c>
      <c r="FN151" t="e">
        <f>AND(Bills!R527,"AAAAAFe97qk=")</f>
        <v>#VALUE!</v>
      </c>
      <c r="FO151" t="e">
        <f>AND(Bills!#REF!,"AAAAAFe97qo=")</f>
        <v>#REF!</v>
      </c>
      <c r="FP151" t="e">
        <f>AND(Bills!S527,"AAAAAFe97qs=")</f>
        <v>#VALUE!</v>
      </c>
      <c r="FQ151" t="e">
        <f>AND(Bills!T527,"AAAAAFe97qw=")</f>
        <v>#VALUE!</v>
      </c>
      <c r="FR151" t="e">
        <f>AND(Bills!U527,"AAAAAFe97q0=")</f>
        <v>#VALUE!</v>
      </c>
      <c r="FS151" t="e">
        <f>AND(Bills!#REF!,"AAAAAFe97q4=")</f>
        <v>#REF!</v>
      </c>
      <c r="FT151" t="e">
        <f>AND(Bills!#REF!,"AAAAAFe97q8=")</f>
        <v>#REF!</v>
      </c>
      <c r="FU151" t="e">
        <f>AND(Bills!W527,"AAAAAFe97rA=")</f>
        <v>#VALUE!</v>
      </c>
      <c r="FV151" t="e">
        <f>AND(Bills!X527,"AAAAAFe97rE=")</f>
        <v>#VALUE!</v>
      </c>
      <c r="FW151" t="e">
        <f>AND(Bills!#REF!,"AAAAAFe97rI=")</f>
        <v>#REF!</v>
      </c>
      <c r="FX151" t="e">
        <f>AND(Bills!#REF!,"AAAAAFe97rM=")</f>
        <v>#REF!</v>
      </c>
      <c r="FY151" t="e">
        <f>AND(Bills!#REF!,"AAAAAFe97rQ=")</f>
        <v>#REF!</v>
      </c>
      <c r="FZ151" t="e">
        <f>AND(Bills!#REF!,"AAAAAFe97rU=")</f>
        <v>#REF!</v>
      </c>
      <c r="GA151" t="e">
        <f>AND(Bills!#REF!,"AAAAAFe97rY=")</f>
        <v>#REF!</v>
      </c>
      <c r="GB151" t="e">
        <f>AND(Bills!#REF!,"AAAAAFe97rc=")</f>
        <v>#REF!</v>
      </c>
      <c r="GC151" t="e">
        <f>AND(Bills!#REF!,"AAAAAFe97rg=")</f>
        <v>#REF!</v>
      </c>
      <c r="GD151" t="e">
        <f>AND(Bills!#REF!,"AAAAAFe97rk=")</f>
        <v>#REF!</v>
      </c>
      <c r="GE151" t="e">
        <f>AND(Bills!#REF!,"AAAAAFe97ro=")</f>
        <v>#REF!</v>
      </c>
      <c r="GF151" t="e">
        <f>AND(Bills!Y527,"AAAAAFe97rs=")</f>
        <v>#VALUE!</v>
      </c>
      <c r="GG151" t="e">
        <f>AND(Bills!Z527,"AAAAAFe97rw=")</f>
        <v>#VALUE!</v>
      </c>
      <c r="GH151" t="e">
        <f>AND(Bills!#REF!,"AAAAAFe97r0=")</f>
        <v>#REF!</v>
      </c>
      <c r="GI151" t="e">
        <f>AND(Bills!#REF!,"AAAAAFe97r4=")</f>
        <v>#REF!</v>
      </c>
      <c r="GJ151" t="e">
        <f>AND(Bills!#REF!,"AAAAAFe97r8=")</f>
        <v>#REF!</v>
      </c>
      <c r="GK151" t="e">
        <f>AND(Bills!AA527,"AAAAAFe97sA=")</f>
        <v>#VALUE!</v>
      </c>
      <c r="GL151" t="e">
        <f>AND(Bills!AB527,"AAAAAFe97sE=")</f>
        <v>#VALUE!</v>
      </c>
      <c r="GM151" t="e">
        <f>AND(Bills!#REF!,"AAAAAFe97sI=")</f>
        <v>#REF!</v>
      </c>
      <c r="GN151">
        <f>IF(Bills!528:528,"AAAAAFe97sM=",0)</f>
        <v>0</v>
      </c>
      <c r="GO151" t="e">
        <f>AND(Bills!B528,"AAAAAFe97sQ=")</f>
        <v>#VALUE!</v>
      </c>
      <c r="GP151" t="e">
        <f>AND(Bills!#REF!,"AAAAAFe97sU=")</f>
        <v>#REF!</v>
      </c>
      <c r="GQ151" t="e">
        <f>AND(Bills!C528,"AAAAAFe97sY=")</f>
        <v>#VALUE!</v>
      </c>
      <c r="GR151" t="e">
        <f>AND(Bills!#REF!,"AAAAAFe97sc=")</f>
        <v>#REF!</v>
      </c>
      <c r="GS151" t="e">
        <f>AND(Bills!#REF!,"AAAAAFe97sg=")</f>
        <v>#REF!</v>
      </c>
      <c r="GT151" t="e">
        <f>AND(Bills!#REF!,"AAAAAFe97sk=")</f>
        <v>#REF!</v>
      </c>
      <c r="GU151" t="e">
        <f>AND(Bills!#REF!,"AAAAAFe97so=")</f>
        <v>#REF!</v>
      </c>
      <c r="GV151" t="e">
        <f>AND(Bills!#REF!,"AAAAAFe97ss=")</f>
        <v>#REF!</v>
      </c>
      <c r="GW151" t="e">
        <f>AND(Bills!D528,"AAAAAFe97sw=")</f>
        <v>#VALUE!</v>
      </c>
      <c r="GX151" t="e">
        <f>AND(Bills!#REF!,"AAAAAFe97s0=")</f>
        <v>#REF!</v>
      </c>
      <c r="GY151" t="e">
        <f>AND(Bills!E528,"AAAAAFe97s4=")</f>
        <v>#VALUE!</v>
      </c>
      <c r="GZ151" t="e">
        <f>AND(Bills!F528,"AAAAAFe97s8=")</f>
        <v>#VALUE!</v>
      </c>
      <c r="HA151" t="e">
        <f>AND(Bills!G528,"AAAAAFe97tA=")</f>
        <v>#VALUE!</v>
      </c>
      <c r="HB151" t="e">
        <f>AND(Bills!H528,"AAAAAFe97tE=")</f>
        <v>#VALUE!</v>
      </c>
      <c r="HC151" t="e">
        <f>AND(Bills!I528,"AAAAAFe97tI=")</f>
        <v>#VALUE!</v>
      </c>
      <c r="HD151" t="e">
        <f>AND(Bills!J528,"AAAAAFe97tM=")</f>
        <v>#VALUE!</v>
      </c>
      <c r="HE151" t="e">
        <f>AND(Bills!#REF!,"AAAAAFe97tQ=")</f>
        <v>#REF!</v>
      </c>
      <c r="HF151" t="e">
        <f>AND(Bills!K528,"AAAAAFe97tU=")</f>
        <v>#VALUE!</v>
      </c>
      <c r="HG151" t="e">
        <f>AND(Bills!L528,"AAAAAFe97tY=")</f>
        <v>#VALUE!</v>
      </c>
      <c r="HH151" t="e">
        <f>AND(Bills!M528,"AAAAAFe97tc=")</f>
        <v>#VALUE!</v>
      </c>
      <c r="HI151" t="e">
        <f>AND(Bills!N528,"AAAAAFe97tg=")</f>
        <v>#VALUE!</v>
      </c>
      <c r="HJ151" t="e">
        <f>AND(Bills!O528,"AAAAAFe97tk=")</f>
        <v>#VALUE!</v>
      </c>
      <c r="HK151" t="e">
        <f>AND(Bills!P528,"AAAAAFe97to=")</f>
        <v>#VALUE!</v>
      </c>
      <c r="HL151" t="e">
        <f>AND(Bills!Q528,"AAAAAFe97ts=")</f>
        <v>#VALUE!</v>
      </c>
      <c r="HM151" t="e">
        <f>AND(Bills!R528,"AAAAAFe97tw=")</f>
        <v>#VALUE!</v>
      </c>
      <c r="HN151" t="e">
        <f>AND(Bills!#REF!,"AAAAAFe97t0=")</f>
        <v>#REF!</v>
      </c>
      <c r="HO151" t="e">
        <f>AND(Bills!S528,"AAAAAFe97t4=")</f>
        <v>#VALUE!</v>
      </c>
      <c r="HP151" t="e">
        <f>AND(Bills!T528,"AAAAAFe97t8=")</f>
        <v>#VALUE!</v>
      </c>
      <c r="HQ151" t="e">
        <f>AND(Bills!U528,"AAAAAFe97uA=")</f>
        <v>#VALUE!</v>
      </c>
      <c r="HR151" t="e">
        <f>AND(Bills!#REF!,"AAAAAFe97uE=")</f>
        <v>#REF!</v>
      </c>
      <c r="HS151" t="e">
        <f>AND(Bills!#REF!,"AAAAAFe97uI=")</f>
        <v>#REF!</v>
      </c>
      <c r="HT151" t="e">
        <f>AND(Bills!W528,"AAAAAFe97uM=")</f>
        <v>#VALUE!</v>
      </c>
      <c r="HU151" t="e">
        <f>AND(Bills!X528,"AAAAAFe97uQ=")</f>
        <v>#VALUE!</v>
      </c>
      <c r="HV151" t="e">
        <f>AND(Bills!#REF!,"AAAAAFe97uU=")</f>
        <v>#REF!</v>
      </c>
      <c r="HW151" t="e">
        <f>AND(Bills!#REF!,"AAAAAFe97uY=")</f>
        <v>#REF!</v>
      </c>
      <c r="HX151" t="e">
        <f>AND(Bills!#REF!,"AAAAAFe97uc=")</f>
        <v>#REF!</v>
      </c>
      <c r="HY151" t="e">
        <f>AND(Bills!#REF!,"AAAAAFe97ug=")</f>
        <v>#REF!</v>
      </c>
      <c r="HZ151" t="e">
        <f>AND(Bills!#REF!,"AAAAAFe97uk=")</f>
        <v>#REF!</v>
      </c>
      <c r="IA151" t="e">
        <f>AND(Bills!#REF!,"AAAAAFe97uo=")</f>
        <v>#REF!</v>
      </c>
      <c r="IB151" t="e">
        <f>AND(Bills!#REF!,"AAAAAFe97us=")</f>
        <v>#REF!</v>
      </c>
      <c r="IC151" t="e">
        <f>AND(Bills!#REF!,"AAAAAFe97uw=")</f>
        <v>#REF!</v>
      </c>
      <c r="ID151" t="e">
        <f>AND(Bills!#REF!,"AAAAAFe97u0=")</f>
        <v>#REF!</v>
      </c>
      <c r="IE151" t="e">
        <f>AND(Bills!Y528,"AAAAAFe97u4=")</f>
        <v>#VALUE!</v>
      </c>
      <c r="IF151" t="e">
        <f>AND(Bills!Z528,"AAAAAFe97u8=")</f>
        <v>#VALUE!</v>
      </c>
      <c r="IG151" t="e">
        <f>AND(Bills!#REF!,"AAAAAFe97vA=")</f>
        <v>#REF!</v>
      </c>
      <c r="IH151" t="e">
        <f>AND(Bills!#REF!,"AAAAAFe97vE=")</f>
        <v>#REF!</v>
      </c>
      <c r="II151" t="e">
        <f>AND(Bills!#REF!,"AAAAAFe97vI=")</f>
        <v>#REF!</v>
      </c>
      <c r="IJ151" t="e">
        <f>AND(Bills!AA528,"AAAAAFe97vM=")</f>
        <v>#VALUE!</v>
      </c>
      <c r="IK151" t="e">
        <f>AND(Bills!AB528,"AAAAAFe97vQ=")</f>
        <v>#VALUE!</v>
      </c>
      <c r="IL151" t="e">
        <f>AND(Bills!#REF!,"AAAAAFe97vU=")</f>
        <v>#REF!</v>
      </c>
      <c r="IM151">
        <f>IF(Bills!529:529,"AAAAAFe97vY=",0)</f>
        <v>0</v>
      </c>
      <c r="IN151" t="e">
        <f>AND(Bills!B529,"AAAAAFe97vc=")</f>
        <v>#VALUE!</v>
      </c>
      <c r="IO151" t="e">
        <f>AND(Bills!#REF!,"AAAAAFe97vg=")</f>
        <v>#REF!</v>
      </c>
      <c r="IP151" t="e">
        <f>AND(Bills!C529,"AAAAAFe97vk=")</f>
        <v>#VALUE!</v>
      </c>
      <c r="IQ151" t="e">
        <f>AND(Bills!#REF!,"AAAAAFe97vo=")</f>
        <v>#REF!</v>
      </c>
      <c r="IR151" t="e">
        <f>AND(Bills!#REF!,"AAAAAFe97vs=")</f>
        <v>#REF!</v>
      </c>
      <c r="IS151" t="e">
        <f>AND(Bills!#REF!,"AAAAAFe97vw=")</f>
        <v>#REF!</v>
      </c>
      <c r="IT151" t="e">
        <f>AND(Bills!#REF!,"AAAAAFe97v0=")</f>
        <v>#REF!</v>
      </c>
      <c r="IU151" t="e">
        <f>AND(Bills!#REF!,"AAAAAFe97v4=")</f>
        <v>#REF!</v>
      </c>
      <c r="IV151" t="e">
        <f>AND(Bills!D529,"AAAAAFe97v8=")</f>
        <v>#VALUE!</v>
      </c>
    </row>
    <row r="152" spans="1:256">
      <c r="A152" t="e">
        <f>AND(Bills!#REF!,"AAAAAD/3wQA=")</f>
        <v>#REF!</v>
      </c>
      <c r="B152" t="e">
        <f>AND(Bills!E529,"AAAAAD/3wQE=")</f>
        <v>#VALUE!</v>
      </c>
      <c r="C152" t="e">
        <f>AND(Bills!F529,"AAAAAD/3wQI=")</f>
        <v>#VALUE!</v>
      </c>
      <c r="D152" t="e">
        <f>AND(Bills!G529,"AAAAAD/3wQM=")</f>
        <v>#VALUE!</v>
      </c>
      <c r="E152" t="e">
        <f>AND(Bills!H529,"AAAAAD/3wQQ=")</f>
        <v>#VALUE!</v>
      </c>
      <c r="F152" t="e">
        <f>AND(Bills!I529,"AAAAAD/3wQU=")</f>
        <v>#VALUE!</v>
      </c>
      <c r="G152" t="e">
        <f>AND(Bills!J529,"AAAAAD/3wQY=")</f>
        <v>#VALUE!</v>
      </c>
      <c r="H152" t="e">
        <f>AND(Bills!#REF!,"AAAAAD/3wQc=")</f>
        <v>#REF!</v>
      </c>
      <c r="I152" t="e">
        <f>AND(Bills!K529,"AAAAAD/3wQg=")</f>
        <v>#VALUE!</v>
      </c>
      <c r="J152" t="e">
        <f>AND(Bills!L529,"AAAAAD/3wQk=")</f>
        <v>#VALUE!</v>
      </c>
      <c r="K152" t="e">
        <f>AND(Bills!M529,"AAAAAD/3wQo=")</f>
        <v>#VALUE!</v>
      </c>
      <c r="L152" t="e">
        <f>AND(Bills!N529,"AAAAAD/3wQs=")</f>
        <v>#VALUE!</v>
      </c>
      <c r="M152" t="e">
        <f>AND(Bills!O529,"AAAAAD/3wQw=")</f>
        <v>#VALUE!</v>
      </c>
      <c r="N152" t="e">
        <f>AND(Bills!P529,"AAAAAD/3wQ0=")</f>
        <v>#VALUE!</v>
      </c>
      <c r="O152" t="e">
        <f>AND(Bills!Q529,"AAAAAD/3wQ4=")</f>
        <v>#VALUE!</v>
      </c>
      <c r="P152" t="e">
        <f>AND(Bills!R529,"AAAAAD/3wQ8=")</f>
        <v>#VALUE!</v>
      </c>
      <c r="Q152" t="e">
        <f>AND(Bills!#REF!,"AAAAAD/3wRA=")</f>
        <v>#REF!</v>
      </c>
      <c r="R152" t="e">
        <f>AND(Bills!S529,"AAAAAD/3wRE=")</f>
        <v>#VALUE!</v>
      </c>
      <c r="S152" t="e">
        <f>AND(Bills!T529,"AAAAAD/3wRI=")</f>
        <v>#VALUE!</v>
      </c>
      <c r="T152" t="e">
        <f>AND(Bills!U529,"AAAAAD/3wRM=")</f>
        <v>#VALUE!</v>
      </c>
      <c r="U152" t="e">
        <f>AND(Bills!#REF!,"AAAAAD/3wRQ=")</f>
        <v>#REF!</v>
      </c>
      <c r="V152" t="e">
        <f>AND(Bills!#REF!,"AAAAAD/3wRU=")</f>
        <v>#REF!</v>
      </c>
      <c r="W152" t="e">
        <f>AND(Bills!W529,"AAAAAD/3wRY=")</f>
        <v>#VALUE!</v>
      </c>
      <c r="X152" t="e">
        <f>AND(Bills!X529,"AAAAAD/3wRc=")</f>
        <v>#VALUE!</v>
      </c>
      <c r="Y152" t="e">
        <f>AND(Bills!#REF!,"AAAAAD/3wRg=")</f>
        <v>#REF!</v>
      </c>
      <c r="Z152" t="e">
        <f>AND(Bills!#REF!,"AAAAAD/3wRk=")</f>
        <v>#REF!</v>
      </c>
      <c r="AA152" t="e">
        <f>AND(Bills!#REF!,"AAAAAD/3wRo=")</f>
        <v>#REF!</v>
      </c>
      <c r="AB152" t="e">
        <f>AND(Bills!#REF!,"AAAAAD/3wRs=")</f>
        <v>#REF!</v>
      </c>
      <c r="AC152" t="e">
        <f>AND(Bills!#REF!,"AAAAAD/3wRw=")</f>
        <v>#REF!</v>
      </c>
      <c r="AD152" t="e">
        <f>AND(Bills!#REF!,"AAAAAD/3wR0=")</f>
        <v>#REF!</v>
      </c>
      <c r="AE152" t="e">
        <f>AND(Bills!#REF!,"AAAAAD/3wR4=")</f>
        <v>#REF!</v>
      </c>
      <c r="AF152" t="e">
        <f>AND(Bills!#REF!,"AAAAAD/3wR8=")</f>
        <v>#REF!</v>
      </c>
      <c r="AG152" t="e">
        <f>AND(Bills!#REF!,"AAAAAD/3wSA=")</f>
        <v>#REF!</v>
      </c>
      <c r="AH152" t="e">
        <f>AND(Bills!Y529,"AAAAAD/3wSE=")</f>
        <v>#VALUE!</v>
      </c>
      <c r="AI152" t="e">
        <f>AND(Bills!Z529,"AAAAAD/3wSI=")</f>
        <v>#VALUE!</v>
      </c>
      <c r="AJ152" t="e">
        <f>AND(Bills!#REF!,"AAAAAD/3wSM=")</f>
        <v>#REF!</v>
      </c>
      <c r="AK152" t="e">
        <f>AND(Bills!#REF!,"AAAAAD/3wSQ=")</f>
        <v>#REF!</v>
      </c>
      <c r="AL152" t="e">
        <f>AND(Bills!#REF!,"AAAAAD/3wSU=")</f>
        <v>#REF!</v>
      </c>
      <c r="AM152" t="e">
        <f>AND(Bills!AA529,"AAAAAD/3wSY=")</f>
        <v>#VALUE!</v>
      </c>
      <c r="AN152" t="e">
        <f>AND(Bills!AB529,"AAAAAD/3wSc=")</f>
        <v>#VALUE!</v>
      </c>
      <c r="AO152" t="e">
        <f>AND(Bills!#REF!,"AAAAAD/3wSg=")</f>
        <v>#REF!</v>
      </c>
      <c r="AP152">
        <f>IF(Bills!530:530,"AAAAAD/3wSk=",0)</f>
        <v>0</v>
      </c>
      <c r="AQ152" t="e">
        <f>AND(Bills!B530,"AAAAAD/3wSo=")</f>
        <v>#VALUE!</v>
      </c>
      <c r="AR152" t="e">
        <f>AND(Bills!#REF!,"AAAAAD/3wSs=")</f>
        <v>#REF!</v>
      </c>
      <c r="AS152" t="e">
        <f>AND(Bills!C530,"AAAAAD/3wSw=")</f>
        <v>#VALUE!</v>
      </c>
      <c r="AT152" t="e">
        <f>AND(Bills!#REF!,"AAAAAD/3wS0=")</f>
        <v>#REF!</v>
      </c>
      <c r="AU152" t="e">
        <f>AND(Bills!#REF!,"AAAAAD/3wS4=")</f>
        <v>#REF!</v>
      </c>
      <c r="AV152" t="e">
        <f>AND(Bills!#REF!,"AAAAAD/3wS8=")</f>
        <v>#REF!</v>
      </c>
      <c r="AW152" t="e">
        <f>AND(Bills!#REF!,"AAAAAD/3wTA=")</f>
        <v>#REF!</v>
      </c>
      <c r="AX152" t="e">
        <f>AND(Bills!#REF!,"AAAAAD/3wTE=")</f>
        <v>#REF!</v>
      </c>
      <c r="AY152" t="e">
        <f>AND(Bills!D530,"AAAAAD/3wTI=")</f>
        <v>#VALUE!</v>
      </c>
      <c r="AZ152" t="e">
        <f>AND(Bills!#REF!,"AAAAAD/3wTM=")</f>
        <v>#REF!</v>
      </c>
      <c r="BA152" t="e">
        <f>AND(Bills!E530,"AAAAAD/3wTQ=")</f>
        <v>#VALUE!</v>
      </c>
      <c r="BB152" t="e">
        <f>AND(Bills!F530,"AAAAAD/3wTU=")</f>
        <v>#VALUE!</v>
      </c>
      <c r="BC152" t="e">
        <f>AND(Bills!G530,"AAAAAD/3wTY=")</f>
        <v>#VALUE!</v>
      </c>
      <c r="BD152" t="e">
        <f>AND(Bills!H530,"AAAAAD/3wTc=")</f>
        <v>#VALUE!</v>
      </c>
      <c r="BE152" t="e">
        <f>AND(Bills!I530,"AAAAAD/3wTg=")</f>
        <v>#VALUE!</v>
      </c>
      <c r="BF152" t="e">
        <f>AND(Bills!J530,"AAAAAD/3wTk=")</f>
        <v>#VALUE!</v>
      </c>
      <c r="BG152" t="e">
        <f>AND(Bills!#REF!,"AAAAAD/3wTo=")</f>
        <v>#REF!</v>
      </c>
      <c r="BH152" t="e">
        <f>AND(Bills!K530,"AAAAAD/3wTs=")</f>
        <v>#VALUE!</v>
      </c>
      <c r="BI152" t="e">
        <f>AND(Bills!L530,"AAAAAD/3wTw=")</f>
        <v>#VALUE!</v>
      </c>
      <c r="BJ152" t="e">
        <f>AND(Bills!M530,"AAAAAD/3wT0=")</f>
        <v>#VALUE!</v>
      </c>
      <c r="BK152" t="e">
        <f>AND(Bills!N530,"AAAAAD/3wT4=")</f>
        <v>#VALUE!</v>
      </c>
      <c r="BL152" t="e">
        <f>AND(Bills!O530,"AAAAAD/3wT8=")</f>
        <v>#VALUE!</v>
      </c>
      <c r="BM152" t="e">
        <f>AND(Bills!P530,"AAAAAD/3wUA=")</f>
        <v>#VALUE!</v>
      </c>
      <c r="BN152" t="e">
        <f>AND(Bills!Q530,"AAAAAD/3wUE=")</f>
        <v>#VALUE!</v>
      </c>
      <c r="BO152" t="e">
        <f>AND(Bills!R530,"AAAAAD/3wUI=")</f>
        <v>#VALUE!</v>
      </c>
      <c r="BP152" t="e">
        <f>AND(Bills!#REF!,"AAAAAD/3wUM=")</f>
        <v>#REF!</v>
      </c>
      <c r="BQ152" t="e">
        <f>AND(Bills!S530,"AAAAAD/3wUQ=")</f>
        <v>#VALUE!</v>
      </c>
      <c r="BR152" t="e">
        <f>AND(Bills!T530,"AAAAAD/3wUU=")</f>
        <v>#VALUE!</v>
      </c>
      <c r="BS152" t="e">
        <f>AND(Bills!U530,"AAAAAD/3wUY=")</f>
        <v>#VALUE!</v>
      </c>
      <c r="BT152" t="e">
        <f>AND(Bills!#REF!,"AAAAAD/3wUc=")</f>
        <v>#REF!</v>
      </c>
      <c r="BU152" t="e">
        <f>AND(Bills!#REF!,"AAAAAD/3wUg=")</f>
        <v>#REF!</v>
      </c>
      <c r="BV152" t="e">
        <f>AND(Bills!W530,"AAAAAD/3wUk=")</f>
        <v>#VALUE!</v>
      </c>
      <c r="BW152" t="e">
        <f>AND(Bills!X530,"AAAAAD/3wUo=")</f>
        <v>#VALUE!</v>
      </c>
      <c r="BX152" t="e">
        <f>AND(Bills!#REF!,"AAAAAD/3wUs=")</f>
        <v>#REF!</v>
      </c>
      <c r="BY152" t="e">
        <f>AND(Bills!#REF!,"AAAAAD/3wUw=")</f>
        <v>#REF!</v>
      </c>
      <c r="BZ152" t="e">
        <f>AND(Bills!#REF!,"AAAAAD/3wU0=")</f>
        <v>#REF!</v>
      </c>
      <c r="CA152" t="e">
        <f>AND(Bills!#REF!,"AAAAAD/3wU4=")</f>
        <v>#REF!</v>
      </c>
      <c r="CB152" t="e">
        <f>AND(Bills!#REF!,"AAAAAD/3wU8=")</f>
        <v>#REF!</v>
      </c>
      <c r="CC152" t="e">
        <f>AND(Bills!#REF!,"AAAAAD/3wVA=")</f>
        <v>#REF!</v>
      </c>
      <c r="CD152" t="e">
        <f>AND(Bills!#REF!,"AAAAAD/3wVE=")</f>
        <v>#REF!</v>
      </c>
      <c r="CE152" t="e">
        <f>AND(Bills!#REF!,"AAAAAD/3wVI=")</f>
        <v>#REF!</v>
      </c>
      <c r="CF152" t="e">
        <f>AND(Bills!#REF!,"AAAAAD/3wVM=")</f>
        <v>#REF!</v>
      </c>
      <c r="CG152" t="e">
        <f>AND(Bills!Y530,"AAAAAD/3wVQ=")</f>
        <v>#VALUE!</v>
      </c>
      <c r="CH152" t="e">
        <f>AND(Bills!Z530,"AAAAAD/3wVU=")</f>
        <v>#VALUE!</v>
      </c>
      <c r="CI152" t="e">
        <f>AND(Bills!#REF!,"AAAAAD/3wVY=")</f>
        <v>#REF!</v>
      </c>
      <c r="CJ152" t="e">
        <f>AND(Bills!#REF!,"AAAAAD/3wVc=")</f>
        <v>#REF!</v>
      </c>
      <c r="CK152" t="e">
        <f>AND(Bills!#REF!,"AAAAAD/3wVg=")</f>
        <v>#REF!</v>
      </c>
      <c r="CL152" t="e">
        <f>AND(Bills!AA530,"AAAAAD/3wVk=")</f>
        <v>#VALUE!</v>
      </c>
      <c r="CM152" t="e">
        <f>AND(Bills!AB530,"AAAAAD/3wVo=")</f>
        <v>#VALUE!</v>
      </c>
      <c r="CN152" t="e">
        <f>AND(Bills!#REF!,"AAAAAD/3wVs=")</f>
        <v>#REF!</v>
      </c>
      <c r="CO152">
        <f>IF(Bills!531:531,"AAAAAD/3wVw=",0)</f>
        <v>0</v>
      </c>
      <c r="CP152" t="e">
        <f>AND(Bills!B531,"AAAAAD/3wV0=")</f>
        <v>#VALUE!</v>
      </c>
      <c r="CQ152" t="e">
        <f>AND(Bills!#REF!,"AAAAAD/3wV4=")</f>
        <v>#REF!</v>
      </c>
      <c r="CR152" t="e">
        <f>AND(Bills!C531,"AAAAAD/3wV8=")</f>
        <v>#VALUE!</v>
      </c>
      <c r="CS152" t="e">
        <f>AND(Bills!#REF!,"AAAAAD/3wWA=")</f>
        <v>#REF!</v>
      </c>
      <c r="CT152" t="e">
        <f>AND(Bills!#REF!,"AAAAAD/3wWE=")</f>
        <v>#REF!</v>
      </c>
      <c r="CU152" t="e">
        <f>AND(Bills!#REF!,"AAAAAD/3wWI=")</f>
        <v>#REF!</v>
      </c>
      <c r="CV152" t="e">
        <f>AND(Bills!#REF!,"AAAAAD/3wWM=")</f>
        <v>#REF!</v>
      </c>
      <c r="CW152" t="e">
        <f>AND(Bills!#REF!,"AAAAAD/3wWQ=")</f>
        <v>#REF!</v>
      </c>
      <c r="CX152" t="e">
        <f>AND(Bills!D531,"AAAAAD/3wWU=")</f>
        <v>#VALUE!</v>
      </c>
      <c r="CY152" t="e">
        <f>AND(Bills!#REF!,"AAAAAD/3wWY=")</f>
        <v>#REF!</v>
      </c>
      <c r="CZ152" t="e">
        <f>AND(Bills!E531,"AAAAAD/3wWc=")</f>
        <v>#VALUE!</v>
      </c>
      <c r="DA152" t="e">
        <f>AND(Bills!F531,"AAAAAD/3wWg=")</f>
        <v>#VALUE!</v>
      </c>
      <c r="DB152" t="e">
        <f>AND(Bills!G531,"AAAAAD/3wWk=")</f>
        <v>#VALUE!</v>
      </c>
      <c r="DC152" t="e">
        <f>AND(Bills!H531,"AAAAAD/3wWo=")</f>
        <v>#VALUE!</v>
      </c>
      <c r="DD152" t="e">
        <f>AND(Bills!I531,"AAAAAD/3wWs=")</f>
        <v>#VALUE!</v>
      </c>
      <c r="DE152" t="e">
        <f>AND(Bills!J531,"AAAAAD/3wWw=")</f>
        <v>#VALUE!</v>
      </c>
      <c r="DF152" t="e">
        <f>AND(Bills!#REF!,"AAAAAD/3wW0=")</f>
        <v>#REF!</v>
      </c>
      <c r="DG152" t="e">
        <f>AND(Bills!K531,"AAAAAD/3wW4=")</f>
        <v>#VALUE!</v>
      </c>
      <c r="DH152" t="e">
        <f>AND(Bills!L531,"AAAAAD/3wW8=")</f>
        <v>#VALUE!</v>
      </c>
      <c r="DI152" t="e">
        <f>AND(Bills!M531,"AAAAAD/3wXA=")</f>
        <v>#VALUE!</v>
      </c>
      <c r="DJ152" t="e">
        <f>AND(Bills!N531,"AAAAAD/3wXE=")</f>
        <v>#VALUE!</v>
      </c>
      <c r="DK152" t="e">
        <f>AND(Bills!O531,"AAAAAD/3wXI=")</f>
        <v>#VALUE!</v>
      </c>
      <c r="DL152" t="e">
        <f>AND(Bills!P531,"AAAAAD/3wXM=")</f>
        <v>#VALUE!</v>
      </c>
      <c r="DM152" t="e">
        <f>AND(Bills!Q531,"AAAAAD/3wXQ=")</f>
        <v>#VALUE!</v>
      </c>
      <c r="DN152" t="e">
        <f>AND(Bills!R531,"AAAAAD/3wXU=")</f>
        <v>#VALUE!</v>
      </c>
      <c r="DO152" t="e">
        <f>AND(Bills!#REF!,"AAAAAD/3wXY=")</f>
        <v>#REF!</v>
      </c>
      <c r="DP152" t="e">
        <f>AND(Bills!S531,"AAAAAD/3wXc=")</f>
        <v>#VALUE!</v>
      </c>
      <c r="DQ152" t="e">
        <f>AND(Bills!T531,"AAAAAD/3wXg=")</f>
        <v>#VALUE!</v>
      </c>
      <c r="DR152" t="e">
        <f>AND(Bills!U531,"AAAAAD/3wXk=")</f>
        <v>#VALUE!</v>
      </c>
      <c r="DS152" t="e">
        <f>AND(Bills!#REF!,"AAAAAD/3wXo=")</f>
        <v>#REF!</v>
      </c>
      <c r="DT152" t="e">
        <f>AND(Bills!#REF!,"AAAAAD/3wXs=")</f>
        <v>#REF!</v>
      </c>
      <c r="DU152" t="e">
        <f>AND(Bills!W531,"AAAAAD/3wXw=")</f>
        <v>#VALUE!</v>
      </c>
      <c r="DV152" t="e">
        <f>AND(Bills!X531,"AAAAAD/3wX0=")</f>
        <v>#VALUE!</v>
      </c>
      <c r="DW152" t="e">
        <f>AND(Bills!#REF!,"AAAAAD/3wX4=")</f>
        <v>#REF!</v>
      </c>
      <c r="DX152" t="e">
        <f>AND(Bills!#REF!,"AAAAAD/3wX8=")</f>
        <v>#REF!</v>
      </c>
      <c r="DY152" t="e">
        <f>AND(Bills!#REF!,"AAAAAD/3wYA=")</f>
        <v>#REF!</v>
      </c>
      <c r="DZ152" t="e">
        <f>AND(Bills!#REF!,"AAAAAD/3wYE=")</f>
        <v>#REF!</v>
      </c>
      <c r="EA152" t="e">
        <f>AND(Bills!#REF!,"AAAAAD/3wYI=")</f>
        <v>#REF!</v>
      </c>
      <c r="EB152" t="e">
        <f>AND(Bills!#REF!,"AAAAAD/3wYM=")</f>
        <v>#REF!</v>
      </c>
      <c r="EC152" t="e">
        <f>AND(Bills!#REF!,"AAAAAD/3wYQ=")</f>
        <v>#REF!</v>
      </c>
      <c r="ED152" t="e">
        <f>AND(Bills!#REF!,"AAAAAD/3wYU=")</f>
        <v>#REF!</v>
      </c>
      <c r="EE152" t="e">
        <f>AND(Bills!#REF!,"AAAAAD/3wYY=")</f>
        <v>#REF!</v>
      </c>
      <c r="EF152" t="e">
        <f>AND(Bills!Y531,"AAAAAD/3wYc=")</f>
        <v>#VALUE!</v>
      </c>
      <c r="EG152" t="e">
        <f>AND(Bills!Z531,"AAAAAD/3wYg=")</f>
        <v>#VALUE!</v>
      </c>
      <c r="EH152" t="e">
        <f>AND(Bills!#REF!,"AAAAAD/3wYk=")</f>
        <v>#REF!</v>
      </c>
      <c r="EI152" t="e">
        <f>AND(Bills!#REF!,"AAAAAD/3wYo=")</f>
        <v>#REF!</v>
      </c>
      <c r="EJ152" t="e">
        <f>AND(Bills!#REF!,"AAAAAD/3wYs=")</f>
        <v>#REF!</v>
      </c>
      <c r="EK152" t="e">
        <f>AND(Bills!AA531,"AAAAAD/3wYw=")</f>
        <v>#VALUE!</v>
      </c>
      <c r="EL152" t="e">
        <f>AND(Bills!AB531,"AAAAAD/3wY0=")</f>
        <v>#VALUE!</v>
      </c>
      <c r="EM152" t="e">
        <f>AND(Bills!#REF!,"AAAAAD/3wY4=")</f>
        <v>#REF!</v>
      </c>
      <c r="EN152">
        <f>IF(Bills!532:532,"AAAAAD/3wY8=",0)</f>
        <v>0</v>
      </c>
      <c r="EO152" t="e">
        <f>AND(Bills!B532,"AAAAAD/3wZA=")</f>
        <v>#VALUE!</v>
      </c>
      <c r="EP152" t="e">
        <f>AND(Bills!#REF!,"AAAAAD/3wZE=")</f>
        <v>#REF!</v>
      </c>
      <c r="EQ152" t="e">
        <f>AND(Bills!C532,"AAAAAD/3wZI=")</f>
        <v>#VALUE!</v>
      </c>
      <c r="ER152" t="e">
        <f>AND(Bills!#REF!,"AAAAAD/3wZM=")</f>
        <v>#REF!</v>
      </c>
      <c r="ES152" t="e">
        <f>AND(Bills!#REF!,"AAAAAD/3wZQ=")</f>
        <v>#REF!</v>
      </c>
      <c r="ET152" t="e">
        <f>AND(Bills!#REF!,"AAAAAD/3wZU=")</f>
        <v>#REF!</v>
      </c>
      <c r="EU152" t="e">
        <f>AND(Bills!#REF!,"AAAAAD/3wZY=")</f>
        <v>#REF!</v>
      </c>
      <c r="EV152" t="e">
        <f>AND(Bills!#REF!,"AAAAAD/3wZc=")</f>
        <v>#REF!</v>
      </c>
      <c r="EW152" t="e">
        <f>AND(Bills!D532,"AAAAAD/3wZg=")</f>
        <v>#VALUE!</v>
      </c>
      <c r="EX152" t="e">
        <f>AND(Bills!#REF!,"AAAAAD/3wZk=")</f>
        <v>#REF!</v>
      </c>
      <c r="EY152" t="e">
        <f>AND(Bills!E532,"AAAAAD/3wZo=")</f>
        <v>#VALUE!</v>
      </c>
      <c r="EZ152" t="e">
        <f>AND(Bills!F532,"AAAAAD/3wZs=")</f>
        <v>#VALUE!</v>
      </c>
      <c r="FA152" t="e">
        <f>AND(Bills!G532,"AAAAAD/3wZw=")</f>
        <v>#VALUE!</v>
      </c>
      <c r="FB152" t="e">
        <f>AND(Bills!H532,"AAAAAD/3wZ0=")</f>
        <v>#VALUE!</v>
      </c>
      <c r="FC152" t="e">
        <f>AND(Bills!I532,"AAAAAD/3wZ4=")</f>
        <v>#VALUE!</v>
      </c>
      <c r="FD152" t="e">
        <f>AND(Bills!J532,"AAAAAD/3wZ8=")</f>
        <v>#VALUE!</v>
      </c>
      <c r="FE152" t="e">
        <f>AND(Bills!#REF!,"AAAAAD/3waA=")</f>
        <v>#REF!</v>
      </c>
      <c r="FF152" t="e">
        <f>AND(Bills!K532,"AAAAAD/3waE=")</f>
        <v>#VALUE!</v>
      </c>
      <c r="FG152" t="e">
        <f>AND(Bills!L532,"AAAAAD/3waI=")</f>
        <v>#VALUE!</v>
      </c>
      <c r="FH152" t="e">
        <f>AND(Bills!M532,"AAAAAD/3waM=")</f>
        <v>#VALUE!</v>
      </c>
      <c r="FI152" t="e">
        <f>AND(Bills!N532,"AAAAAD/3waQ=")</f>
        <v>#VALUE!</v>
      </c>
      <c r="FJ152" t="e">
        <f>AND(Bills!O532,"AAAAAD/3waU=")</f>
        <v>#VALUE!</v>
      </c>
      <c r="FK152" t="e">
        <f>AND(Bills!P532,"AAAAAD/3waY=")</f>
        <v>#VALUE!</v>
      </c>
      <c r="FL152" t="e">
        <f>AND(Bills!Q532,"AAAAAD/3wac=")</f>
        <v>#VALUE!</v>
      </c>
      <c r="FM152" t="e">
        <f>AND(Bills!R532,"AAAAAD/3wag=")</f>
        <v>#VALUE!</v>
      </c>
      <c r="FN152" t="e">
        <f>AND(Bills!#REF!,"AAAAAD/3wak=")</f>
        <v>#REF!</v>
      </c>
      <c r="FO152" t="e">
        <f>AND(Bills!S532,"AAAAAD/3wao=")</f>
        <v>#VALUE!</v>
      </c>
      <c r="FP152" t="e">
        <f>AND(Bills!T532,"AAAAAD/3was=")</f>
        <v>#VALUE!</v>
      </c>
      <c r="FQ152" t="e">
        <f>AND(Bills!U532,"AAAAAD/3waw=")</f>
        <v>#VALUE!</v>
      </c>
      <c r="FR152" t="e">
        <f>AND(Bills!#REF!,"AAAAAD/3wa0=")</f>
        <v>#REF!</v>
      </c>
      <c r="FS152" t="e">
        <f>AND(Bills!#REF!,"AAAAAD/3wa4=")</f>
        <v>#REF!</v>
      </c>
      <c r="FT152" t="e">
        <f>AND(Bills!W532,"AAAAAD/3wa8=")</f>
        <v>#VALUE!</v>
      </c>
      <c r="FU152" t="e">
        <f>AND(Bills!X532,"AAAAAD/3wbA=")</f>
        <v>#VALUE!</v>
      </c>
      <c r="FV152" t="e">
        <f>AND(Bills!#REF!,"AAAAAD/3wbE=")</f>
        <v>#REF!</v>
      </c>
      <c r="FW152" t="e">
        <f>AND(Bills!#REF!,"AAAAAD/3wbI=")</f>
        <v>#REF!</v>
      </c>
      <c r="FX152" t="e">
        <f>AND(Bills!#REF!,"AAAAAD/3wbM=")</f>
        <v>#REF!</v>
      </c>
      <c r="FY152" t="e">
        <f>AND(Bills!#REF!,"AAAAAD/3wbQ=")</f>
        <v>#REF!</v>
      </c>
      <c r="FZ152" t="e">
        <f>AND(Bills!#REF!,"AAAAAD/3wbU=")</f>
        <v>#REF!</v>
      </c>
      <c r="GA152" t="e">
        <f>AND(Bills!#REF!,"AAAAAD/3wbY=")</f>
        <v>#REF!</v>
      </c>
      <c r="GB152" t="e">
        <f>AND(Bills!#REF!,"AAAAAD/3wbc=")</f>
        <v>#REF!</v>
      </c>
      <c r="GC152" t="e">
        <f>AND(Bills!#REF!,"AAAAAD/3wbg=")</f>
        <v>#REF!</v>
      </c>
      <c r="GD152" t="e">
        <f>AND(Bills!#REF!,"AAAAAD/3wbk=")</f>
        <v>#REF!</v>
      </c>
      <c r="GE152" t="e">
        <f>AND(Bills!Y532,"AAAAAD/3wbo=")</f>
        <v>#VALUE!</v>
      </c>
      <c r="GF152" t="e">
        <f>AND(Bills!Z532,"AAAAAD/3wbs=")</f>
        <v>#VALUE!</v>
      </c>
      <c r="GG152" t="e">
        <f>AND(Bills!#REF!,"AAAAAD/3wbw=")</f>
        <v>#REF!</v>
      </c>
      <c r="GH152" t="e">
        <f>AND(Bills!#REF!,"AAAAAD/3wb0=")</f>
        <v>#REF!</v>
      </c>
      <c r="GI152" t="e">
        <f>AND(Bills!#REF!,"AAAAAD/3wb4=")</f>
        <v>#REF!</v>
      </c>
      <c r="GJ152" t="e">
        <f>AND(Bills!AA532,"AAAAAD/3wb8=")</f>
        <v>#VALUE!</v>
      </c>
      <c r="GK152" t="e">
        <f>AND(Bills!AB532,"AAAAAD/3wcA=")</f>
        <v>#VALUE!</v>
      </c>
      <c r="GL152" t="e">
        <f>AND(Bills!#REF!,"AAAAAD/3wcE=")</f>
        <v>#REF!</v>
      </c>
      <c r="GM152">
        <f>IF(Bills!533:533,"AAAAAD/3wcI=",0)</f>
        <v>0</v>
      </c>
      <c r="GN152" t="e">
        <f>AND(Bills!B533,"AAAAAD/3wcM=")</f>
        <v>#VALUE!</v>
      </c>
      <c r="GO152" t="e">
        <f>AND(Bills!#REF!,"AAAAAD/3wcQ=")</f>
        <v>#REF!</v>
      </c>
      <c r="GP152" t="e">
        <f>AND(Bills!C533,"AAAAAD/3wcU=")</f>
        <v>#VALUE!</v>
      </c>
      <c r="GQ152" t="e">
        <f>AND(Bills!#REF!,"AAAAAD/3wcY=")</f>
        <v>#REF!</v>
      </c>
      <c r="GR152" t="e">
        <f>AND(Bills!#REF!,"AAAAAD/3wcc=")</f>
        <v>#REF!</v>
      </c>
      <c r="GS152" t="e">
        <f>AND(Bills!#REF!,"AAAAAD/3wcg=")</f>
        <v>#REF!</v>
      </c>
      <c r="GT152" t="e">
        <f>AND(Bills!#REF!,"AAAAAD/3wck=")</f>
        <v>#REF!</v>
      </c>
      <c r="GU152" t="e">
        <f>AND(Bills!#REF!,"AAAAAD/3wco=")</f>
        <v>#REF!</v>
      </c>
      <c r="GV152" t="e">
        <f>AND(Bills!D533,"AAAAAD/3wcs=")</f>
        <v>#VALUE!</v>
      </c>
      <c r="GW152" t="e">
        <f>AND(Bills!#REF!,"AAAAAD/3wcw=")</f>
        <v>#REF!</v>
      </c>
      <c r="GX152" t="e">
        <f>AND(Bills!E533,"AAAAAD/3wc0=")</f>
        <v>#VALUE!</v>
      </c>
      <c r="GY152" t="e">
        <f>AND(Bills!F533,"AAAAAD/3wc4=")</f>
        <v>#VALUE!</v>
      </c>
      <c r="GZ152" t="e">
        <f>AND(Bills!G533,"AAAAAD/3wc8=")</f>
        <v>#VALUE!</v>
      </c>
      <c r="HA152" t="e">
        <f>AND(Bills!H533,"AAAAAD/3wdA=")</f>
        <v>#VALUE!</v>
      </c>
      <c r="HB152" t="e">
        <f>AND(Bills!I533,"AAAAAD/3wdE=")</f>
        <v>#VALUE!</v>
      </c>
      <c r="HC152" t="e">
        <f>AND(Bills!J533,"AAAAAD/3wdI=")</f>
        <v>#VALUE!</v>
      </c>
      <c r="HD152" t="e">
        <f>AND(Bills!#REF!,"AAAAAD/3wdM=")</f>
        <v>#REF!</v>
      </c>
      <c r="HE152" t="e">
        <f>AND(Bills!K533,"AAAAAD/3wdQ=")</f>
        <v>#VALUE!</v>
      </c>
      <c r="HF152" t="e">
        <f>AND(Bills!L533,"AAAAAD/3wdU=")</f>
        <v>#VALUE!</v>
      </c>
      <c r="HG152" t="e">
        <f>AND(Bills!M533,"AAAAAD/3wdY=")</f>
        <v>#VALUE!</v>
      </c>
      <c r="HH152" t="e">
        <f>AND(Bills!N533,"AAAAAD/3wdc=")</f>
        <v>#VALUE!</v>
      </c>
      <c r="HI152" t="e">
        <f>AND(Bills!O533,"AAAAAD/3wdg=")</f>
        <v>#VALUE!</v>
      </c>
      <c r="HJ152" t="e">
        <f>AND(Bills!P533,"AAAAAD/3wdk=")</f>
        <v>#VALUE!</v>
      </c>
      <c r="HK152" t="e">
        <f>AND(Bills!Q533,"AAAAAD/3wdo=")</f>
        <v>#VALUE!</v>
      </c>
      <c r="HL152" t="e">
        <f>AND(Bills!R533,"AAAAAD/3wds=")</f>
        <v>#VALUE!</v>
      </c>
      <c r="HM152" t="e">
        <f>AND(Bills!#REF!,"AAAAAD/3wdw=")</f>
        <v>#REF!</v>
      </c>
      <c r="HN152" t="e">
        <f>AND(Bills!S533,"AAAAAD/3wd0=")</f>
        <v>#VALUE!</v>
      </c>
      <c r="HO152" t="e">
        <f>AND(Bills!T533,"AAAAAD/3wd4=")</f>
        <v>#VALUE!</v>
      </c>
      <c r="HP152" t="e">
        <f>AND(Bills!U533,"AAAAAD/3wd8=")</f>
        <v>#VALUE!</v>
      </c>
      <c r="HQ152" t="e">
        <f>AND(Bills!#REF!,"AAAAAD/3weA=")</f>
        <v>#REF!</v>
      </c>
      <c r="HR152" t="e">
        <f>AND(Bills!#REF!,"AAAAAD/3weE=")</f>
        <v>#REF!</v>
      </c>
      <c r="HS152" t="e">
        <f>AND(Bills!W533,"AAAAAD/3weI=")</f>
        <v>#VALUE!</v>
      </c>
      <c r="HT152" t="e">
        <f>AND(Bills!X533,"AAAAAD/3weM=")</f>
        <v>#VALUE!</v>
      </c>
      <c r="HU152" t="e">
        <f>AND(Bills!#REF!,"AAAAAD/3weQ=")</f>
        <v>#REF!</v>
      </c>
      <c r="HV152" t="e">
        <f>AND(Bills!#REF!,"AAAAAD/3weU=")</f>
        <v>#REF!</v>
      </c>
      <c r="HW152" t="e">
        <f>AND(Bills!#REF!,"AAAAAD/3weY=")</f>
        <v>#REF!</v>
      </c>
      <c r="HX152" t="e">
        <f>AND(Bills!#REF!,"AAAAAD/3wec=")</f>
        <v>#REF!</v>
      </c>
      <c r="HY152" t="e">
        <f>AND(Bills!#REF!,"AAAAAD/3weg=")</f>
        <v>#REF!</v>
      </c>
      <c r="HZ152" t="e">
        <f>AND(Bills!#REF!,"AAAAAD/3wek=")</f>
        <v>#REF!</v>
      </c>
      <c r="IA152" t="e">
        <f>AND(Bills!#REF!,"AAAAAD/3weo=")</f>
        <v>#REF!</v>
      </c>
      <c r="IB152" t="e">
        <f>AND(Bills!#REF!,"AAAAAD/3wes=")</f>
        <v>#REF!</v>
      </c>
      <c r="IC152" t="e">
        <f>AND(Bills!#REF!,"AAAAAD/3wew=")</f>
        <v>#REF!</v>
      </c>
      <c r="ID152" t="e">
        <f>AND(Bills!Y533,"AAAAAD/3we0=")</f>
        <v>#VALUE!</v>
      </c>
      <c r="IE152" t="e">
        <f>AND(Bills!Z533,"AAAAAD/3we4=")</f>
        <v>#VALUE!</v>
      </c>
      <c r="IF152" t="e">
        <f>AND(Bills!#REF!,"AAAAAD/3we8=")</f>
        <v>#REF!</v>
      </c>
      <c r="IG152" t="e">
        <f>AND(Bills!#REF!,"AAAAAD/3wfA=")</f>
        <v>#REF!</v>
      </c>
      <c r="IH152" t="e">
        <f>AND(Bills!#REF!,"AAAAAD/3wfE=")</f>
        <v>#REF!</v>
      </c>
      <c r="II152" t="e">
        <f>AND(Bills!AA533,"AAAAAD/3wfI=")</f>
        <v>#VALUE!</v>
      </c>
      <c r="IJ152" t="e">
        <f>AND(Bills!AB533,"AAAAAD/3wfM=")</f>
        <v>#VALUE!</v>
      </c>
      <c r="IK152" t="e">
        <f>AND(Bills!#REF!,"AAAAAD/3wfQ=")</f>
        <v>#REF!</v>
      </c>
      <c r="IL152">
        <f>IF(Bills!534:534,"AAAAAD/3wfU=",0)</f>
        <v>0</v>
      </c>
      <c r="IM152" t="e">
        <f>AND(Bills!B534,"AAAAAD/3wfY=")</f>
        <v>#VALUE!</v>
      </c>
      <c r="IN152" t="e">
        <f>AND(Bills!#REF!,"AAAAAD/3wfc=")</f>
        <v>#REF!</v>
      </c>
      <c r="IO152" t="e">
        <f>AND(Bills!C534,"AAAAAD/3wfg=")</f>
        <v>#VALUE!</v>
      </c>
      <c r="IP152" t="e">
        <f>AND(Bills!#REF!,"AAAAAD/3wfk=")</f>
        <v>#REF!</v>
      </c>
      <c r="IQ152" t="e">
        <f>AND(Bills!#REF!,"AAAAAD/3wfo=")</f>
        <v>#REF!</v>
      </c>
      <c r="IR152" t="e">
        <f>AND(Bills!#REF!,"AAAAAD/3wfs=")</f>
        <v>#REF!</v>
      </c>
      <c r="IS152" t="e">
        <f>AND(Bills!#REF!,"AAAAAD/3wfw=")</f>
        <v>#REF!</v>
      </c>
      <c r="IT152" t="e">
        <f>AND(Bills!#REF!,"AAAAAD/3wf0=")</f>
        <v>#REF!</v>
      </c>
      <c r="IU152" t="e">
        <f>AND(Bills!D534,"AAAAAD/3wf4=")</f>
        <v>#VALUE!</v>
      </c>
      <c r="IV152" t="e">
        <f>AND(Bills!#REF!,"AAAAAD/3wf8=")</f>
        <v>#REF!</v>
      </c>
    </row>
    <row r="153" spans="1:256">
      <c r="A153" t="e">
        <f>AND(Bills!E534,"AAAAAH/8dAA=")</f>
        <v>#VALUE!</v>
      </c>
      <c r="B153" t="e">
        <f>AND(Bills!F534,"AAAAAH/8dAE=")</f>
        <v>#VALUE!</v>
      </c>
      <c r="C153" t="e">
        <f>AND(Bills!G534,"AAAAAH/8dAI=")</f>
        <v>#VALUE!</v>
      </c>
      <c r="D153" t="e">
        <f>AND(Bills!H534,"AAAAAH/8dAM=")</f>
        <v>#VALUE!</v>
      </c>
      <c r="E153" t="e">
        <f>AND(Bills!I534,"AAAAAH/8dAQ=")</f>
        <v>#VALUE!</v>
      </c>
      <c r="F153" t="e">
        <f>AND(Bills!J534,"AAAAAH/8dAU=")</f>
        <v>#VALUE!</v>
      </c>
      <c r="G153" t="e">
        <f>AND(Bills!#REF!,"AAAAAH/8dAY=")</f>
        <v>#REF!</v>
      </c>
      <c r="H153" t="e">
        <f>AND(Bills!K534,"AAAAAH/8dAc=")</f>
        <v>#VALUE!</v>
      </c>
      <c r="I153" t="e">
        <f>AND(Bills!L534,"AAAAAH/8dAg=")</f>
        <v>#VALUE!</v>
      </c>
      <c r="J153" t="e">
        <f>AND(Bills!M534,"AAAAAH/8dAk=")</f>
        <v>#VALUE!</v>
      </c>
      <c r="K153" t="e">
        <f>AND(Bills!N534,"AAAAAH/8dAo=")</f>
        <v>#VALUE!</v>
      </c>
      <c r="L153" t="e">
        <f>AND(Bills!O534,"AAAAAH/8dAs=")</f>
        <v>#VALUE!</v>
      </c>
      <c r="M153" t="e">
        <f>AND(Bills!P534,"AAAAAH/8dAw=")</f>
        <v>#VALUE!</v>
      </c>
      <c r="N153" t="e">
        <f>AND(Bills!Q534,"AAAAAH/8dA0=")</f>
        <v>#VALUE!</v>
      </c>
      <c r="O153" t="e">
        <f>AND(Bills!R534,"AAAAAH/8dA4=")</f>
        <v>#VALUE!</v>
      </c>
      <c r="P153" t="e">
        <f>AND(Bills!#REF!,"AAAAAH/8dA8=")</f>
        <v>#REF!</v>
      </c>
      <c r="Q153" t="e">
        <f>AND(Bills!S534,"AAAAAH/8dBA=")</f>
        <v>#VALUE!</v>
      </c>
      <c r="R153" t="e">
        <f>AND(Bills!T534,"AAAAAH/8dBE=")</f>
        <v>#VALUE!</v>
      </c>
      <c r="S153" t="e">
        <f>AND(Bills!U534,"AAAAAH/8dBI=")</f>
        <v>#VALUE!</v>
      </c>
      <c r="T153" t="e">
        <f>AND(Bills!#REF!,"AAAAAH/8dBM=")</f>
        <v>#REF!</v>
      </c>
      <c r="U153" t="e">
        <f>AND(Bills!#REF!,"AAAAAH/8dBQ=")</f>
        <v>#REF!</v>
      </c>
      <c r="V153" t="e">
        <f>AND(Bills!W534,"AAAAAH/8dBU=")</f>
        <v>#VALUE!</v>
      </c>
      <c r="W153" t="e">
        <f>AND(Bills!X534,"AAAAAH/8dBY=")</f>
        <v>#VALUE!</v>
      </c>
      <c r="X153" t="e">
        <f>AND(Bills!#REF!,"AAAAAH/8dBc=")</f>
        <v>#REF!</v>
      </c>
      <c r="Y153" t="e">
        <f>AND(Bills!#REF!,"AAAAAH/8dBg=")</f>
        <v>#REF!</v>
      </c>
      <c r="Z153" t="e">
        <f>AND(Bills!#REF!,"AAAAAH/8dBk=")</f>
        <v>#REF!</v>
      </c>
      <c r="AA153" t="e">
        <f>AND(Bills!#REF!,"AAAAAH/8dBo=")</f>
        <v>#REF!</v>
      </c>
      <c r="AB153" t="e">
        <f>AND(Bills!#REF!,"AAAAAH/8dBs=")</f>
        <v>#REF!</v>
      </c>
      <c r="AC153" t="e">
        <f>AND(Bills!#REF!,"AAAAAH/8dBw=")</f>
        <v>#REF!</v>
      </c>
      <c r="AD153" t="e">
        <f>AND(Bills!#REF!,"AAAAAH/8dB0=")</f>
        <v>#REF!</v>
      </c>
      <c r="AE153" t="e">
        <f>AND(Bills!#REF!,"AAAAAH/8dB4=")</f>
        <v>#REF!</v>
      </c>
      <c r="AF153" t="e">
        <f>AND(Bills!#REF!,"AAAAAH/8dB8=")</f>
        <v>#REF!</v>
      </c>
      <c r="AG153" t="e">
        <f>AND(Bills!Y534,"AAAAAH/8dCA=")</f>
        <v>#VALUE!</v>
      </c>
      <c r="AH153" t="e">
        <f>AND(Bills!Z534,"AAAAAH/8dCE=")</f>
        <v>#VALUE!</v>
      </c>
      <c r="AI153" t="e">
        <f>AND(Bills!#REF!,"AAAAAH/8dCI=")</f>
        <v>#REF!</v>
      </c>
      <c r="AJ153" t="e">
        <f>AND(Bills!#REF!,"AAAAAH/8dCM=")</f>
        <v>#REF!</v>
      </c>
      <c r="AK153" t="e">
        <f>AND(Bills!#REF!,"AAAAAH/8dCQ=")</f>
        <v>#REF!</v>
      </c>
      <c r="AL153" t="e">
        <f>AND(Bills!AA534,"AAAAAH/8dCU=")</f>
        <v>#VALUE!</v>
      </c>
      <c r="AM153" t="e">
        <f>AND(Bills!AB534,"AAAAAH/8dCY=")</f>
        <v>#VALUE!</v>
      </c>
      <c r="AN153" t="e">
        <f>AND(Bills!#REF!,"AAAAAH/8dCc=")</f>
        <v>#REF!</v>
      </c>
      <c r="AO153">
        <f>IF(Bills!535:535,"AAAAAH/8dCg=",0)</f>
        <v>0</v>
      </c>
      <c r="AP153" t="e">
        <f>AND(Bills!B535,"AAAAAH/8dCk=")</f>
        <v>#VALUE!</v>
      </c>
      <c r="AQ153" t="e">
        <f>AND(Bills!#REF!,"AAAAAH/8dCo=")</f>
        <v>#REF!</v>
      </c>
      <c r="AR153" t="e">
        <f>AND(Bills!C535,"AAAAAH/8dCs=")</f>
        <v>#VALUE!</v>
      </c>
      <c r="AS153" t="e">
        <f>AND(Bills!#REF!,"AAAAAH/8dCw=")</f>
        <v>#REF!</v>
      </c>
      <c r="AT153" t="e">
        <f>AND(Bills!#REF!,"AAAAAH/8dC0=")</f>
        <v>#REF!</v>
      </c>
      <c r="AU153" t="e">
        <f>AND(Bills!#REF!,"AAAAAH/8dC4=")</f>
        <v>#REF!</v>
      </c>
      <c r="AV153" t="e">
        <f>AND(Bills!#REF!,"AAAAAH/8dC8=")</f>
        <v>#REF!</v>
      </c>
      <c r="AW153" t="e">
        <f>AND(Bills!#REF!,"AAAAAH/8dDA=")</f>
        <v>#REF!</v>
      </c>
      <c r="AX153" t="e">
        <f>AND(Bills!D535,"AAAAAH/8dDE=")</f>
        <v>#VALUE!</v>
      </c>
      <c r="AY153" t="e">
        <f>AND(Bills!#REF!,"AAAAAH/8dDI=")</f>
        <v>#REF!</v>
      </c>
      <c r="AZ153" t="e">
        <f>AND(Bills!E535,"AAAAAH/8dDM=")</f>
        <v>#VALUE!</v>
      </c>
      <c r="BA153" t="e">
        <f>AND(Bills!F535,"AAAAAH/8dDQ=")</f>
        <v>#VALUE!</v>
      </c>
      <c r="BB153" t="e">
        <f>AND(Bills!G535,"AAAAAH/8dDU=")</f>
        <v>#VALUE!</v>
      </c>
      <c r="BC153" t="e">
        <f>AND(Bills!H535,"AAAAAH/8dDY=")</f>
        <v>#VALUE!</v>
      </c>
      <c r="BD153" t="e">
        <f>AND(Bills!I535,"AAAAAH/8dDc=")</f>
        <v>#VALUE!</v>
      </c>
      <c r="BE153" t="e">
        <f>AND(Bills!J535,"AAAAAH/8dDg=")</f>
        <v>#VALUE!</v>
      </c>
      <c r="BF153" t="e">
        <f>AND(Bills!#REF!,"AAAAAH/8dDk=")</f>
        <v>#REF!</v>
      </c>
      <c r="BG153" t="e">
        <f>AND(Bills!K535,"AAAAAH/8dDo=")</f>
        <v>#VALUE!</v>
      </c>
      <c r="BH153" t="e">
        <f>AND(Bills!L535,"AAAAAH/8dDs=")</f>
        <v>#VALUE!</v>
      </c>
      <c r="BI153" t="e">
        <f>AND(Bills!M535,"AAAAAH/8dDw=")</f>
        <v>#VALUE!</v>
      </c>
      <c r="BJ153" t="e">
        <f>AND(Bills!N535,"AAAAAH/8dD0=")</f>
        <v>#VALUE!</v>
      </c>
      <c r="BK153" t="e">
        <f>AND(Bills!O535,"AAAAAH/8dD4=")</f>
        <v>#VALUE!</v>
      </c>
      <c r="BL153" t="e">
        <f>AND(Bills!P535,"AAAAAH/8dD8=")</f>
        <v>#VALUE!</v>
      </c>
      <c r="BM153" t="e">
        <f>AND(Bills!Q535,"AAAAAH/8dEA=")</f>
        <v>#VALUE!</v>
      </c>
      <c r="BN153" t="e">
        <f>AND(Bills!R535,"AAAAAH/8dEE=")</f>
        <v>#VALUE!</v>
      </c>
      <c r="BO153" t="e">
        <f>AND(Bills!#REF!,"AAAAAH/8dEI=")</f>
        <v>#REF!</v>
      </c>
      <c r="BP153" t="e">
        <f>AND(Bills!S535,"AAAAAH/8dEM=")</f>
        <v>#VALUE!</v>
      </c>
      <c r="BQ153" t="e">
        <f>AND(Bills!T535,"AAAAAH/8dEQ=")</f>
        <v>#VALUE!</v>
      </c>
      <c r="BR153" t="e">
        <f>AND(Bills!U535,"AAAAAH/8dEU=")</f>
        <v>#VALUE!</v>
      </c>
      <c r="BS153" t="e">
        <f>AND(Bills!#REF!,"AAAAAH/8dEY=")</f>
        <v>#REF!</v>
      </c>
      <c r="BT153" t="e">
        <f>AND(Bills!#REF!,"AAAAAH/8dEc=")</f>
        <v>#REF!</v>
      </c>
      <c r="BU153" t="e">
        <f>AND(Bills!W535,"AAAAAH/8dEg=")</f>
        <v>#VALUE!</v>
      </c>
      <c r="BV153" t="e">
        <f>AND(Bills!X535,"AAAAAH/8dEk=")</f>
        <v>#VALUE!</v>
      </c>
      <c r="BW153" t="e">
        <f>AND(Bills!#REF!,"AAAAAH/8dEo=")</f>
        <v>#REF!</v>
      </c>
      <c r="BX153" t="e">
        <f>AND(Bills!#REF!,"AAAAAH/8dEs=")</f>
        <v>#REF!</v>
      </c>
      <c r="BY153" t="e">
        <f>AND(Bills!#REF!,"AAAAAH/8dEw=")</f>
        <v>#REF!</v>
      </c>
      <c r="BZ153" t="e">
        <f>AND(Bills!#REF!,"AAAAAH/8dE0=")</f>
        <v>#REF!</v>
      </c>
      <c r="CA153" t="e">
        <f>AND(Bills!#REF!,"AAAAAH/8dE4=")</f>
        <v>#REF!</v>
      </c>
      <c r="CB153" t="e">
        <f>AND(Bills!#REF!,"AAAAAH/8dE8=")</f>
        <v>#REF!</v>
      </c>
      <c r="CC153" t="e">
        <f>AND(Bills!#REF!,"AAAAAH/8dFA=")</f>
        <v>#REF!</v>
      </c>
      <c r="CD153" t="e">
        <f>AND(Bills!#REF!,"AAAAAH/8dFE=")</f>
        <v>#REF!</v>
      </c>
      <c r="CE153" t="e">
        <f>AND(Bills!#REF!,"AAAAAH/8dFI=")</f>
        <v>#REF!</v>
      </c>
      <c r="CF153" t="e">
        <f>AND(Bills!Y535,"AAAAAH/8dFM=")</f>
        <v>#VALUE!</v>
      </c>
      <c r="CG153" t="e">
        <f>AND(Bills!Z535,"AAAAAH/8dFQ=")</f>
        <v>#VALUE!</v>
      </c>
      <c r="CH153" t="e">
        <f>AND(Bills!#REF!,"AAAAAH/8dFU=")</f>
        <v>#REF!</v>
      </c>
      <c r="CI153" t="e">
        <f>AND(Bills!#REF!,"AAAAAH/8dFY=")</f>
        <v>#REF!</v>
      </c>
      <c r="CJ153" t="e">
        <f>AND(Bills!#REF!,"AAAAAH/8dFc=")</f>
        <v>#REF!</v>
      </c>
      <c r="CK153" t="e">
        <f>AND(Bills!AA535,"AAAAAH/8dFg=")</f>
        <v>#VALUE!</v>
      </c>
      <c r="CL153" t="e">
        <f>AND(Bills!AB535,"AAAAAH/8dFk=")</f>
        <v>#VALUE!</v>
      </c>
      <c r="CM153" t="e">
        <f>AND(Bills!#REF!,"AAAAAH/8dFo=")</f>
        <v>#REF!</v>
      </c>
      <c r="CN153">
        <f>IF(Bills!536:536,"AAAAAH/8dFs=",0)</f>
        <v>0</v>
      </c>
      <c r="CO153" t="e">
        <f>AND(Bills!B536,"AAAAAH/8dFw=")</f>
        <v>#VALUE!</v>
      </c>
      <c r="CP153" t="e">
        <f>AND(Bills!#REF!,"AAAAAH/8dF0=")</f>
        <v>#REF!</v>
      </c>
      <c r="CQ153" t="e">
        <f>AND(Bills!C536,"AAAAAH/8dF4=")</f>
        <v>#VALUE!</v>
      </c>
      <c r="CR153" t="e">
        <f>AND(Bills!#REF!,"AAAAAH/8dF8=")</f>
        <v>#REF!</v>
      </c>
      <c r="CS153" t="e">
        <f>AND(Bills!#REF!,"AAAAAH/8dGA=")</f>
        <v>#REF!</v>
      </c>
      <c r="CT153" t="e">
        <f>AND(Bills!#REF!,"AAAAAH/8dGE=")</f>
        <v>#REF!</v>
      </c>
      <c r="CU153" t="e">
        <f>AND(Bills!#REF!,"AAAAAH/8dGI=")</f>
        <v>#REF!</v>
      </c>
      <c r="CV153" t="e">
        <f>AND(Bills!#REF!,"AAAAAH/8dGM=")</f>
        <v>#REF!</v>
      </c>
      <c r="CW153" t="e">
        <f>AND(Bills!D536,"AAAAAH/8dGQ=")</f>
        <v>#VALUE!</v>
      </c>
      <c r="CX153" t="e">
        <f>AND(Bills!#REF!,"AAAAAH/8dGU=")</f>
        <v>#REF!</v>
      </c>
      <c r="CY153" t="e">
        <f>AND(Bills!E536,"AAAAAH/8dGY=")</f>
        <v>#VALUE!</v>
      </c>
      <c r="CZ153" t="e">
        <f>AND(Bills!F536,"AAAAAH/8dGc=")</f>
        <v>#VALUE!</v>
      </c>
      <c r="DA153" t="e">
        <f>AND(Bills!G536,"AAAAAH/8dGg=")</f>
        <v>#VALUE!</v>
      </c>
      <c r="DB153" t="e">
        <f>AND(Bills!H536,"AAAAAH/8dGk=")</f>
        <v>#VALUE!</v>
      </c>
      <c r="DC153" t="e">
        <f>AND(Bills!I536,"AAAAAH/8dGo=")</f>
        <v>#VALUE!</v>
      </c>
      <c r="DD153" t="e">
        <f>AND(Bills!J536,"AAAAAH/8dGs=")</f>
        <v>#VALUE!</v>
      </c>
      <c r="DE153" t="e">
        <f>AND(Bills!#REF!,"AAAAAH/8dGw=")</f>
        <v>#REF!</v>
      </c>
      <c r="DF153" t="e">
        <f>AND(Bills!K536,"AAAAAH/8dG0=")</f>
        <v>#VALUE!</v>
      </c>
      <c r="DG153" t="e">
        <f>AND(Bills!L536,"AAAAAH/8dG4=")</f>
        <v>#VALUE!</v>
      </c>
      <c r="DH153" t="e">
        <f>AND(Bills!M536,"AAAAAH/8dG8=")</f>
        <v>#VALUE!</v>
      </c>
      <c r="DI153" t="e">
        <f>AND(Bills!N536,"AAAAAH/8dHA=")</f>
        <v>#VALUE!</v>
      </c>
      <c r="DJ153" t="e">
        <f>AND(Bills!O536,"AAAAAH/8dHE=")</f>
        <v>#VALUE!</v>
      </c>
      <c r="DK153" t="e">
        <f>AND(Bills!P536,"AAAAAH/8dHI=")</f>
        <v>#VALUE!</v>
      </c>
      <c r="DL153" t="e">
        <f>AND(Bills!Q536,"AAAAAH/8dHM=")</f>
        <v>#VALUE!</v>
      </c>
      <c r="DM153" t="e">
        <f>AND(Bills!R536,"AAAAAH/8dHQ=")</f>
        <v>#VALUE!</v>
      </c>
      <c r="DN153" t="e">
        <f>AND(Bills!#REF!,"AAAAAH/8dHU=")</f>
        <v>#REF!</v>
      </c>
      <c r="DO153" t="e">
        <f>AND(Bills!S536,"AAAAAH/8dHY=")</f>
        <v>#VALUE!</v>
      </c>
      <c r="DP153" t="e">
        <f>AND(Bills!T536,"AAAAAH/8dHc=")</f>
        <v>#VALUE!</v>
      </c>
      <c r="DQ153" t="e">
        <f>AND(Bills!U536,"AAAAAH/8dHg=")</f>
        <v>#VALUE!</v>
      </c>
      <c r="DR153" t="e">
        <f>AND(Bills!#REF!,"AAAAAH/8dHk=")</f>
        <v>#REF!</v>
      </c>
      <c r="DS153" t="e">
        <f>AND(Bills!#REF!,"AAAAAH/8dHo=")</f>
        <v>#REF!</v>
      </c>
      <c r="DT153" t="e">
        <f>AND(Bills!W536,"AAAAAH/8dHs=")</f>
        <v>#VALUE!</v>
      </c>
      <c r="DU153" t="e">
        <f>AND(Bills!X536,"AAAAAH/8dHw=")</f>
        <v>#VALUE!</v>
      </c>
      <c r="DV153" t="e">
        <f>AND(Bills!#REF!,"AAAAAH/8dH0=")</f>
        <v>#REF!</v>
      </c>
      <c r="DW153" t="e">
        <f>AND(Bills!#REF!,"AAAAAH/8dH4=")</f>
        <v>#REF!</v>
      </c>
      <c r="DX153" t="e">
        <f>AND(Bills!#REF!,"AAAAAH/8dH8=")</f>
        <v>#REF!</v>
      </c>
      <c r="DY153" t="e">
        <f>AND(Bills!#REF!,"AAAAAH/8dIA=")</f>
        <v>#REF!</v>
      </c>
      <c r="DZ153" t="e">
        <f>AND(Bills!#REF!,"AAAAAH/8dIE=")</f>
        <v>#REF!</v>
      </c>
      <c r="EA153" t="e">
        <f>AND(Bills!#REF!,"AAAAAH/8dII=")</f>
        <v>#REF!</v>
      </c>
      <c r="EB153" t="e">
        <f>AND(Bills!#REF!,"AAAAAH/8dIM=")</f>
        <v>#REF!</v>
      </c>
      <c r="EC153" t="e">
        <f>AND(Bills!#REF!,"AAAAAH/8dIQ=")</f>
        <v>#REF!</v>
      </c>
      <c r="ED153" t="e">
        <f>AND(Bills!#REF!,"AAAAAH/8dIU=")</f>
        <v>#REF!</v>
      </c>
      <c r="EE153" t="e">
        <f>AND(Bills!Y536,"AAAAAH/8dIY=")</f>
        <v>#VALUE!</v>
      </c>
      <c r="EF153" t="e">
        <f>AND(Bills!Z536,"AAAAAH/8dIc=")</f>
        <v>#VALUE!</v>
      </c>
      <c r="EG153" t="e">
        <f>AND(Bills!#REF!,"AAAAAH/8dIg=")</f>
        <v>#REF!</v>
      </c>
      <c r="EH153" t="e">
        <f>AND(Bills!#REF!,"AAAAAH/8dIk=")</f>
        <v>#REF!</v>
      </c>
      <c r="EI153" t="e">
        <f>AND(Bills!#REF!,"AAAAAH/8dIo=")</f>
        <v>#REF!</v>
      </c>
      <c r="EJ153" t="e">
        <f>AND(Bills!AA536,"AAAAAH/8dIs=")</f>
        <v>#VALUE!</v>
      </c>
      <c r="EK153" t="e">
        <f>AND(Bills!AB536,"AAAAAH/8dIw=")</f>
        <v>#VALUE!</v>
      </c>
      <c r="EL153" t="e">
        <f>AND(Bills!#REF!,"AAAAAH/8dI0=")</f>
        <v>#REF!</v>
      </c>
      <c r="EM153">
        <f>IF(Bills!537:537,"AAAAAH/8dI4=",0)</f>
        <v>0</v>
      </c>
      <c r="EN153" t="e">
        <f>AND(Bills!B537,"AAAAAH/8dI8=")</f>
        <v>#VALUE!</v>
      </c>
      <c r="EO153" t="e">
        <f>AND(Bills!#REF!,"AAAAAH/8dJA=")</f>
        <v>#REF!</v>
      </c>
      <c r="EP153" t="e">
        <f>AND(Bills!C537,"AAAAAH/8dJE=")</f>
        <v>#VALUE!</v>
      </c>
      <c r="EQ153" t="e">
        <f>AND(Bills!#REF!,"AAAAAH/8dJI=")</f>
        <v>#REF!</v>
      </c>
      <c r="ER153" t="e">
        <f>AND(Bills!#REF!,"AAAAAH/8dJM=")</f>
        <v>#REF!</v>
      </c>
      <c r="ES153" t="e">
        <f>AND(Bills!#REF!,"AAAAAH/8dJQ=")</f>
        <v>#REF!</v>
      </c>
      <c r="ET153" t="e">
        <f>AND(Bills!#REF!,"AAAAAH/8dJU=")</f>
        <v>#REF!</v>
      </c>
      <c r="EU153" t="e">
        <f>AND(Bills!#REF!,"AAAAAH/8dJY=")</f>
        <v>#REF!</v>
      </c>
      <c r="EV153" t="e">
        <f>AND(Bills!D537,"AAAAAH/8dJc=")</f>
        <v>#VALUE!</v>
      </c>
      <c r="EW153" t="e">
        <f>AND(Bills!#REF!,"AAAAAH/8dJg=")</f>
        <v>#REF!</v>
      </c>
      <c r="EX153" t="e">
        <f>AND(Bills!E537,"AAAAAH/8dJk=")</f>
        <v>#VALUE!</v>
      </c>
      <c r="EY153" t="e">
        <f>AND(Bills!F537,"AAAAAH/8dJo=")</f>
        <v>#VALUE!</v>
      </c>
      <c r="EZ153" t="e">
        <f>AND(Bills!G537,"AAAAAH/8dJs=")</f>
        <v>#VALUE!</v>
      </c>
      <c r="FA153" t="e">
        <f>AND(Bills!H537,"AAAAAH/8dJw=")</f>
        <v>#VALUE!</v>
      </c>
      <c r="FB153" t="e">
        <f>AND(Bills!I537,"AAAAAH/8dJ0=")</f>
        <v>#VALUE!</v>
      </c>
      <c r="FC153" t="e">
        <f>AND(Bills!J537,"AAAAAH/8dJ4=")</f>
        <v>#VALUE!</v>
      </c>
      <c r="FD153" t="e">
        <f>AND(Bills!#REF!,"AAAAAH/8dJ8=")</f>
        <v>#REF!</v>
      </c>
      <c r="FE153" t="e">
        <f>AND(Bills!K537,"AAAAAH/8dKA=")</f>
        <v>#VALUE!</v>
      </c>
      <c r="FF153" t="e">
        <f>AND(Bills!L537,"AAAAAH/8dKE=")</f>
        <v>#VALUE!</v>
      </c>
      <c r="FG153" t="e">
        <f>AND(Bills!M537,"AAAAAH/8dKI=")</f>
        <v>#VALUE!</v>
      </c>
      <c r="FH153" t="e">
        <f>AND(Bills!N537,"AAAAAH/8dKM=")</f>
        <v>#VALUE!</v>
      </c>
      <c r="FI153" t="e">
        <f>AND(Bills!O537,"AAAAAH/8dKQ=")</f>
        <v>#VALUE!</v>
      </c>
      <c r="FJ153" t="e">
        <f>AND(Bills!P537,"AAAAAH/8dKU=")</f>
        <v>#VALUE!</v>
      </c>
      <c r="FK153" t="e">
        <f>AND(Bills!Q537,"AAAAAH/8dKY=")</f>
        <v>#VALUE!</v>
      </c>
      <c r="FL153" t="e">
        <f>AND(Bills!R537,"AAAAAH/8dKc=")</f>
        <v>#VALUE!</v>
      </c>
      <c r="FM153" t="e">
        <f>AND(Bills!#REF!,"AAAAAH/8dKg=")</f>
        <v>#REF!</v>
      </c>
      <c r="FN153" t="e">
        <f>AND(Bills!S537,"AAAAAH/8dKk=")</f>
        <v>#VALUE!</v>
      </c>
      <c r="FO153" t="e">
        <f>AND(Bills!T537,"AAAAAH/8dKo=")</f>
        <v>#VALUE!</v>
      </c>
      <c r="FP153" t="e">
        <f>AND(Bills!U537,"AAAAAH/8dKs=")</f>
        <v>#VALUE!</v>
      </c>
      <c r="FQ153" t="e">
        <f>AND(Bills!#REF!,"AAAAAH/8dKw=")</f>
        <v>#REF!</v>
      </c>
      <c r="FR153" t="e">
        <f>AND(Bills!#REF!,"AAAAAH/8dK0=")</f>
        <v>#REF!</v>
      </c>
      <c r="FS153" t="e">
        <f>AND(Bills!W537,"AAAAAH/8dK4=")</f>
        <v>#VALUE!</v>
      </c>
      <c r="FT153" t="e">
        <f>AND(Bills!X537,"AAAAAH/8dK8=")</f>
        <v>#VALUE!</v>
      </c>
      <c r="FU153" t="e">
        <f>AND(Bills!#REF!,"AAAAAH/8dLA=")</f>
        <v>#REF!</v>
      </c>
      <c r="FV153" t="e">
        <f>AND(Bills!#REF!,"AAAAAH/8dLE=")</f>
        <v>#REF!</v>
      </c>
      <c r="FW153" t="e">
        <f>AND(Bills!#REF!,"AAAAAH/8dLI=")</f>
        <v>#REF!</v>
      </c>
      <c r="FX153" t="e">
        <f>AND(Bills!#REF!,"AAAAAH/8dLM=")</f>
        <v>#REF!</v>
      </c>
      <c r="FY153" t="e">
        <f>AND(Bills!#REF!,"AAAAAH/8dLQ=")</f>
        <v>#REF!</v>
      </c>
      <c r="FZ153" t="e">
        <f>AND(Bills!#REF!,"AAAAAH/8dLU=")</f>
        <v>#REF!</v>
      </c>
      <c r="GA153" t="e">
        <f>AND(Bills!#REF!,"AAAAAH/8dLY=")</f>
        <v>#REF!</v>
      </c>
      <c r="GB153" t="e">
        <f>AND(Bills!#REF!,"AAAAAH/8dLc=")</f>
        <v>#REF!</v>
      </c>
      <c r="GC153" t="e">
        <f>AND(Bills!#REF!,"AAAAAH/8dLg=")</f>
        <v>#REF!</v>
      </c>
      <c r="GD153" t="e">
        <f>AND(Bills!Y537,"AAAAAH/8dLk=")</f>
        <v>#VALUE!</v>
      </c>
      <c r="GE153" t="e">
        <f>AND(Bills!Z537,"AAAAAH/8dLo=")</f>
        <v>#VALUE!</v>
      </c>
      <c r="GF153" t="e">
        <f>AND(Bills!#REF!,"AAAAAH/8dLs=")</f>
        <v>#REF!</v>
      </c>
      <c r="GG153" t="e">
        <f>AND(Bills!#REF!,"AAAAAH/8dLw=")</f>
        <v>#REF!</v>
      </c>
      <c r="GH153" t="e">
        <f>AND(Bills!#REF!,"AAAAAH/8dL0=")</f>
        <v>#REF!</v>
      </c>
      <c r="GI153" t="e">
        <f>AND(Bills!AA537,"AAAAAH/8dL4=")</f>
        <v>#VALUE!</v>
      </c>
      <c r="GJ153" t="e">
        <f>AND(Bills!AB537,"AAAAAH/8dL8=")</f>
        <v>#VALUE!</v>
      </c>
      <c r="GK153" t="e">
        <f>AND(Bills!#REF!,"AAAAAH/8dMA=")</f>
        <v>#REF!</v>
      </c>
      <c r="GL153">
        <f>IF(Bills!538:538,"AAAAAH/8dME=",0)</f>
        <v>0</v>
      </c>
      <c r="GM153" t="e">
        <f>AND(Bills!B538,"AAAAAH/8dMI=")</f>
        <v>#VALUE!</v>
      </c>
      <c r="GN153" t="e">
        <f>AND(Bills!#REF!,"AAAAAH/8dMM=")</f>
        <v>#REF!</v>
      </c>
      <c r="GO153" t="e">
        <f>AND(Bills!C538,"AAAAAH/8dMQ=")</f>
        <v>#VALUE!</v>
      </c>
      <c r="GP153" t="e">
        <f>AND(Bills!#REF!,"AAAAAH/8dMU=")</f>
        <v>#REF!</v>
      </c>
      <c r="GQ153" t="e">
        <f>AND(Bills!#REF!,"AAAAAH/8dMY=")</f>
        <v>#REF!</v>
      </c>
      <c r="GR153" t="e">
        <f>AND(Bills!#REF!,"AAAAAH/8dMc=")</f>
        <v>#REF!</v>
      </c>
      <c r="GS153" t="e">
        <f>AND(Bills!#REF!,"AAAAAH/8dMg=")</f>
        <v>#REF!</v>
      </c>
      <c r="GT153" t="e">
        <f>AND(Bills!#REF!,"AAAAAH/8dMk=")</f>
        <v>#REF!</v>
      </c>
      <c r="GU153" t="e">
        <f>AND(Bills!D538,"AAAAAH/8dMo=")</f>
        <v>#VALUE!</v>
      </c>
      <c r="GV153" t="e">
        <f>AND(Bills!#REF!,"AAAAAH/8dMs=")</f>
        <v>#REF!</v>
      </c>
      <c r="GW153" t="e">
        <f>AND(Bills!E538,"AAAAAH/8dMw=")</f>
        <v>#VALUE!</v>
      </c>
      <c r="GX153" t="e">
        <f>AND(Bills!F538,"AAAAAH/8dM0=")</f>
        <v>#VALUE!</v>
      </c>
      <c r="GY153" t="e">
        <f>AND(Bills!G538,"AAAAAH/8dM4=")</f>
        <v>#VALUE!</v>
      </c>
      <c r="GZ153" t="e">
        <f>AND(Bills!H538,"AAAAAH/8dM8=")</f>
        <v>#VALUE!</v>
      </c>
      <c r="HA153" t="e">
        <f>AND(Bills!I538,"AAAAAH/8dNA=")</f>
        <v>#VALUE!</v>
      </c>
      <c r="HB153" t="e">
        <f>AND(Bills!J538,"AAAAAH/8dNE=")</f>
        <v>#VALUE!</v>
      </c>
      <c r="HC153" t="e">
        <f>AND(Bills!#REF!,"AAAAAH/8dNI=")</f>
        <v>#REF!</v>
      </c>
      <c r="HD153" t="e">
        <f>AND(Bills!K538,"AAAAAH/8dNM=")</f>
        <v>#VALUE!</v>
      </c>
      <c r="HE153" t="e">
        <f>AND(Bills!L538,"AAAAAH/8dNQ=")</f>
        <v>#VALUE!</v>
      </c>
      <c r="HF153" t="e">
        <f>AND(Bills!M538,"AAAAAH/8dNU=")</f>
        <v>#VALUE!</v>
      </c>
      <c r="HG153" t="e">
        <f>AND(Bills!N538,"AAAAAH/8dNY=")</f>
        <v>#VALUE!</v>
      </c>
      <c r="HH153" t="e">
        <f>AND(Bills!O538,"AAAAAH/8dNc=")</f>
        <v>#VALUE!</v>
      </c>
      <c r="HI153" t="e">
        <f>AND(Bills!P538,"AAAAAH/8dNg=")</f>
        <v>#VALUE!</v>
      </c>
      <c r="HJ153" t="e">
        <f>AND(Bills!Q538,"AAAAAH/8dNk=")</f>
        <v>#VALUE!</v>
      </c>
      <c r="HK153" t="e">
        <f>AND(Bills!R538,"AAAAAH/8dNo=")</f>
        <v>#VALUE!</v>
      </c>
      <c r="HL153" t="e">
        <f>AND(Bills!#REF!,"AAAAAH/8dNs=")</f>
        <v>#REF!</v>
      </c>
      <c r="HM153" t="e">
        <f>AND(Bills!S538,"AAAAAH/8dNw=")</f>
        <v>#VALUE!</v>
      </c>
      <c r="HN153" t="e">
        <f>AND(Bills!T538,"AAAAAH/8dN0=")</f>
        <v>#VALUE!</v>
      </c>
      <c r="HO153" t="e">
        <f>AND(Bills!U538,"AAAAAH/8dN4=")</f>
        <v>#VALUE!</v>
      </c>
      <c r="HP153" t="e">
        <f>AND(Bills!#REF!,"AAAAAH/8dN8=")</f>
        <v>#REF!</v>
      </c>
      <c r="HQ153" t="e">
        <f>AND(Bills!#REF!,"AAAAAH/8dOA=")</f>
        <v>#REF!</v>
      </c>
      <c r="HR153" t="e">
        <f>AND(Bills!W538,"AAAAAH/8dOE=")</f>
        <v>#VALUE!</v>
      </c>
      <c r="HS153" t="e">
        <f>AND(Bills!X538,"AAAAAH/8dOI=")</f>
        <v>#VALUE!</v>
      </c>
      <c r="HT153" t="e">
        <f>AND(Bills!#REF!,"AAAAAH/8dOM=")</f>
        <v>#REF!</v>
      </c>
      <c r="HU153" t="e">
        <f>AND(Bills!#REF!,"AAAAAH/8dOQ=")</f>
        <v>#REF!</v>
      </c>
      <c r="HV153" t="e">
        <f>AND(Bills!#REF!,"AAAAAH/8dOU=")</f>
        <v>#REF!</v>
      </c>
      <c r="HW153" t="e">
        <f>AND(Bills!#REF!,"AAAAAH/8dOY=")</f>
        <v>#REF!</v>
      </c>
      <c r="HX153" t="e">
        <f>AND(Bills!#REF!,"AAAAAH/8dOc=")</f>
        <v>#REF!</v>
      </c>
      <c r="HY153" t="e">
        <f>AND(Bills!#REF!,"AAAAAH/8dOg=")</f>
        <v>#REF!</v>
      </c>
      <c r="HZ153" t="e">
        <f>AND(Bills!#REF!,"AAAAAH/8dOk=")</f>
        <v>#REF!</v>
      </c>
      <c r="IA153" t="e">
        <f>AND(Bills!#REF!,"AAAAAH/8dOo=")</f>
        <v>#REF!</v>
      </c>
      <c r="IB153" t="e">
        <f>AND(Bills!#REF!,"AAAAAH/8dOs=")</f>
        <v>#REF!</v>
      </c>
      <c r="IC153" t="e">
        <f>AND(Bills!Y538,"AAAAAH/8dOw=")</f>
        <v>#VALUE!</v>
      </c>
      <c r="ID153" t="e">
        <f>AND(Bills!Z538,"AAAAAH/8dO0=")</f>
        <v>#VALUE!</v>
      </c>
      <c r="IE153" t="e">
        <f>AND(Bills!#REF!,"AAAAAH/8dO4=")</f>
        <v>#REF!</v>
      </c>
      <c r="IF153" t="e">
        <f>AND(Bills!#REF!,"AAAAAH/8dO8=")</f>
        <v>#REF!</v>
      </c>
      <c r="IG153" t="e">
        <f>AND(Bills!#REF!,"AAAAAH/8dPA=")</f>
        <v>#REF!</v>
      </c>
      <c r="IH153" t="e">
        <f>AND(Bills!AA538,"AAAAAH/8dPE=")</f>
        <v>#VALUE!</v>
      </c>
      <c r="II153" t="e">
        <f>AND(Bills!AB538,"AAAAAH/8dPI=")</f>
        <v>#VALUE!</v>
      </c>
      <c r="IJ153" t="e">
        <f>AND(Bills!#REF!,"AAAAAH/8dPM=")</f>
        <v>#REF!</v>
      </c>
      <c r="IK153">
        <f>IF(Bills!539:539,"AAAAAH/8dPQ=",0)</f>
        <v>0</v>
      </c>
      <c r="IL153" t="e">
        <f>AND(Bills!B539,"AAAAAH/8dPU=")</f>
        <v>#VALUE!</v>
      </c>
      <c r="IM153" t="e">
        <f>AND(Bills!#REF!,"AAAAAH/8dPY=")</f>
        <v>#REF!</v>
      </c>
      <c r="IN153" t="e">
        <f>AND(Bills!C539,"AAAAAH/8dPc=")</f>
        <v>#VALUE!</v>
      </c>
      <c r="IO153" t="e">
        <f>AND(Bills!#REF!,"AAAAAH/8dPg=")</f>
        <v>#REF!</v>
      </c>
      <c r="IP153" t="e">
        <f>AND(Bills!#REF!,"AAAAAH/8dPk=")</f>
        <v>#REF!</v>
      </c>
      <c r="IQ153" t="e">
        <f>AND(Bills!#REF!,"AAAAAH/8dPo=")</f>
        <v>#REF!</v>
      </c>
      <c r="IR153" t="e">
        <f>AND(Bills!#REF!,"AAAAAH/8dPs=")</f>
        <v>#REF!</v>
      </c>
      <c r="IS153" t="e">
        <f>AND(Bills!#REF!,"AAAAAH/8dPw=")</f>
        <v>#REF!</v>
      </c>
      <c r="IT153" t="e">
        <f>AND(Bills!D539,"AAAAAH/8dP0=")</f>
        <v>#VALUE!</v>
      </c>
      <c r="IU153" t="e">
        <f>AND(Bills!#REF!,"AAAAAH/8dP4=")</f>
        <v>#REF!</v>
      </c>
      <c r="IV153" t="e">
        <f>AND(Bills!E539,"AAAAAH/8dP8=")</f>
        <v>#VALUE!</v>
      </c>
    </row>
    <row r="154" spans="1:256">
      <c r="A154" t="e">
        <f>AND(Bills!F539,"AAAAAFGzPgA=")</f>
        <v>#VALUE!</v>
      </c>
      <c r="B154" t="e">
        <f>AND(Bills!G539,"AAAAAFGzPgE=")</f>
        <v>#VALUE!</v>
      </c>
      <c r="C154" t="e">
        <f>AND(Bills!H539,"AAAAAFGzPgI=")</f>
        <v>#VALUE!</v>
      </c>
      <c r="D154" t="e">
        <f>AND(Bills!I539,"AAAAAFGzPgM=")</f>
        <v>#VALUE!</v>
      </c>
      <c r="E154" t="e">
        <f>AND(Bills!J539,"AAAAAFGzPgQ=")</f>
        <v>#VALUE!</v>
      </c>
      <c r="F154" t="e">
        <f>AND(Bills!#REF!,"AAAAAFGzPgU=")</f>
        <v>#REF!</v>
      </c>
      <c r="G154" t="e">
        <f>AND(Bills!K539,"AAAAAFGzPgY=")</f>
        <v>#VALUE!</v>
      </c>
      <c r="H154" t="e">
        <f>AND(Bills!L539,"AAAAAFGzPgc=")</f>
        <v>#VALUE!</v>
      </c>
      <c r="I154" t="e">
        <f>AND(Bills!M539,"AAAAAFGzPgg=")</f>
        <v>#VALUE!</v>
      </c>
      <c r="J154" t="e">
        <f>AND(Bills!N539,"AAAAAFGzPgk=")</f>
        <v>#VALUE!</v>
      </c>
      <c r="K154" t="e">
        <f>AND(Bills!O539,"AAAAAFGzPgo=")</f>
        <v>#VALUE!</v>
      </c>
      <c r="L154" t="e">
        <f>AND(Bills!P539,"AAAAAFGzPgs=")</f>
        <v>#VALUE!</v>
      </c>
      <c r="M154" t="e">
        <f>AND(Bills!Q539,"AAAAAFGzPgw=")</f>
        <v>#VALUE!</v>
      </c>
      <c r="N154" t="e">
        <f>AND(Bills!R539,"AAAAAFGzPg0=")</f>
        <v>#VALUE!</v>
      </c>
      <c r="O154" t="e">
        <f>AND(Bills!#REF!,"AAAAAFGzPg4=")</f>
        <v>#REF!</v>
      </c>
      <c r="P154" t="e">
        <f>AND(Bills!S539,"AAAAAFGzPg8=")</f>
        <v>#VALUE!</v>
      </c>
      <c r="Q154" t="e">
        <f>AND(Bills!T539,"AAAAAFGzPhA=")</f>
        <v>#VALUE!</v>
      </c>
      <c r="R154" t="e">
        <f>AND(Bills!U539,"AAAAAFGzPhE=")</f>
        <v>#VALUE!</v>
      </c>
      <c r="S154" t="e">
        <f>AND(Bills!#REF!,"AAAAAFGzPhI=")</f>
        <v>#REF!</v>
      </c>
      <c r="T154" t="e">
        <f>AND(Bills!#REF!,"AAAAAFGzPhM=")</f>
        <v>#REF!</v>
      </c>
      <c r="U154" t="e">
        <f>AND(Bills!W539,"AAAAAFGzPhQ=")</f>
        <v>#VALUE!</v>
      </c>
      <c r="V154" t="e">
        <f>AND(Bills!X539,"AAAAAFGzPhU=")</f>
        <v>#VALUE!</v>
      </c>
      <c r="W154" t="e">
        <f>AND(Bills!#REF!,"AAAAAFGzPhY=")</f>
        <v>#REF!</v>
      </c>
      <c r="X154" t="e">
        <f>AND(Bills!#REF!,"AAAAAFGzPhc=")</f>
        <v>#REF!</v>
      </c>
      <c r="Y154" t="e">
        <f>AND(Bills!#REF!,"AAAAAFGzPhg=")</f>
        <v>#REF!</v>
      </c>
      <c r="Z154" t="e">
        <f>AND(Bills!#REF!,"AAAAAFGzPhk=")</f>
        <v>#REF!</v>
      </c>
      <c r="AA154" t="e">
        <f>AND(Bills!#REF!,"AAAAAFGzPho=")</f>
        <v>#REF!</v>
      </c>
      <c r="AB154" t="e">
        <f>AND(Bills!#REF!,"AAAAAFGzPhs=")</f>
        <v>#REF!</v>
      </c>
      <c r="AC154" t="e">
        <f>AND(Bills!#REF!,"AAAAAFGzPhw=")</f>
        <v>#REF!</v>
      </c>
      <c r="AD154" t="e">
        <f>AND(Bills!#REF!,"AAAAAFGzPh0=")</f>
        <v>#REF!</v>
      </c>
      <c r="AE154" t="e">
        <f>AND(Bills!#REF!,"AAAAAFGzPh4=")</f>
        <v>#REF!</v>
      </c>
      <c r="AF154" t="e">
        <f>AND(Bills!Y539,"AAAAAFGzPh8=")</f>
        <v>#VALUE!</v>
      </c>
      <c r="AG154" t="e">
        <f>AND(Bills!Z539,"AAAAAFGzPiA=")</f>
        <v>#VALUE!</v>
      </c>
      <c r="AH154" t="e">
        <f>AND(Bills!#REF!,"AAAAAFGzPiE=")</f>
        <v>#REF!</v>
      </c>
      <c r="AI154" t="e">
        <f>AND(Bills!#REF!,"AAAAAFGzPiI=")</f>
        <v>#REF!</v>
      </c>
      <c r="AJ154" t="e">
        <f>AND(Bills!#REF!,"AAAAAFGzPiM=")</f>
        <v>#REF!</v>
      </c>
      <c r="AK154" t="e">
        <f>AND(Bills!AA539,"AAAAAFGzPiQ=")</f>
        <v>#VALUE!</v>
      </c>
      <c r="AL154" t="e">
        <f>AND(Bills!AB539,"AAAAAFGzPiU=")</f>
        <v>#VALUE!</v>
      </c>
      <c r="AM154" t="e">
        <f>AND(Bills!#REF!,"AAAAAFGzPiY=")</f>
        <v>#REF!</v>
      </c>
      <c r="AN154">
        <f>IF(Bills!540:540,"AAAAAFGzPic=",0)</f>
        <v>0</v>
      </c>
      <c r="AO154" t="e">
        <f>AND(Bills!B540,"AAAAAFGzPig=")</f>
        <v>#VALUE!</v>
      </c>
      <c r="AP154" t="e">
        <f>AND(Bills!#REF!,"AAAAAFGzPik=")</f>
        <v>#REF!</v>
      </c>
      <c r="AQ154" t="e">
        <f>AND(Bills!C540,"AAAAAFGzPio=")</f>
        <v>#VALUE!</v>
      </c>
      <c r="AR154" t="e">
        <f>AND(Bills!#REF!,"AAAAAFGzPis=")</f>
        <v>#REF!</v>
      </c>
      <c r="AS154" t="e">
        <f>AND(Bills!#REF!,"AAAAAFGzPiw=")</f>
        <v>#REF!</v>
      </c>
      <c r="AT154" t="e">
        <f>AND(Bills!#REF!,"AAAAAFGzPi0=")</f>
        <v>#REF!</v>
      </c>
      <c r="AU154" t="e">
        <f>AND(Bills!#REF!,"AAAAAFGzPi4=")</f>
        <v>#REF!</v>
      </c>
      <c r="AV154" t="e">
        <f>AND(Bills!#REF!,"AAAAAFGzPi8=")</f>
        <v>#REF!</v>
      </c>
      <c r="AW154" t="e">
        <f>AND(Bills!D540,"AAAAAFGzPjA=")</f>
        <v>#VALUE!</v>
      </c>
      <c r="AX154" t="e">
        <f>AND(Bills!#REF!,"AAAAAFGzPjE=")</f>
        <v>#REF!</v>
      </c>
      <c r="AY154" t="e">
        <f>AND(Bills!E540,"AAAAAFGzPjI=")</f>
        <v>#VALUE!</v>
      </c>
      <c r="AZ154" t="e">
        <f>AND(Bills!F540,"AAAAAFGzPjM=")</f>
        <v>#VALUE!</v>
      </c>
      <c r="BA154" t="e">
        <f>AND(Bills!G540,"AAAAAFGzPjQ=")</f>
        <v>#VALUE!</v>
      </c>
      <c r="BB154" t="e">
        <f>AND(Bills!H540,"AAAAAFGzPjU=")</f>
        <v>#VALUE!</v>
      </c>
      <c r="BC154" t="e">
        <f>AND(Bills!I540,"AAAAAFGzPjY=")</f>
        <v>#VALUE!</v>
      </c>
      <c r="BD154" t="e">
        <f>AND(Bills!J540,"AAAAAFGzPjc=")</f>
        <v>#VALUE!</v>
      </c>
      <c r="BE154" t="e">
        <f>AND(Bills!#REF!,"AAAAAFGzPjg=")</f>
        <v>#REF!</v>
      </c>
      <c r="BF154" t="e">
        <f>AND(Bills!K540,"AAAAAFGzPjk=")</f>
        <v>#VALUE!</v>
      </c>
      <c r="BG154" t="e">
        <f>AND(Bills!L540,"AAAAAFGzPjo=")</f>
        <v>#VALUE!</v>
      </c>
      <c r="BH154" t="e">
        <f>AND(Bills!M540,"AAAAAFGzPjs=")</f>
        <v>#VALUE!</v>
      </c>
      <c r="BI154" t="e">
        <f>AND(Bills!N540,"AAAAAFGzPjw=")</f>
        <v>#VALUE!</v>
      </c>
      <c r="BJ154" t="e">
        <f>AND(Bills!O540,"AAAAAFGzPj0=")</f>
        <v>#VALUE!</v>
      </c>
      <c r="BK154" t="e">
        <f>AND(Bills!P540,"AAAAAFGzPj4=")</f>
        <v>#VALUE!</v>
      </c>
      <c r="BL154" t="e">
        <f>AND(Bills!Q540,"AAAAAFGzPj8=")</f>
        <v>#VALUE!</v>
      </c>
      <c r="BM154" t="e">
        <f>AND(Bills!R540,"AAAAAFGzPkA=")</f>
        <v>#VALUE!</v>
      </c>
      <c r="BN154" t="e">
        <f>AND(Bills!#REF!,"AAAAAFGzPkE=")</f>
        <v>#REF!</v>
      </c>
      <c r="BO154" t="e">
        <f>AND(Bills!S540,"AAAAAFGzPkI=")</f>
        <v>#VALUE!</v>
      </c>
      <c r="BP154" t="e">
        <f>AND(Bills!T540,"AAAAAFGzPkM=")</f>
        <v>#VALUE!</v>
      </c>
      <c r="BQ154" t="e">
        <f>AND(Bills!U540,"AAAAAFGzPkQ=")</f>
        <v>#VALUE!</v>
      </c>
      <c r="BR154" t="e">
        <f>AND(Bills!#REF!,"AAAAAFGzPkU=")</f>
        <v>#REF!</v>
      </c>
      <c r="BS154" t="e">
        <f>AND(Bills!#REF!,"AAAAAFGzPkY=")</f>
        <v>#REF!</v>
      </c>
      <c r="BT154" t="e">
        <f>AND(Bills!W540,"AAAAAFGzPkc=")</f>
        <v>#VALUE!</v>
      </c>
      <c r="BU154" t="e">
        <f>AND(Bills!X540,"AAAAAFGzPkg=")</f>
        <v>#VALUE!</v>
      </c>
      <c r="BV154" t="e">
        <f>AND(Bills!#REF!,"AAAAAFGzPkk=")</f>
        <v>#REF!</v>
      </c>
      <c r="BW154" t="e">
        <f>AND(Bills!#REF!,"AAAAAFGzPko=")</f>
        <v>#REF!</v>
      </c>
      <c r="BX154" t="e">
        <f>AND(Bills!#REF!,"AAAAAFGzPks=")</f>
        <v>#REF!</v>
      </c>
      <c r="BY154" t="e">
        <f>AND(Bills!#REF!,"AAAAAFGzPkw=")</f>
        <v>#REF!</v>
      </c>
      <c r="BZ154" t="e">
        <f>AND(Bills!#REF!,"AAAAAFGzPk0=")</f>
        <v>#REF!</v>
      </c>
      <c r="CA154" t="e">
        <f>AND(Bills!#REF!,"AAAAAFGzPk4=")</f>
        <v>#REF!</v>
      </c>
      <c r="CB154" t="e">
        <f>AND(Bills!#REF!,"AAAAAFGzPk8=")</f>
        <v>#REF!</v>
      </c>
      <c r="CC154" t="e">
        <f>AND(Bills!#REF!,"AAAAAFGzPlA=")</f>
        <v>#REF!</v>
      </c>
      <c r="CD154" t="e">
        <f>AND(Bills!#REF!,"AAAAAFGzPlE=")</f>
        <v>#REF!</v>
      </c>
      <c r="CE154" t="e">
        <f>AND(Bills!Y540,"AAAAAFGzPlI=")</f>
        <v>#VALUE!</v>
      </c>
      <c r="CF154" t="e">
        <f>AND(Bills!Z540,"AAAAAFGzPlM=")</f>
        <v>#VALUE!</v>
      </c>
      <c r="CG154" t="e">
        <f>AND(Bills!#REF!,"AAAAAFGzPlQ=")</f>
        <v>#REF!</v>
      </c>
      <c r="CH154" t="e">
        <f>AND(Bills!#REF!,"AAAAAFGzPlU=")</f>
        <v>#REF!</v>
      </c>
      <c r="CI154" t="e">
        <f>AND(Bills!#REF!,"AAAAAFGzPlY=")</f>
        <v>#REF!</v>
      </c>
      <c r="CJ154" t="e">
        <f>AND(Bills!AA540,"AAAAAFGzPlc=")</f>
        <v>#VALUE!</v>
      </c>
      <c r="CK154" t="e">
        <f>AND(Bills!AB540,"AAAAAFGzPlg=")</f>
        <v>#VALUE!</v>
      </c>
      <c r="CL154" t="e">
        <f>AND(Bills!#REF!,"AAAAAFGzPlk=")</f>
        <v>#REF!</v>
      </c>
      <c r="CM154">
        <f>IF(Bills!541:541,"AAAAAFGzPlo=",0)</f>
        <v>0</v>
      </c>
      <c r="CN154" t="e">
        <f>AND(Bills!B541,"AAAAAFGzPls=")</f>
        <v>#VALUE!</v>
      </c>
      <c r="CO154" t="e">
        <f>AND(Bills!#REF!,"AAAAAFGzPlw=")</f>
        <v>#REF!</v>
      </c>
      <c r="CP154" t="e">
        <f>AND(Bills!C541,"AAAAAFGzPl0=")</f>
        <v>#VALUE!</v>
      </c>
      <c r="CQ154" t="e">
        <f>AND(Bills!#REF!,"AAAAAFGzPl4=")</f>
        <v>#REF!</v>
      </c>
      <c r="CR154" t="e">
        <f>AND(Bills!#REF!,"AAAAAFGzPl8=")</f>
        <v>#REF!</v>
      </c>
      <c r="CS154" t="e">
        <f>AND(Bills!#REF!,"AAAAAFGzPmA=")</f>
        <v>#REF!</v>
      </c>
      <c r="CT154" t="e">
        <f>AND(Bills!#REF!,"AAAAAFGzPmE=")</f>
        <v>#REF!</v>
      </c>
      <c r="CU154" t="e">
        <f>AND(Bills!#REF!,"AAAAAFGzPmI=")</f>
        <v>#REF!</v>
      </c>
      <c r="CV154" t="e">
        <f>AND(Bills!D541,"AAAAAFGzPmM=")</f>
        <v>#VALUE!</v>
      </c>
      <c r="CW154" t="e">
        <f>AND(Bills!#REF!,"AAAAAFGzPmQ=")</f>
        <v>#REF!</v>
      </c>
      <c r="CX154" t="e">
        <f>AND(Bills!E541,"AAAAAFGzPmU=")</f>
        <v>#VALUE!</v>
      </c>
      <c r="CY154" t="e">
        <f>AND(Bills!F541,"AAAAAFGzPmY=")</f>
        <v>#VALUE!</v>
      </c>
      <c r="CZ154" t="e">
        <f>AND(Bills!G541,"AAAAAFGzPmc=")</f>
        <v>#VALUE!</v>
      </c>
      <c r="DA154" t="e">
        <f>AND(Bills!H541,"AAAAAFGzPmg=")</f>
        <v>#VALUE!</v>
      </c>
      <c r="DB154" t="e">
        <f>AND(Bills!I541,"AAAAAFGzPmk=")</f>
        <v>#VALUE!</v>
      </c>
      <c r="DC154" t="e">
        <f>AND(Bills!J541,"AAAAAFGzPmo=")</f>
        <v>#VALUE!</v>
      </c>
      <c r="DD154" t="e">
        <f>AND(Bills!#REF!,"AAAAAFGzPms=")</f>
        <v>#REF!</v>
      </c>
      <c r="DE154" t="e">
        <f>AND(Bills!K541,"AAAAAFGzPmw=")</f>
        <v>#VALUE!</v>
      </c>
      <c r="DF154" t="e">
        <f>AND(Bills!L541,"AAAAAFGzPm0=")</f>
        <v>#VALUE!</v>
      </c>
      <c r="DG154" t="e">
        <f>AND(Bills!M541,"AAAAAFGzPm4=")</f>
        <v>#VALUE!</v>
      </c>
      <c r="DH154" t="e">
        <f>AND(Bills!N541,"AAAAAFGzPm8=")</f>
        <v>#VALUE!</v>
      </c>
      <c r="DI154" t="e">
        <f>AND(Bills!O541,"AAAAAFGzPnA=")</f>
        <v>#VALUE!</v>
      </c>
      <c r="DJ154" t="e">
        <f>AND(Bills!P541,"AAAAAFGzPnE=")</f>
        <v>#VALUE!</v>
      </c>
      <c r="DK154" t="e">
        <f>AND(Bills!Q541,"AAAAAFGzPnI=")</f>
        <v>#VALUE!</v>
      </c>
      <c r="DL154" t="e">
        <f>AND(Bills!R541,"AAAAAFGzPnM=")</f>
        <v>#VALUE!</v>
      </c>
      <c r="DM154" t="e">
        <f>AND(Bills!#REF!,"AAAAAFGzPnQ=")</f>
        <v>#REF!</v>
      </c>
      <c r="DN154" t="e">
        <f>AND(Bills!S541,"AAAAAFGzPnU=")</f>
        <v>#VALUE!</v>
      </c>
      <c r="DO154" t="e">
        <f>AND(Bills!T541,"AAAAAFGzPnY=")</f>
        <v>#VALUE!</v>
      </c>
      <c r="DP154" t="e">
        <f>AND(Bills!U541,"AAAAAFGzPnc=")</f>
        <v>#VALUE!</v>
      </c>
      <c r="DQ154" t="e">
        <f>AND(Bills!#REF!,"AAAAAFGzPng=")</f>
        <v>#REF!</v>
      </c>
      <c r="DR154" t="e">
        <f>AND(Bills!#REF!,"AAAAAFGzPnk=")</f>
        <v>#REF!</v>
      </c>
      <c r="DS154" t="e">
        <f>AND(Bills!W541,"AAAAAFGzPno=")</f>
        <v>#VALUE!</v>
      </c>
      <c r="DT154" t="e">
        <f>AND(Bills!X541,"AAAAAFGzPns=")</f>
        <v>#VALUE!</v>
      </c>
      <c r="DU154" t="e">
        <f>AND(Bills!#REF!,"AAAAAFGzPnw=")</f>
        <v>#REF!</v>
      </c>
      <c r="DV154" t="e">
        <f>AND(Bills!#REF!,"AAAAAFGzPn0=")</f>
        <v>#REF!</v>
      </c>
      <c r="DW154" t="e">
        <f>AND(Bills!#REF!,"AAAAAFGzPn4=")</f>
        <v>#REF!</v>
      </c>
      <c r="DX154" t="e">
        <f>AND(Bills!#REF!,"AAAAAFGzPn8=")</f>
        <v>#REF!</v>
      </c>
      <c r="DY154" t="e">
        <f>AND(Bills!#REF!,"AAAAAFGzPoA=")</f>
        <v>#REF!</v>
      </c>
      <c r="DZ154" t="e">
        <f>AND(Bills!#REF!,"AAAAAFGzPoE=")</f>
        <v>#REF!</v>
      </c>
      <c r="EA154" t="e">
        <f>AND(Bills!#REF!,"AAAAAFGzPoI=")</f>
        <v>#REF!</v>
      </c>
      <c r="EB154" t="e">
        <f>AND(Bills!#REF!,"AAAAAFGzPoM=")</f>
        <v>#REF!</v>
      </c>
      <c r="EC154" t="e">
        <f>AND(Bills!#REF!,"AAAAAFGzPoQ=")</f>
        <v>#REF!</v>
      </c>
      <c r="ED154" t="e">
        <f>AND(Bills!Y541,"AAAAAFGzPoU=")</f>
        <v>#VALUE!</v>
      </c>
      <c r="EE154" t="e">
        <f>AND(Bills!Z541,"AAAAAFGzPoY=")</f>
        <v>#VALUE!</v>
      </c>
      <c r="EF154" t="e">
        <f>AND(Bills!#REF!,"AAAAAFGzPoc=")</f>
        <v>#REF!</v>
      </c>
      <c r="EG154" t="e">
        <f>AND(Bills!#REF!,"AAAAAFGzPog=")</f>
        <v>#REF!</v>
      </c>
      <c r="EH154" t="e">
        <f>AND(Bills!#REF!,"AAAAAFGzPok=")</f>
        <v>#REF!</v>
      </c>
      <c r="EI154" t="e">
        <f>AND(Bills!AA541,"AAAAAFGzPoo=")</f>
        <v>#VALUE!</v>
      </c>
      <c r="EJ154" t="e">
        <f>AND(Bills!AB541,"AAAAAFGzPos=")</f>
        <v>#VALUE!</v>
      </c>
      <c r="EK154" t="e">
        <f>AND(Bills!#REF!,"AAAAAFGzPow=")</f>
        <v>#REF!</v>
      </c>
      <c r="EL154">
        <f>IF(Bills!542:542,"AAAAAFGzPo0=",0)</f>
        <v>0</v>
      </c>
      <c r="EM154" t="e">
        <f>AND(Bills!B542,"AAAAAFGzPo4=")</f>
        <v>#VALUE!</v>
      </c>
      <c r="EN154" t="e">
        <f>AND(Bills!#REF!,"AAAAAFGzPo8=")</f>
        <v>#REF!</v>
      </c>
      <c r="EO154" t="e">
        <f>AND(Bills!C542,"AAAAAFGzPpA=")</f>
        <v>#VALUE!</v>
      </c>
      <c r="EP154" t="e">
        <f>AND(Bills!#REF!,"AAAAAFGzPpE=")</f>
        <v>#REF!</v>
      </c>
      <c r="EQ154" t="e">
        <f>AND(Bills!#REF!,"AAAAAFGzPpI=")</f>
        <v>#REF!</v>
      </c>
      <c r="ER154" t="e">
        <f>AND(Bills!#REF!,"AAAAAFGzPpM=")</f>
        <v>#REF!</v>
      </c>
      <c r="ES154" t="e">
        <f>AND(Bills!#REF!,"AAAAAFGzPpQ=")</f>
        <v>#REF!</v>
      </c>
      <c r="ET154" t="e">
        <f>AND(Bills!#REF!,"AAAAAFGzPpU=")</f>
        <v>#REF!</v>
      </c>
      <c r="EU154" t="e">
        <f>AND(Bills!D542,"AAAAAFGzPpY=")</f>
        <v>#VALUE!</v>
      </c>
      <c r="EV154" t="e">
        <f>AND(Bills!#REF!,"AAAAAFGzPpc=")</f>
        <v>#REF!</v>
      </c>
      <c r="EW154" t="e">
        <f>AND(Bills!E542,"AAAAAFGzPpg=")</f>
        <v>#VALUE!</v>
      </c>
      <c r="EX154" t="e">
        <f>AND(Bills!F542,"AAAAAFGzPpk=")</f>
        <v>#VALUE!</v>
      </c>
      <c r="EY154" t="e">
        <f>AND(Bills!G542,"AAAAAFGzPpo=")</f>
        <v>#VALUE!</v>
      </c>
      <c r="EZ154" t="e">
        <f>AND(Bills!H542,"AAAAAFGzPps=")</f>
        <v>#VALUE!</v>
      </c>
      <c r="FA154" t="e">
        <f>AND(Bills!I542,"AAAAAFGzPpw=")</f>
        <v>#VALUE!</v>
      </c>
      <c r="FB154" t="e">
        <f>AND(Bills!J542,"AAAAAFGzPp0=")</f>
        <v>#VALUE!</v>
      </c>
      <c r="FC154" t="e">
        <f>AND(Bills!#REF!,"AAAAAFGzPp4=")</f>
        <v>#REF!</v>
      </c>
      <c r="FD154" t="e">
        <f>AND(Bills!K542,"AAAAAFGzPp8=")</f>
        <v>#VALUE!</v>
      </c>
      <c r="FE154" t="e">
        <f>AND(Bills!L542,"AAAAAFGzPqA=")</f>
        <v>#VALUE!</v>
      </c>
      <c r="FF154" t="e">
        <f>AND(Bills!M542,"AAAAAFGzPqE=")</f>
        <v>#VALUE!</v>
      </c>
      <c r="FG154" t="e">
        <f>AND(Bills!N542,"AAAAAFGzPqI=")</f>
        <v>#VALUE!</v>
      </c>
      <c r="FH154" t="e">
        <f>AND(Bills!O542,"AAAAAFGzPqM=")</f>
        <v>#VALUE!</v>
      </c>
      <c r="FI154" t="e">
        <f>AND(Bills!P542,"AAAAAFGzPqQ=")</f>
        <v>#VALUE!</v>
      </c>
      <c r="FJ154" t="e">
        <f>AND(Bills!Q542,"AAAAAFGzPqU=")</f>
        <v>#VALUE!</v>
      </c>
      <c r="FK154" t="e">
        <f>AND(Bills!R542,"AAAAAFGzPqY=")</f>
        <v>#VALUE!</v>
      </c>
      <c r="FL154" t="e">
        <f>AND(Bills!#REF!,"AAAAAFGzPqc=")</f>
        <v>#REF!</v>
      </c>
      <c r="FM154" t="e">
        <f>AND(Bills!S542,"AAAAAFGzPqg=")</f>
        <v>#VALUE!</v>
      </c>
      <c r="FN154" t="e">
        <f>AND(Bills!T542,"AAAAAFGzPqk=")</f>
        <v>#VALUE!</v>
      </c>
      <c r="FO154" t="e">
        <f>AND(Bills!U542,"AAAAAFGzPqo=")</f>
        <v>#VALUE!</v>
      </c>
      <c r="FP154" t="e">
        <f>AND(Bills!#REF!,"AAAAAFGzPqs=")</f>
        <v>#REF!</v>
      </c>
      <c r="FQ154" t="e">
        <f>AND(Bills!#REF!,"AAAAAFGzPqw=")</f>
        <v>#REF!</v>
      </c>
      <c r="FR154" t="e">
        <f>AND(Bills!W542,"AAAAAFGzPq0=")</f>
        <v>#VALUE!</v>
      </c>
      <c r="FS154" t="e">
        <f>AND(Bills!X542,"AAAAAFGzPq4=")</f>
        <v>#VALUE!</v>
      </c>
      <c r="FT154" t="e">
        <f>AND(Bills!#REF!,"AAAAAFGzPq8=")</f>
        <v>#REF!</v>
      </c>
      <c r="FU154" t="e">
        <f>AND(Bills!#REF!,"AAAAAFGzPrA=")</f>
        <v>#REF!</v>
      </c>
      <c r="FV154" t="e">
        <f>AND(Bills!#REF!,"AAAAAFGzPrE=")</f>
        <v>#REF!</v>
      </c>
      <c r="FW154" t="e">
        <f>AND(Bills!#REF!,"AAAAAFGzPrI=")</f>
        <v>#REF!</v>
      </c>
      <c r="FX154" t="e">
        <f>AND(Bills!#REF!,"AAAAAFGzPrM=")</f>
        <v>#REF!</v>
      </c>
      <c r="FY154" t="e">
        <f>AND(Bills!#REF!,"AAAAAFGzPrQ=")</f>
        <v>#REF!</v>
      </c>
      <c r="FZ154" t="e">
        <f>AND(Bills!#REF!,"AAAAAFGzPrU=")</f>
        <v>#REF!</v>
      </c>
      <c r="GA154" t="e">
        <f>AND(Bills!#REF!,"AAAAAFGzPrY=")</f>
        <v>#REF!</v>
      </c>
      <c r="GB154" t="e">
        <f>AND(Bills!#REF!,"AAAAAFGzPrc=")</f>
        <v>#REF!</v>
      </c>
      <c r="GC154" t="e">
        <f>AND(Bills!Y542,"AAAAAFGzPrg=")</f>
        <v>#VALUE!</v>
      </c>
      <c r="GD154" t="e">
        <f>AND(Bills!Z542,"AAAAAFGzPrk=")</f>
        <v>#VALUE!</v>
      </c>
      <c r="GE154" t="e">
        <f>AND(Bills!#REF!,"AAAAAFGzPro=")</f>
        <v>#REF!</v>
      </c>
      <c r="GF154" t="e">
        <f>AND(Bills!#REF!,"AAAAAFGzPrs=")</f>
        <v>#REF!</v>
      </c>
      <c r="GG154" t="e">
        <f>AND(Bills!#REF!,"AAAAAFGzPrw=")</f>
        <v>#REF!</v>
      </c>
      <c r="GH154" t="e">
        <f>AND(Bills!AA542,"AAAAAFGzPr0=")</f>
        <v>#VALUE!</v>
      </c>
      <c r="GI154" t="e">
        <f>AND(Bills!AB542,"AAAAAFGzPr4=")</f>
        <v>#VALUE!</v>
      </c>
      <c r="GJ154" t="e">
        <f>AND(Bills!#REF!,"AAAAAFGzPr8=")</f>
        <v>#REF!</v>
      </c>
      <c r="GK154">
        <f>IF(Bills!543:543,"AAAAAFGzPsA=",0)</f>
        <v>0</v>
      </c>
      <c r="GL154" t="e">
        <f>AND(Bills!B543,"AAAAAFGzPsE=")</f>
        <v>#VALUE!</v>
      </c>
      <c r="GM154" t="e">
        <f>AND(Bills!#REF!,"AAAAAFGzPsI=")</f>
        <v>#REF!</v>
      </c>
      <c r="GN154" t="e">
        <f>AND(Bills!C543,"AAAAAFGzPsM=")</f>
        <v>#VALUE!</v>
      </c>
      <c r="GO154" t="e">
        <f>AND(Bills!#REF!,"AAAAAFGzPsQ=")</f>
        <v>#REF!</v>
      </c>
      <c r="GP154" t="e">
        <f>AND(Bills!#REF!,"AAAAAFGzPsU=")</f>
        <v>#REF!</v>
      </c>
      <c r="GQ154" t="e">
        <f>AND(Bills!#REF!,"AAAAAFGzPsY=")</f>
        <v>#REF!</v>
      </c>
      <c r="GR154" t="e">
        <f>AND(Bills!#REF!,"AAAAAFGzPsc=")</f>
        <v>#REF!</v>
      </c>
      <c r="GS154" t="e">
        <f>AND(Bills!#REF!,"AAAAAFGzPsg=")</f>
        <v>#REF!</v>
      </c>
      <c r="GT154" t="e">
        <f>AND(Bills!D543,"AAAAAFGzPsk=")</f>
        <v>#VALUE!</v>
      </c>
      <c r="GU154" t="e">
        <f>AND(Bills!#REF!,"AAAAAFGzPso=")</f>
        <v>#REF!</v>
      </c>
      <c r="GV154" t="e">
        <f>AND(Bills!E543,"AAAAAFGzPss=")</f>
        <v>#VALUE!</v>
      </c>
      <c r="GW154" t="e">
        <f>AND(Bills!F543,"AAAAAFGzPsw=")</f>
        <v>#VALUE!</v>
      </c>
      <c r="GX154" t="e">
        <f>AND(Bills!G543,"AAAAAFGzPs0=")</f>
        <v>#VALUE!</v>
      </c>
      <c r="GY154" t="e">
        <f>AND(Bills!H543,"AAAAAFGzPs4=")</f>
        <v>#VALUE!</v>
      </c>
      <c r="GZ154" t="e">
        <f>AND(Bills!I543,"AAAAAFGzPs8=")</f>
        <v>#VALUE!</v>
      </c>
      <c r="HA154" t="e">
        <f>AND(Bills!J543,"AAAAAFGzPtA=")</f>
        <v>#VALUE!</v>
      </c>
      <c r="HB154" t="e">
        <f>AND(Bills!#REF!,"AAAAAFGzPtE=")</f>
        <v>#REF!</v>
      </c>
      <c r="HC154" t="e">
        <f>AND(Bills!K543,"AAAAAFGzPtI=")</f>
        <v>#VALUE!</v>
      </c>
      <c r="HD154" t="e">
        <f>AND(Bills!L543,"AAAAAFGzPtM=")</f>
        <v>#VALUE!</v>
      </c>
      <c r="HE154" t="e">
        <f>AND(Bills!M543,"AAAAAFGzPtQ=")</f>
        <v>#VALUE!</v>
      </c>
      <c r="HF154" t="e">
        <f>AND(Bills!N543,"AAAAAFGzPtU=")</f>
        <v>#VALUE!</v>
      </c>
      <c r="HG154" t="e">
        <f>AND(Bills!O543,"AAAAAFGzPtY=")</f>
        <v>#VALUE!</v>
      </c>
      <c r="HH154" t="e">
        <f>AND(Bills!P543,"AAAAAFGzPtc=")</f>
        <v>#VALUE!</v>
      </c>
      <c r="HI154" t="e">
        <f>AND(Bills!Q543,"AAAAAFGzPtg=")</f>
        <v>#VALUE!</v>
      </c>
      <c r="HJ154" t="e">
        <f>AND(Bills!R543,"AAAAAFGzPtk=")</f>
        <v>#VALUE!</v>
      </c>
      <c r="HK154" t="e">
        <f>AND(Bills!#REF!,"AAAAAFGzPto=")</f>
        <v>#REF!</v>
      </c>
      <c r="HL154" t="e">
        <f>AND(Bills!S543,"AAAAAFGzPts=")</f>
        <v>#VALUE!</v>
      </c>
      <c r="HM154" t="e">
        <f>AND(Bills!T543,"AAAAAFGzPtw=")</f>
        <v>#VALUE!</v>
      </c>
      <c r="HN154" t="e">
        <f>AND(Bills!U543,"AAAAAFGzPt0=")</f>
        <v>#VALUE!</v>
      </c>
      <c r="HO154" t="e">
        <f>AND(Bills!#REF!,"AAAAAFGzPt4=")</f>
        <v>#REF!</v>
      </c>
      <c r="HP154" t="e">
        <f>AND(Bills!#REF!,"AAAAAFGzPt8=")</f>
        <v>#REF!</v>
      </c>
      <c r="HQ154" t="e">
        <f>AND(Bills!W543,"AAAAAFGzPuA=")</f>
        <v>#VALUE!</v>
      </c>
      <c r="HR154" t="e">
        <f>AND(Bills!X543,"AAAAAFGzPuE=")</f>
        <v>#VALUE!</v>
      </c>
      <c r="HS154" t="e">
        <f>AND(Bills!#REF!,"AAAAAFGzPuI=")</f>
        <v>#REF!</v>
      </c>
      <c r="HT154" t="e">
        <f>AND(Bills!#REF!,"AAAAAFGzPuM=")</f>
        <v>#REF!</v>
      </c>
      <c r="HU154" t="e">
        <f>AND(Bills!#REF!,"AAAAAFGzPuQ=")</f>
        <v>#REF!</v>
      </c>
      <c r="HV154" t="e">
        <f>AND(Bills!#REF!,"AAAAAFGzPuU=")</f>
        <v>#REF!</v>
      </c>
      <c r="HW154" t="e">
        <f>AND(Bills!#REF!,"AAAAAFGzPuY=")</f>
        <v>#REF!</v>
      </c>
      <c r="HX154" t="e">
        <f>AND(Bills!#REF!,"AAAAAFGzPuc=")</f>
        <v>#REF!</v>
      </c>
      <c r="HY154" t="e">
        <f>AND(Bills!#REF!,"AAAAAFGzPug=")</f>
        <v>#REF!</v>
      </c>
      <c r="HZ154" t="e">
        <f>AND(Bills!#REF!,"AAAAAFGzPuk=")</f>
        <v>#REF!</v>
      </c>
      <c r="IA154" t="e">
        <f>AND(Bills!#REF!,"AAAAAFGzPuo=")</f>
        <v>#REF!</v>
      </c>
      <c r="IB154" t="e">
        <f>AND(Bills!Y543,"AAAAAFGzPus=")</f>
        <v>#VALUE!</v>
      </c>
      <c r="IC154" t="e">
        <f>AND(Bills!Z543,"AAAAAFGzPuw=")</f>
        <v>#VALUE!</v>
      </c>
      <c r="ID154" t="e">
        <f>AND(Bills!#REF!,"AAAAAFGzPu0=")</f>
        <v>#REF!</v>
      </c>
      <c r="IE154" t="e">
        <f>AND(Bills!#REF!,"AAAAAFGzPu4=")</f>
        <v>#REF!</v>
      </c>
      <c r="IF154" t="e">
        <f>AND(Bills!#REF!,"AAAAAFGzPu8=")</f>
        <v>#REF!</v>
      </c>
      <c r="IG154" t="e">
        <f>AND(Bills!AA543,"AAAAAFGzPvA=")</f>
        <v>#VALUE!</v>
      </c>
      <c r="IH154" t="e">
        <f>AND(Bills!AB543,"AAAAAFGzPvE=")</f>
        <v>#VALUE!</v>
      </c>
      <c r="II154" t="e">
        <f>AND(Bills!#REF!,"AAAAAFGzPvI=")</f>
        <v>#REF!</v>
      </c>
      <c r="IJ154">
        <f>IF(Bills!544:544,"AAAAAFGzPvM=",0)</f>
        <v>0</v>
      </c>
      <c r="IK154" t="e">
        <f>AND(Bills!B544,"AAAAAFGzPvQ=")</f>
        <v>#VALUE!</v>
      </c>
      <c r="IL154" t="e">
        <f>AND(Bills!#REF!,"AAAAAFGzPvU=")</f>
        <v>#REF!</v>
      </c>
      <c r="IM154" t="e">
        <f>AND(Bills!C544,"AAAAAFGzPvY=")</f>
        <v>#VALUE!</v>
      </c>
      <c r="IN154" t="e">
        <f>AND(Bills!#REF!,"AAAAAFGzPvc=")</f>
        <v>#REF!</v>
      </c>
      <c r="IO154" t="e">
        <f>AND(Bills!#REF!,"AAAAAFGzPvg=")</f>
        <v>#REF!</v>
      </c>
      <c r="IP154" t="e">
        <f>AND(Bills!#REF!,"AAAAAFGzPvk=")</f>
        <v>#REF!</v>
      </c>
      <c r="IQ154" t="e">
        <f>AND(Bills!#REF!,"AAAAAFGzPvo=")</f>
        <v>#REF!</v>
      </c>
      <c r="IR154" t="e">
        <f>AND(Bills!#REF!,"AAAAAFGzPvs=")</f>
        <v>#REF!</v>
      </c>
      <c r="IS154" t="e">
        <f>AND(Bills!D544,"AAAAAFGzPvw=")</f>
        <v>#VALUE!</v>
      </c>
      <c r="IT154" t="e">
        <f>AND(Bills!#REF!,"AAAAAFGzPv0=")</f>
        <v>#REF!</v>
      </c>
      <c r="IU154" t="e">
        <f>AND(Bills!E544,"AAAAAFGzPv4=")</f>
        <v>#VALUE!</v>
      </c>
      <c r="IV154" t="e">
        <f>AND(Bills!F544,"AAAAAFGzPv8=")</f>
        <v>#VALUE!</v>
      </c>
    </row>
    <row r="155" spans="1:256">
      <c r="A155" t="e">
        <f>AND(Bills!G544,"AAAAAH/Z5wA=")</f>
        <v>#VALUE!</v>
      </c>
      <c r="B155" t="e">
        <f>AND(Bills!H544,"AAAAAH/Z5wE=")</f>
        <v>#VALUE!</v>
      </c>
      <c r="C155" t="e">
        <f>AND(Bills!I544,"AAAAAH/Z5wI=")</f>
        <v>#VALUE!</v>
      </c>
      <c r="D155" t="e">
        <f>AND(Bills!J544,"AAAAAH/Z5wM=")</f>
        <v>#VALUE!</v>
      </c>
      <c r="E155" t="e">
        <f>AND(Bills!#REF!,"AAAAAH/Z5wQ=")</f>
        <v>#REF!</v>
      </c>
      <c r="F155" t="e">
        <f>AND(Bills!K544,"AAAAAH/Z5wU=")</f>
        <v>#VALUE!</v>
      </c>
      <c r="G155" t="e">
        <f>AND(Bills!L544,"AAAAAH/Z5wY=")</f>
        <v>#VALUE!</v>
      </c>
      <c r="H155" t="e">
        <f>AND(Bills!M544,"AAAAAH/Z5wc=")</f>
        <v>#VALUE!</v>
      </c>
      <c r="I155" t="e">
        <f>AND(Bills!N544,"AAAAAH/Z5wg=")</f>
        <v>#VALUE!</v>
      </c>
      <c r="J155" t="e">
        <f>AND(Bills!O544,"AAAAAH/Z5wk=")</f>
        <v>#VALUE!</v>
      </c>
      <c r="K155" t="e">
        <f>AND(Bills!P544,"AAAAAH/Z5wo=")</f>
        <v>#VALUE!</v>
      </c>
      <c r="L155" t="e">
        <f>AND(Bills!Q544,"AAAAAH/Z5ws=")</f>
        <v>#VALUE!</v>
      </c>
      <c r="M155" t="e">
        <f>AND(Bills!R544,"AAAAAH/Z5ww=")</f>
        <v>#VALUE!</v>
      </c>
      <c r="N155" t="e">
        <f>AND(Bills!#REF!,"AAAAAH/Z5w0=")</f>
        <v>#REF!</v>
      </c>
      <c r="O155" t="e">
        <f>AND(Bills!S544,"AAAAAH/Z5w4=")</f>
        <v>#VALUE!</v>
      </c>
      <c r="P155" t="e">
        <f>AND(Bills!T544,"AAAAAH/Z5w8=")</f>
        <v>#VALUE!</v>
      </c>
      <c r="Q155" t="e">
        <f>AND(Bills!U544,"AAAAAH/Z5xA=")</f>
        <v>#VALUE!</v>
      </c>
      <c r="R155" t="e">
        <f>AND(Bills!#REF!,"AAAAAH/Z5xE=")</f>
        <v>#REF!</v>
      </c>
      <c r="S155" t="e">
        <f>AND(Bills!#REF!,"AAAAAH/Z5xI=")</f>
        <v>#REF!</v>
      </c>
      <c r="T155" t="e">
        <f>AND(Bills!W544,"AAAAAH/Z5xM=")</f>
        <v>#VALUE!</v>
      </c>
      <c r="U155" t="e">
        <f>AND(Bills!X544,"AAAAAH/Z5xQ=")</f>
        <v>#VALUE!</v>
      </c>
      <c r="V155" t="e">
        <f>AND(Bills!#REF!,"AAAAAH/Z5xU=")</f>
        <v>#REF!</v>
      </c>
      <c r="W155" t="e">
        <f>AND(Bills!#REF!,"AAAAAH/Z5xY=")</f>
        <v>#REF!</v>
      </c>
      <c r="X155" t="e">
        <f>AND(Bills!#REF!,"AAAAAH/Z5xc=")</f>
        <v>#REF!</v>
      </c>
      <c r="Y155" t="e">
        <f>AND(Bills!#REF!,"AAAAAH/Z5xg=")</f>
        <v>#REF!</v>
      </c>
      <c r="Z155" t="e">
        <f>AND(Bills!#REF!,"AAAAAH/Z5xk=")</f>
        <v>#REF!</v>
      </c>
      <c r="AA155" t="e">
        <f>AND(Bills!#REF!,"AAAAAH/Z5xo=")</f>
        <v>#REF!</v>
      </c>
      <c r="AB155" t="e">
        <f>AND(Bills!#REF!,"AAAAAH/Z5xs=")</f>
        <v>#REF!</v>
      </c>
      <c r="AC155" t="e">
        <f>AND(Bills!#REF!,"AAAAAH/Z5xw=")</f>
        <v>#REF!</v>
      </c>
      <c r="AD155" t="e">
        <f>AND(Bills!#REF!,"AAAAAH/Z5x0=")</f>
        <v>#REF!</v>
      </c>
      <c r="AE155" t="e">
        <f>AND(Bills!Y544,"AAAAAH/Z5x4=")</f>
        <v>#VALUE!</v>
      </c>
      <c r="AF155" t="e">
        <f>AND(Bills!Z544,"AAAAAH/Z5x8=")</f>
        <v>#VALUE!</v>
      </c>
      <c r="AG155" t="e">
        <f>AND(Bills!#REF!,"AAAAAH/Z5yA=")</f>
        <v>#REF!</v>
      </c>
      <c r="AH155" t="e">
        <f>AND(Bills!#REF!,"AAAAAH/Z5yE=")</f>
        <v>#REF!</v>
      </c>
      <c r="AI155" t="e">
        <f>AND(Bills!#REF!,"AAAAAH/Z5yI=")</f>
        <v>#REF!</v>
      </c>
      <c r="AJ155" t="e">
        <f>AND(Bills!AA544,"AAAAAH/Z5yM=")</f>
        <v>#VALUE!</v>
      </c>
      <c r="AK155" t="e">
        <f>AND(Bills!AB544,"AAAAAH/Z5yQ=")</f>
        <v>#VALUE!</v>
      </c>
      <c r="AL155" t="e">
        <f>AND(Bills!#REF!,"AAAAAH/Z5yU=")</f>
        <v>#REF!</v>
      </c>
      <c r="AM155">
        <f>IF(Bills!545:545,"AAAAAH/Z5yY=",0)</f>
        <v>0</v>
      </c>
      <c r="AN155" t="e">
        <f>AND(Bills!B545,"AAAAAH/Z5yc=")</f>
        <v>#VALUE!</v>
      </c>
      <c r="AO155" t="e">
        <f>AND(Bills!#REF!,"AAAAAH/Z5yg=")</f>
        <v>#REF!</v>
      </c>
      <c r="AP155" t="e">
        <f>AND(Bills!C545,"AAAAAH/Z5yk=")</f>
        <v>#VALUE!</v>
      </c>
      <c r="AQ155" t="e">
        <f>AND(Bills!#REF!,"AAAAAH/Z5yo=")</f>
        <v>#REF!</v>
      </c>
      <c r="AR155" t="e">
        <f>AND(Bills!#REF!,"AAAAAH/Z5ys=")</f>
        <v>#REF!</v>
      </c>
      <c r="AS155" t="e">
        <f>AND(Bills!#REF!,"AAAAAH/Z5yw=")</f>
        <v>#REF!</v>
      </c>
      <c r="AT155" t="e">
        <f>AND(Bills!#REF!,"AAAAAH/Z5y0=")</f>
        <v>#REF!</v>
      </c>
      <c r="AU155" t="e">
        <f>AND(Bills!#REF!,"AAAAAH/Z5y4=")</f>
        <v>#REF!</v>
      </c>
      <c r="AV155" t="e">
        <f>AND(Bills!D545,"AAAAAH/Z5y8=")</f>
        <v>#VALUE!</v>
      </c>
      <c r="AW155" t="e">
        <f>AND(Bills!#REF!,"AAAAAH/Z5zA=")</f>
        <v>#REF!</v>
      </c>
      <c r="AX155" t="e">
        <f>AND(Bills!E545,"AAAAAH/Z5zE=")</f>
        <v>#VALUE!</v>
      </c>
      <c r="AY155" t="e">
        <f>AND(Bills!F545,"AAAAAH/Z5zI=")</f>
        <v>#VALUE!</v>
      </c>
      <c r="AZ155" t="e">
        <f>AND(Bills!G545,"AAAAAH/Z5zM=")</f>
        <v>#VALUE!</v>
      </c>
      <c r="BA155" t="e">
        <f>AND(Bills!H545,"AAAAAH/Z5zQ=")</f>
        <v>#VALUE!</v>
      </c>
      <c r="BB155" t="e">
        <f>AND(Bills!I545,"AAAAAH/Z5zU=")</f>
        <v>#VALUE!</v>
      </c>
      <c r="BC155" t="e">
        <f>AND(Bills!J545,"AAAAAH/Z5zY=")</f>
        <v>#VALUE!</v>
      </c>
      <c r="BD155" t="e">
        <f>AND(Bills!#REF!,"AAAAAH/Z5zc=")</f>
        <v>#REF!</v>
      </c>
      <c r="BE155" t="e">
        <f>AND(Bills!K545,"AAAAAH/Z5zg=")</f>
        <v>#VALUE!</v>
      </c>
      <c r="BF155" t="e">
        <f>AND(Bills!L545,"AAAAAH/Z5zk=")</f>
        <v>#VALUE!</v>
      </c>
      <c r="BG155" t="e">
        <f>AND(Bills!M545,"AAAAAH/Z5zo=")</f>
        <v>#VALUE!</v>
      </c>
      <c r="BH155" t="e">
        <f>AND(Bills!N545,"AAAAAH/Z5zs=")</f>
        <v>#VALUE!</v>
      </c>
      <c r="BI155" t="e">
        <f>AND(Bills!O545,"AAAAAH/Z5zw=")</f>
        <v>#VALUE!</v>
      </c>
      <c r="BJ155" t="e">
        <f>AND(Bills!P545,"AAAAAH/Z5z0=")</f>
        <v>#VALUE!</v>
      </c>
      <c r="BK155" t="e">
        <f>AND(Bills!Q545,"AAAAAH/Z5z4=")</f>
        <v>#VALUE!</v>
      </c>
      <c r="BL155" t="e">
        <f>AND(Bills!R545,"AAAAAH/Z5z8=")</f>
        <v>#VALUE!</v>
      </c>
      <c r="BM155" t="e">
        <f>AND(Bills!#REF!,"AAAAAH/Z50A=")</f>
        <v>#REF!</v>
      </c>
      <c r="BN155" t="e">
        <f>AND(Bills!S545,"AAAAAH/Z50E=")</f>
        <v>#VALUE!</v>
      </c>
      <c r="BO155" t="e">
        <f>AND(Bills!T545,"AAAAAH/Z50I=")</f>
        <v>#VALUE!</v>
      </c>
      <c r="BP155" t="e">
        <f>AND(Bills!U545,"AAAAAH/Z50M=")</f>
        <v>#VALUE!</v>
      </c>
      <c r="BQ155" t="e">
        <f>AND(Bills!#REF!,"AAAAAH/Z50Q=")</f>
        <v>#REF!</v>
      </c>
      <c r="BR155" t="e">
        <f>AND(Bills!#REF!,"AAAAAH/Z50U=")</f>
        <v>#REF!</v>
      </c>
      <c r="BS155" t="e">
        <f>AND(Bills!W545,"AAAAAH/Z50Y=")</f>
        <v>#VALUE!</v>
      </c>
      <c r="BT155" t="e">
        <f>AND(Bills!X545,"AAAAAH/Z50c=")</f>
        <v>#VALUE!</v>
      </c>
      <c r="BU155" t="e">
        <f>AND(Bills!#REF!,"AAAAAH/Z50g=")</f>
        <v>#REF!</v>
      </c>
      <c r="BV155" t="e">
        <f>AND(Bills!#REF!,"AAAAAH/Z50k=")</f>
        <v>#REF!</v>
      </c>
      <c r="BW155" t="e">
        <f>AND(Bills!#REF!,"AAAAAH/Z50o=")</f>
        <v>#REF!</v>
      </c>
      <c r="BX155" t="e">
        <f>AND(Bills!#REF!,"AAAAAH/Z50s=")</f>
        <v>#REF!</v>
      </c>
      <c r="BY155" t="e">
        <f>AND(Bills!#REF!,"AAAAAH/Z50w=")</f>
        <v>#REF!</v>
      </c>
      <c r="BZ155" t="e">
        <f>AND(Bills!#REF!,"AAAAAH/Z500=")</f>
        <v>#REF!</v>
      </c>
      <c r="CA155" t="e">
        <f>AND(Bills!#REF!,"AAAAAH/Z504=")</f>
        <v>#REF!</v>
      </c>
      <c r="CB155" t="e">
        <f>AND(Bills!#REF!,"AAAAAH/Z508=")</f>
        <v>#REF!</v>
      </c>
      <c r="CC155" t="e">
        <f>AND(Bills!#REF!,"AAAAAH/Z51A=")</f>
        <v>#REF!</v>
      </c>
      <c r="CD155" t="e">
        <f>AND(Bills!Y545,"AAAAAH/Z51E=")</f>
        <v>#VALUE!</v>
      </c>
      <c r="CE155" t="e">
        <f>AND(Bills!Z545,"AAAAAH/Z51I=")</f>
        <v>#VALUE!</v>
      </c>
      <c r="CF155" t="e">
        <f>AND(Bills!#REF!,"AAAAAH/Z51M=")</f>
        <v>#REF!</v>
      </c>
      <c r="CG155" t="e">
        <f>AND(Bills!#REF!,"AAAAAH/Z51Q=")</f>
        <v>#REF!</v>
      </c>
      <c r="CH155" t="e">
        <f>AND(Bills!#REF!,"AAAAAH/Z51U=")</f>
        <v>#REF!</v>
      </c>
      <c r="CI155" t="e">
        <f>AND(Bills!AA545,"AAAAAH/Z51Y=")</f>
        <v>#VALUE!</v>
      </c>
      <c r="CJ155" t="e">
        <f>AND(Bills!AB545,"AAAAAH/Z51c=")</f>
        <v>#VALUE!</v>
      </c>
      <c r="CK155" t="e">
        <f>AND(Bills!#REF!,"AAAAAH/Z51g=")</f>
        <v>#REF!</v>
      </c>
      <c r="CL155">
        <f>IF(Bills!546:546,"AAAAAH/Z51k=",0)</f>
        <v>0</v>
      </c>
      <c r="CM155" t="e">
        <f>AND(Bills!B546,"AAAAAH/Z51o=")</f>
        <v>#VALUE!</v>
      </c>
      <c r="CN155" t="e">
        <f>AND(Bills!#REF!,"AAAAAH/Z51s=")</f>
        <v>#REF!</v>
      </c>
      <c r="CO155" t="e">
        <f>AND(Bills!C546,"AAAAAH/Z51w=")</f>
        <v>#VALUE!</v>
      </c>
      <c r="CP155" t="e">
        <f>AND(Bills!#REF!,"AAAAAH/Z510=")</f>
        <v>#REF!</v>
      </c>
      <c r="CQ155" t="e">
        <f>AND(Bills!#REF!,"AAAAAH/Z514=")</f>
        <v>#REF!</v>
      </c>
      <c r="CR155" t="e">
        <f>AND(Bills!#REF!,"AAAAAH/Z518=")</f>
        <v>#REF!</v>
      </c>
      <c r="CS155" t="e">
        <f>AND(Bills!#REF!,"AAAAAH/Z52A=")</f>
        <v>#REF!</v>
      </c>
      <c r="CT155" t="e">
        <f>AND(Bills!#REF!,"AAAAAH/Z52E=")</f>
        <v>#REF!</v>
      </c>
      <c r="CU155" t="e">
        <f>AND(Bills!D546,"AAAAAH/Z52I=")</f>
        <v>#VALUE!</v>
      </c>
      <c r="CV155" t="e">
        <f>AND(Bills!#REF!,"AAAAAH/Z52M=")</f>
        <v>#REF!</v>
      </c>
      <c r="CW155" t="e">
        <f>AND(Bills!E546,"AAAAAH/Z52Q=")</f>
        <v>#VALUE!</v>
      </c>
      <c r="CX155" t="e">
        <f>AND(Bills!F546,"AAAAAH/Z52U=")</f>
        <v>#VALUE!</v>
      </c>
      <c r="CY155" t="e">
        <f>AND(Bills!G546,"AAAAAH/Z52Y=")</f>
        <v>#VALUE!</v>
      </c>
      <c r="CZ155" t="e">
        <f>AND(Bills!H546,"AAAAAH/Z52c=")</f>
        <v>#VALUE!</v>
      </c>
      <c r="DA155" t="e">
        <f>AND(Bills!I546,"AAAAAH/Z52g=")</f>
        <v>#VALUE!</v>
      </c>
      <c r="DB155" t="e">
        <f>AND(Bills!J546,"AAAAAH/Z52k=")</f>
        <v>#VALUE!</v>
      </c>
      <c r="DC155" t="e">
        <f>AND(Bills!#REF!,"AAAAAH/Z52o=")</f>
        <v>#REF!</v>
      </c>
      <c r="DD155" t="e">
        <f>AND(Bills!K546,"AAAAAH/Z52s=")</f>
        <v>#VALUE!</v>
      </c>
      <c r="DE155" t="e">
        <f>AND(Bills!L546,"AAAAAH/Z52w=")</f>
        <v>#VALUE!</v>
      </c>
      <c r="DF155" t="e">
        <f>AND(Bills!M546,"AAAAAH/Z520=")</f>
        <v>#VALUE!</v>
      </c>
      <c r="DG155" t="e">
        <f>AND(Bills!N546,"AAAAAH/Z524=")</f>
        <v>#VALUE!</v>
      </c>
      <c r="DH155" t="e">
        <f>AND(Bills!O546,"AAAAAH/Z528=")</f>
        <v>#VALUE!</v>
      </c>
      <c r="DI155" t="e">
        <f>AND(Bills!P546,"AAAAAH/Z53A=")</f>
        <v>#VALUE!</v>
      </c>
      <c r="DJ155" t="e">
        <f>AND(Bills!Q546,"AAAAAH/Z53E=")</f>
        <v>#VALUE!</v>
      </c>
      <c r="DK155" t="e">
        <f>AND(Bills!R546,"AAAAAH/Z53I=")</f>
        <v>#VALUE!</v>
      </c>
      <c r="DL155" t="e">
        <f>AND(Bills!#REF!,"AAAAAH/Z53M=")</f>
        <v>#REF!</v>
      </c>
      <c r="DM155" t="e">
        <f>AND(Bills!S546,"AAAAAH/Z53Q=")</f>
        <v>#VALUE!</v>
      </c>
      <c r="DN155" t="e">
        <f>AND(Bills!T546,"AAAAAH/Z53U=")</f>
        <v>#VALUE!</v>
      </c>
      <c r="DO155" t="e">
        <f>AND(Bills!U546,"AAAAAH/Z53Y=")</f>
        <v>#VALUE!</v>
      </c>
      <c r="DP155" t="e">
        <f>AND(Bills!#REF!,"AAAAAH/Z53c=")</f>
        <v>#REF!</v>
      </c>
      <c r="DQ155" t="e">
        <f>AND(Bills!#REF!,"AAAAAH/Z53g=")</f>
        <v>#REF!</v>
      </c>
      <c r="DR155" t="e">
        <f>AND(Bills!W546,"AAAAAH/Z53k=")</f>
        <v>#VALUE!</v>
      </c>
      <c r="DS155" t="e">
        <f>AND(Bills!X546,"AAAAAH/Z53o=")</f>
        <v>#VALUE!</v>
      </c>
      <c r="DT155" t="e">
        <f>AND(Bills!#REF!,"AAAAAH/Z53s=")</f>
        <v>#REF!</v>
      </c>
      <c r="DU155" t="e">
        <f>AND(Bills!#REF!,"AAAAAH/Z53w=")</f>
        <v>#REF!</v>
      </c>
      <c r="DV155" t="e">
        <f>AND(Bills!#REF!,"AAAAAH/Z530=")</f>
        <v>#REF!</v>
      </c>
      <c r="DW155" t="e">
        <f>AND(Bills!#REF!,"AAAAAH/Z534=")</f>
        <v>#REF!</v>
      </c>
      <c r="DX155" t="e">
        <f>AND(Bills!#REF!,"AAAAAH/Z538=")</f>
        <v>#REF!</v>
      </c>
      <c r="DY155" t="e">
        <f>AND(Bills!#REF!,"AAAAAH/Z54A=")</f>
        <v>#REF!</v>
      </c>
      <c r="DZ155" t="e">
        <f>AND(Bills!#REF!,"AAAAAH/Z54E=")</f>
        <v>#REF!</v>
      </c>
      <c r="EA155" t="e">
        <f>AND(Bills!#REF!,"AAAAAH/Z54I=")</f>
        <v>#REF!</v>
      </c>
      <c r="EB155" t="e">
        <f>AND(Bills!#REF!,"AAAAAH/Z54M=")</f>
        <v>#REF!</v>
      </c>
      <c r="EC155" t="e">
        <f>AND(Bills!Y546,"AAAAAH/Z54Q=")</f>
        <v>#VALUE!</v>
      </c>
      <c r="ED155" t="e">
        <f>AND(Bills!Z546,"AAAAAH/Z54U=")</f>
        <v>#VALUE!</v>
      </c>
      <c r="EE155" t="e">
        <f>AND(Bills!#REF!,"AAAAAH/Z54Y=")</f>
        <v>#REF!</v>
      </c>
      <c r="EF155" t="e">
        <f>AND(Bills!#REF!,"AAAAAH/Z54c=")</f>
        <v>#REF!</v>
      </c>
      <c r="EG155" t="e">
        <f>AND(Bills!#REF!,"AAAAAH/Z54g=")</f>
        <v>#REF!</v>
      </c>
      <c r="EH155" t="e">
        <f>AND(Bills!AA546,"AAAAAH/Z54k=")</f>
        <v>#VALUE!</v>
      </c>
      <c r="EI155" t="e">
        <f>AND(Bills!AB546,"AAAAAH/Z54o=")</f>
        <v>#VALUE!</v>
      </c>
      <c r="EJ155" t="e">
        <f>AND(Bills!#REF!,"AAAAAH/Z54s=")</f>
        <v>#REF!</v>
      </c>
      <c r="EK155">
        <f>IF(Bills!547:547,"AAAAAH/Z54w=",0)</f>
        <v>0</v>
      </c>
      <c r="EL155" t="e">
        <f>AND(Bills!B547,"AAAAAH/Z540=")</f>
        <v>#VALUE!</v>
      </c>
      <c r="EM155" t="e">
        <f>AND(Bills!#REF!,"AAAAAH/Z544=")</f>
        <v>#REF!</v>
      </c>
      <c r="EN155" t="e">
        <f>AND(Bills!C547,"AAAAAH/Z548=")</f>
        <v>#VALUE!</v>
      </c>
      <c r="EO155" t="e">
        <f>AND(Bills!#REF!,"AAAAAH/Z55A=")</f>
        <v>#REF!</v>
      </c>
      <c r="EP155" t="e">
        <f>AND(Bills!#REF!,"AAAAAH/Z55E=")</f>
        <v>#REF!</v>
      </c>
      <c r="EQ155" t="e">
        <f>AND(Bills!#REF!,"AAAAAH/Z55I=")</f>
        <v>#REF!</v>
      </c>
      <c r="ER155" t="e">
        <f>AND(Bills!#REF!,"AAAAAH/Z55M=")</f>
        <v>#REF!</v>
      </c>
      <c r="ES155" t="e">
        <f>AND(Bills!#REF!,"AAAAAH/Z55Q=")</f>
        <v>#REF!</v>
      </c>
      <c r="ET155" t="e">
        <f>AND(Bills!D547,"AAAAAH/Z55U=")</f>
        <v>#VALUE!</v>
      </c>
      <c r="EU155" t="e">
        <f>AND(Bills!#REF!,"AAAAAH/Z55Y=")</f>
        <v>#REF!</v>
      </c>
      <c r="EV155" t="e">
        <f>AND(Bills!E547,"AAAAAH/Z55c=")</f>
        <v>#VALUE!</v>
      </c>
      <c r="EW155" t="e">
        <f>AND(Bills!F547,"AAAAAH/Z55g=")</f>
        <v>#VALUE!</v>
      </c>
      <c r="EX155" t="e">
        <f>AND(Bills!G547,"AAAAAH/Z55k=")</f>
        <v>#VALUE!</v>
      </c>
      <c r="EY155" t="e">
        <f>AND(Bills!H547,"AAAAAH/Z55o=")</f>
        <v>#VALUE!</v>
      </c>
      <c r="EZ155" t="e">
        <f>AND(Bills!I547,"AAAAAH/Z55s=")</f>
        <v>#VALUE!</v>
      </c>
      <c r="FA155" t="e">
        <f>AND(Bills!J547,"AAAAAH/Z55w=")</f>
        <v>#VALUE!</v>
      </c>
      <c r="FB155" t="e">
        <f>AND(Bills!#REF!,"AAAAAH/Z550=")</f>
        <v>#REF!</v>
      </c>
      <c r="FC155" t="e">
        <f>AND(Bills!K547,"AAAAAH/Z554=")</f>
        <v>#VALUE!</v>
      </c>
      <c r="FD155" t="e">
        <f>AND(Bills!L547,"AAAAAH/Z558=")</f>
        <v>#VALUE!</v>
      </c>
      <c r="FE155" t="e">
        <f>AND(Bills!M547,"AAAAAH/Z56A=")</f>
        <v>#VALUE!</v>
      </c>
      <c r="FF155" t="e">
        <f>AND(Bills!N547,"AAAAAH/Z56E=")</f>
        <v>#VALUE!</v>
      </c>
      <c r="FG155" t="e">
        <f>AND(Bills!O547,"AAAAAH/Z56I=")</f>
        <v>#VALUE!</v>
      </c>
      <c r="FH155" t="e">
        <f>AND(Bills!P547,"AAAAAH/Z56M=")</f>
        <v>#VALUE!</v>
      </c>
      <c r="FI155" t="e">
        <f>AND(Bills!Q547,"AAAAAH/Z56Q=")</f>
        <v>#VALUE!</v>
      </c>
      <c r="FJ155" t="e">
        <f>AND(Bills!R547,"AAAAAH/Z56U=")</f>
        <v>#VALUE!</v>
      </c>
      <c r="FK155" t="e">
        <f>AND(Bills!#REF!,"AAAAAH/Z56Y=")</f>
        <v>#REF!</v>
      </c>
      <c r="FL155" t="e">
        <f>AND(Bills!S547,"AAAAAH/Z56c=")</f>
        <v>#VALUE!</v>
      </c>
      <c r="FM155" t="e">
        <f>AND(Bills!T547,"AAAAAH/Z56g=")</f>
        <v>#VALUE!</v>
      </c>
      <c r="FN155" t="e">
        <f>AND(Bills!U547,"AAAAAH/Z56k=")</f>
        <v>#VALUE!</v>
      </c>
      <c r="FO155" t="e">
        <f>AND(Bills!#REF!,"AAAAAH/Z56o=")</f>
        <v>#REF!</v>
      </c>
      <c r="FP155" t="e">
        <f>AND(Bills!#REF!,"AAAAAH/Z56s=")</f>
        <v>#REF!</v>
      </c>
      <c r="FQ155" t="e">
        <f>AND(Bills!W547,"AAAAAH/Z56w=")</f>
        <v>#VALUE!</v>
      </c>
      <c r="FR155" t="e">
        <f>AND(Bills!X547,"AAAAAH/Z560=")</f>
        <v>#VALUE!</v>
      </c>
      <c r="FS155" t="e">
        <f>AND(Bills!#REF!,"AAAAAH/Z564=")</f>
        <v>#REF!</v>
      </c>
      <c r="FT155" t="e">
        <f>AND(Bills!#REF!,"AAAAAH/Z568=")</f>
        <v>#REF!</v>
      </c>
      <c r="FU155" t="e">
        <f>AND(Bills!#REF!,"AAAAAH/Z57A=")</f>
        <v>#REF!</v>
      </c>
      <c r="FV155" t="e">
        <f>AND(Bills!#REF!,"AAAAAH/Z57E=")</f>
        <v>#REF!</v>
      </c>
      <c r="FW155" t="e">
        <f>AND(Bills!#REF!,"AAAAAH/Z57I=")</f>
        <v>#REF!</v>
      </c>
      <c r="FX155" t="e">
        <f>AND(Bills!#REF!,"AAAAAH/Z57M=")</f>
        <v>#REF!</v>
      </c>
      <c r="FY155" t="e">
        <f>AND(Bills!#REF!,"AAAAAH/Z57Q=")</f>
        <v>#REF!</v>
      </c>
      <c r="FZ155" t="e">
        <f>AND(Bills!#REF!,"AAAAAH/Z57U=")</f>
        <v>#REF!</v>
      </c>
      <c r="GA155" t="e">
        <f>AND(Bills!#REF!,"AAAAAH/Z57Y=")</f>
        <v>#REF!</v>
      </c>
      <c r="GB155" t="e">
        <f>AND(Bills!Y547,"AAAAAH/Z57c=")</f>
        <v>#VALUE!</v>
      </c>
      <c r="GC155" t="e">
        <f>AND(Bills!Z547,"AAAAAH/Z57g=")</f>
        <v>#VALUE!</v>
      </c>
      <c r="GD155" t="e">
        <f>AND(Bills!#REF!,"AAAAAH/Z57k=")</f>
        <v>#REF!</v>
      </c>
      <c r="GE155" t="e">
        <f>AND(Bills!#REF!,"AAAAAH/Z57o=")</f>
        <v>#REF!</v>
      </c>
      <c r="GF155" t="e">
        <f>AND(Bills!#REF!,"AAAAAH/Z57s=")</f>
        <v>#REF!</v>
      </c>
      <c r="GG155" t="e">
        <f>AND(Bills!AA547,"AAAAAH/Z57w=")</f>
        <v>#VALUE!</v>
      </c>
      <c r="GH155" t="e">
        <f>AND(Bills!AB547,"AAAAAH/Z570=")</f>
        <v>#VALUE!</v>
      </c>
      <c r="GI155" t="e">
        <f>AND(Bills!#REF!,"AAAAAH/Z574=")</f>
        <v>#REF!</v>
      </c>
      <c r="GJ155">
        <f>IF(Bills!548:548,"AAAAAH/Z578=",0)</f>
        <v>0</v>
      </c>
      <c r="GK155" t="e">
        <f>AND(Bills!B548,"AAAAAH/Z58A=")</f>
        <v>#VALUE!</v>
      </c>
      <c r="GL155" t="e">
        <f>AND(Bills!#REF!,"AAAAAH/Z58E=")</f>
        <v>#REF!</v>
      </c>
      <c r="GM155" t="e">
        <f>AND(Bills!C548,"AAAAAH/Z58I=")</f>
        <v>#VALUE!</v>
      </c>
      <c r="GN155" t="e">
        <f>AND(Bills!#REF!,"AAAAAH/Z58M=")</f>
        <v>#REF!</v>
      </c>
      <c r="GO155" t="e">
        <f>AND(Bills!#REF!,"AAAAAH/Z58Q=")</f>
        <v>#REF!</v>
      </c>
      <c r="GP155" t="e">
        <f>AND(Bills!#REF!,"AAAAAH/Z58U=")</f>
        <v>#REF!</v>
      </c>
      <c r="GQ155" t="e">
        <f>AND(Bills!#REF!,"AAAAAH/Z58Y=")</f>
        <v>#REF!</v>
      </c>
      <c r="GR155" t="e">
        <f>AND(Bills!#REF!,"AAAAAH/Z58c=")</f>
        <v>#REF!</v>
      </c>
      <c r="GS155" t="e">
        <f>AND(Bills!D548,"AAAAAH/Z58g=")</f>
        <v>#VALUE!</v>
      </c>
      <c r="GT155" t="e">
        <f>AND(Bills!#REF!,"AAAAAH/Z58k=")</f>
        <v>#REF!</v>
      </c>
      <c r="GU155" t="e">
        <f>AND(Bills!E548,"AAAAAH/Z58o=")</f>
        <v>#VALUE!</v>
      </c>
      <c r="GV155" t="e">
        <f>AND(Bills!F548,"AAAAAH/Z58s=")</f>
        <v>#VALUE!</v>
      </c>
      <c r="GW155" t="e">
        <f>AND(Bills!G548,"AAAAAH/Z58w=")</f>
        <v>#VALUE!</v>
      </c>
      <c r="GX155" t="e">
        <f>AND(Bills!H548,"AAAAAH/Z580=")</f>
        <v>#VALUE!</v>
      </c>
      <c r="GY155" t="e">
        <f>AND(Bills!I548,"AAAAAH/Z584=")</f>
        <v>#VALUE!</v>
      </c>
      <c r="GZ155" t="e">
        <f>AND(Bills!J548,"AAAAAH/Z588=")</f>
        <v>#VALUE!</v>
      </c>
      <c r="HA155" t="e">
        <f>AND(Bills!#REF!,"AAAAAH/Z59A=")</f>
        <v>#REF!</v>
      </c>
      <c r="HB155" t="e">
        <f>AND(Bills!K548,"AAAAAH/Z59E=")</f>
        <v>#VALUE!</v>
      </c>
      <c r="HC155" t="e">
        <f>AND(Bills!L548,"AAAAAH/Z59I=")</f>
        <v>#VALUE!</v>
      </c>
      <c r="HD155" t="e">
        <f>AND(Bills!M548,"AAAAAH/Z59M=")</f>
        <v>#VALUE!</v>
      </c>
      <c r="HE155" t="e">
        <f>AND(Bills!N548,"AAAAAH/Z59Q=")</f>
        <v>#VALUE!</v>
      </c>
      <c r="HF155" t="e">
        <f>AND(Bills!O548,"AAAAAH/Z59U=")</f>
        <v>#VALUE!</v>
      </c>
      <c r="HG155" t="e">
        <f>AND(Bills!P548,"AAAAAH/Z59Y=")</f>
        <v>#VALUE!</v>
      </c>
      <c r="HH155" t="e">
        <f>AND(Bills!Q548,"AAAAAH/Z59c=")</f>
        <v>#VALUE!</v>
      </c>
      <c r="HI155" t="e">
        <f>AND(Bills!R548,"AAAAAH/Z59g=")</f>
        <v>#VALUE!</v>
      </c>
      <c r="HJ155" t="e">
        <f>AND(Bills!#REF!,"AAAAAH/Z59k=")</f>
        <v>#REF!</v>
      </c>
      <c r="HK155" t="e">
        <f>AND(Bills!S548,"AAAAAH/Z59o=")</f>
        <v>#VALUE!</v>
      </c>
      <c r="HL155" t="e">
        <f>AND(Bills!T548,"AAAAAH/Z59s=")</f>
        <v>#VALUE!</v>
      </c>
      <c r="HM155" t="e">
        <f>AND(Bills!U548,"AAAAAH/Z59w=")</f>
        <v>#VALUE!</v>
      </c>
      <c r="HN155" t="e">
        <f>AND(Bills!#REF!,"AAAAAH/Z590=")</f>
        <v>#REF!</v>
      </c>
      <c r="HO155" t="e">
        <f>AND(Bills!#REF!,"AAAAAH/Z594=")</f>
        <v>#REF!</v>
      </c>
      <c r="HP155" t="e">
        <f>AND(Bills!W548,"AAAAAH/Z598=")</f>
        <v>#VALUE!</v>
      </c>
      <c r="HQ155" t="e">
        <f>AND(Bills!X548,"AAAAAH/Z5+A=")</f>
        <v>#VALUE!</v>
      </c>
      <c r="HR155" t="e">
        <f>AND(Bills!#REF!,"AAAAAH/Z5+E=")</f>
        <v>#REF!</v>
      </c>
      <c r="HS155" t="e">
        <f>AND(Bills!#REF!,"AAAAAH/Z5+I=")</f>
        <v>#REF!</v>
      </c>
      <c r="HT155" t="e">
        <f>AND(Bills!#REF!,"AAAAAH/Z5+M=")</f>
        <v>#REF!</v>
      </c>
      <c r="HU155" t="e">
        <f>AND(Bills!#REF!,"AAAAAH/Z5+Q=")</f>
        <v>#REF!</v>
      </c>
      <c r="HV155" t="e">
        <f>AND(Bills!#REF!,"AAAAAH/Z5+U=")</f>
        <v>#REF!</v>
      </c>
      <c r="HW155" t="e">
        <f>AND(Bills!#REF!,"AAAAAH/Z5+Y=")</f>
        <v>#REF!</v>
      </c>
      <c r="HX155" t="e">
        <f>AND(Bills!#REF!,"AAAAAH/Z5+c=")</f>
        <v>#REF!</v>
      </c>
      <c r="HY155" t="e">
        <f>AND(Bills!#REF!,"AAAAAH/Z5+g=")</f>
        <v>#REF!</v>
      </c>
      <c r="HZ155" t="e">
        <f>AND(Bills!#REF!,"AAAAAH/Z5+k=")</f>
        <v>#REF!</v>
      </c>
      <c r="IA155" t="e">
        <f>AND(Bills!Y548,"AAAAAH/Z5+o=")</f>
        <v>#VALUE!</v>
      </c>
      <c r="IB155" t="e">
        <f>AND(Bills!Z548,"AAAAAH/Z5+s=")</f>
        <v>#VALUE!</v>
      </c>
      <c r="IC155" t="e">
        <f>AND(Bills!#REF!,"AAAAAH/Z5+w=")</f>
        <v>#REF!</v>
      </c>
      <c r="ID155" t="e">
        <f>AND(Bills!#REF!,"AAAAAH/Z5+0=")</f>
        <v>#REF!</v>
      </c>
      <c r="IE155" t="e">
        <f>AND(Bills!#REF!,"AAAAAH/Z5+4=")</f>
        <v>#REF!</v>
      </c>
      <c r="IF155" t="e">
        <f>AND(Bills!AA548,"AAAAAH/Z5+8=")</f>
        <v>#VALUE!</v>
      </c>
      <c r="IG155" t="e">
        <f>AND(Bills!AB548,"AAAAAH/Z5/A=")</f>
        <v>#VALUE!</v>
      </c>
      <c r="IH155" t="e">
        <f>AND(Bills!#REF!,"AAAAAH/Z5/E=")</f>
        <v>#REF!</v>
      </c>
      <c r="II155">
        <f>IF(Bills!549:549,"AAAAAH/Z5/I=",0)</f>
        <v>0</v>
      </c>
      <c r="IJ155" t="e">
        <f>AND(Bills!B549,"AAAAAH/Z5/M=")</f>
        <v>#VALUE!</v>
      </c>
      <c r="IK155" t="e">
        <f>AND(Bills!#REF!,"AAAAAH/Z5/Q=")</f>
        <v>#REF!</v>
      </c>
      <c r="IL155" t="e">
        <f>AND(Bills!C549,"AAAAAH/Z5/U=")</f>
        <v>#VALUE!</v>
      </c>
      <c r="IM155" t="e">
        <f>AND(Bills!#REF!,"AAAAAH/Z5/Y=")</f>
        <v>#REF!</v>
      </c>
      <c r="IN155" t="e">
        <f>AND(Bills!#REF!,"AAAAAH/Z5/c=")</f>
        <v>#REF!</v>
      </c>
      <c r="IO155" t="e">
        <f>AND(Bills!#REF!,"AAAAAH/Z5/g=")</f>
        <v>#REF!</v>
      </c>
      <c r="IP155" t="e">
        <f>AND(Bills!#REF!,"AAAAAH/Z5/k=")</f>
        <v>#REF!</v>
      </c>
      <c r="IQ155" t="e">
        <f>AND(Bills!#REF!,"AAAAAH/Z5/o=")</f>
        <v>#REF!</v>
      </c>
      <c r="IR155" t="e">
        <f>AND(Bills!D549,"AAAAAH/Z5/s=")</f>
        <v>#VALUE!</v>
      </c>
      <c r="IS155" t="e">
        <f>AND(Bills!#REF!,"AAAAAH/Z5/w=")</f>
        <v>#REF!</v>
      </c>
      <c r="IT155" t="e">
        <f>AND(Bills!E549,"AAAAAH/Z5/0=")</f>
        <v>#VALUE!</v>
      </c>
      <c r="IU155" t="e">
        <f>AND(Bills!F549,"AAAAAH/Z5/4=")</f>
        <v>#VALUE!</v>
      </c>
      <c r="IV155" t="e">
        <f>AND(Bills!G549,"AAAAAH/Z5/8=")</f>
        <v>#VALUE!</v>
      </c>
    </row>
    <row r="156" spans="1:256">
      <c r="A156" t="e">
        <f>AND(Bills!H549,"AAAAAE3/4wA=")</f>
        <v>#VALUE!</v>
      </c>
      <c r="B156" t="e">
        <f>AND(Bills!I549,"AAAAAE3/4wE=")</f>
        <v>#VALUE!</v>
      </c>
      <c r="C156" t="e">
        <f>AND(Bills!J549,"AAAAAE3/4wI=")</f>
        <v>#VALUE!</v>
      </c>
      <c r="D156" t="e">
        <f>AND(Bills!#REF!,"AAAAAE3/4wM=")</f>
        <v>#REF!</v>
      </c>
      <c r="E156" t="e">
        <f>AND(Bills!K549,"AAAAAE3/4wQ=")</f>
        <v>#VALUE!</v>
      </c>
      <c r="F156" t="e">
        <f>AND(Bills!L549,"AAAAAE3/4wU=")</f>
        <v>#VALUE!</v>
      </c>
      <c r="G156" t="e">
        <f>AND(Bills!M549,"AAAAAE3/4wY=")</f>
        <v>#VALUE!</v>
      </c>
      <c r="H156" t="e">
        <f>AND(Bills!N549,"AAAAAE3/4wc=")</f>
        <v>#VALUE!</v>
      </c>
      <c r="I156" t="e">
        <f>AND(Bills!O549,"AAAAAE3/4wg=")</f>
        <v>#VALUE!</v>
      </c>
      <c r="J156" t="e">
        <f>AND(Bills!P549,"AAAAAE3/4wk=")</f>
        <v>#VALUE!</v>
      </c>
      <c r="K156" t="e">
        <f>AND(Bills!Q549,"AAAAAE3/4wo=")</f>
        <v>#VALUE!</v>
      </c>
      <c r="L156" t="e">
        <f>AND(Bills!R549,"AAAAAE3/4ws=")</f>
        <v>#VALUE!</v>
      </c>
      <c r="M156" t="e">
        <f>AND(Bills!#REF!,"AAAAAE3/4ww=")</f>
        <v>#REF!</v>
      </c>
      <c r="N156" t="e">
        <f>AND(Bills!S549,"AAAAAE3/4w0=")</f>
        <v>#VALUE!</v>
      </c>
      <c r="O156" t="e">
        <f>AND(Bills!T549,"AAAAAE3/4w4=")</f>
        <v>#VALUE!</v>
      </c>
      <c r="P156" t="e">
        <f>AND(Bills!U549,"AAAAAE3/4w8=")</f>
        <v>#VALUE!</v>
      </c>
      <c r="Q156" t="e">
        <f>AND(Bills!#REF!,"AAAAAE3/4xA=")</f>
        <v>#REF!</v>
      </c>
      <c r="R156" t="e">
        <f>AND(Bills!#REF!,"AAAAAE3/4xE=")</f>
        <v>#REF!</v>
      </c>
      <c r="S156" t="e">
        <f>AND(Bills!W549,"AAAAAE3/4xI=")</f>
        <v>#VALUE!</v>
      </c>
      <c r="T156" t="e">
        <f>AND(Bills!X549,"AAAAAE3/4xM=")</f>
        <v>#VALUE!</v>
      </c>
      <c r="U156" t="e">
        <f>AND(Bills!#REF!,"AAAAAE3/4xQ=")</f>
        <v>#REF!</v>
      </c>
      <c r="V156" t="e">
        <f>AND(Bills!#REF!,"AAAAAE3/4xU=")</f>
        <v>#REF!</v>
      </c>
      <c r="W156" t="e">
        <f>AND(Bills!#REF!,"AAAAAE3/4xY=")</f>
        <v>#REF!</v>
      </c>
      <c r="X156" t="e">
        <f>AND(Bills!#REF!,"AAAAAE3/4xc=")</f>
        <v>#REF!</v>
      </c>
      <c r="Y156" t="e">
        <f>AND(Bills!#REF!,"AAAAAE3/4xg=")</f>
        <v>#REF!</v>
      </c>
      <c r="Z156" t="e">
        <f>AND(Bills!#REF!,"AAAAAE3/4xk=")</f>
        <v>#REF!</v>
      </c>
      <c r="AA156" t="e">
        <f>AND(Bills!#REF!,"AAAAAE3/4xo=")</f>
        <v>#REF!</v>
      </c>
      <c r="AB156" t="e">
        <f>AND(Bills!#REF!,"AAAAAE3/4xs=")</f>
        <v>#REF!</v>
      </c>
      <c r="AC156" t="e">
        <f>AND(Bills!#REF!,"AAAAAE3/4xw=")</f>
        <v>#REF!</v>
      </c>
      <c r="AD156" t="e">
        <f>AND(Bills!Y549,"AAAAAE3/4x0=")</f>
        <v>#VALUE!</v>
      </c>
      <c r="AE156" t="e">
        <f>AND(Bills!Z549,"AAAAAE3/4x4=")</f>
        <v>#VALUE!</v>
      </c>
      <c r="AF156" t="e">
        <f>AND(Bills!#REF!,"AAAAAE3/4x8=")</f>
        <v>#REF!</v>
      </c>
      <c r="AG156" t="e">
        <f>AND(Bills!#REF!,"AAAAAE3/4yA=")</f>
        <v>#REF!</v>
      </c>
      <c r="AH156" t="e">
        <f>AND(Bills!#REF!,"AAAAAE3/4yE=")</f>
        <v>#REF!</v>
      </c>
      <c r="AI156" t="e">
        <f>AND(Bills!AA549,"AAAAAE3/4yI=")</f>
        <v>#VALUE!</v>
      </c>
      <c r="AJ156" t="e">
        <f>AND(Bills!AB549,"AAAAAE3/4yM=")</f>
        <v>#VALUE!</v>
      </c>
      <c r="AK156" t="e">
        <f>AND(Bills!#REF!,"AAAAAE3/4yQ=")</f>
        <v>#REF!</v>
      </c>
      <c r="AL156">
        <f>IF(Bills!550:550,"AAAAAE3/4yU=",0)</f>
        <v>0</v>
      </c>
      <c r="AM156" t="e">
        <f>AND(Bills!B550,"AAAAAE3/4yY=")</f>
        <v>#VALUE!</v>
      </c>
      <c r="AN156" t="e">
        <f>AND(Bills!#REF!,"AAAAAE3/4yc=")</f>
        <v>#REF!</v>
      </c>
      <c r="AO156" t="e">
        <f>AND(Bills!C550,"AAAAAE3/4yg=")</f>
        <v>#VALUE!</v>
      </c>
      <c r="AP156" t="e">
        <f>AND(Bills!#REF!,"AAAAAE3/4yk=")</f>
        <v>#REF!</v>
      </c>
      <c r="AQ156" t="e">
        <f>AND(Bills!#REF!,"AAAAAE3/4yo=")</f>
        <v>#REF!</v>
      </c>
      <c r="AR156" t="e">
        <f>AND(Bills!#REF!,"AAAAAE3/4ys=")</f>
        <v>#REF!</v>
      </c>
      <c r="AS156" t="e">
        <f>AND(Bills!#REF!,"AAAAAE3/4yw=")</f>
        <v>#REF!</v>
      </c>
      <c r="AT156" t="e">
        <f>AND(Bills!#REF!,"AAAAAE3/4y0=")</f>
        <v>#REF!</v>
      </c>
      <c r="AU156" t="e">
        <f>AND(Bills!D550,"AAAAAE3/4y4=")</f>
        <v>#VALUE!</v>
      </c>
      <c r="AV156" t="e">
        <f>AND(Bills!#REF!,"AAAAAE3/4y8=")</f>
        <v>#REF!</v>
      </c>
      <c r="AW156" t="e">
        <f>AND(Bills!E550,"AAAAAE3/4zA=")</f>
        <v>#VALUE!</v>
      </c>
      <c r="AX156" t="e">
        <f>AND(Bills!F550,"AAAAAE3/4zE=")</f>
        <v>#VALUE!</v>
      </c>
      <c r="AY156" t="e">
        <f>AND(Bills!G550,"AAAAAE3/4zI=")</f>
        <v>#VALUE!</v>
      </c>
      <c r="AZ156" t="e">
        <f>AND(Bills!H550,"AAAAAE3/4zM=")</f>
        <v>#VALUE!</v>
      </c>
      <c r="BA156" t="e">
        <f>AND(Bills!I550,"AAAAAE3/4zQ=")</f>
        <v>#VALUE!</v>
      </c>
      <c r="BB156" t="e">
        <f>AND(Bills!J550,"AAAAAE3/4zU=")</f>
        <v>#VALUE!</v>
      </c>
      <c r="BC156" t="e">
        <f>AND(Bills!#REF!,"AAAAAE3/4zY=")</f>
        <v>#REF!</v>
      </c>
      <c r="BD156" t="e">
        <f>AND(Bills!K550,"AAAAAE3/4zc=")</f>
        <v>#VALUE!</v>
      </c>
      <c r="BE156" t="e">
        <f>AND(Bills!L550,"AAAAAE3/4zg=")</f>
        <v>#VALUE!</v>
      </c>
      <c r="BF156" t="e">
        <f>AND(Bills!M550,"AAAAAE3/4zk=")</f>
        <v>#VALUE!</v>
      </c>
      <c r="BG156" t="e">
        <f>AND(Bills!N550,"AAAAAE3/4zo=")</f>
        <v>#VALUE!</v>
      </c>
      <c r="BH156" t="e">
        <f>AND(Bills!O550,"AAAAAE3/4zs=")</f>
        <v>#VALUE!</v>
      </c>
      <c r="BI156" t="e">
        <f>AND(Bills!P550,"AAAAAE3/4zw=")</f>
        <v>#VALUE!</v>
      </c>
      <c r="BJ156" t="e">
        <f>AND(Bills!Q550,"AAAAAE3/4z0=")</f>
        <v>#VALUE!</v>
      </c>
      <c r="BK156" t="e">
        <f>AND(Bills!R550,"AAAAAE3/4z4=")</f>
        <v>#VALUE!</v>
      </c>
      <c r="BL156" t="e">
        <f>AND(Bills!#REF!,"AAAAAE3/4z8=")</f>
        <v>#REF!</v>
      </c>
      <c r="BM156" t="e">
        <f>AND(Bills!S550,"AAAAAE3/40A=")</f>
        <v>#VALUE!</v>
      </c>
      <c r="BN156" t="e">
        <f>AND(Bills!T550,"AAAAAE3/40E=")</f>
        <v>#VALUE!</v>
      </c>
      <c r="BO156" t="e">
        <f>AND(Bills!U550,"AAAAAE3/40I=")</f>
        <v>#VALUE!</v>
      </c>
      <c r="BP156" t="e">
        <f>AND(Bills!#REF!,"AAAAAE3/40M=")</f>
        <v>#REF!</v>
      </c>
      <c r="BQ156" t="e">
        <f>AND(Bills!#REF!,"AAAAAE3/40Q=")</f>
        <v>#REF!</v>
      </c>
      <c r="BR156" t="e">
        <f>AND(Bills!W550,"AAAAAE3/40U=")</f>
        <v>#VALUE!</v>
      </c>
      <c r="BS156" t="e">
        <f>AND(Bills!X550,"AAAAAE3/40Y=")</f>
        <v>#VALUE!</v>
      </c>
      <c r="BT156" t="e">
        <f>AND(Bills!#REF!,"AAAAAE3/40c=")</f>
        <v>#REF!</v>
      </c>
      <c r="BU156" t="e">
        <f>AND(Bills!#REF!,"AAAAAE3/40g=")</f>
        <v>#REF!</v>
      </c>
      <c r="BV156" t="e">
        <f>AND(Bills!#REF!,"AAAAAE3/40k=")</f>
        <v>#REF!</v>
      </c>
      <c r="BW156" t="e">
        <f>AND(Bills!#REF!,"AAAAAE3/40o=")</f>
        <v>#REF!</v>
      </c>
      <c r="BX156" t="e">
        <f>AND(Bills!#REF!,"AAAAAE3/40s=")</f>
        <v>#REF!</v>
      </c>
      <c r="BY156" t="e">
        <f>AND(Bills!#REF!,"AAAAAE3/40w=")</f>
        <v>#REF!</v>
      </c>
      <c r="BZ156" t="e">
        <f>AND(Bills!#REF!,"AAAAAE3/400=")</f>
        <v>#REF!</v>
      </c>
      <c r="CA156" t="e">
        <f>AND(Bills!#REF!,"AAAAAE3/404=")</f>
        <v>#REF!</v>
      </c>
      <c r="CB156" t="e">
        <f>AND(Bills!#REF!,"AAAAAE3/408=")</f>
        <v>#REF!</v>
      </c>
      <c r="CC156" t="e">
        <f>AND(Bills!Y550,"AAAAAE3/41A=")</f>
        <v>#VALUE!</v>
      </c>
      <c r="CD156" t="e">
        <f>AND(Bills!Z550,"AAAAAE3/41E=")</f>
        <v>#VALUE!</v>
      </c>
      <c r="CE156" t="e">
        <f>AND(Bills!#REF!,"AAAAAE3/41I=")</f>
        <v>#REF!</v>
      </c>
      <c r="CF156" t="e">
        <f>AND(Bills!#REF!,"AAAAAE3/41M=")</f>
        <v>#REF!</v>
      </c>
      <c r="CG156" t="e">
        <f>AND(Bills!#REF!,"AAAAAE3/41Q=")</f>
        <v>#REF!</v>
      </c>
      <c r="CH156" t="e">
        <f>AND(Bills!AA550,"AAAAAE3/41U=")</f>
        <v>#VALUE!</v>
      </c>
      <c r="CI156" t="e">
        <f>AND(Bills!AB550,"AAAAAE3/41Y=")</f>
        <v>#VALUE!</v>
      </c>
      <c r="CJ156" t="e">
        <f>AND(Bills!#REF!,"AAAAAE3/41c=")</f>
        <v>#REF!</v>
      </c>
      <c r="CK156">
        <f>IF(Bills!551:551,"AAAAAE3/41g=",0)</f>
        <v>0</v>
      </c>
      <c r="CL156" t="e">
        <f>AND(Bills!B551,"AAAAAE3/41k=")</f>
        <v>#VALUE!</v>
      </c>
      <c r="CM156" t="e">
        <f>AND(Bills!#REF!,"AAAAAE3/41o=")</f>
        <v>#REF!</v>
      </c>
      <c r="CN156" t="e">
        <f>AND(Bills!C551,"AAAAAE3/41s=")</f>
        <v>#VALUE!</v>
      </c>
      <c r="CO156" t="e">
        <f>AND(Bills!#REF!,"AAAAAE3/41w=")</f>
        <v>#REF!</v>
      </c>
      <c r="CP156" t="e">
        <f>AND(Bills!#REF!,"AAAAAE3/410=")</f>
        <v>#REF!</v>
      </c>
      <c r="CQ156" t="e">
        <f>AND(Bills!#REF!,"AAAAAE3/414=")</f>
        <v>#REF!</v>
      </c>
      <c r="CR156" t="e">
        <f>AND(Bills!#REF!,"AAAAAE3/418=")</f>
        <v>#REF!</v>
      </c>
      <c r="CS156" t="e">
        <f>AND(Bills!#REF!,"AAAAAE3/42A=")</f>
        <v>#REF!</v>
      </c>
      <c r="CT156" t="e">
        <f>AND(Bills!D551,"AAAAAE3/42E=")</f>
        <v>#VALUE!</v>
      </c>
      <c r="CU156" t="e">
        <f>AND(Bills!#REF!,"AAAAAE3/42I=")</f>
        <v>#REF!</v>
      </c>
      <c r="CV156" t="e">
        <f>AND(Bills!E551,"AAAAAE3/42M=")</f>
        <v>#VALUE!</v>
      </c>
      <c r="CW156" t="e">
        <f>AND(Bills!F551,"AAAAAE3/42Q=")</f>
        <v>#VALUE!</v>
      </c>
      <c r="CX156" t="e">
        <f>AND(Bills!G551,"AAAAAE3/42U=")</f>
        <v>#VALUE!</v>
      </c>
      <c r="CY156" t="e">
        <f>AND(Bills!H551,"AAAAAE3/42Y=")</f>
        <v>#VALUE!</v>
      </c>
      <c r="CZ156" t="e">
        <f>AND(Bills!I551,"AAAAAE3/42c=")</f>
        <v>#VALUE!</v>
      </c>
      <c r="DA156" t="e">
        <f>AND(Bills!J551,"AAAAAE3/42g=")</f>
        <v>#VALUE!</v>
      </c>
      <c r="DB156" t="e">
        <f>AND(Bills!#REF!,"AAAAAE3/42k=")</f>
        <v>#REF!</v>
      </c>
      <c r="DC156" t="e">
        <f>AND(Bills!K551,"AAAAAE3/42o=")</f>
        <v>#VALUE!</v>
      </c>
      <c r="DD156" t="e">
        <f>AND(Bills!L551,"AAAAAE3/42s=")</f>
        <v>#VALUE!</v>
      </c>
      <c r="DE156" t="e">
        <f>AND(Bills!M551,"AAAAAE3/42w=")</f>
        <v>#VALUE!</v>
      </c>
      <c r="DF156" t="e">
        <f>AND(Bills!N551,"AAAAAE3/420=")</f>
        <v>#VALUE!</v>
      </c>
      <c r="DG156" t="e">
        <f>AND(Bills!O551,"AAAAAE3/424=")</f>
        <v>#VALUE!</v>
      </c>
      <c r="DH156" t="e">
        <f>AND(Bills!P551,"AAAAAE3/428=")</f>
        <v>#VALUE!</v>
      </c>
      <c r="DI156" t="e">
        <f>AND(Bills!Q551,"AAAAAE3/43A=")</f>
        <v>#VALUE!</v>
      </c>
      <c r="DJ156" t="e">
        <f>AND(Bills!R551,"AAAAAE3/43E=")</f>
        <v>#VALUE!</v>
      </c>
      <c r="DK156" t="e">
        <f>AND(Bills!#REF!,"AAAAAE3/43I=")</f>
        <v>#REF!</v>
      </c>
      <c r="DL156" t="e">
        <f>AND(Bills!S551,"AAAAAE3/43M=")</f>
        <v>#VALUE!</v>
      </c>
      <c r="DM156" t="e">
        <f>AND(Bills!T551,"AAAAAE3/43Q=")</f>
        <v>#VALUE!</v>
      </c>
      <c r="DN156" t="e">
        <f>AND(Bills!U551,"AAAAAE3/43U=")</f>
        <v>#VALUE!</v>
      </c>
      <c r="DO156" t="e">
        <f>AND(Bills!#REF!,"AAAAAE3/43Y=")</f>
        <v>#REF!</v>
      </c>
      <c r="DP156" t="e">
        <f>AND(Bills!#REF!,"AAAAAE3/43c=")</f>
        <v>#REF!</v>
      </c>
      <c r="DQ156" t="e">
        <f>AND(Bills!W551,"AAAAAE3/43g=")</f>
        <v>#VALUE!</v>
      </c>
      <c r="DR156" t="e">
        <f>AND(Bills!X551,"AAAAAE3/43k=")</f>
        <v>#VALUE!</v>
      </c>
      <c r="DS156" t="e">
        <f>AND(Bills!#REF!,"AAAAAE3/43o=")</f>
        <v>#REF!</v>
      </c>
      <c r="DT156" t="e">
        <f>AND(Bills!#REF!,"AAAAAE3/43s=")</f>
        <v>#REF!</v>
      </c>
      <c r="DU156" t="e">
        <f>AND(Bills!#REF!,"AAAAAE3/43w=")</f>
        <v>#REF!</v>
      </c>
      <c r="DV156" t="e">
        <f>AND(Bills!#REF!,"AAAAAE3/430=")</f>
        <v>#REF!</v>
      </c>
      <c r="DW156" t="e">
        <f>AND(Bills!#REF!,"AAAAAE3/434=")</f>
        <v>#REF!</v>
      </c>
      <c r="DX156" t="e">
        <f>AND(Bills!#REF!,"AAAAAE3/438=")</f>
        <v>#REF!</v>
      </c>
      <c r="DY156" t="e">
        <f>AND(Bills!#REF!,"AAAAAE3/44A=")</f>
        <v>#REF!</v>
      </c>
      <c r="DZ156" t="e">
        <f>AND(Bills!#REF!,"AAAAAE3/44E=")</f>
        <v>#REF!</v>
      </c>
      <c r="EA156" t="e">
        <f>AND(Bills!#REF!,"AAAAAE3/44I=")</f>
        <v>#REF!</v>
      </c>
      <c r="EB156" t="e">
        <f>AND(Bills!Y551,"AAAAAE3/44M=")</f>
        <v>#VALUE!</v>
      </c>
      <c r="EC156" t="e">
        <f>AND(Bills!Z551,"AAAAAE3/44Q=")</f>
        <v>#VALUE!</v>
      </c>
      <c r="ED156" t="e">
        <f>AND(Bills!#REF!,"AAAAAE3/44U=")</f>
        <v>#REF!</v>
      </c>
      <c r="EE156" t="e">
        <f>AND(Bills!#REF!,"AAAAAE3/44Y=")</f>
        <v>#REF!</v>
      </c>
      <c r="EF156" t="e">
        <f>AND(Bills!#REF!,"AAAAAE3/44c=")</f>
        <v>#REF!</v>
      </c>
      <c r="EG156" t="e">
        <f>AND(Bills!AA551,"AAAAAE3/44g=")</f>
        <v>#VALUE!</v>
      </c>
      <c r="EH156" t="e">
        <f>AND(Bills!AB551,"AAAAAE3/44k=")</f>
        <v>#VALUE!</v>
      </c>
      <c r="EI156" t="e">
        <f>AND(Bills!#REF!,"AAAAAE3/44o=")</f>
        <v>#REF!</v>
      </c>
      <c r="EJ156">
        <f>IF(Bills!552:552,"AAAAAE3/44s=",0)</f>
        <v>0</v>
      </c>
      <c r="EK156" t="e">
        <f>AND(Bills!B552,"AAAAAE3/44w=")</f>
        <v>#VALUE!</v>
      </c>
      <c r="EL156" t="e">
        <f>AND(Bills!#REF!,"AAAAAE3/440=")</f>
        <v>#REF!</v>
      </c>
      <c r="EM156" t="e">
        <f>AND(Bills!C552,"AAAAAE3/444=")</f>
        <v>#VALUE!</v>
      </c>
      <c r="EN156" t="e">
        <f>AND(Bills!#REF!,"AAAAAE3/448=")</f>
        <v>#REF!</v>
      </c>
      <c r="EO156" t="e">
        <f>AND(Bills!#REF!,"AAAAAE3/45A=")</f>
        <v>#REF!</v>
      </c>
      <c r="EP156" t="e">
        <f>AND(Bills!#REF!,"AAAAAE3/45E=")</f>
        <v>#REF!</v>
      </c>
      <c r="EQ156" t="e">
        <f>AND(Bills!#REF!,"AAAAAE3/45I=")</f>
        <v>#REF!</v>
      </c>
      <c r="ER156" t="e">
        <f>AND(Bills!#REF!,"AAAAAE3/45M=")</f>
        <v>#REF!</v>
      </c>
      <c r="ES156" t="e">
        <f>AND(Bills!D552,"AAAAAE3/45Q=")</f>
        <v>#VALUE!</v>
      </c>
      <c r="ET156" t="e">
        <f>AND(Bills!#REF!,"AAAAAE3/45U=")</f>
        <v>#REF!</v>
      </c>
      <c r="EU156" t="e">
        <f>AND(Bills!E552,"AAAAAE3/45Y=")</f>
        <v>#VALUE!</v>
      </c>
      <c r="EV156" t="e">
        <f>AND(Bills!F552,"AAAAAE3/45c=")</f>
        <v>#VALUE!</v>
      </c>
      <c r="EW156" t="e">
        <f>AND(Bills!G552,"AAAAAE3/45g=")</f>
        <v>#VALUE!</v>
      </c>
      <c r="EX156" t="e">
        <f>AND(Bills!H552,"AAAAAE3/45k=")</f>
        <v>#VALUE!</v>
      </c>
      <c r="EY156" t="e">
        <f>AND(Bills!I552,"AAAAAE3/45o=")</f>
        <v>#VALUE!</v>
      </c>
      <c r="EZ156" t="e">
        <f>AND(Bills!J552,"AAAAAE3/45s=")</f>
        <v>#VALUE!</v>
      </c>
      <c r="FA156" t="e">
        <f>AND(Bills!#REF!,"AAAAAE3/45w=")</f>
        <v>#REF!</v>
      </c>
      <c r="FB156" t="e">
        <f>AND(Bills!K552,"AAAAAE3/450=")</f>
        <v>#VALUE!</v>
      </c>
      <c r="FC156" t="e">
        <f>AND(Bills!L552,"AAAAAE3/454=")</f>
        <v>#VALUE!</v>
      </c>
      <c r="FD156" t="e">
        <f>AND(Bills!M552,"AAAAAE3/458=")</f>
        <v>#VALUE!</v>
      </c>
      <c r="FE156" t="e">
        <f>AND(Bills!N552,"AAAAAE3/46A=")</f>
        <v>#VALUE!</v>
      </c>
      <c r="FF156" t="e">
        <f>AND(Bills!O552,"AAAAAE3/46E=")</f>
        <v>#VALUE!</v>
      </c>
      <c r="FG156" t="e">
        <f>AND(Bills!P552,"AAAAAE3/46I=")</f>
        <v>#VALUE!</v>
      </c>
      <c r="FH156" t="e">
        <f>AND(Bills!Q552,"AAAAAE3/46M=")</f>
        <v>#VALUE!</v>
      </c>
      <c r="FI156" t="e">
        <f>AND(Bills!R552,"AAAAAE3/46Q=")</f>
        <v>#VALUE!</v>
      </c>
      <c r="FJ156" t="e">
        <f>AND(Bills!#REF!,"AAAAAE3/46U=")</f>
        <v>#REF!</v>
      </c>
      <c r="FK156" t="e">
        <f>AND(Bills!S552,"AAAAAE3/46Y=")</f>
        <v>#VALUE!</v>
      </c>
      <c r="FL156" t="e">
        <f>AND(Bills!T552,"AAAAAE3/46c=")</f>
        <v>#VALUE!</v>
      </c>
      <c r="FM156" t="e">
        <f>AND(Bills!U552,"AAAAAE3/46g=")</f>
        <v>#VALUE!</v>
      </c>
      <c r="FN156" t="e">
        <f>AND(Bills!#REF!,"AAAAAE3/46k=")</f>
        <v>#REF!</v>
      </c>
      <c r="FO156" t="e">
        <f>AND(Bills!#REF!,"AAAAAE3/46o=")</f>
        <v>#REF!</v>
      </c>
      <c r="FP156" t="e">
        <f>AND(Bills!W552,"AAAAAE3/46s=")</f>
        <v>#VALUE!</v>
      </c>
      <c r="FQ156" t="e">
        <f>AND(Bills!X552,"AAAAAE3/46w=")</f>
        <v>#VALUE!</v>
      </c>
      <c r="FR156" t="e">
        <f>AND(Bills!#REF!,"AAAAAE3/460=")</f>
        <v>#REF!</v>
      </c>
      <c r="FS156" t="e">
        <f>AND(Bills!#REF!,"AAAAAE3/464=")</f>
        <v>#REF!</v>
      </c>
      <c r="FT156" t="e">
        <f>AND(Bills!#REF!,"AAAAAE3/468=")</f>
        <v>#REF!</v>
      </c>
      <c r="FU156" t="e">
        <f>AND(Bills!#REF!,"AAAAAE3/47A=")</f>
        <v>#REF!</v>
      </c>
      <c r="FV156" t="e">
        <f>AND(Bills!#REF!,"AAAAAE3/47E=")</f>
        <v>#REF!</v>
      </c>
      <c r="FW156" t="e">
        <f>AND(Bills!#REF!,"AAAAAE3/47I=")</f>
        <v>#REF!</v>
      </c>
      <c r="FX156" t="e">
        <f>AND(Bills!#REF!,"AAAAAE3/47M=")</f>
        <v>#REF!</v>
      </c>
      <c r="FY156" t="e">
        <f>AND(Bills!#REF!,"AAAAAE3/47Q=")</f>
        <v>#REF!</v>
      </c>
      <c r="FZ156" t="e">
        <f>AND(Bills!#REF!,"AAAAAE3/47U=")</f>
        <v>#REF!</v>
      </c>
      <c r="GA156" t="e">
        <f>AND(Bills!Y552,"AAAAAE3/47Y=")</f>
        <v>#VALUE!</v>
      </c>
      <c r="GB156" t="e">
        <f>AND(Bills!Z552,"AAAAAE3/47c=")</f>
        <v>#VALUE!</v>
      </c>
      <c r="GC156" t="e">
        <f>AND(Bills!#REF!,"AAAAAE3/47g=")</f>
        <v>#REF!</v>
      </c>
      <c r="GD156" t="e">
        <f>AND(Bills!#REF!,"AAAAAE3/47k=")</f>
        <v>#REF!</v>
      </c>
      <c r="GE156" t="e">
        <f>AND(Bills!#REF!,"AAAAAE3/47o=")</f>
        <v>#REF!</v>
      </c>
      <c r="GF156" t="e">
        <f>AND(Bills!AA552,"AAAAAE3/47s=")</f>
        <v>#VALUE!</v>
      </c>
      <c r="GG156" t="e">
        <f>AND(Bills!AB552,"AAAAAE3/47w=")</f>
        <v>#VALUE!</v>
      </c>
      <c r="GH156" t="e">
        <f>AND(Bills!#REF!,"AAAAAE3/470=")</f>
        <v>#REF!</v>
      </c>
      <c r="GI156">
        <f>IF(Bills!553:553,"AAAAAE3/474=",0)</f>
        <v>0</v>
      </c>
      <c r="GJ156" t="e">
        <f>AND(Bills!B553,"AAAAAE3/478=")</f>
        <v>#VALUE!</v>
      </c>
      <c r="GK156" t="e">
        <f>AND(Bills!#REF!,"AAAAAE3/48A=")</f>
        <v>#REF!</v>
      </c>
      <c r="GL156" t="e">
        <f>AND(Bills!C553,"AAAAAE3/48E=")</f>
        <v>#VALUE!</v>
      </c>
      <c r="GM156" t="e">
        <f>AND(Bills!#REF!,"AAAAAE3/48I=")</f>
        <v>#REF!</v>
      </c>
      <c r="GN156" t="e">
        <f>AND(Bills!#REF!,"AAAAAE3/48M=")</f>
        <v>#REF!</v>
      </c>
      <c r="GO156" t="e">
        <f>AND(Bills!#REF!,"AAAAAE3/48Q=")</f>
        <v>#REF!</v>
      </c>
      <c r="GP156" t="e">
        <f>AND(Bills!#REF!,"AAAAAE3/48U=")</f>
        <v>#REF!</v>
      </c>
      <c r="GQ156" t="e">
        <f>AND(Bills!#REF!,"AAAAAE3/48Y=")</f>
        <v>#REF!</v>
      </c>
      <c r="GR156" t="e">
        <f>AND(Bills!D553,"AAAAAE3/48c=")</f>
        <v>#VALUE!</v>
      </c>
      <c r="GS156" t="e">
        <f>AND(Bills!#REF!,"AAAAAE3/48g=")</f>
        <v>#REF!</v>
      </c>
      <c r="GT156" t="e">
        <f>AND(Bills!E553,"AAAAAE3/48k=")</f>
        <v>#VALUE!</v>
      </c>
      <c r="GU156" t="e">
        <f>AND(Bills!F553,"AAAAAE3/48o=")</f>
        <v>#VALUE!</v>
      </c>
      <c r="GV156" t="e">
        <f>AND(Bills!G553,"AAAAAE3/48s=")</f>
        <v>#VALUE!</v>
      </c>
      <c r="GW156" t="e">
        <f>AND(Bills!H553,"AAAAAE3/48w=")</f>
        <v>#VALUE!</v>
      </c>
      <c r="GX156" t="e">
        <f>AND(Bills!I553,"AAAAAE3/480=")</f>
        <v>#VALUE!</v>
      </c>
      <c r="GY156" t="e">
        <f>AND(Bills!J553,"AAAAAE3/484=")</f>
        <v>#VALUE!</v>
      </c>
      <c r="GZ156" t="e">
        <f>AND(Bills!#REF!,"AAAAAE3/488=")</f>
        <v>#REF!</v>
      </c>
      <c r="HA156" t="e">
        <f>AND(Bills!K553,"AAAAAE3/49A=")</f>
        <v>#VALUE!</v>
      </c>
      <c r="HB156" t="e">
        <f>AND(Bills!L553,"AAAAAE3/49E=")</f>
        <v>#VALUE!</v>
      </c>
      <c r="HC156" t="e">
        <f>AND(Bills!M553,"AAAAAE3/49I=")</f>
        <v>#VALUE!</v>
      </c>
      <c r="HD156" t="e">
        <f>AND(Bills!N553,"AAAAAE3/49M=")</f>
        <v>#VALUE!</v>
      </c>
      <c r="HE156" t="e">
        <f>AND(Bills!O553,"AAAAAE3/49Q=")</f>
        <v>#VALUE!</v>
      </c>
      <c r="HF156" t="e">
        <f>AND(Bills!P553,"AAAAAE3/49U=")</f>
        <v>#VALUE!</v>
      </c>
      <c r="HG156" t="e">
        <f>AND(Bills!Q553,"AAAAAE3/49Y=")</f>
        <v>#VALUE!</v>
      </c>
      <c r="HH156" t="e">
        <f>AND(Bills!R553,"AAAAAE3/49c=")</f>
        <v>#VALUE!</v>
      </c>
      <c r="HI156" t="e">
        <f>AND(Bills!#REF!,"AAAAAE3/49g=")</f>
        <v>#REF!</v>
      </c>
      <c r="HJ156" t="e">
        <f>AND(Bills!S553,"AAAAAE3/49k=")</f>
        <v>#VALUE!</v>
      </c>
      <c r="HK156" t="e">
        <f>AND(Bills!T553,"AAAAAE3/49o=")</f>
        <v>#VALUE!</v>
      </c>
      <c r="HL156" t="e">
        <f>AND(Bills!U553,"AAAAAE3/49s=")</f>
        <v>#VALUE!</v>
      </c>
      <c r="HM156" t="e">
        <f>AND(Bills!#REF!,"AAAAAE3/49w=")</f>
        <v>#REF!</v>
      </c>
      <c r="HN156" t="e">
        <f>AND(Bills!#REF!,"AAAAAE3/490=")</f>
        <v>#REF!</v>
      </c>
      <c r="HO156" t="e">
        <f>AND(Bills!W553,"AAAAAE3/494=")</f>
        <v>#VALUE!</v>
      </c>
      <c r="HP156" t="e">
        <f>AND(Bills!X553,"AAAAAE3/498=")</f>
        <v>#VALUE!</v>
      </c>
      <c r="HQ156" t="e">
        <f>AND(Bills!#REF!,"AAAAAE3/4+A=")</f>
        <v>#REF!</v>
      </c>
      <c r="HR156" t="e">
        <f>AND(Bills!#REF!,"AAAAAE3/4+E=")</f>
        <v>#REF!</v>
      </c>
      <c r="HS156" t="e">
        <f>AND(Bills!#REF!,"AAAAAE3/4+I=")</f>
        <v>#REF!</v>
      </c>
      <c r="HT156" t="e">
        <f>AND(Bills!#REF!,"AAAAAE3/4+M=")</f>
        <v>#REF!</v>
      </c>
      <c r="HU156" t="e">
        <f>AND(Bills!#REF!,"AAAAAE3/4+Q=")</f>
        <v>#REF!</v>
      </c>
      <c r="HV156" t="e">
        <f>AND(Bills!#REF!,"AAAAAE3/4+U=")</f>
        <v>#REF!</v>
      </c>
      <c r="HW156" t="e">
        <f>AND(Bills!#REF!,"AAAAAE3/4+Y=")</f>
        <v>#REF!</v>
      </c>
      <c r="HX156" t="e">
        <f>AND(Bills!#REF!,"AAAAAE3/4+c=")</f>
        <v>#REF!</v>
      </c>
      <c r="HY156" t="e">
        <f>AND(Bills!#REF!,"AAAAAE3/4+g=")</f>
        <v>#REF!</v>
      </c>
      <c r="HZ156" t="e">
        <f>AND(Bills!Y553,"AAAAAE3/4+k=")</f>
        <v>#VALUE!</v>
      </c>
      <c r="IA156" t="e">
        <f>AND(Bills!Z553,"AAAAAE3/4+o=")</f>
        <v>#VALUE!</v>
      </c>
      <c r="IB156" t="e">
        <f>AND(Bills!#REF!,"AAAAAE3/4+s=")</f>
        <v>#REF!</v>
      </c>
      <c r="IC156" t="e">
        <f>AND(Bills!#REF!,"AAAAAE3/4+w=")</f>
        <v>#REF!</v>
      </c>
      <c r="ID156" t="e">
        <f>AND(Bills!#REF!,"AAAAAE3/4+0=")</f>
        <v>#REF!</v>
      </c>
      <c r="IE156" t="e">
        <f>AND(Bills!AA553,"AAAAAE3/4+4=")</f>
        <v>#VALUE!</v>
      </c>
      <c r="IF156" t="e">
        <f>AND(Bills!AB553,"AAAAAE3/4+8=")</f>
        <v>#VALUE!</v>
      </c>
      <c r="IG156" t="e">
        <f>AND(Bills!#REF!,"AAAAAE3/4/A=")</f>
        <v>#REF!</v>
      </c>
      <c r="IH156">
        <f>IF(Bills!554:554,"AAAAAE3/4/E=",0)</f>
        <v>0</v>
      </c>
      <c r="II156" t="e">
        <f>AND(Bills!B554,"AAAAAE3/4/I=")</f>
        <v>#VALUE!</v>
      </c>
      <c r="IJ156" t="e">
        <f>AND(Bills!#REF!,"AAAAAE3/4/M=")</f>
        <v>#REF!</v>
      </c>
      <c r="IK156" t="e">
        <f>AND(Bills!C554,"AAAAAE3/4/Q=")</f>
        <v>#VALUE!</v>
      </c>
      <c r="IL156" t="e">
        <f>AND(Bills!#REF!,"AAAAAE3/4/U=")</f>
        <v>#REF!</v>
      </c>
      <c r="IM156" t="e">
        <f>AND(Bills!#REF!,"AAAAAE3/4/Y=")</f>
        <v>#REF!</v>
      </c>
      <c r="IN156" t="e">
        <f>AND(Bills!#REF!,"AAAAAE3/4/c=")</f>
        <v>#REF!</v>
      </c>
      <c r="IO156" t="e">
        <f>AND(Bills!#REF!,"AAAAAE3/4/g=")</f>
        <v>#REF!</v>
      </c>
      <c r="IP156" t="e">
        <f>AND(Bills!#REF!,"AAAAAE3/4/k=")</f>
        <v>#REF!</v>
      </c>
      <c r="IQ156" t="e">
        <f>AND(Bills!D554,"AAAAAE3/4/o=")</f>
        <v>#VALUE!</v>
      </c>
      <c r="IR156" t="e">
        <f>AND(Bills!#REF!,"AAAAAE3/4/s=")</f>
        <v>#REF!</v>
      </c>
      <c r="IS156" t="e">
        <f>AND(Bills!E554,"AAAAAE3/4/w=")</f>
        <v>#VALUE!</v>
      </c>
      <c r="IT156" t="e">
        <f>AND(Bills!F554,"AAAAAE3/4/0=")</f>
        <v>#VALUE!</v>
      </c>
      <c r="IU156" t="e">
        <f>AND(Bills!G554,"AAAAAE3/4/4=")</f>
        <v>#VALUE!</v>
      </c>
      <c r="IV156" t="e">
        <f>AND(Bills!H554,"AAAAAE3/4/8=")</f>
        <v>#VALUE!</v>
      </c>
    </row>
    <row r="157" spans="1:256">
      <c r="A157" t="e">
        <f>AND(Bills!I554,"AAAAAFt29wA=")</f>
        <v>#VALUE!</v>
      </c>
      <c r="B157" t="e">
        <f>AND(Bills!J554,"AAAAAFt29wE=")</f>
        <v>#VALUE!</v>
      </c>
      <c r="C157" t="e">
        <f>AND(Bills!#REF!,"AAAAAFt29wI=")</f>
        <v>#REF!</v>
      </c>
      <c r="D157" t="e">
        <f>AND(Bills!K554,"AAAAAFt29wM=")</f>
        <v>#VALUE!</v>
      </c>
      <c r="E157" t="e">
        <f>AND(Bills!L554,"AAAAAFt29wQ=")</f>
        <v>#VALUE!</v>
      </c>
      <c r="F157" t="e">
        <f>AND(Bills!M554,"AAAAAFt29wU=")</f>
        <v>#VALUE!</v>
      </c>
      <c r="G157" t="e">
        <f>AND(Bills!N554,"AAAAAFt29wY=")</f>
        <v>#VALUE!</v>
      </c>
      <c r="H157" t="e">
        <f>AND(Bills!O554,"AAAAAFt29wc=")</f>
        <v>#VALUE!</v>
      </c>
      <c r="I157" t="e">
        <f>AND(Bills!P554,"AAAAAFt29wg=")</f>
        <v>#VALUE!</v>
      </c>
      <c r="J157" t="e">
        <f>AND(Bills!Q554,"AAAAAFt29wk=")</f>
        <v>#VALUE!</v>
      </c>
      <c r="K157" t="e">
        <f>AND(Bills!R554,"AAAAAFt29wo=")</f>
        <v>#VALUE!</v>
      </c>
      <c r="L157" t="e">
        <f>AND(Bills!#REF!,"AAAAAFt29ws=")</f>
        <v>#REF!</v>
      </c>
      <c r="M157" t="e">
        <f>AND(Bills!S554,"AAAAAFt29ww=")</f>
        <v>#VALUE!</v>
      </c>
      <c r="N157" t="e">
        <f>AND(Bills!T554,"AAAAAFt29w0=")</f>
        <v>#VALUE!</v>
      </c>
      <c r="O157" t="e">
        <f>AND(Bills!U554,"AAAAAFt29w4=")</f>
        <v>#VALUE!</v>
      </c>
      <c r="P157" t="e">
        <f>AND(Bills!#REF!,"AAAAAFt29w8=")</f>
        <v>#REF!</v>
      </c>
      <c r="Q157" t="e">
        <f>AND(Bills!#REF!,"AAAAAFt29xA=")</f>
        <v>#REF!</v>
      </c>
      <c r="R157" t="e">
        <f>AND(Bills!W554,"AAAAAFt29xE=")</f>
        <v>#VALUE!</v>
      </c>
      <c r="S157" t="e">
        <f>AND(Bills!X554,"AAAAAFt29xI=")</f>
        <v>#VALUE!</v>
      </c>
      <c r="T157" t="e">
        <f>AND(Bills!#REF!,"AAAAAFt29xM=")</f>
        <v>#REF!</v>
      </c>
      <c r="U157" t="e">
        <f>AND(Bills!#REF!,"AAAAAFt29xQ=")</f>
        <v>#REF!</v>
      </c>
      <c r="V157" t="e">
        <f>AND(Bills!#REF!,"AAAAAFt29xU=")</f>
        <v>#REF!</v>
      </c>
      <c r="W157" t="e">
        <f>AND(Bills!#REF!,"AAAAAFt29xY=")</f>
        <v>#REF!</v>
      </c>
      <c r="X157" t="e">
        <f>AND(Bills!#REF!,"AAAAAFt29xc=")</f>
        <v>#REF!</v>
      </c>
      <c r="Y157" t="e">
        <f>AND(Bills!#REF!,"AAAAAFt29xg=")</f>
        <v>#REF!</v>
      </c>
      <c r="Z157" t="e">
        <f>AND(Bills!#REF!,"AAAAAFt29xk=")</f>
        <v>#REF!</v>
      </c>
      <c r="AA157" t="e">
        <f>AND(Bills!#REF!,"AAAAAFt29xo=")</f>
        <v>#REF!</v>
      </c>
      <c r="AB157" t="e">
        <f>AND(Bills!#REF!,"AAAAAFt29xs=")</f>
        <v>#REF!</v>
      </c>
      <c r="AC157" t="e">
        <f>AND(Bills!Y554,"AAAAAFt29xw=")</f>
        <v>#VALUE!</v>
      </c>
      <c r="AD157" t="e">
        <f>AND(Bills!Z554,"AAAAAFt29x0=")</f>
        <v>#VALUE!</v>
      </c>
      <c r="AE157" t="e">
        <f>AND(Bills!#REF!,"AAAAAFt29x4=")</f>
        <v>#REF!</v>
      </c>
      <c r="AF157" t="e">
        <f>AND(Bills!#REF!,"AAAAAFt29x8=")</f>
        <v>#REF!</v>
      </c>
      <c r="AG157" t="e">
        <f>AND(Bills!#REF!,"AAAAAFt29yA=")</f>
        <v>#REF!</v>
      </c>
      <c r="AH157" t="e">
        <f>AND(Bills!AA554,"AAAAAFt29yE=")</f>
        <v>#VALUE!</v>
      </c>
      <c r="AI157" t="e">
        <f>AND(Bills!AB554,"AAAAAFt29yI=")</f>
        <v>#VALUE!</v>
      </c>
      <c r="AJ157" t="e">
        <f>AND(Bills!#REF!,"AAAAAFt29yM=")</f>
        <v>#REF!</v>
      </c>
      <c r="AK157">
        <f>IF(Bills!555:555,"AAAAAFt29yQ=",0)</f>
        <v>0</v>
      </c>
      <c r="AL157" t="e">
        <f>AND(Bills!B555,"AAAAAFt29yU=")</f>
        <v>#VALUE!</v>
      </c>
      <c r="AM157" t="e">
        <f>AND(Bills!#REF!,"AAAAAFt29yY=")</f>
        <v>#REF!</v>
      </c>
      <c r="AN157" t="e">
        <f>AND(Bills!C555,"AAAAAFt29yc=")</f>
        <v>#VALUE!</v>
      </c>
      <c r="AO157" t="e">
        <f>AND(Bills!#REF!,"AAAAAFt29yg=")</f>
        <v>#REF!</v>
      </c>
      <c r="AP157" t="e">
        <f>AND(Bills!#REF!,"AAAAAFt29yk=")</f>
        <v>#REF!</v>
      </c>
      <c r="AQ157" t="e">
        <f>AND(Bills!#REF!,"AAAAAFt29yo=")</f>
        <v>#REF!</v>
      </c>
      <c r="AR157" t="e">
        <f>AND(Bills!#REF!,"AAAAAFt29ys=")</f>
        <v>#REF!</v>
      </c>
      <c r="AS157" t="e">
        <f>AND(Bills!#REF!,"AAAAAFt29yw=")</f>
        <v>#REF!</v>
      </c>
      <c r="AT157" t="e">
        <f>AND(Bills!D555,"AAAAAFt29y0=")</f>
        <v>#VALUE!</v>
      </c>
      <c r="AU157" t="e">
        <f>AND(Bills!#REF!,"AAAAAFt29y4=")</f>
        <v>#REF!</v>
      </c>
      <c r="AV157" t="e">
        <f>AND(Bills!E555,"AAAAAFt29y8=")</f>
        <v>#VALUE!</v>
      </c>
      <c r="AW157" t="e">
        <f>AND(Bills!F555,"AAAAAFt29zA=")</f>
        <v>#VALUE!</v>
      </c>
      <c r="AX157" t="e">
        <f>AND(Bills!G555,"AAAAAFt29zE=")</f>
        <v>#VALUE!</v>
      </c>
      <c r="AY157" t="e">
        <f>AND(Bills!H555,"AAAAAFt29zI=")</f>
        <v>#VALUE!</v>
      </c>
      <c r="AZ157" t="e">
        <f>AND(Bills!I555,"AAAAAFt29zM=")</f>
        <v>#VALUE!</v>
      </c>
      <c r="BA157" t="e">
        <f>AND(Bills!J555,"AAAAAFt29zQ=")</f>
        <v>#VALUE!</v>
      </c>
      <c r="BB157" t="e">
        <f>AND(Bills!#REF!,"AAAAAFt29zU=")</f>
        <v>#REF!</v>
      </c>
      <c r="BC157" t="e">
        <f>AND(Bills!K555,"AAAAAFt29zY=")</f>
        <v>#VALUE!</v>
      </c>
      <c r="BD157" t="e">
        <f>AND(Bills!L555,"AAAAAFt29zc=")</f>
        <v>#VALUE!</v>
      </c>
      <c r="BE157" t="e">
        <f>AND(Bills!M555,"AAAAAFt29zg=")</f>
        <v>#VALUE!</v>
      </c>
      <c r="BF157" t="e">
        <f>AND(Bills!N555,"AAAAAFt29zk=")</f>
        <v>#VALUE!</v>
      </c>
      <c r="BG157" t="e">
        <f>AND(Bills!O555,"AAAAAFt29zo=")</f>
        <v>#VALUE!</v>
      </c>
      <c r="BH157" t="e">
        <f>AND(Bills!P555,"AAAAAFt29zs=")</f>
        <v>#VALUE!</v>
      </c>
      <c r="BI157" t="e">
        <f>AND(Bills!Q555,"AAAAAFt29zw=")</f>
        <v>#VALUE!</v>
      </c>
      <c r="BJ157" t="e">
        <f>AND(Bills!R555,"AAAAAFt29z0=")</f>
        <v>#VALUE!</v>
      </c>
      <c r="BK157" t="e">
        <f>AND(Bills!#REF!,"AAAAAFt29z4=")</f>
        <v>#REF!</v>
      </c>
      <c r="BL157" t="e">
        <f>AND(Bills!S555,"AAAAAFt29z8=")</f>
        <v>#VALUE!</v>
      </c>
      <c r="BM157" t="e">
        <f>AND(Bills!T555,"AAAAAFt290A=")</f>
        <v>#VALUE!</v>
      </c>
      <c r="BN157" t="e">
        <f>AND(Bills!U555,"AAAAAFt290E=")</f>
        <v>#VALUE!</v>
      </c>
      <c r="BO157" t="e">
        <f>AND(Bills!#REF!,"AAAAAFt290I=")</f>
        <v>#REF!</v>
      </c>
      <c r="BP157" t="e">
        <f>AND(Bills!#REF!,"AAAAAFt290M=")</f>
        <v>#REF!</v>
      </c>
      <c r="BQ157" t="e">
        <f>AND(Bills!W555,"AAAAAFt290Q=")</f>
        <v>#VALUE!</v>
      </c>
      <c r="BR157" t="e">
        <f>AND(Bills!X555,"AAAAAFt290U=")</f>
        <v>#VALUE!</v>
      </c>
      <c r="BS157" t="e">
        <f>AND(Bills!#REF!,"AAAAAFt290Y=")</f>
        <v>#REF!</v>
      </c>
      <c r="BT157" t="e">
        <f>AND(Bills!#REF!,"AAAAAFt290c=")</f>
        <v>#REF!</v>
      </c>
      <c r="BU157" t="e">
        <f>AND(Bills!#REF!,"AAAAAFt290g=")</f>
        <v>#REF!</v>
      </c>
      <c r="BV157" t="e">
        <f>AND(Bills!#REF!,"AAAAAFt290k=")</f>
        <v>#REF!</v>
      </c>
      <c r="BW157" t="e">
        <f>AND(Bills!#REF!,"AAAAAFt290o=")</f>
        <v>#REF!</v>
      </c>
      <c r="BX157" t="e">
        <f>AND(Bills!#REF!,"AAAAAFt290s=")</f>
        <v>#REF!</v>
      </c>
      <c r="BY157" t="e">
        <f>AND(Bills!#REF!,"AAAAAFt290w=")</f>
        <v>#REF!</v>
      </c>
      <c r="BZ157" t="e">
        <f>AND(Bills!#REF!,"AAAAAFt2900=")</f>
        <v>#REF!</v>
      </c>
      <c r="CA157" t="e">
        <f>AND(Bills!#REF!,"AAAAAFt2904=")</f>
        <v>#REF!</v>
      </c>
      <c r="CB157" t="e">
        <f>AND(Bills!Y555,"AAAAAFt2908=")</f>
        <v>#VALUE!</v>
      </c>
      <c r="CC157" t="e">
        <f>AND(Bills!Z555,"AAAAAFt291A=")</f>
        <v>#VALUE!</v>
      </c>
      <c r="CD157" t="e">
        <f>AND(Bills!#REF!,"AAAAAFt291E=")</f>
        <v>#REF!</v>
      </c>
      <c r="CE157" t="e">
        <f>AND(Bills!#REF!,"AAAAAFt291I=")</f>
        <v>#REF!</v>
      </c>
      <c r="CF157" t="e">
        <f>AND(Bills!#REF!,"AAAAAFt291M=")</f>
        <v>#REF!</v>
      </c>
      <c r="CG157" t="e">
        <f>AND(Bills!AA555,"AAAAAFt291Q=")</f>
        <v>#VALUE!</v>
      </c>
      <c r="CH157" t="e">
        <f>AND(Bills!AB555,"AAAAAFt291U=")</f>
        <v>#VALUE!</v>
      </c>
      <c r="CI157" t="e">
        <f>AND(Bills!#REF!,"AAAAAFt291Y=")</f>
        <v>#REF!</v>
      </c>
      <c r="CJ157">
        <f>IF(Bills!556:556,"AAAAAFt291c=",0)</f>
        <v>0</v>
      </c>
      <c r="CK157" t="e">
        <f>AND(Bills!B556,"AAAAAFt291g=")</f>
        <v>#VALUE!</v>
      </c>
      <c r="CL157" t="e">
        <f>AND(Bills!#REF!,"AAAAAFt291k=")</f>
        <v>#REF!</v>
      </c>
      <c r="CM157" t="e">
        <f>AND(Bills!C556,"AAAAAFt291o=")</f>
        <v>#VALUE!</v>
      </c>
      <c r="CN157" t="e">
        <f>AND(Bills!#REF!,"AAAAAFt291s=")</f>
        <v>#REF!</v>
      </c>
      <c r="CO157" t="e">
        <f>AND(Bills!#REF!,"AAAAAFt291w=")</f>
        <v>#REF!</v>
      </c>
      <c r="CP157" t="e">
        <f>AND(Bills!#REF!,"AAAAAFt2910=")</f>
        <v>#REF!</v>
      </c>
      <c r="CQ157" t="e">
        <f>AND(Bills!#REF!,"AAAAAFt2914=")</f>
        <v>#REF!</v>
      </c>
      <c r="CR157" t="e">
        <f>AND(Bills!#REF!,"AAAAAFt2918=")</f>
        <v>#REF!</v>
      </c>
      <c r="CS157" t="e">
        <f>AND(Bills!D556,"AAAAAFt292A=")</f>
        <v>#VALUE!</v>
      </c>
      <c r="CT157" t="e">
        <f>AND(Bills!#REF!,"AAAAAFt292E=")</f>
        <v>#REF!</v>
      </c>
      <c r="CU157" t="e">
        <f>AND(Bills!E556,"AAAAAFt292I=")</f>
        <v>#VALUE!</v>
      </c>
      <c r="CV157" t="e">
        <f>AND(Bills!F556,"AAAAAFt292M=")</f>
        <v>#VALUE!</v>
      </c>
      <c r="CW157" t="e">
        <f>AND(Bills!G556,"AAAAAFt292Q=")</f>
        <v>#VALUE!</v>
      </c>
      <c r="CX157" t="e">
        <f>AND(Bills!H556,"AAAAAFt292U=")</f>
        <v>#VALUE!</v>
      </c>
      <c r="CY157" t="e">
        <f>AND(Bills!I556,"AAAAAFt292Y=")</f>
        <v>#VALUE!</v>
      </c>
      <c r="CZ157" t="e">
        <f>AND(Bills!J556,"AAAAAFt292c=")</f>
        <v>#VALUE!</v>
      </c>
      <c r="DA157" t="e">
        <f>AND(Bills!#REF!,"AAAAAFt292g=")</f>
        <v>#REF!</v>
      </c>
      <c r="DB157" t="e">
        <f>AND(Bills!K556,"AAAAAFt292k=")</f>
        <v>#VALUE!</v>
      </c>
      <c r="DC157" t="e">
        <f>AND(Bills!L556,"AAAAAFt292o=")</f>
        <v>#VALUE!</v>
      </c>
      <c r="DD157" t="e">
        <f>AND(Bills!M556,"AAAAAFt292s=")</f>
        <v>#VALUE!</v>
      </c>
      <c r="DE157" t="e">
        <f>AND(Bills!N556,"AAAAAFt292w=")</f>
        <v>#VALUE!</v>
      </c>
      <c r="DF157" t="e">
        <f>AND(Bills!O556,"AAAAAFt2920=")</f>
        <v>#VALUE!</v>
      </c>
      <c r="DG157" t="e">
        <f>AND(Bills!P556,"AAAAAFt2924=")</f>
        <v>#VALUE!</v>
      </c>
      <c r="DH157" t="e">
        <f>AND(Bills!Q556,"AAAAAFt2928=")</f>
        <v>#VALUE!</v>
      </c>
      <c r="DI157" t="e">
        <f>AND(Bills!R556,"AAAAAFt293A=")</f>
        <v>#VALUE!</v>
      </c>
      <c r="DJ157" t="e">
        <f>AND(Bills!#REF!,"AAAAAFt293E=")</f>
        <v>#REF!</v>
      </c>
      <c r="DK157" t="e">
        <f>AND(Bills!S556,"AAAAAFt293I=")</f>
        <v>#VALUE!</v>
      </c>
      <c r="DL157" t="e">
        <f>AND(Bills!T556,"AAAAAFt293M=")</f>
        <v>#VALUE!</v>
      </c>
      <c r="DM157" t="e">
        <f>AND(Bills!U556,"AAAAAFt293Q=")</f>
        <v>#VALUE!</v>
      </c>
      <c r="DN157" t="e">
        <f>AND(Bills!#REF!,"AAAAAFt293U=")</f>
        <v>#REF!</v>
      </c>
      <c r="DO157" t="e">
        <f>AND(Bills!#REF!,"AAAAAFt293Y=")</f>
        <v>#REF!</v>
      </c>
      <c r="DP157" t="e">
        <f>AND(Bills!W556,"AAAAAFt293c=")</f>
        <v>#VALUE!</v>
      </c>
      <c r="DQ157" t="e">
        <f>AND(Bills!X556,"AAAAAFt293g=")</f>
        <v>#VALUE!</v>
      </c>
      <c r="DR157" t="e">
        <f>AND(Bills!#REF!,"AAAAAFt293k=")</f>
        <v>#REF!</v>
      </c>
      <c r="DS157" t="e">
        <f>AND(Bills!#REF!,"AAAAAFt293o=")</f>
        <v>#REF!</v>
      </c>
      <c r="DT157" t="e">
        <f>AND(Bills!#REF!,"AAAAAFt293s=")</f>
        <v>#REF!</v>
      </c>
      <c r="DU157" t="e">
        <f>AND(Bills!#REF!,"AAAAAFt293w=")</f>
        <v>#REF!</v>
      </c>
      <c r="DV157" t="e">
        <f>AND(Bills!#REF!,"AAAAAFt2930=")</f>
        <v>#REF!</v>
      </c>
      <c r="DW157" t="e">
        <f>AND(Bills!#REF!,"AAAAAFt2934=")</f>
        <v>#REF!</v>
      </c>
      <c r="DX157" t="e">
        <f>AND(Bills!#REF!,"AAAAAFt2938=")</f>
        <v>#REF!</v>
      </c>
      <c r="DY157" t="e">
        <f>AND(Bills!#REF!,"AAAAAFt294A=")</f>
        <v>#REF!</v>
      </c>
      <c r="DZ157" t="e">
        <f>AND(Bills!#REF!,"AAAAAFt294E=")</f>
        <v>#REF!</v>
      </c>
      <c r="EA157" t="e">
        <f>AND(Bills!Y556,"AAAAAFt294I=")</f>
        <v>#VALUE!</v>
      </c>
      <c r="EB157" t="e">
        <f>AND(Bills!Z556,"AAAAAFt294M=")</f>
        <v>#VALUE!</v>
      </c>
      <c r="EC157" t="e">
        <f>AND(Bills!#REF!,"AAAAAFt294Q=")</f>
        <v>#REF!</v>
      </c>
      <c r="ED157" t="e">
        <f>AND(Bills!#REF!,"AAAAAFt294U=")</f>
        <v>#REF!</v>
      </c>
      <c r="EE157" t="e">
        <f>AND(Bills!#REF!,"AAAAAFt294Y=")</f>
        <v>#REF!</v>
      </c>
      <c r="EF157" t="e">
        <f>AND(Bills!AA556,"AAAAAFt294c=")</f>
        <v>#VALUE!</v>
      </c>
      <c r="EG157" t="e">
        <f>AND(Bills!AB556,"AAAAAFt294g=")</f>
        <v>#VALUE!</v>
      </c>
      <c r="EH157" t="e">
        <f>AND(Bills!#REF!,"AAAAAFt294k=")</f>
        <v>#REF!</v>
      </c>
      <c r="EI157">
        <f>IF(Bills!557:557,"AAAAAFt294o=",0)</f>
        <v>0</v>
      </c>
      <c r="EJ157" t="e">
        <f>AND(Bills!B557,"AAAAAFt294s=")</f>
        <v>#VALUE!</v>
      </c>
      <c r="EK157" t="e">
        <f>AND(Bills!#REF!,"AAAAAFt294w=")</f>
        <v>#REF!</v>
      </c>
      <c r="EL157" t="e">
        <f>AND(Bills!C557,"AAAAAFt2940=")</f>
        <v>#VALUE!</v>
      </c>
      <c r="EM157" t="e">
        <f>AND(Bills!#REF!,"AAAAAFt2944=")</f>
        <v>#REF!</v>
      </c>
      <c r="EN157" t="e">
        <f>AND(Bills!#REF!,"AAAAAFt2948=")</f>
        <v>#REF!</v>
      </c>
      <c r="EO157" t="e">
        <f>AND(Bills!#REF!,"AAAAAFt295A=")</f>
        <v>#REF!</v>
      </c>
      <c r="EP157" t="e">
        <f>AND(Bills!#REF!,"AAAAAFt295E=")</f>
        <v>#REF!</v>
      </c>
      <c r="EQ157" t="e">
        <f>AND(Bills!#REF!,"AAAAAFt295I=")</f>
        <v>#REF!</v>
      </c>
      <c r="ER157" t="e">
        <f>AND(Bills!D557,"AAAAAFt295M=")</f>
        <v>#VALUE!</v>
      </c>
      <c r="ES157" t="e">
        <f>AND(Bills!#REF!,"AAAAAFt295Q=")</f>
        <v>#REF!</v>
      </c>
      <c r="ET157" t="e">
        <f>AND(Bills!E557,"AAAAAFt295U=")</f>
        <v>#VALUE!</v>
      </c>
      <c r="EU157" t="e">
        <f>AND(Bills!F557,"AAAAAFt295Y=")</f>
        <v>#VALUE!</v>
      </c>
      <c r="EV157" t="e">
        <f>AND(Bills!G557,"AAAAAFt295c=")</f>
        <v>#VALUE!</v>
      </c>
      <c r="EW157" t="e">
        <f>AND(Bills!H557,"AAAAAFt295g=")</f>
        <v>#VALUE!</v>
      </c>
      <c r="EX157" t="e">
        <f>AND(Bills!I557,"AAAAAFt295k=")</f>
        <v>#VALUE!</v>
      </c>
      <c r="EY157" t="e">
        <f>AND(Bills!J557,"AAAAAFt295o=")</f>
        <v>#VALUE!</v>
      </c>
      <c r="EZ157" t="e">
        <f>AND(Bills!#REF!,"AAAAAFt295s=")</f>
        <v>#REF!</v>
      </c>
      <c r="FA157" t="e">
        <f>AND(Bills!K557,"AAAAAFt295w=")</f>
        <v>#VALUE!</v>
      </c>
      <c r="FB157" t="e">
        <f>AND(Bills!L557,"AAAAAFt2950=")</f>
        <v>#VALUE!</v>
      </c>
      <c r="FC157" t="e">
        <f>AND(Bills!M557,"AAAAAFt2954=")</f>
        <v>#VALUE!</v>
      </c>
      <c r="FD157" t="e">
        <f>AND(Bills!N557,"AAAAAFt2958=")</f>
        <v>#VALUE!</v>
      </c>
      <c r="FE157" t="e">
        <f>AND(Bills!O557,"AAAAAFt296A=")</f>
        <v>#VALUE!</v>
      </c>
      <c r="FF157" t="e">
        <f>AND(Bills!P557,"AAAAAFt296E=")</f>
        <v>#VALUE!</v>
      </c>
      <c r="FG157" t="e">
        <f>AND(Bills!Q557,"AAAAAFt296I=")</f>
        <v>#VALUE!</v>
      </c>
      <c r="FH157" t="e">
        <f>AND(Bills!R557,"AAAAAFt296M=")</f>
        <v>#VALUE!</v>
      </c>
      <c r="FI157" t="e">
        <f>AND(Bills!#REF!,"AAAAAFt296Q=")</f>
        <v>#REF!</v>
      </c>
      <c r="FJ157" t="e">
        <f>AND(Bills!S557,"AAAAAFt296U=")</f>
        <v>#VALUE!</v>
      </c>
      <c r="FK157" t="e">
        <f>AND(Bills!T557,"AAAAAFt296Y=")</f>
        <v>#VALUE!</v>
      </c>
      <c r="FL157" t="e">
        <f>AND(Bills!U557,"AAAAAFt296c=")</f>
        <v>#VALUE!</v>
      </c>
      <c r="FM157" t="e">
        <f>AND(Bills!#REF!,"AAAAAFt296g=")</f>
        <v>#REF!</v>
      </c>
      <c r="FN157" t="e">
        <f>AND(Bills!#REF!,"AAAAAFt296k=")</f>
        <v>#REF!</v>
      </c>
      <c r="FO157" t="e">
        <f>AND(Bills!W557,"AAAAAFt296o=")</f>
        <v>#VALUE!</v>
      </c>
      <c r="FP157" t="e">
        <f>AND(Bills!X557,"AAAAAFt296s=")</f>
        <v>#VALUE!</v>
      </c>
      <c r="FQ157" t="e">
        <f>AND(Bills!#REF!,"AAAAAFt296w=")</f>
        <v>#REF!</v>
      </c>
      <c r="FR157" t="e">
        <f>AND(Bills!#REF!,"AAAAAFt2960=")</f>
        <v>#REF!</v>
      </c>
      <c r="FS157" t="e">
        <f>AND(Bills!#REF!,"AAAAAFt2964=")</f>
        <v>#REF!</v>
      </c>
      <c r="FT157" t="e">
        <f>AND(Bills!#REF!,"AAAAAFt2968=")</f>
        <v>#REF!</v>
      </c>
      <c r="FU157" t="e">
        <f>AND(Bills!#REF!,"AAAAAFt297A=")</f>
        <v>#REF!</v>
      </c>
      <c r="FV157" t="e">
        <f>AND(Bills!#REF!,"AAAAAFt297E=")</f>
        <v>#REF!</v>
      </c>
      <c r="FW157" t="e">
        <f>AND(Bills!#REF!,"AAAAAFt297I=")</f>
        <v>#REF!</v>
      </c>
      <c r="FX157" t="e">
        <f>AND(Bills!#REF!,"AAAAAFt297M=")</f>
        <v>#REF!</v>
      </c>
      <c r="FY157" t="e">
        <f>AND(Bills!#REF!,"AAAAAFt297Q=")</f>
        <v>#REF!</v>
      </c>
      <c r="FZ157" t="e">
        <f>AND(Bills!Y557,"AAAAAFt297U=")</f>
        <v>#VALUE!</v>
      </c>
      <c r="GA157" t="e">
        <f>AND(Bills!Z557,"AAAAAFt297Y=")</f>
        <v>#VALUE!</v>
      </c>
      <c r="GB157" t="e">
        <f>AND(Bills!#REF!,"AAAAAFt297c=")</f>
        <v>#REF!</v>
      </c>
      <c r="GC157" t="e">
        <f>AND(Bills!#REF!,"AAAAAFt297g=")</f>
        <v>#REF!</v>
      </c>
      <c r="GD157" t="e">
        <f>AND(Bills!#REF!,"AAAAAFt297k=")</f>
        <v>#REF!</v>
      </c>
      <c r="GE157" t="e">
        <f>AND(Bills!AA557,"AAAAAFt297o=")</f>
        <v>#VALUE!</v>
      </c>
      <c r="GF157" t="e">
        <f>AND(Bills!AB557,"AAAAAFt297s=")</f>
        <v>#VALUE!</v>
      </c>
      <c r="GG157" t="e">
        <f>AND(Bills!#REF!,"AAAAAFt297w=")</f>
        <v>#REF!</v>
      </c>
      <c r="GH157">
        <f>IF(Bills!558:558,"AAAAAFt2970=",0)</f>
        <v>0</v>
      </c>
      <c r="GI157" t="e">
        <f>AND(Bills!B558,"AAAAAFt2974=")</f>
        <v>#VALUE!</v>
      </c>
      <c r="GJ157" t="e">
        <f>AND(Bills!#REF!,"AAAAAFt2978=")</f>
        <v>#REF!</v>
      </c>
      <c r="GK157" t="e">
        <f>AND(Bills!C558,"AAAAAFt298A=")</f>
        <v>#VALUE!</v>
      </c>
      <c r="GL157" t="e">
        <f>AND(Bills!#REF!,"AAAAAFt298E=")</f>
        <v>#REF!</v>
      </c>
      <c r="GM157" t="e">
        <f>AND(Bills!#REF!,"AAAAAFt298I=")</f>
        <v>#REF!</v>
      </c>
      <c r="GN157" t="e">
        <f>AND(Bills!#REF!,"AAAAAFt298M=")</f>
        <v>#REF!</v>
      </c>
      <c r="GO157" t="e">
        <f>AND(Bills!#REF!,"AAAAAFt298Q=")</f>
        <v>#REF!</v>
      </c>
      <c r="GP157" t="e">
        <f>AND(Bills!#REF!,"AAAAAFt298U=")</f>
        <v>#REF!</v>
      </c>
      <c r="GQ157" t="e">
        <f>AND(Bills!D558,"AAAAAFt298Y=")</f>
        <v>#VALUE!</v>
      </c>
      <c r="GR157" t="e">
        <f>AND(Bills!#REF!,"AAAAAFt298c=")</f>
        <v>#REF!</v>
      </c>
      <c r="GS157" t="e">
        <f>AND(Bills!E558,"AAAAAFt298g=")</f>
        <v>#VALUE!</v>
      </c>
      <c r="GT157" t="e">
        <f>AND(Bills!F558,"AAAAAFt298k=")</f>
        <v>#VALUE!</v>
      </c>
      <c r="GU157" t="e">
        <f>AND(Bills!G558,"AAAAAFt298o=")</f>
        <v>#VALUE!</v>
      </c>
      <c r="GV157" t="e">
        <f>AND(Bills!H558,"AAAAAFt298s=")</f>
        <v>#VALUE!</v>
      </c>
      <c r="GW157" t="e">
        <f>AND(Bills!I558,"AAAAAFt298w=")</f>
        <v>#VALUE!</v>
      </c>
      <c r="GX157" t="e">
        <f>AND(Bills!J558,"AAAAAFt2980=")</f>
        <v>#VALUE!</v>
      </c>
      <c r="GY157" t="e">
        <f>AND(Bills!#REF!,"AAAAAFt2984=")</f>
        <v>#REF!</v>
      </c>
      <c r="GZ157" t="e">
        <f>AND(Bills!K558,"AAAAAFt2988=")</f>
        <v>#VALUE!</v>
      </c>
      <c r="HA157" t="e">
        <f>AND(Bills!L558,"AAAAAFt299A=")</f>
        <v>#VALUE!</v>
      </c>
      <c r="HB157" t="e">
        <f>AND(Bills!M558,"AAAAAFt299E=")</f>
        <v>#VALUE!</v>
      </c>
      <c r="HC157" t="e">
        <f>AND(Bills!N558,"AAAAAFt299I=")</f>
        <v>#VALUE!</v>
      </c>
      <c r="HD157" t="e">
        <f>AND(Bills!O558,"AAAAAFt299M=")</f>
        <v>#VALUE!</v>
      </c>
      <c r="HE157" t="e">
        <f>AND(Bills!P558,"AAAAAFt299Q=")</f>
        <v>#VALUE!</v>
      </c>
      <c r="HF157" t="e">
        <f>AND(Bills!Q558,"AAAAAFt299U=")</f>
        <v>#VALUE!</v>
      </c>
      <c r="HG157" t="e">
        <f>AND(Bills!R558,"AAAAAFt299Y=")</f>
        <v>#VALUE!</v>
      </c>
      <c r="HH157" t="e">
        <f>AND(Bills!#REF!,"AAAAAFt299c=")</f>
        <v>#REF!</v>
      </c>
      <c r="HI157" t="e">
        <f>AND(Bills!S558,"AAAAAFt299g=")</f>
        <v>#VALUE!</v>
      </c>
      <c r="HJ157" t="e">
        <f>AND(Bills!T558,"AAAAAFt299k=")</f>
        <v>#VALUE!</v>
      </c>
      <c r="HK157" t="e">
        <f>AND(Bills!U558,"AAAAAFt299o=")</f>
        <v>#VALUE!</v>
      </c>
      <c r="HL157" t="e">
        <f>AND(Bills!#REF!,"AAAAAFt299s=")</f>
        <v>#REF!</v>
      </c>
      <c r="HM157" t="e">
        <f>AND(Bills!#REF!,"AAAAAFt299w=")</f>
        <v>#REF!</v>
      </c>
      <c r="HN157" t="e">
        <f>AND(Bills!W558,"AAAAAFt2990=")</f>
        <v>#VALUE!</v>
      </c>
      <c r="HO157" t="e">
        <f>AND(Bills!X558,"AAAAAFt2994=")</f>
        <v>#VALUE!</v>
      </c>
      <c r="HP157" t="e">
        <f>AND(Bills!#REF!,"AAAAAFt2998=")</f>
        <v>#REF!</v>
      </c>
      <c r="HQ157" t="e">
        <f>AND(Bills!#REF!,"AAAAAFt29+A=")</f>
        <v>#REF!</v>
      </c>
      <c r="HR157" t="e">
        <f>AND(Bills!#REF!,"AAAAAFt29+E=")</f>
        <v>#REF!</v>
      </c>
      <c r="HS157" t="e">
        <f>AND(Bills!#REF!,"AAAAAFt29+I=")</f>
        <v>#REF!</v>
      </c>
      <c r="HT157" t="e">
        <f>AND(Bills!#REF!,"AAAAAFt29+M=")</f>
        <v>#REF!</v>
      </c>
      <c r="HU157" t="e">
        <f>AND(Bills!#REF!,"AAAAAFt29+Q=")</f>
        <v>#REF!</v>
      </c>
      <c r="HV157" t="e">
        <f>AND(Bills!#REF!,"AAAAAFt29+U=")</f>
        <v>#REF!</v>
      </c>
      <c r="HW157" t="e">
        <f>AND(Bills!#REF!,"AAAAAFt29+Y=")</f>
        <v>#REF!</v>
      </c>
      <c r="HX157" t="e">
        <f>AND(Bills!#REF!,"AAAAAFt29+c=")</f>
        <v>#REF!</v>
      </c>
      <c r="HY157" t="e">
        <f>AND(Bills!Y558,"AAAAAFt29+g=")</f>
        <v>#VALUE!</v>
      </c>
      <c r="HZ157" t="e">
        <f>AND(Bills!Z558,"AAAAAFt29+k=")</f>
        <v>#VALUE!</v>
      </c>
      <c r="IA157" t="e">
        <f>AND(Bills!#REF!,"AAAAAFt29+o=")</f>
        <v>#REF!</v>
      </c>
      <c r="IB157" t="e">
        <f>AND(Bills!#REF!,"AAAAAFt29+s=")</f>
        <v>#REF!</v>
      </c>
      <c r="IC157" t="e">
        <f>AND(Bills!#REF!,"AAAAAFt29+w=")</f>
        <v>#REF!</v>
      </c>
      <c r="ID157" t="e">
        <f>AND(Bills!AA558,"AAAAAFt29+0=")</f>
        <v>#VALUE!</v>
      </c>
      <c r="IE157" t="e">
        <f>AND(Bills!AB558,"AAAAAFt29+4=")</f>
        <v>#VALUE!</v>
      </c>
      <c r="IF157" t="e">
        <f>AND(Bills!#REF!,"AAAAAFt29+8=")</f>
        <v>#REF!</v>
      </c>
      <c r="IG157">
        <f>IF(Bills!559:559,"AAAAAFt29/A=",0)</f>
        <v>0</v>
      </c>
      <c r="IH157" t="e">
        <f>AND(Bills!B559,"AAAAAFt29/E=")</f>
        <v>#VALUE!</v>
      </c>
      <c r="II157" t="e">
        <f>AND(Bills!#REF!,"AAAAAFt29/I=")</f>
        <v>#REF!</v>
      </c>
      <c r="IJ157" t="e">
        <f>AND(Bills!C559,"AAAAAFt29/M=")</f>
        <v>#VALUE!</v>
      </c>
      <c r="IK157" t="e">
        <f>AND(Bills!#REF!,"AAAAAFt29/Q=")</f>
        <v>#REF!</v>
      </c>
      <c r="IL157" t="e">
        <f>AND(Bills!#REF!,"AAAAAFt29/U=")</f>
        <v>#REF!</v>
      </c>
      <c r="IM157" t="e">
        <f>AND(Bills!#REF!,"AAAAAFt29/Y=")</f>
        <v>#REF!</v>
      </c>
      <c r="IN157" t="e">
        <f>AND(Bills!#REF!,"AAAAAFt29/c=")</f>
        <v>#REF!</v>
      </c>
      <c r="IO157" t="e">
        <f>AND(Bills!#REF!,"AAAAAFt29/g=")</f>
        <v>#REF!</v>
      </c>
      <c r="IP157" t="e">
        <f>AND(Bills!D559,"AAAAAFt29/k=")</f>
        <v>#VALUE!</v>
      </c>
      <c r="IQ157" t="e">
        <f>AND(Bills!#REF!,"AAAAAFt29/o=")</f>
        <v>#REF!</v>
      </c>
      <c r="IR157" t="e">
        <f>AND(Bills!E559,"AAAAAFt29/s=")</f>
        <v>#VALUE!</v>
      </c>
      <c r="IS157" t="e">
        <f>AND(Bills!F559,"AAAAAFt29/w=")</f>
        <v>#VALUE!</v>
      </c>
      <c r="IT157" t="e">
        <f>AND(Bills!G559,"AAAAAFt29/0=")</f>
        <v>#VALUE!</v>
      </c>
      <c r="IU157" t="e">
        <f>AND(Bills!H559,"AAAAAFt29/4=")</f>
        <v>#VALUE!</v>
      </c>
      <c r="IV157" t="e">
        <f>AND(Bills!I559,"AAAAAFt29/8=")</f>
        <v>#VALUE!</v>
      </c>
    </row>
    <row r="158" spans="1:256">
      <c r="A158" t="e">
        <f>AND(Bills!J559,"AAAAAH+1fwA=")</f>
        <v>#VALUE!</v>
      </c>
      <c r="B158" t="e">
        <f>AND(Bills!#REF!,"AAAAAH+1fwE=")</f>
        <v>#REF!</v>
      </c>
      <c r="C158" t="e">
        <f>AND(Bills!K559,"AAAAAH+1fwI=")</f>
        <v>#VALUE!</v>
      </c>
      <c r="D158" t="e">
        <f>AND(Bills!L559,"AAAAAH+1fwM=")</f>
        <v>#VALUE!</v>
      </c>
      <c r="E158" t="e">
        <f>AND(Bills!M559,"AAAAAH+1fwQ=")</f>
        <v>#VALUE!</v>
      </c>
      <c r="F158" t="e">
        <f>AND(Bills!N559,"AAAAAH+1fwU=")</f>
        <v>#VALUE!</v>
      </c>
      <c r="G158" t="e">
        <f>AND(Bills!O559,"AAAAAH+1fwY=")</f>
        <v>#VALUE!</v>
      </c>
      <c r="H158" t="e">
        <f>AND(Bills!P559,"AAAAAH+1fwc=")</f>
        <v>#VALUE!</v>
      </c>
      <c r="I158" t="e">
        <f>AND(Bills!Q559,"AAAAAH+1fwg=")</f>
        <v>#VALUE!</v>
      </c>
      <c r="J158" t="e">
        <f>AND(Bills!R559,"AAAAAH+1fwk=")</f>
        <v>#VALUE!</v>
      </c>
      <c r="K158" t="e">
        <f>AND(Bills!#REF!,"AAAAAH+1fwo=")</f>
        <v>#REF!</v>
      </c>
      <c r="L158" t="e">
        <f>AND(Bills!S559,"AAAAAH+1fws=")</f>
        <v>#VALUE!</v>
      </c>
      <c r="M158" t="e">
        <f>AND(Bills!T559,"AAAAAH+1fww=")</f>
        <v>#VALUE!</v>
      </c>
      <c r="N158" t="e">
        <f>AND(Bills!U559,"AAAAAH+1fw0=")</f>
        <v>#VALUE!</v>
      </c>
      <c r="O158" t="e">
        <f>AND(Bills!#REF!,"AAAAAH+1fw4=")</f>
        <v>#REF!</v>
      </c>
      <c r="P158" t="e">
        <f>AND(Bills!#REF!,"AAAAAH+1fw8=")</f>
        <v>#REF!</v>
      </c>
      <c r="Q158" t="e">
        <f>AND(Bills!W559,"AAAAAH+1fxA=")</f>
        <v>#VALUE!</v>
      </c>
      <c r="R158" t="e">
        <f>AND(Bills!X559,"AAAAAH+1fxE=")</f>
        <v>#VALUE!</v>
      </c>
      <c r="S158" t="e">
        <f>AND(Bills!#REF!,"AAAAAH+1fxI=")</f>
        <v>#REF!</v>
      </c>
      <c r="T158" t="e">
        <f>AND(Bills!#REF!,"AAAAAH+1fxM=")</f>
        <v>#REF!</v>
      </c>
      <c r="U158" t="e">
        <f>AND(Bills!#REF!,"AAAAAH+1fxQ=")</f>
        <v>#REF!</v>
      </c>
      <c r="V158" t="e">
        <f>AND(Bills!#REF!,"AAAAAH+1fxU=")</f>
        <v>#REF!</v>
      </c>
      <c r="W158" t="e">
        <f>AND(Bills!#REF!,"AAAAAH+1fxY=")</f>
        <v>#REF!</v>
      </c>
      <c r="X158" t="e">
        <f>AND(Bills!#REF!,"AAAAAH+1fxc=")</f>
        <v>#REF!</v>
      </c>
      <c r="Y158" t="e">
        <f>AND(Bills!#REF!,"AAAAAH+1fxg=")</f>
        <v>#REF!</v>
      </c>
      <c r="Z158" t="e">
        <f>AND(Bills!#REF!,"AAAAAH+1fxk=")</f>
        <v>#REF!</v>
      </c>
      <c r="AA158" t="e">
        <f>AND(Bills!#REF!,"AAAAAH+1fxo=")</f>
        <v>#REF!</v>
      </c>
      <c r="AB158" t="e">
        <f>AND(Bills!Y559,"AAAAAH+1fxs=")</f>
        <v>#VALUE!</v>
      </c>
      <c r="AC158" t="e">
        <f>AND(Bills!Z559,"AAAAAH+1fxw=")</f>
        <v>#VALUE!</v>
      </c>
      <c r="AD158" t="e">
        <f>AND(Bills!#REF!,"AAAAAH+1fx0=")</f>
        <v>#REF!</v>
      </c>
      <c r="AE158" t="e">
        <f>AND(Bills!#REF!,"AAAAAH+1fx4=")</f>
        <v>#REF!</v>
      </c>
      <c r="AF158" t="e">
        <f>AND(Bills!#REF!,"AAAAAH+1fx8=")</f>
        <v>#REF!</v>
      </c>
      <c r="AG158" t="e">
        <f>AND(Bills!AA559,"AAAAAH+1fyA=")</f>
        <v>#VALUE!</v>
      </c>
      <c r="AH158" t="e">
        <f>AND(Bills!AB559,"AAAAAH+1fyE=")</f>
        <v>#VALUE!</v>
      </c>
      <c r="AI158" t="e">
        <f>AND(Bills!#REF!,"AAAAAH+1fyI=")</f>
        <v>#REF!</v>
      </c>
      <c r="AJ158">
        <f>IF(Bills!560:560,"AAAAAH+1fyM=",0)</f>
        <v>0</v>
      </c>
      <c r="AK158" t="e">
        <f>AND(Bills!B560,"AAAAAH+1fyQ=")</f>
        <v>#VALUE!</v>
      </c>
      <c r="AL158" t="e">
        <f>AND(Bills!#REF!,"AAAAAH+1fyU=")</f>
        <v>#REF!</v>
      </c>
      <c r="AM158" t="e">
        <f>AND(Bills!C560,"AAAAAH+1fyY=")</f>
        <v>#VALUE!</v>
      </c>
      <c r="AN158" t="e">
        <f>AND(Bills!#REF!,"AAAAAH+1fyc=")</f>
        <v>#REF!</v>
      </c>
      <c r="AO158" t="e">
        <f>AND(Bills!#REF!,"AAAAAH+1fyg=")</f>
        <v>#REF!</v>
      </c>
      <c r="AP158" t="e">
        <f>AND(Bills!#REF!,"AAAAAH+1fyk=")</f>
        <v>#REF!</v>
      </c>
      <c r="AQ158" t="e">
        <f>AND(Bills!#REF!,"AAAAAH+1fyo=")</f>
        <v>#REF!</v>
      </c>
      <c r="AR158" t="e">
        <f>AND(Bills!#REF!,"AAAAAH+1fys=")</f>
        <v>#REF!</v>
      </c>
      <c r="AS158" t="e">
        <f>AND(Bills!D560,"AAAAAH+1fyw=")</f>
        <v>#VALUE!</v>
      </c>
      <c r="AT158" t="e">
        <f>AND(Bills!#REF!,"AAAAAH+1fy0=")</f>
        <v>#REF!</v>
      </c>
      <c r="AU158" t="e">
        <f>AND(Bills!E560,"AAAAAH+1fy4=")</f>
        <v>#VALUE!</v>
      </c>
      <c r="AV158" t="e">
        <f>AND(Bills!F560,"AAAAAH+1fy8=")</f>
        <v>#VALUE!</v>
      </c>
      <c r="AW158" t="e">
        <f>AND(Bills!G560,"AAAAAH+1fzA=")</f>
        <v>#VALUE!</v>
      </c>
      <c r="AX158" t="e">
        <f>AND(Bills!H560,"AAAAAH+1fzE=")</f>
        <v>#VALUE!</v>
      </c>
      <c r="AY158" t="e">
        <f>AND(Bills!I560,"AAAAAH+1fzI=")</f>
        <v>#VALUE!</v>
      </c>
      <c r="AZ158" t="e">
        <f>AND(Bills!J560,"AAAAAH+1fzM=")</f>
        <v>#VALUE!</v>
      </c>
      <c r="BA158" t="e">
        <f>AND(Bills!#REF!,"AAAAAH+1fzQ=")</f>
        <v>#REF!</v>
      </c>
      <c r="BB158" t="e">
        <f>AND(Bills!K560,"AAAAAH+1fzU=")</f>
        <v>#VALUE!</v>
      </c>
      <c r="BC158" t="e">
        <f>AND(Bills!L560,"AAAAAH+1fzY=")</f>
        <v>#VALUE!</v>
      </c>
      <c r="BD158" t="e">
        <f>AND(Bills!M560,"AAAAAH+1fzc=")</f>
        <v>#VALUE!</v>
      </c>
      <c r="BE158" t="e">
        <f>AND(Bills!N560,"AAAAAH+1fzg=")</f>
        <v>#VALUE!</v>
      </c>
      <c r="BF158" t="e">
        <f>AND(Bills!O560,"AAAAAH+1fzk=")</f>
        <v>#VALUE!</v>
      </c>
      <c r="BG158" t="e">
        <f>AND(Bills!P560,"AAAAAH+1fzo=")</f>
        <v>#VALUE!</v>
      </c>
      <c r="BH158" t="e">
        <f>AND(Bills!Q560,"AAAAAH+1fzs=")</f>
        <v>#VALUE!</v>
      </c>
      <c r="BI158" t="e">
        <f>AND(Bills!R560,"AAAAAH+1fzw=")</f>
        <v>#VALUE!</v>
      </c>
      <c r="BJ158" t="e">
        <f>AND(Bills!#REF!,"AAAAAH+1fz0=")</f>
        <v>#REF!</v>
      </c>
      <c r="BK158" t="e">
        <f>AND(Bills!S560,"AAAAAH+1fz4=")</f>
        <v>#VALUE!</v>
      </c>
      <c r="BL158" t="e">
        <f>AND(Bills!T560,"AAAAAH+1fz8=")</f>
        <v>#VALUE!</v>
      </c>
      <c r="BM158" t="e">
        <f>AND(Bills!U560,"AAAAAH+1f0A=")</f>
        <v>#VALUE!</v>
      </c>
      <c r="BN158" t="e">
        <f>AND(Bills!#REF!,"AAAAAH+1f0E=")</f>
        <v>#REF!</v>
      </c>
      <c r="BO158" t="e">
        <f>AND(Bills!#REF!,"AAAAAH+1f0I=")</f>
        <v>#REF!</v>
      </c>
      <c r="BP158" t="e">
        <f>AND(Bills!W560,"AAAAAH+1f0M=")</f>
        <v>#VALUE!</v>
      </c>
      <c r="BQ158" t="e">
        <f>AND(Bills!X560,"AAAAAH+1f0Q=")</f>
        <v>#VALUE!</v>
      </c>
      <c r="BR158" t="e">
        <f>AND(Bills!#REF!,"AAAAAH+1f0U=")</f>
        <v>#REF!</v>
      </c>
      <c r="BS158" t="e">
        <f>AND(Bills!#REF!,"AAAAAH+1f0Y=")</f>
        <v>#REF!</v>
      </c>
      <c r="BT158" t="e">
        <f>AND(Bills!#REF!,"AAAAAH+1f0c=")</f>
        <v>#REF!</v>
      </c>
      <c r="BU158" t="e">
        <f>AND(Bills!#REF!,"AAAAAH+1f0g=")</f>
        <v>#REF!</v>
      </c>
      <c r="BV158" t="e">
        <f>AND(Bills!#REF!,"AAAAAH+1f0k=")</f>
        <v>#REF!</v>
      </c>
      <c r="BW158" t="e">
        <f>AND(Bills!#REF!,"AAAAAH+1f0o=")</f>
        <v>#REF!</v>
      </c>
      <c r="BX158" t="e">
        <f>AND(Bills!#REF!,"AAAAAH+1f0s=")</f>
        <v>#REF!</v>
      </c>
      <c r="BY158" t="e">
        <f>AND(Bills!#REF!,"AAAAAH+1f0w=")</f>
        <v>#REF!</v>
      </c>
      <c r="BZ158" t="e">
        <f>AND(Bills!#REF!,"AAAAAH+1f00=")</f>
        <v>#REF!</v>
      </c>
      <c r="CA158" t="e">
        <f>AND(Bills!Y560,"AAAAAH+1f04=")</f>
        <v>#VALUE!</v>
      </c>
      <c r="CB158" t="e">
        <f>AND(Bills!Z560,"AAAAAH+1f08=")</f>
        <v>#VALUE!</v>
      </c>
      <c r="CC158" t="e">
        <f>AND(Bills!#REF!,"AAAAAH+1f1A=")</f>
        <v>#REF!</v>
      </c>
      <c r="CD158" t="e">
        <f>AND(Bills!#REF!,"AAAAAH+1f1E=")</f>
        <v>#REF!</v>
      </c>
      <c r="CE158" t="e">
        <f>AND(Bills!#REF!,"AAAAAH+1f1I=")</f>
        <v>#REF!</v>
      </c>
      <c r="CF158" t="e">
        <f>AND(Bills!AA560,"AAAAAH+1f1M=")</f>
        <v>#VALUE!</v>
      </c>
      <c r="CG158" t="e">
        <f>AND(Bills!AB560,"AAAAAH+1f1Q=")</f>
        <v>#VALUE!</v>
      </c>
      <c r="CH158" t="e">
        <f>AND(Bills!#REF!,"AAAAAH+1f1U=")</f>
        <v>#REF!</v>
      </c>
      <c r="CI158">
        <f>IF(Bills!561:561,"AAAAAH+1f1Y=",0)</f>
        <v>0</v>
      </c>
      <c r="CJ158" t="e">
        <f>AND(Bills!B561,"AAAAAH+1f1c=")</f>
        <v>#VALUE!</v>
      </c>
      <c r="CK158" t="e">
        <f>AND(Bills!#REF!,"AAAAAH+1f1g=")</f>
        <v>#REF!</v>
      </c>
      <c r="CL158" t="e">
        <f>AND(Bills!C561,"AAAAAH+1f1k=")</f>
        <v>#VALUE!</v>
      </c>
      <c r="CM158" t="e">
        <f>AND(Bills!#REF!,"AAAAAH+1f1o=")</f>
        <v>#REF!</v>
      </c>
      <c r="CN158" t="e">
        <f>AND(Bills!#REF!,"AAAAAH+1f1s=")</f>
        <v>#REF!</v>
      </c>
      <c r="CO158" t="e">
        <f>AND(Bills!#REF!,"AAAAAH+1f1w=")</f>
        <v>#REF!</v>
      </c>
      <c r="CP158" t="e">
        <f>AND(Bills!#REF!,"AAAAAH+1f10=")</f>
        <v>#REF!</v>
      </c>
      <c r="CQ158" t="e">
        <f>AND(Bills!#REF!,"AAAAAH+1f14=")</f>
        <v>#REF!</v>
      </c>
      <c r="CR158" t="e">
        <f>AND(Bills!D561,"AAAAAH+1f18=")</f>
        <v>#VALUE!</v>
      </c>
      <c r="CS158" t="e">
        <f>AND(Bills!#REF!,"AAAAAH+1f2A=")</f>
        <v>#REF!</v>
      </c>
      <c r="CT158" t="e">
        <f>AND(Bills!E561,"AAAAAH+1f2E=")</f>
        <v>#VALUE!</v>
      </c>
      <c r="CU158" t="e">
        <f>AND(Bills!F561,"AAAAAH+1f2I=")</f>
        <v>#VALUE!</v>
      </c>
      <c r="CV158" t="e">
        <f>AND(Bills!G561,"AAAAAH+1f2M=")</f>
        <v>#VALUE!</v>
      </c>
      <c r="CW158" t="e">
        <f>AND(Bills!H561,"AAAAAH+1f2Q=")</f>
        <v>#VALUE!</v>
      </c>
      <c r="CX158" t="e">
        <f>AND(Bills!I561,"AAAAAH+1f2U=")</f>
        <v>#VALUE!</v>
      </c>
      <c r="CY158" t="e">
        <f>AND(Bills!J561,"AAAAAH+1f2Y=")</f>
        <v>#VALUE!</v>
      </c>
      <c r="CZ158" t="e">
        <f>AND(Bills!#REF!,"AAAAAH+1f2c=")</f>
        <v>#REF!</v>
      </c>
      <c r="DA158" t="e">
        <f>AND(Bills!K561,"AAAAAH+1f2g=")</f>
        <v>#VALUE!</v>
      </c>
      <c r="DB158" t="e">
        <f>AND(Bills!L561,"AAAAAH+1f2k=")</f>
        <v>#VALUE!</v>
      </c>
      <c r="DC158" t="e">
        <f>AND(Bills!M561,"AAAAAH+1f2o=")</f>
        <v>#VALUE!</v>
      </c>
      <c r="DD158" t="e">
        <f>AND(Bills!N561,"AAAAAH+1f2s=")</f>
        <v>#VALUE!</v>
      </c>
      <c r="DE158" t="e">
        <f>AND(Bills!O561,"AAAAAH+1f2w=")</f>
        <v>#VALUE!</v>
      </c>
      <c r="DF158" t="e">
        <f>AND(Bills!P561,"AAAAAH+1f20=")</f>
        <v>#VALUE!</v>
      </c>
      <c r="DG158" t="e">
        <f>AND(Bills!Q561,"AAAAAH+1f24=")</f>
        <v>#VALUE!</v>
      </c>
      <c r="DH158" t="e">
        <f>AND(Bills!R561,"AAAAAH+1f28=")</f>
        <v>#VALUE!</v>
      </c>
      <c r="DI158" t="e">
        <f>AND(Bills!#REF!,"AAAAAH+1f3A=")</f>
        <v>#REF!</v>
      </c>
      <c r="DJ158" t="e">
        <f>AND(Bills!S561,"AAAAAH+1f3E=")</f>
        <v>#VALUE!</v>
      </c>
      <c r="DK158" t="e">
        <f>AND(Bills!T561,"AAAAAH+1f3I=")</f>
        <v>#VALUE!</v>
      </c>
      <c r="DL158" t="e">
        <f>AND(Bills!U561,"AAAAAH+1f3M=")</f>
        <v>#VALUE!</v>
      </c>
      <c r="DM158" t="e">
        <f>AND(Bills!#REF!,"AAAAAH+1f3Q=")</f>
        <v>#REF!</v>
      </c>
      <c r="DN158" t="e">
        <f>AND(Bills!#REF!,"AAAAAH+1f3U=")</f>
        <v>#REF!</v>
      </c>
      <c r="DO158" t="e">
        <f>AND(Bills!W561,"AAAAAH+1f3Y=")</f>
        <v>#VALUE!</v>
      </c>
      <c r="DP158" t="e">
        <f>AND(Bills!X561,"AAAAAH+1f3c=")</f>
        <v>#VALUE!</v>
      </c>
      <c r="DQ158" t="e">
        <f>AND(Bills!#REF!,"AAAAAH+1f3g=")</f>
        <v>#REF!</v>
      </c>
      <c r="DR158" t="e">
        <f>AND(Bills!#REF!,"AAAAAH+1f3k=")</f>
        <v>#REF!</v>
      </c>
      <c r="DS158" t="e">
        <f>AND(Bills!#REF!,"AAAAAH+1f3o=")</f>
        <v>#REF!</v>
      </c>
      <c r="DT158" t="e">
        <f>AND(Bills!#REF!,"AAAAAH+1f3s=")</f>
        <v>#REF!</v>
      </c>
      <c r="DU158" t="e">
        <f>AND(Bills!#REF!,"AAAAAH+1f3w=")</f>
        <v>#REF!</v>
      </c>
      <c r="DV158" t="e">
        <f>AND(Bills!#REF!,"AAAAAH+1f30=")</f>
        <v>#REF!</v>
      </c>
      <c r="DW158" t="e">
        <f>AND(Bills!#REF!,"AAAAAH+1f34=")</f>
        <v>#REF!</v>
      </c>
      <c r="DX158" t="e">
        <f>AND(Bills!#REF!,"AAAAAH+1f38=")</f>
        <v>#REF!</v>
      </c>
      <c r="DY158" t="e">
        <f>AND(Bills!#REF!,"AAAAAH+1f4A=")</f>
        <v>#REF!</v>
      </c>
      <c r="DZ158" t="e">
        <f>AND(Bills!Y561,"AAAAAH+1f4E=")</f>
        <v>#VALUE!</v>
      </c>
      <c r="EA158" t="e">
        <f>AND(Bills!Z561,"AAAAAH+1f4I=")</f>
        <v>#VALUE!</v>
      </c>
      <c r="EB158" t="e">
        <f>AND(Bills!#REF!,"AAAAAH+1f4M=")</f>
        <v>#REF!</v>
      </c>
      <c r="EC158" t="e">
        <f>AND(Bills!#REF!,"AAAAAH+1f4Q=")</f>
        <v>#REF!</v>
      </c>
      <c r="ED158" t="e">
        <f>AND(Bills!#REF!,"AAAAAH+1f4U=")</f>
        <v>#REF!</v>
      </c>
      <c r="EE158" t="e">
        <f>AND(Bills!AA561,"AAAAAH+1f4Y=")</f>
        <v>#VALUE!</v>
      </c>
      <c r="EF158" t="e">
        <f>AND(Bills!AB561,"AAAAAH+1f4c=")</f>
        <v>#VALUE!</v>
      </c>
      <c r="EG158" t="e">
        <f>AND(Bills!#REF!,"AAAAAH+1f4g=")</f>
        <v>#REF!</v>
      </c>
      <c r="EH158">
        <f>IF(Bills!562:562,"AAAAAH+1f4k=",0)</f>
        <v>0</v>
      </c>
      <c r="EI158" t="e">
        <f>AND(Bills!B562,"AAAAAH+1f4o=")</f>
        <v>#VALUE!</v>
      </c>
      <c r="EJ158" t="e">
        <f>AND(Bills!#REF!,"AAAAAH+1f4s=")</f>
        <v>#REF!</v>
      </c>
      <c r="EK158" t="e">
        <f>AND(Bills!C562,"AAAAAH+1f4w=")</f>
        <v>#VALUE!</v>
      </c>
      <c r="EL158" t="e">
        <f>AND(Bills!#REF!,"AAAAAH+1f40=")</f>
        <v>#REF!</v>
      </c>
      <c r="EM158" t="e">
        <f>AND(Bills!#REF!,"AAAAAH+1f44=")</f>
        <v>#REF!</v>
      </c>
      <c r="EN158" t="e">
        <f>AND(Bills!#REF!,"AAAAAH+1f48=")</f>
        <v>#REF!</v>
      </c>
      <c r="EO158" t="e">
        <f>AND(Bills!#REF!,"AAAAAH+1f5A=")</f>
        <v>#REF!</v>
      </c>
      <c r="EP158" t="e">
        <f>AND(Bills!#REF!,"AAAAAH+1f5E=")</f>
        <v>#REF!</v>
      </c>
      <c r="EQ158" t="e">
        <f>AND(Bills!D562,"AAAAAH+1f5I=")</f>
        <v>#VALUE!</v>
      </c>
      <c r="ER158" t="e">
        <f>AND(Bills!#REF!,"AAAAAH+1f5M=")</f>
        <v>#REF!</v>
      </c>
      <c r="ES158" t="e">
        <f>AND(Bills!E562,"AAAAAH+1f5Q=")</f>
        <v>#VALUE!</v>
      </c>
      <c r="ET158" t="e">
        <f>AND(Bills!F562,"AAAAAH+1f5U=")</f>
        <v>#VALUE!</v>
      </c>
      <c r="EU158" t="e">
        <f>AND(Bills!G562,"AAAAAH+1f5Y=")</f>
        <v>#VALUE!</v>
      </c>
      <c r="EV158" t="e">
        <f>AND(Bills!H562,"AAAAAH+1f5c=")</f>
        <v>#VALUE!</v>
      </c>
      <c r="EW158" t="e">
        <f>AND(Bills!I562,"AAAAAH+1f5g=")</f>
        <v>#VALUE!</v>
      </c>
      <c r="EX158" t="e">
        <f>AND(Bills!J562,"AAAAAH+1f5k=")</f>
        <v>#VALUE!</v>
      </c>
      <c r="EY158" t="e">
        <f>AND(Bills!#REF!,"AAAAAH+1f5o=")</f>
        <v>#REF!</v>
      </c>
      <c r="EZ158" t="e">
        <f>AND(Bills!K562,"AAAAAH+1f5s=")</f>
        <v>#VALUE!</v>
      </c>
      <c r="FA158" t="e">
        <f>AND(Bills!L562,"AAAAAH+1f5w=")</f>
        <v>#VALUE!</v>
      </c>
      <c r="FB158" t="e">
        <f>AND(Bills!M562,"AAAAAH+1f50=")</f>
        <v>#VALUE!</v>
      </c>
      <c r="FC158" t="e">
        <f>AND(Bills!N562,"AAAAAH+1f54=")</f>
        <v>#VALUE!</v>
      </c>
      <c r="FD158" t="e">
        <f>AND(Bills!O562,"AAAAAH+1f58=")</f>
        <v>#VALUE!</v>
      </c>
      <c r="FE158" t="e">
        <f>AND(Bills!P562,"AAAAAH+1f6A=")</f>
        <v>#VALUE!</v>
      </c>
      <c r="FF158" t="e">
        <f>AND(Bills!Q562,"AAAAAH+1f6E=")</f>
        <v>#VALUE!</v>
      </c>
      <c r="FG158" t="e">
        <f>AND(Bills!R562,"AAAAAH+1f6I=")</f>
        <v>#VALUE!</v>
      </c>
      <c r="FH158" t="e">
        <f>AND(Bills!#REF!,"AAAAAH+1f6M=")</f>
        <v>#REF!</v>
      </c>
      <c r="FI158" t="e">
        <f>AND(Bills!S562,"AAAAAH+1f6Q=")</f>
        <v>#VALUE!</v>
      </c>
      <c r="FJ158" t="e">
        <f>AND(Bills!T562,"AAAAAH+1f6U=")</f>
        <v>#VALUE!</v>
      </c>
      <c r="FK158" t="e">
        <f>AND(Bills!U562,"AAAAAH+1f6Y=")</f>
        <v>#VALUE!</v>
      </c>
      <c r="FL158" t="e">
        <f>AND(Bills!#REF!,"AAAAAH+1f6c=")</f>
        <v>#REF!</v>
      </c>
      <c r="FM158" t="e">
        <f>AND(Bills!#REF!,"AAAAAH+1f6g=")</f>
        <v>#REF!</v>
      </c>
      <c r="FN158" t="e">
        <f>AND(Bills!W562,"AAAAAH+1f6k=")</f>
        <v>#VALUE!</v>
      </c>
      <c r="FO158" t="e">
        <f>AND(Bills!X562,"AAAAAH+1f6o=")</f>
        <v>#VALUE!</v>
      </c>
      <c r="FP158" t="e">
        <f>AND(Bills!#REF!,"AAAAAH+1f6s=")</f>
        <v>#REF!</v>
      </c>
      <c r="FQ158" t="e">
        <f>AND(Bills!#REF!,"AAAAAH+1f6w=")</f>
        <v>#REF!</v>
      </c>
      <c r="FR158" t="e">
        <f>AND(Bills!#REF!,"AAAAAH+1f60=")</f>
        <v>#REF!</v>
      </c>
      <c r="FS158" t="e">
        <f>AND(Bills!#REF!,"AAAAAH+1f64=")</f>
        <v>#REF!</v>
      </c>
      <c r="FT158" t="e">
        <f>AND(Bills!#REF!,"AAAAAH+1f68=")</f>
        <v>#REF!</v>
      </c>
      <c r="FU158" t="e">
        <f>AND(Bills!#REF!,"AAAAAH+1f7A=")</f>
        <v>#REF!</v>
      </c>
      <c r="FV158" t="e">
        <f>AND(Bills!#REF!,"AAAAAH+1f7E=")</f>
        <v>#REF!</v>
      </c>
      <c r="FW158" t="e">
        <f>AND(Bills!#REF!,"AAAAAH+1f7I=")</f>
        <v>#REF!</v>
      </c>
      <c r="FX158" t="e">
        <f>AND(Bills!#REF!,"AAAAAH+1f7M=")</f>
        <v>#REF!</v>
      </c>
      <c r="FY158" t="e">
        <f>AND(Bills!Y562,"AAAAAH+1f7Q=")</f>
        <v>#VALUE!</v>
      </c>
      <c r="FZ158" t="e">
        <f>AND(Bills!Z562,"AAAAAH+1f7U=")</f>
        <v>#VALUE!</v>
      </c>
      <c r="GA158" t="e">
        <f>AND(Bills!#REF!,"AAAAAH+1f7Y=")</f>
        <v>#REF!</v>
      </c>
      <c r="GB158" t="e">
        <f>AND(Bills!#REF!,"AAAAAH+1f7c=")</f>
        <v>#REF!</v>
      </c>
      <c r="GC158" t="e">
        <f>AND(Bills!#REF!,"AAAAAH+1f7g=")</f>
        <v>#REF!</v>
      </c>
      <c r="GD158" t="e">
        <f>AND(Bills!AA562,"AAAAAH+1f7k=")</f>
        <v>#VALUE!</v>
      </c>
      <c r="GE158" t="e">
        <f>AND(Bills!AB562,"AAAAAH+1f7o=")</f>
        <v>#VALUE!</v>
      </c>
      <c r="GF158" t="e">
        <f>AND(Bills!#REF!,"AAAAAH+1f7s=")</f>
        <v>#REF!</v>
      </c>
      <c r="GG158">
        <f>IF(Bills!563:563,"AAAAAH+1f7w=",0)</f>
        <v>0</v>
      </c>
      <c r="GH158" t="e">
        <f>AND(Bills!B563,"AAAAAH+1f70=")</f>
        <v>#VALUE!</v>
      </c>
      <c r="GI158" t="e">
        <f>AND(Bills!#REF!,"AAAAAH+1f74=")</f>
        <v>#REF!</v>
      </c>
      <c r="GJ158" t="e">
        <f>AND(Bills!C563,"AAAAAH+1f78=")</f>
        <v>#VALUE!</v>
      </c>
      <c r="GK158" t="e">
        <f>AND(Bills!#REF!,"AAAAAH+1f8A=")</f>
        <v>#REF!</v>
      </c>
      <c r="GL158" t="e">
        <f>AND(Bills!#REF!,"AAAAAH+1f8E=")</f>
        <v>#REF!</v>
      </c>
      <c r="GM158" t="e">
        <f>AND(Bills!#REF!,"AAAAAH+1f8I=")</f>
        <v>#REF!</v>
      </c>
      <c r="GN158" t="e">
        <f>AND(Bills!#REF!,"AAAAAH+1f8M=")</f>
        <v>#REF!</v>
      </c>
      <c r="GO158" t="e">
        <f>AND(Bills!#REF!,"AAAAAH+1f8Q=")</f>
        <v>#REF!</v>
      </c>
      <c r="GP158" t="e">
        <f>AND(Bills!D563,"AAAAAH+1f8U=")</f>
        <v>#VALUE!</v>
      </c>
      <c r="GQ158" t="e">
        <f>AND(Bills!#REF!,"AAAAAH+1f8Y=")</f>
        <v>#REF!</v>
      </c>
      <c r="GR158" t="e">
        <f>AND(Bills!E563,"AAAAAH+1f8c=")</f>
        <v>#VALUE!</v>
      </c>
      <c r="GS158" t="e">
        <f>AND(Bills!F563,"AAAAAH+1f8g=")</f>
        <v>#VALUE!</v>
      </c>
      <c r="GT158" t="e">
        <f>AND(Bills!G563,"AAAAAH+1f8k=")</f>
        <v>#VALUE!</v>
      </c>
      <c r="GU158" t="e">
        <f>AND(Bills!H563,"AAAAAH+1f8o=")</f>
        <v>#VALUE!</v>
      </c>
      <c r="GV158" t="e">
        <f>AND(Bills!I563,"AAAAAH+1f8s=")</f>
        <v>#VALUE!</v>
      </c>
      <c r="GW158" t="e">
        <f>AND(Bills!J563,"AAAAAH+1f8w=")</f>
        <v>#VALUE!</v>
      </c>
      <c r="GX158" t="e">
        <f>AND(Bills!#REF!,"AAAAAH+1f80=")</f>
        <v>#REF!</v>
      </c>
      <c r="GY158" t="e">
        <f>AND(Bills!K563,"AAAAAH+1f84=")</f>
        <v>#VALUE!</v>
      </c>
      <c r="GZ158" t="e">
        <f>AND(Bills!L563,"AAAAAH+1f88=")</f>
        <v>#VALUE!</v>
      </c>
      <c r="HA158" t="e">
        <f>AND(Bills!M563,"AAAAAH+1f9A=")</f>
        <v>#VALUE!</v>
      </c>
      <c r="HB158" t="e">
        <f>AND(Bills!N563,"AAAAAH+1f9E=")</f>
        <v>#VALUE!</v>
      </c>
      <c r="HC158" t="e">
        <f>AND(Bills!O563,"AAAAAH+1f9I=")</f>
        <v>#VALUE!</v>
      </c>
      <c r="HD158" t="e">
        <f>AND(Bills!P563,"AAAAAH+1f9M=")</f>
        <v>#VALUE!</v>
      </c>
      <c r="HE158" t="e">
        <f>AND(Bills!Q563,"AAAAAH+1f9Q=")</f>
        <v>#VALUE!</v>
      </c>
      <c r="HF158" t="e">
        <f>AND(Bills!R563,"AAAAAH+1f9U=")</f>
        <v>#VALUE!</v>
      </c>
      <c r="HG158" t="e">
        <f>AND(Bills!#REF!,"AAAAAH+1f9Y=")</f>
        <v>#REF!</v>
      </c>
      <c r="HH158" t="e">
        <f>AND(Bills!S563,"AAAAAH+1f9c=")</f>
        <v>#VALUE!</v>
      </c>
      <c r="HI158" t="e">
        <f>AND(Bills!T563,"AAAAAH+1f9g=")</f>
        <v>#VALUE!</v>
      </c>
      <c r="HJ158" t="e">
        <f>AND(Bills!U563,"AAAAAH+1f9k=")</f>
        <v>#VALUE!</v>
      </c>
      <c r="HK158" t="e">
        <f>AND(Bills!#REF!,"AAAAAH+1f9o=")</f>
        <v>#REF!</v>
      </c>
      <c r="HL158" t="e">
        <f>AND(Bills!#REF!,"AAAAAH+1f9s=")</f>
        <v>#REF!</v>
      </c>
      <c r="HM158" t="e">
        <f>AND(Bills!W563,"AAAAAH+1f9w=")</f>
        <v>#VALUE!</v>
      </c>
      <c r="HN158" t="e">
        <f>AND(Bills!X563,"AAAAAH+1f90=")</f>
        <v>#VALUE!</v>
      </c>
      <c r="HO158" t="e">
        <f>AND(Bills!#REF!,"AAAAAH+1f94=")</f>
        <v>#REF!</v>
      </c>
      <c r="HP158" t="e">
        <f>AND(Bills!#REF!,"AAAAAH+1f98=")</f>
        <v>#REF!</v>
      </c>
      <c r="HQ158" t="e">
        <f>AND(Bills!#REF!,"AAAAAH+1f+A=")</f>
        <v>#REF!</v>
      </c>
      <c r="HR158" t="e">
        <f>AND(Bills!#REF!,"AAAAAH+1f+E=")</f>
        <v>#REF!</v>
      </c>
      <c r="HS158" t="e">
        <f>AND(Bills!#REF!,"AAAAAH+1f+I=")</f>
        <v>#REF!</v>
      </c>
      <c r="HT158" t="e">
        <f>AND(Bills!#REF!,"AAAAAH+1f+M=")</f>
        <v>#REF!</v>
      </c>
      <c r="HU158" t="e">
        <f>AND(Bills!#REF!,"AAAAAH+1f+Q=")</f>
        <v>#REF!</v>
      </c>
      <c r="HV158" t="e">
        <f>AND(Bills!#REF!,"AAAAAH+1f+U=")</f>
        <v>#REF!</v>
      </c>
      <c r="HW158" t="e">
        <f>AND(Bills!#REF!,"AAAAAH+1f+Y=")</f>
        <v>#REF!</v>
      </c>
      <c r="HX158" t="e">
        <f>AND(Bills!Y563,"AAAAAH+1f+c=")</f>
        <v>#VALUE!</v>
      </c>
      <c r="HY158" t="e">
        <f>AND(Bills!Z563,"AAAAAH+1f+g=")</f>
        <v>#VALUE!</v>
      </c>
      <c r="HZ158" t="e">
        <f>AND(Bills!#REF!,"AAAAAH+1f+k=")</f>
        <v>#REF!</v>
      </c>
      <c r="IA158" t="e">
        <f>AND(Bills!#REF!,"AAAAAH+1f+o=")</f>
        <v>#REF!</v>
      </c>
      <c r="IB158" t="e">
        <f>AND(Bills!#REF!,"AAAAAH+1f+s=")</f>
        <v>#REF!</v>
      </c>
      <c r="IC158" t="e">
        <f>AND(Bills!AA563,"AAAAAH+1f+w=")</f>
        <v>#VALUE!</v>
      </c>
      <c r="ID158" t="e">
        <f>AND(Bills!AB563,"AAAAAH+1f+0=")</f>
        <v>#VALUE!</v>
      </c>
      <c r="IE158" t="e">
        <f>AND(Bills!#REF!,"AAAAAH+1f+4=")</f>
        <v>#REF!</v>
      </c>
      <c r="IF158">
        <f>IF(Bills!564:564,"AAAAAH+1f+8=",0)</f>
        <v>0</v>
      </c>
      <c r="IG158" t="e">
        <f>AND(Bills!B564,"AAAAAH+1f/A=")</f>
        <v>#VALUE!</v>
      </c>
      <c r="IH158" t="e">
        <f>AND(Bills!#REF!,"AAAAAH+1f/E=")</f>
        <v>#REF!</v>
      </c>
      <c r="II158" t="e">
        <f>AND(Bills!C564,"AAAAAH+1f/I=")</f>
        <v>#VALUE!</v>
      </c>
      <c r="IJ158" t="e">
        <f>AND(Bills!#REF!,"AAAAAH+1f/M=")</f>
        <v>#REF!</v>
      </c>
      <c r="IK158" t="e">
        <f>AND(Bills!#REF!,"AAAAAH+1f/Q=")</f>
        <v>#REF!</v>
      </c>
      <c r="IL158" t="e">
        <f>AND(Bills!#REF!,"AAAAAH+1f/U=")</f>
        <v>#REF!</v>
      </c>
      <c r="IM158" t="e">
        <f>AND(Bills!#REF!,"AAAAAH+1f/Y=")</f>
        <v>#REF!</v>
      </c>
      <c r="IN158" t="e">
        <f>AND(Bills!#REF!,"AAAAAH+1f/c=")</f>
        <v>#REF!</v>
      </c>
      <c r="IO158" t="e">
        <f>AND(Bills!D564,"AAAAAH+1f/g=")</f>
        <v>#VALUE!</v>
      </c>
      <c r="IP158" t="e">
        <f>AND(Bills!#REF!,"AAAAAH+1f/k=")</f>
        <v>#REF!</v>
      </c>
      <c r="IQ158" t="e">
        <f>AND(Bills!E564,"AAAAAH+1f/o=")</f>
        <v>#VALUE!</v>
      </c>
      <c r="IR158" t="e">
        <f>AND(Bills!F564,"AAAAAH+1f/s=")</f>
        <v>#VALUE!</v>
      </c>
      <c r="IS158" t="e">
        <f>AND(Bills!G564,"AAAAAH+1f/w=")</f>
        <v>#VALUE!</v>
      </c>
      <c r="IT158" t="e">
        <f>AND(Bills!H564,"AAAAAH+1f/0=")</f>
        <v>#VALUE!</v>
      </c>
      <c r="IU158" t="e">
        <f>AND(Bills!I564,"AAAAAH+1f/4=")</f>
        <v>#VALUE!</v>
      </c>
      <c r="IV158" t="e">
        <f>AND(Bills!J564,"AAAAAH+1f/8=")</f>
        <v>#VALUE!</v>
      </c>
    </row>
    <row r="159" spans="1:256">
      <c r="A159" t="e">
        <f>AND(Bills!#REF!,"AAAAAH97egA=")</f>
        <v>#REF!</v>
      </c>
      <c r="B159" t="e">
        <f>AND(Bills!K564,"AAAAAH97egE=")</f>
        <v>#VALUE!</v>
      </c>
      <c r="C159" t="e">
        <f>AND(Bills!L564,"AAAAAH97egI=")</f>
        <v>#VALUE!</v>
      </c>
      <c r="D159" t="e">
        <f>AND(Bills!M564,"AAAAAH97egM=")</f>
        <v>#VALUE!</v>
      </c>
      <c r="E159" t="e">
        <f>AND(Bills!N564,"AAAAAH97egQ=")</f>
        <v>#VALUE!</v>
      </c>
      <c r="F159" t="e">
        <f>AND(Bills!O564,"AAAAAH97egU=")</f>
        <v>#VALUE!</v>
      </c>
      <c r="G159" t="e">
        <f>AND(Bills!P564,"AAAAAH97egY=")</f>
        <v>#VALUE!</v>
      </c>
      <c r="H159" t="e">
        <f>AND(Bills!Q564,"AAAAAH97egc=")</f>
        <v>#VALUE!</v>
      </c>
      <c r="I159" t="e">
        <f>AND(Bills!R564,"AAAAAH97egg=")</f>
        <v>#VALUE!</v>
      </c>
      <c r="J159" t="e">
        <f>AND(Bills!#REF!,"AAAAAH97egk=")</f>
        <v>#REF!</v>
      </c>
      <c r="K159" t="e">
        <f>AND(Bills!S564,"AAAAAH97ego=")</f>
        <v>#VALUE!</v>
      </c>
      <c r="L159" t="e">
        <f>AND(Bills!T564,"AAAAAH97egs=")</f>
        <v>#VALUE!</v>
      </c>
      <c r="M159" t="e">
        <f>AND(Bills!U564,"AAAAAH97egw=")</f>
        <v>#VALUE!</v>
      </c>
      <c r="N159" t="e">
        <f>AND(Bills!#REF!,"AAAAAH97eg0=")</f>
        <v>#REF!</v>
      </c>
      <c r="O159" t="e">
        <f>AND(Bills!#REF!,"AAAAAH97eg4=")</f>
        <v>#REF!</v>
      </c>
      <c r="P159" t="e">
        <f>AND(Bills!W564,"AAAAAH97eg8=")</f>
        <v>#VALUE!</v>
      </c>
      <c r="Q159" t="e">
        <f>AND(Bills!X564,"AAAAAH97ehA=")</f>
        <v>#VALUE!</v>
      </c>
      <c r="R159" t="e">
        <f>AND(Bills!#REF!,"AAAAAH97ehE=")</f>
        <v>#REF!</v>
      </c>
      <c r="S159" t="e">
        <f>AND(Bills!#REF!,"AAAAAH97ehI=")</f>
        <v>#REF!</v>
      </c>
      <c r="T159" t="e">
        <f>AND(Bills!#REF!,"AAAAAH97ehM=")</f>
        <v>#REF!</v>
      </c>
      <c r="U159" t="e">
        <f>AND(Bills!#REF!,"AAAAAH97ehQ=")</f>
        <v>#REF!</v>
      </c>
      <c r="V159" t="e">
        <f>AND(Bills!#REF!,"AAAAAH97ehU=")</f>
        <v>#REF!</v>
      </c>
      <c r="W159" t="e">
        <f>AND(Bills!#REF!,"AAAAAH97ehY=")</f>
        <v>#REF!</v>
      </c>
      <c r="X159" t="e">
        <f>AND(Bills!#REF!,"AAAAAH97ehc=")</f>
        <v>#REF!</v>
      </c>
      <c r="Y159" t="e">
        <f>AND(Bills!#REF!,"AAAAAH97ehg=")</f>
        <v>#REF!</v>
      </c>
      <c r="Z159" t="e">
        <f>AND(Bills!#REF!,"AAAAAH97ehk=")</f>
        <v>#REF!</v>
      </c>
      <c r="AA159" t="e">
        <f>AND(Bills!Y564,"AAAAAH97eho=")</f>
        <v>#VALUE!</v>
      </c>
      <c r="AB159" t="e">
        <f>AND(Bills!Z564,"AAAAAH97ehs=")</f>
        <v>#VALUE!</v>
      </c>
      <c r="AC159" t="e">
        <f>AND(Bills!#REF!,"AAAAAH97ehw=")</f>
        <v>#REF!</v>
      </c>
      <c r="AD159" t="e">
        <f>AND(Bills!#REF!,"AAAAAH97eh0=")</f>
        <v>#REF!</v>
      </c>
      <c r="AE159" t="e">
        <f>AND(Bills!#REF!,"AAAAAH97eh4=")</f>
        <v>#REF!</v>
      </c>
      <c r="AF159" t="e">
        <f>AND(Bills!AA564,"AAAAAH97eh8=")</f>
        <v>#VALUE!</v>
      </c>
      <c r="AG159" t="e">
        <f>AND(Bills!AB564,"AAAAAH97eiA=")</f>
        <v>#VALUE!</v>
      </c>
      <c r="AH159" t="e">
        <f>AND(Bills!#REF!,"AAAAAH97eiE=")</f>
        <v>#REF!</v>
      </c>
      <c r="AI159">
        <f>IF(Bills!565:565,"AAAAAH97eiI=",0)</f>
        <v>0</v>
      </c>
      <c r="AJ159" t="e">
        <f>AND(Bills!B565,"AAAAAH97eiM=")</f>
        <v>#VALUE!</v>
      </c>
      <c r="AK159" t="e">
        <f>AND(Bills!#REF!,"AAAAAH97eiQ=")</f>
        <v>#REF!</v>
      </c>
      <c r="AL159" t="e">
        <f>AND(Bills!C565,"AAAAAH97eiU=")</f>
        <v>#VALUE!</v>
      </c>
      <c r="AM159" t="e">
        <f>AND(Bills!#REF!,"AAAAAH97eiY=")</f>
        <v>#REF!</v>
      </c>
      <c r="AN159" t="e">
        <f>AND(Bills!#REF!,"AAAAAH97eic=")</f>
        <v>#REF!</v>
      </c>
      <c r="AO159" t="e">
        <f>AND(Bills!#REF!,"AAAAAH97eig=")</f>
        <v>#REF!</v>
      </c>
      <c r="AP159" t="e">
        <f>AND(Bills!#REF!,"AAAAAH97eik=")</f>
        <v>#REF!</v>
      </c>
      <c r="AQ159" t="e">
        <f>AND(Bills!#REF!,"AAAAAH97eio=")</f>
        <v>#REF!</v>
      </c>
      <c r="AR159" t="e">
        <f>AND(Bills!D565,"AAAAAH97eis=")</f>
        <v>#VALUE!</v>
      </c>
      <c r="AS159" t="e">
        <f>AND(Bills!#REF!,"AAAAAH97eiw=")</f>
        <v>#REF!</v>
      </c>
      <c r="AT159" t="e">
        <f>AND(Bills!E565,"AAAAAH97ei0=")</f>
        <v>#VALUE!</v>
      </c>
      <c r="AU159" t="e">
        <f>AND(Bills!F565,"AAAAAH97ei4=")</f>
        <v>#VALUE!</v>
      </c>
      <c r="AV159" t="e">
        <f>AND(Bills!G565,"AAAAAH97ei8=")</f>
        <v>#VALUE!</v>
      </c>
      <c r="AW159" t="e">
        <f>AND(Bills!H565,"AAAAAH97ejA=")</f>
        <v>#VALUE!</v>
      </c>
      <c r="AX159" t="e">
        <f>AND(Bills!I565,"AAAAAH97ejE=")</f>
        <v>#VALUE!</v>
      </c>
      <c r="AY159" t="e">
        <f>AND(Bills!J565,"AAAAAH97ejI=")</f>
        <v>#VALUE!</v>
      </c>
      <c r="AZ159" t="e">
        <f>AND(Bills!#REF!,"AAAAAH97ejM=")</f>
        <v>#REF!</v>
      </c>
      <c r="BA159" t="e">
        <f>AND(Bills!K565,"AAAAAH97ejQ=")</f>
        <v>#VALUE!</v>
      </c>
      <c r="BB159" t="e">
        <f>AND(Bills!L565,"AAAAAH97ejU=")</f>
        <v>#VALUE!</v>
      </c>
      <c r="BC159" t="e">
        <f>AND(Bills!M565,"AAAAAH97ejY=")</f>
        <v>#VALUE!</v>
      </c>
      <c r="BD159" t="e">
        <f>AND(Bills!N565,"AAAAAH97ejc=")</f>
        <v>#VALUE!</v>
      </c>
      <c r="BE159" t="e">
        <f>AND(Bills!O565,"AAAAAH97ejg=")</f>
        <v>#VALUE!</v>
      </c>
      <c r="BF159" t="e">
        <f>AND(Bills!P565,"AAAAAH97ejk=")</f>
        <v>#VALUE!</v>
      </c>
      <c r="BG159" t="e">
        <f>AND(Bills!Q565,"AAAAAH97ejo=")</f>
        <v>#VALUE!</v>
      </c>
      <c r="BH159" t="e">
        <f>AND(Bills!R565,"AAAAAH97ejs=")</f>
        <v>#VALUE!</v>
      </c>
      <c r="BI159" t="e">
        <f>AND(Bills!#REF!,"AAAAAH97ejw=")</f>
        <v>#REF!</v>
      </c>
      <c r="BJ159" t="e">
        <f>AND(Bills!S565,"AAAAAH97ej0=")</f>
        <v>#VALUE!</v>
      </c>
      <c r="BK159" t="e">
        <f>AND(Bills!T565,"AAAAAH97ej4=")</f>
        <v>#VALUE!</v>
      </c>
      <c r="BL159" t="e">
        <f>AND(Bills!U565,"AAAAAH97ej8=")</f>
        <v>#VALUE!</v>
      </c>
      <c r="BM159" t="e">
        <f>AND(Bills!#REF!,"AAAAAH97ekA=")</f>
        <v>#REF!</v>
      </c>
      <c r="BN159" t="e">
        <f>AND(Bills!#REF!,"AAAAAH97ekE=")</f>
        <v>#REF!</v>
      </c>
      <c r="BO159" t="e">
        <f>AND(Bills!W565,"AAAAAH97ekI=")</f>
        <v>#VALUE!</v>
      </c>
      <c r="BP159" t="e">
        <f>AND(Bills!X565,"AAAAAH97ekM=")</f>
        <v>#VALUE!</v>
      </c>
      <c r="BQ159" t="e">
        <f>AND(Bills!#REF!,"AAAAAH97ekQ=")</f>
        <v>#REF!</v>
      </c>
      <c r="BR159" t="e">
        <f>AND(Bills!#REF!,"AAAAAH97ekU=")</f>
        <v>#REF!</v>
      </c>
      <c r="BS159" t="e">
        <f>AND(Bills!#REF!,"AAAAAH97ekY=")</f>
        <v>#REF!</v>
      </c>
      <c r="BT159" t="e">
        <f>AND(Bills!#REF!,"AAAAAH97ekc=")</f>
        <v>#REF!</v>
      </c>
      <c r="BU159" t="e">
        <f>AND(Bills!#REF!,"AAAAAH97ekg=")</f>
        <v>#REF!</v>
      </c>
      <c r="BV159" t="e">
        <f>AND(Bills!#REF!,"AAAAAH97ekk=")</f>
        <v>#REF!</v>
      </c>
      <c r="BW159" t="e">
        <f>AND(Bills!#REF!,"AAAAAH97eko=")</f>
        <v>#REF!</v>
      </c>
      <c r="BX159" t="e">
        <f>AND(Bills!#REF!,"AAAAAH97eks=")</f>
        <v>#REF!</v>
      </c>
      <c r="BY159" t="e">
        <f>AND(Bills!#REF!,"AAAAAH97ekw=")</f>
        <v>#REF!</v>
      </c>
      <c r="BZ159" t="e">
        <f>AND(Bills!Y565,"AAAAAH97ek0=")</f>
        <v>#VALUE!</v>
      </c>
      <c r="CA159" t="e">
        <f>AND(Bills!Z565,"AAAAAH97ek4=")</f>
        <v>#VALUE!</v>
      </c>
      <c r="CB159" t="e">
        <f>AND(Bills!#REF!,"AAAAAH97ek8=")</f>
        <v>#REF!</v>
      </c>
      <c r="CC159" t="e">
        <f>AND(Bills!#REF!,"AAAAAH97elA=")</f>
        <v>#REF!</v>
      </c>
      <c r="CD159" t="e">
        <f>AND(Bills!#REF!,"AAAAAH97elE=")</f>
        <v>#REF!</v>
      </c>
      <c r="CE159" t="e">
        <f>AND(Bills!AA565,"AAAAAH97elI=")</f>
        <v>#VALUE!</v>
      </c>
      <c r="CF159" t="e">
        <f>AND(Bills!AB565,"AAAAAH97elM=")</f>
        <v>#VALUE!</v>
      </c>
      <c r="CG159" t="e">
        <f>AND(Bills!#REF!,"AAAAAH97elQ=")</f>
        <v>#REF!</v>
      </c>
      <c r="CH159">
        <f>IF(Bills!566:566,"AAAAAH97elU=",0)</f>
        <v>0</v>
      </c>
      <c r="CI159" t="e">
        <f>AND(Bills!B566,"AAAAAH97elY=")</f>
        <v>#VALUE!</v>
      </c>
      <c r="CJ159" t="e">
        <f>AND(Bills!#REF!,"AAAAAH97elc=")</f>
        <v>#REF!</v>
      </c>
      <c r="CK159" t="e">
        <f>AND(Bills!C566,"AAAAAH97elg=")</f>
        <v>#VALUE!</v>
      </c>
      <c r="CL159" t="e">
        <f>AND(Bills!#REF!,"AAAAAH97elk=")</f>
        <v>#REF!</v>
      </c>
      <c r="CM159" t="e">
        <f>AND(Bills!#REF!,"AAAAAH97elo=")</f>
        <v>#REF!</v>
      </c>
      <c r="CN159" t="e">
        <f>AND(Bills!#REF!,"AAAAAH97els=")</f>
        <v>#REF!</v>
      </c>
      <c r="CO159" t="e">
        <f>AND(Bills!#REF!,"AAAAAH97elw=")</f>
        <v>#REF!</v>
      </c>
      <c r="CP159" t="e">
        <f>AND(Bills!#REF!,"AAAAAH97el0=")</f>
        <v>#REF!</v>
      </c>
      <c r="CQ159" t="e">
        <f>AND(Bills!D566,"AAAAAH97el4=")</f>
        <v>#VALUE!</v>
      </c>
      <c r="CR159" t="e">
        <f>AND(Bills!#REF!,"AAAAAH97el8=")</f>
        <v>#REF!</v>
      </c>
      <c r="CS159" t="e">
        <f>AND(Bills!E566,"AAAAAH97emA=")</f>
        <v>#VALUE!</v>
      </c>
      <c r="CT159" t="e">
        <f>AND(Bills!F566,"AAAAAH97emE=")</f>
        <v>#VALUE!</v>
      </c>
      <c r="CU159" t="e">
        <f>AND(Bills!G566,"AAAAAH97emI=")</f>
        <v>#VALUE!</v>
      </c>
      <c r="CV159" t="e">
        <f>AND(Bills!H566,"AAAAAH97emM=")</f>
        <v>#VALUE!</v>
      </c>
      <c r="CW159" t="e">
        <f>AND(Bills!I566,"AAAAAH97emQ=")</f>
        <v>#VALUE!</v>
      </c>
      <c r="CX159" t="e">
        <f>AND(Bills!J566,"AAAAAH97emU=")</f>
        <v>#VALUE!</v>
      </c>
      <c r="CY159" t="e">
        <f>AND(Bills!#REF!,"AAAAAH97emY=")</f>
        <v>#REF!</v>
      </c>
      <c r="CZ159" t="e">
        <f>AND(Bills!K566,"AAAAAH97emc=")</f>
        <v>#VALUE!</v>
      </c>
      <c r="DA159" t="e">
        <f>AND(Bills!L566,"AAAAAH97emg=")</f>
        <v>#VALUE!</v>
      </c>
      <c r="DB159" t="e">
        <f>AND(Bills!M566,"AAAAAH97emk=")</f>
        <v>#VALUE!</v>
      </c>
      <c r="DC159" t="e">
        <f>AND(Bills!N566,"AAAAAH97emo=")</f>
        <v>#VALUE!</v>
      </c>
      <c r="DD159" t="e">
        <f>AND(Bills!O566,"AAAAAH97ems=")</f>
        <v>#VALUE!</v>
      </c>
      <c r="DE159" t="e">
        <f>AND(Bills!P566,"AAAAAH97emw=")</f>
        <v>#VALUE!</v>
      </c>
      <c r="DF159" t="e">
        <f>AND(Bills!Q566,"AAAAAH97em0=")</f>
        <v>#VALUE!</v>
      </c>
      <c r="DG159" t="e">
        <f>AND(Bills!R566,"AAAAAH97em4=")</f>
        <v>#VALUE!</v>
      </c>
      <c r="DH159" t="e">
        <f>AND(Bills!#REF!,"AAAAAH97em8=")</f>
        <v>#REF!</v>
      </c>
      <c r="DI159" t="e">
        <f>AND(Bills!S566,"AAAAAH97enA=")</f>
        <v>#VALUE!</v>
      </c>
      <c r="DJ159" t="e">
        <f>AND(Bills!T566,"AAAAAH97enE=")</f>
        <v>#VALUE!</v>
      </c>
      <c r="DK159" t="e">
        <f>AND(Bills!U566,"AAAAAH97enI=")</f>
        <v>#VALUE!</v>
      </c>
      <c r="DL159" t="e">
        <f>AND(Bills!#REF!,"AAAAAH97enM=")</f>
        <v>#REF!</v>
      </c>
      <c r="DM159" t="e">
        <f>AND(Bills!#REF!,"AAAAAH97enQ=")</f>
        <v>#REF!</v>
      </c>
      <c r="DN159" t="e">
        <f>AND(Bills!W566,"AAAAAH97enU=")</f>
        <v>#VALUE!</v>
      </c>
      <c r="DO159" t="e">
        <f>AND(Bills!X566,"AAAAAH97enY=")</f>
        <v>#VALUE!</v>
      </c>
      <c r="DP159" t="e">
        <f>AND(Bills!#REF!,"AAAAAH97enc=")</f>
        <v>#REF!</v>
      </c>
      <c r="DQ159" t="e">
        <f>AND(Bills!#REF!,"AAAAAH97eng=")</f>
        <v>#REF!</v>
      </c>
      <c r="DR159" t="e">
        <f>AND(Bills!#REF!,"AAAAAH97enk=")</f>
        <v>#REF!</v>
      </c>
      <c r="DS159" t="e">
        <f>AND(Bills!#REF!,"AAAAAH97eno=")</f>
        <v>#REF!</v>
      </c>
      <c r="DT159" t="e">
        <f>AND(Bills!#REF!,"AAAAAH97ens=")</f>
        <v>#REF!</v>
      </c>
      <c r="DU159" t="e">
        <f>AND(Bills!#REF!,"AAAAAH97enw=")</f>
        <v>#REF!</v>
      </c>
      <c r="DV159" t="e">
        <f>AND(Bills!#REF!,"AAAAAH97en0=")</f>
        <v>#REF!</v>
      </c>
      <c r="DW159" t="e">
        <f>AND(Bills!#REF!,"AAAAAH97en4=")</f>
        <v>#REF!</v>
      </c>
      <c r="DX159" t="e">
        <f>AND(Bills!#REF!,"AAAAAH97en8=")</f>
        <v>#REF!</v>
      </c>
      <c r="DY159" t="e">
        <f>AND(Bills!Y566,"AAAAAH97eoA=")</f>
        <v>#VALUE!</v>
      </c>
      <c r="DZ159" t="e">
        <f>AND(Bills!Z566,"AAAAAH97eoE=")</f>
        <v>#VALUE!</v>
      </c>
      <c r="EA159" t="e">
        <f>AND(Bills!#REF!,"AAAAAH97eoI=")</f>
        <v>#REF!</v>
      </c>
      <c r="EB159" t="e">
        <f>AND(Bills!#REF!,"AAAAAH97eoM=")</f>
        <v>#REF!</v>
      </c>
      <c r="EC159" t="e">
        <f>AND(Bills!#REF!,"AAAAAH97eoQ=")</f>
        <v>#REF!</v>
      </c>
      <c r="ED159" t="e">
        <f>AND(Bills!AA566,"AAAAAH97eoU=")</f>
        <v>#VALUE!</v>
      </c>
      <c r="EE159" t="e">
        <f>AND(Bills!AB566,"AAAAAH97eoY=")</f>
        <v>#VALUE!</v>
      </c>
      <c r="EF159" t="e">
        <f>AND(Bills!#REF!,"AAAAAH97eoc=")</f>
        <v>#REF!</v>
      </c>
      <c r="EG159">
        <f>IF(Bills!567:567,"AAAAAH97eog=",0)</f>
        <v>0</v>
      </c>
      <c r="EH159" t="e">
        <f>AND(Bills!B567,"AAAAAH97eok=")</f>
        <v>#VALUE!</v>
      </c>
      <c r="EI159" t="e">
        <f>AND(Bills!#REF!,"AAAAAH97eoo=")</f>
        <v>#REF!</v>
      </c>
      <c r="EJ159" t="e">
        <f>AND(Bills!C567,"AAAAAH97eos=")</f>
        <v>#VALUE!</v>
      </c>
      <c r="EK159" t="e">
        <f>AND(Bills!#REF!,"AAAAAH97eow=")</f>
        <v>#REF!</v>
      </c>
      <c r="EL159" t="e">
        <f>AND(Bills!#REF!,"AAAAAH97eo0=")</f>
        <v>#REF!</v>
      </c>
      <c r="EM159" t="e">
        <f>AND(Bills!#REF!,"AAAAAH97eo4=")</f>
        <v>#REF!</v>
      </c>
      <c r="EN159" t="e">
        <f>AND(Bills!#REF!,"AAAAAH97eo8=")</f>
        <v>#REF!</v>
      </c>
      <c r="EO159" t="e">
        <f>AND(Bills!#REF!,"AAAAAH97epA=")</f>
        <v>#REF!</v>
      </c>
      <c r="EP159" t="e">
        <f>AND(Bills!D567,"AAAAAH97epE=")</f>
        <v>#VALUE!</v>
      </c>
      <c r="EQ159" t="e">
        <f>AND(Bills!#REF!,"AAAAAH97epI=")</f>
        <v>#REF!</v>
      </c>
      <c r="ER159" t="e">
        <f>AND(Bills!E567,"AAAAAH97epM=")</f>
        <v>#VALUE!</v>
      </c>
      <c r="ES159" t="e">
        <f>AND(Bills!F567,"AAAAAH97epQ=")</f>
        <v>#VALUE!</v>
      </c>
      <c r="ET159" t="e">
        <f>AND(Bills!G567,"AAAAAH97epU=")</f>
        <v>#VALUE!</v>
      </c>
      <c r="EU159" t="e">
        <f>AND(Bills!H567,"AAAAAH97epY=")</f>
        <v>#VALUE!</v>
      </c>
      <c r="EV159" t="e">
        <f>AND(Bills!I567,"AAAAAH97epc=")</f>
        <v>#VALUE!</v>
      </c>
      <c r="EW159" t="e">
        <f>AND(Bills!J567,"AAAAAH97epg=")</f>
        <v>#VALUE!</v>
      </c>
      <c r="EX159" t="e">
        <f>AND(Bills!#REF!,"AAAAAH97epk=")</f>
        <v>#REF!</v>
      </c>
      <c r="EY159" t="e">
        <f>AND(Bills!K567,"AAAAAH97epo=")</f>
        <v>#VALUE!</v>
      </c>
      <c r="EZ159" t="e">
        <f>AND(Bills!L567,"AAAAAH97eps=")</f>
        <v>#VALUE!</v>
      </c>
      <c r="FA159" t="e">
        <f>AND(Bills!M567,"AAAAAH97epw=")</f>
        <v>#VALUE!</v>
      </c>
      <c r="FB159" t="e">
        <f>AND(Bills!N567,"AAAAAH97ep0=")</f>
        <v>#VALUE!</v>
      </c>
      <c r="FC159" t="e">
        <f>AND(Bills!O567,"AAAAAH97ep4=")</f>
        <v>#VALUE!</v>
      </c>
      <c r="FD159" t="e">
        <f>AND(Bills!P567,"AAAAAH97ep8=")</f>
        <v>#VALUE!</v>
      </c>
      <c r="FE159" t="e">
        <f>AND(Bills!Q567,"AAAAAH97eqA=")</f>
        <v>#VALUE!</v>
      </c>
      <c r="FF159" t="e">
        <f>AND(Bills!R567,"AAAAAH97eqE=")</f>
        <v>#VALUE!</v>
      </c>
      <c r="FG159" t="e">
        <f>AND(Bills!#REF!,"AAAAAH97eqI=")</f>
        <v>#REF!</v>
      </c>
      <c r="FH159" t="e">
        <f>AND(Bills!S567,"AAAAAH97eqM=")</f>
        <v>#VALUE!</v>
      </c>
      <c r="FI159" t="e">
        <f>AND(Bills!T567,"AAAAAH97eqQ=")</f>
        <v>#VALUE!</v>
      </c>
      <c r="FJ159" t="e">
        <f>AND(Bills!U567,"AAAAAH97eqU=")</f>
        <v>#VALUE!</v>
      </c>
      <c r="FK159" t="e">
        <f>AND(Bills!#REF!,"AAAAAH97eqY=")</f>
        <v>#REF!</v>
      </c>
      <c r="FL159" t="e">
        <f>AND(Bills!#REF!,"AAAAAH97eqc=")</f>
        <v>#REF!</v>
      </c>
      <c r="FM159" t="e">
        <f>AND(Bills!W567,"AAAAAH97eqg=")</f>
        <v>#VALUE!</v>
      </c>
      <c r="FN159" t="e">
        <f>AND(Bills!X567,"AAAAAH97eqk=")</f>
        <v>#VALUE!</v>
      </c>
      <c r="FO159" t="e">
        <f>AND(Bills!#REF!,"AAAAAH97eqo=")</f>
        <v>#REF!</v>
      </c>
      <c r="FP159" t="e">
        <f>AND(Bills!#REF!,"AAAAAH97eqs=")</f>
        <v>#REF!</v>
      </c>
      <c r="FQ159" t="e">
        <f>AND(Bills!#REF!,"AAAAAH97eqw=")</f>
        <v>#REF!</v>
      </c>
      <c r="FR159" t="e">
        <f>AND(Bills!#REF!,"AAAAAH97eq0=")</f>
        <v>#REF!</v>
      </c>
      <c r="FS159" t="e">
        <f>AND(Bills!#REF!,"AAAAAH97eq4=")</f>
        <v>#REF!</v>
      </c>
      <c r="FT159" t="e">
        <f>AND(Bills!#REF!,"AAAAAH97eq8=")</f>
        <v>#REF!</v>
      </c>
      <c r="FU159" t="e">
        <f>AND(Bills!#REF!,"AAAAAH97erA=")</f>
        <v>#REF!</v>
      </c>
      <c r="FV159" t="e">
        <f>AND(Bills!#REF!,"AAAAAH97erE=")</f>
        <v>#REF!</v>
      </c>
      <c r="FW159" t="e">
        <f>AND(Bills!#REF!,"AAAAAH97erI=")</f>
        <v>#REF!</v>
      </c>
      <c r="FX159" t="e">
        <f>AND(Bills!Y567,"AAAAAH97erM=")</f>
        <v>#VALUE!</v>
      </c>
      <c r="FY159" t="e">
        <f>AND(Bills!Z567,"AAAAAH97erQ=")</f>
        <v>#VALUE!</v>
      </c>
      <c r="FZ159" t="e">
        <f>AND(Bills!#REF!,"AAAAAH97erU=")</f>
        <v>#REF!</v>
      </c>
      <c r="GA159" t="e">
        <f>AND(Bills!#REF!,"AAAAAH97erY=")</f>
        <v>#REF!</v>
      </c>
      <c r="GB159" t="e">
        <f>AND(Bills!#REF!,"AAAAAH97erc=")</f>
        <v>#REF!</v>
      </c>
      <c r="GC159" t="e">
        <f>AND(Bills!AA567,"AAAAAH97erg=")</f>
        <v>#VALUE!</v>
      </c>
      <c r="GD159" t="e">
        <f>AND(Bills!AB567,"AAAAAH97erk=")</f>
        <v>#VALUE!</v>
      </c>
      <c r="GE159" t="e">
        <f>AND(Bills!#REF!,"AAAAAH97ero=")</f>
        <v>#REF!</v>
      </c>
      <c r="GF159">
        <f>IF(Bills!568:568,"AAAAAH97ers=",0)</f>
        <v>0</v>
      </c>
      <c r="GG159" t="e">
        <f>AND(Bills!B568,"AAAAAH97erw=")</f>
        <v>#VALUE!</v>
      </c>
      <c r="GH159" t="e">
        <f>AND(Bills!#REF!,"AAAAAH97er0=")</f>
        <v>#REF!</v>
      </c>
      <c r="GI159" t="e">
        <f>AND(Bills!C568,"AAAAAH97er4=")</f>
        <v>#VALUE!</v>
      </c>
      <c r="GJ159" t="e">
        <f>AND(Bills!#REF!,"AAAAAH97er8=")</f>
        <v>#REF!</v>
      </c>
      <c r="GK159" t="e">
        <f>AND(Bills!#REF!,"AAAAAH97esA=")</f>
        <v>#REF!</v>
      </c>
      <c r="GL159" t="e">
        <f>AND(Bills!#REF!,"AAAAAH97esE=")</f>
        <v>#REF!</v>
      </c>
      <c r="GM159" t="e">
        <f>AND(Bills!#REF!,"AAAAAH97esI=")</f>
        <v>#REF!</v>
      </c>
      <c r="GN159" t="e">
        <f>AND(Bills!#REF!,"AAAAAH97esM=")</f>
        <v>#REF!</v>
      </c>
      <c r="GO159" t="e">
        <f>AND(Bills!D568,"AAAAAH97esQ=")</f>
        <v>#VALUE!</v>
      </c>
      <c r="GP159" t="e">
        <f>AND(Bills!#REF!,"AAAAAH97esU=")</f>
        <v>#REF!</v>
      </c>
      <c r="GQ159" t="e">
        <f>AND(Bills!E568,"AAAAAH97esY=")</f>
        <v>#VALUE!</v>
      </c>
      <c r="GR159" t="e">
        <f>AND(Bills!F568,"AAAAAH97esc=")</f>
        <v>#VALUE!</v>
      </c>
      <c r="GS159" t="e">
        <f>AND(Bills!G568,"AAAAAH97esg=")</f>
        <v>#VALUE!</v>
      </c>
      <c r="GT159" t="e">
        <f>AND(Bills!H568,"AAAAAH97esk=")</f>
        <v>#VALUE!</v>
      </c>
      <c r="GU159" t="e">
        <f>AND(Bills!I568,"AAAAAH97eso=")</f>
        <v>#VALUE!</v>
      </c>
      <c r="GV159" t="e">
        <f>AND(Bills!J568,"AAAAAH97ess=")</f>
        <v>#VALUE!</v>
      </c>
      <c r="GW159" t="e">
        <f>AND(Bills!#REF!,"AAAAAH97esw=")</f>
        <v>#REF!</v>
      </c>
      <c r="GX159" t="e">
        <f>AND(Bills!K568,"AAAAAH97es0=")</f>
        <v>#VALUE!</v>
      </c>
      <c r="GY159" t="e">
        <f>AND(Bills!L568,"AAAAAH97es4=")</f>
        <v>#VALUE!</v>
      </c>
      <c r="GZ159" t="e">
        <f>AND(Bills!M568,"AAAAAH97es8=")</f>
        <v>#VALUE!</v>
      </c>
      <c r="HA159" t="e">
        <f>AND(Bills!N568,"AAAAAH97etA=")</f>
        <v>#VALUE!</v>
      </c>
      <c r="HB159" t="e">
        <f>AND(Bills!O568,"AAAAAH97etE=")</f>
        <v>#VALUE!</v>
      </c>
      <c r="HC159" t="e">
        <f>AND(Bills!P568,"AAAAAH97etI=")</f>
        <v>#VALUE!</v>
      </c>
      <c r="HD159" t="e">
        <f>AND(Bills!Q568,"AAAAAH97etM=")</f>
        <v>#VALUE!</v>
      </c>
      <c r="HE159" t="e">
        <f>AND(Bills!R568,"AAAAAH97etQ=")</f>
        <v>#VALUE!</v>
      </c>
      <c r="HF159" t="e">
        <f>AND(Bills!#REF!,"AAAAAH97etU=")</f>
        <v>#REF!</v>
      </c>
      <c r="HG159" t="e">
        <f>AND(Bills!S568,"AAAAAH97etY=")</f>
        <v>#VALUE!</v>
      </c>
      <c r="HH159" t="e">
        <f>AND(Bills!T568,"AAAAAH97etc=")</f>
        <v>#VALUE!</v>
      </c>
      <c r="HI159" t="e">
        <f>AND(Bills!U568,"AAAAAH97etg=")</f>
        <v>#VALUE!</v>
      </c>
      <c r="HJ159" t="e">
        <f>AND(Bills!#REF!,"AAAAAH97etk=")</f>
        <v>#REF!</v>
      </c>
      <c r="HK159" t="e">
        <f>AND(Bills!#REF!,"AAAAAH97eto=")</f>
        <v>#REF!</v>
      </c>
      <c r="HL159" t="e">
        <f>AND(Bills!W568,"AAAAAH97ets=")</f>
        <v>#VALUE!</v>
      </c>
      <c r="HM159" t="e">
        <f>AND(Bills!X568,"AAAAAH97etw=")</f>
        <v>#VALUE!</v>
      </c>
      <c r="HN159" t="e">
        <f>AND(Bills!#REF!,"AAAAAH97et0=")</f>
        <v>#REF!</v>
      </c>
      <c r="HO159" t="e">
        <f>AND(Bills!#REF!,"AAAAAH97et4=")</f>
        <v>#REF!</v>
      </c>
      <c r="HP159" t="e">
        <f>AND(Bills!#REF!,"AAAAAH97et8=")</f>
        <v>#REF!</v>
      </c>
      <c r="HQ159" t="e">
        <f>AND(Bills!#REF!,"AAAAAH97euA=")</f>
        <v>#REF!</v>
      </c>
      <c r="HR159" t="e">
        <f>AND(Bills!#REF!,"AAAAAH97euE=")</f>
        <v>#REF!</v>
      </c>
      <c r="HS159" t="e">
        <f>AND(Bills!#REF!,"AAAAAH97euI=")</f>
        <v>#REF!</v>
      </c>
      <c r="HT159" t="e">
        <f>AND(Bills!#REF!,"AAAAAH97euM=")</f>
        <v>#REF!</v>
      </c>
      <c r="HU159" t="e">
        <f>AND(Bills!#REF!,"AAAAAH97euQ=")</f>
        <v>#REF!</v>
      </c>
      <c r="HV159" t="e">
        <f>AND(Bills!#REF!,"AAAAAH97euU=")</f>
        <v>#REF!</v>
      </c>
      <c r="HW159" t="e">
        <f>AND(Bills!Y568,"AAAAAH97euY=")</f>
        <v>#VALUE!</v>
      </c>
      <c r="HX159" t="e">
        <f>AND(Bills!Z568,"AAAAAH97euc=")</f>
        <v>#VALUE!</v>
      </c>
      <c r="HY159" t="e">
        <f>AND(Bills!#REF!,"AAAAAH97eug=")</f>
        <v>#REF!</v>
      </c>
      <c r="HZ159" t="e">
        <f>AND(Bills!#REF!,"AAAAAH97euk=")</f>
        <v>#REF!</v>
      </c>
      <c r="IA159" t="e">
        <f>AND(Bills!#REF!,"AAAAAH97euo=")</f>
        <v>#REF!</v>
      </c>
      <c r="IB159" t="e">
        <f>AND(Bills!AA568,"AAAAAH97eus=")</f>
        <v>#VALUE!</v>
      </c>
      <c r="IC159" t="e">
        <f>AND(Bills!AB568,"AAAAAH97euw=")</f>
        <v>#VALUE!</v>
      </c>
      <c r="ID159" t="e">
        <f>AND(Bills!#REF!,"AAAAAH97eu0=")</f>
        <v>#REF!</v>
      </c>
      <c r="IE159">
        <f>IF(Bills!569:569,"AAAAAH97eu4=",0)</f>
        <v>0</v>
      </c>
      <c r="IF159" t="e">
        <f>AND(Bills!B569,"AAAAAH97eu8=")</f>
        <v>#VALUE!</v>
      </c>
      <c r="IG159" t="e">
        <f>AND(Bills!#REF!,"AAAAAH97evA=")</f>
        <v>#REF!</v>
      </c>
      <c r="IH159" t="e">
        <f>AND(Bills!C569,"AAAAAH97evE=")</f>
        <v>#VALUE!</v>
      </c>
      <c r="II159" t="e">
        <f>AND(Bills!#REF!,"AAAAAH97evI=")</f>
        <v>#REF!</v>
      </c>
      <c r="IJ159" t="e">
        <f>AND(Bills!#REF!,"AAAAAH97evM=")</f>
        <v>#REF!</v>
      </c>
      <c r="IK159" t="e">
        <f>AND(Bills!#REF!,"AAAAAH97evQ=")</f>
        <v>#REF!</v>
      </c>
      <c r="IL159" t="e">
        <f>AND(Bills!#REF!,"AAAAAH97evU=")</f>
        <v>#REF!</v>
      </c>
      <c r="IM159" t="e">
        <f>AND(Bills!#REF!,"AAAAAH97evY=")</f>
        <v>#REF!</v>
      </c>
      <c r="IN159" t="e">
        <f>AND(Bills!D569,"AAAAAH97evc=")</f>
        <v>#VALUE!</v>
      </c>
      <c r="IO159" t="e">
        <f>AND(Bills!#REF!,"AAAAAH97evg=")</f>
        <v>#REF!</v>
      </c>
      <c r="IP159" t="e">
        <f>AND(Bills!E569,"AAAAAH97evk=")</f>
        <v>#VALUE!</v>
      </c>
      <c r="IQ159" t="e">
        <f>AND(Bills!F569,"AAAAAH97evo=")</f>
        <v>#VALUE!</v>
      </c>
      <c r="IR159" t="e">
        <f>AND(Bills!G569,"AAAAAH97evs=")</f>
        <v>#VALUE!</v>
      </c>
      <c r="IS159" t="e">
        <f>AND(Bills!H569,"AAAAAH97evw=")</f>
        <v>#VALUE!</v>
      </c>
      <c r="IT159" t="e">
        <f>AND(Bills!I569,"AAAAAH97ev0=")</f>
        <v>#VALUE!</v>
      </c>
      <c r="IU159" t="e">
        <f>AND(Bills!J569,"AAAAAH97ev4=")</f>
        <v>#VALUE!</v>
      </c>
      <c r="IV159" t="e">
        <f>AND(Bills!#REF!,"AAAAAH97ev8=")</f>
        <v>#REF!</v>
      </c>
    </row>
    <row r="160" spans="1:256">
      <c r="A160" t="e">
        <f>AND(Bills!K569,"AAAAAH3xewA=")</f>
        <v>#VALUE!</v>
      </c>
      <c r="B160" t="e">
        <f>AND(Bills!L569,"AAAAAH3xewE=")</f>
        <v>#VALUE!</v>
      </c>
      <c r="C160" t="e">
        <f>AND(Bills!M569,"AAAAAH3xewI=")</f>
        <v>#VALUE!</v>
      </c>
      <c r="D160" t="e">
        <f>AND(Bills!N569,"AAAAAH3xewM=")</f>
        <v>#VALUE!</v>
      </c>
      <c r="E160" t="e">
        <f>AND(Bills!O569,"AAAAAH3xewQ=")</f>
        <v>#VALUE!</v>
      </c>
      <c r="F160" t="e">
        <f>AND(Bills!P569,"AAAAAH3xewU=")</f>
        <v>#VALUE!</v>
      </c>
      <c r="G160" t="e">
        <f>AND(Bills!Q569,"AAAAAH3xewY=")</f>
        <v>#VALUE!</v>
      </c>
      <c r="H160" t="e">
        <f>AND(Bills!R569,"AAAAAH3xewc=")</f>
        <v>#VALUE!</v>
      </c>
      <c r="I160" t="e">
        <f>AND(Bills!#REF!,"AAAAAH3xewg=")</f>
        <v>#REF!</v>
      </c>
      <c r="J160" t="e">
        <f>AND(Bills!S569,"AAAAAH3xewk=")</f>
        <v>#VALUE!</v>
      </c>
      <c r="K160" t="e">
        <f>AND(Bills!T569,"AAAAAH3xewo=")</f>
        <v>#VALUE!</v>
      </c>
      <c r="L160" t="e">
        <f>AND(Bills!U569,"AAAAAH3xews=")</f>
        <v>#VALUE!</v>
      </c>
      <c r="M160" t="e">
        <f>AND(Bills!#REF!,"AAAAAH3xeww=")</f>
        <v>#REF!</v>
      </c>
      <c r="N160" t="e">
        <f>AND(Bills!#REF!,"AAAAAH3xew0=")</f>
        <v>#REF!</v>
      </c>
      <c r="O160" t="e">
        <f>AND(Bills!W569,"AAAAAH3xew4=")</f>
        <v>#VALUE!</v>
      </c>
      <c r="P160" t="e">
        <f>AND(Bills!X569,"AAAAAH3xew8=")</f>
        <v>#VALUE!</v>
      </c>
      <c r="Q160" t="e">
        <f>AND(Bills!#REF!,"AAAAAH3xexA=")</f>
        <v>#REF!</v>
      </c>
      <c r="R160" t="e">
        <f>AND(Bills!#REF!,"AAAAAH3xexE=")</f>
        <v>#REF!</v>
      </c>
      <c r="S160" t="e">
        <f>AND(Bills!#REF!,"AAAAAH3xexI=")</f>
        <v>#REF!</v>
      </c>
      <c r="T160" t="e">
        <f>AND(Bills!#REF!,"AAAAAH3xexM=")</f>
        <v>#REF!</v>
      </c>
      <c r="U160" t="e">
        <f>AND(Bills!#REF!,"AAAAAH3xexQ=")</f>
        <v>#REF!</v>
      </c>
      <c r="V160" t="e">
        <f>AND(Bills!#REF!,"AAAAAH3xexU=")</f>
        <v>#REF!</v>
      </c>
      <c r="W160" t="e">
        <f>AND(Bills!#REF!,"AAAAAH3xexY=")</f>
        <v>#REF!</v>
      </c>
      <c r="X160" t="e">
        <f>AND(Bills!#REF!,"AAAAAH3xexc=")</f>
        <v>#REF!</v>
      </c>
      <c r="Y160" t="e">
        <f>AND(Bills!#REF!,"AAAAAH3xexg=")</f>
        <v>#REF!</v>
      </c>
      <c r="Z160" t="e">
        <f>AND(Bills!Y569,"AAAAAH3xexk=")</f>
        <v>#VALUE!</v>
      </c>
      <c r="AA160" t="e">
        <f>AND(Bills!Z569,"AAAAAH3xexo=")</f>
        <v>#VALUE!</v>
      </c>
      <c r="AB160" t="e">
        <f>AND(Bills!#REF!,"AAAAAH3xexs=")</f>
        <v>#REF!</v>
      </c>
      <c r="AC160" t="e">
        <f>AND(Bills!#REF!,"AAAAAH3xexw=")</f>
        <v>#REF!</v>
      </c>
      <c r="AD160" t="e">
        <f>AND(Bills!#REF!,"AAAAAH3xex0=")</f>
        <v>#REF!</v>
      </c>
      <c r="AE160" t="e">
        <f>AND(Bills!AA569,"AAAAAH3xex4=")</f>
        <v>#VALUE!</v>
      </c>
      <c r="AF160" t="e">
        <f>AND(Bills!AB569,"AAAAAH3xex8=")</f>
        <v>#VALUE!</v>
      </c>
      <c r="AG160" t="e">
        <f>AND(Bills!#REF!,"AAAAAH3xeyA=")</f>
        <v>#REF!</v>
      </c>
      <c r="AH160">
        <f>IF(Bills!570:570,"AAAAAH3xeyE=",0)</f>
        <v>0</v>
      </c>
      <c r="AI160" t="e">
        <f>AND(Bills!B570,"AAAAAH3xeyI=")</f>
        <v>#VALUE!</v>
      </c>
      <c r="AJ160" t="e">
        <f>AND(Bills!#REF!,"AAAAAH3xeyM=")</f>
        <v>#REF!</v>
      </c>
      <c r="AK160" t="e">
        <f>AND(Bills!C570,"AAAAAH3xeyQ=")</f>
        <v>#VALUE!</v>
      </c>
      <c r="AL160" t="e">
        <f>AND(Bills!#REF!,"AAAAAH3xeyU=")</f>
        <v>#REF!</v>
      </c>
      <c r="AM160" t="e">
        <f>AND(Bills!#REF!,"AAAAAH3xeyY=")</f>
        <v>#REF!</v>
      </c>
      <c r="AN160" t="e">
        <f>AND(Bills!#REF!,"AAAAAH3xeyc=")</f>
        <v>#REF!</v>
      </c>
      <c r="AO160" t="e">
        <f>AND(Bills!#REF!,"AAAAAH3xeyg=")</f>
        <v>#REF!</v>
      </c>
      <c r="AP160" t="e">
        <f>AND(Bills!#REF!,"AAAAAH3xeyk=")</f>
        <v>#REF!</v>
      </c>
      <c r="AQ160" t="e">
        <f>AND(Bills!D570,"AAAAAH3xeyo=")</f>
        <v>#VALUE!</v>
      </c>
      <c r="AR160" t="e">
        <f>AND(Bills!#REF!,"AAAAAH3xeys=")</f>
        <v>#REF!</v>
      </c>
      <c r="AS160" t="e">
        <f>AND(Bills!E570,"AAAAAH3xeyw=")</f>
        <v>#VALUE!</v>
      </c>
      <c r="AT160" t="e">
        <f>AND(Bills!F570,"AAAAAH3xey0=")</f>
        <v>#VALUE!</v>
      </c>
      <c r="AU160" t="e">
        <f>AND(Bills!G570,"AAAAAH3xey4=")</f>
        <v>#VALUE!</v>
      </c>
      <c r="AV160" t="e">
        <f>AND(Bills!H570,"AAAAAH3xey8=")</f>
        <v>#VALUE!</v>
      </c>
      <c r="AW160" t="e">
        <f>AND(Bills!I570,"AAAAAH3xezA=")</f>
        <v>#VALUE!</v>
      </c>
      <c r="AX160" t="e">
        <f>AND(Bills!J570,"AAAAAH3xezE=")</f>
        <v>#VALUE!</v>
      </c>
      <c r="AY160" t="e">
        <f>AND(Bills!#REF!,"AAAAAH3xezI=")</f>
        <v>#REF!</v>
      </c>
      <c r="AZ160" t="e">
        <f>AND(Bills!K570,"AAAAAH3xezM=")</f>
        <v>#VALUE!</v>
      </c>
      <c r="BA160" t="e">
        <f>AND(Bills!L570,"AAAAAH3xezQ=")</f>
        <v>#VALUE!</v>
      </c>
      <c r="BB160" t="e">
        <f>AND(Bills!M570,"AAAAAH3xezU=")</f>
        <v>#VALUE!</v>
      </c>
      <c r="BC160" t="e">
        <f>AND(Bills!N570,"AAAAAH3xezY=")</f>
        <v>#VALUE!</v>
      </c>
      <c r="BD160" t="e">
        <f>AND(Bills!O570,"AAAAAH3xezc=")</f>
        <v>#VALUE!</v>
      </c>
      <c r="BE160" t="e">
        <f>AND(Bills!P570,"AAAAAH3xezg=")</f>
        <v>#VALUE!</v>
      </c>
      <c r="BF160" t="e">
        <f>AND(Bills!Q570,"AAAAAH3xezk=")</f>
        <v>#VALUE!</v>
      </c>
      <c r="BG160" t="e">
        <f>AND(Bills!R570,"AAAAAH3xezo=")</f>
        <v>#VALUE!</v>
      </c>
      <c r="BH160" t="e">
        <f>AND(Bills!#REF!,"AAAAAH3xezs=")</f>
        <v>#REF!</v>
      </c>
      <c r="BI160" t="e">
        <f>AND(Bills!S570,"AAAAAH3xezw=")</f>
        <v>#VALUE!</v>
      </c>
      <c r="BJ160" t="e">
        <f>AND(Bills!T570,"AAAAAH3xez0=")</f>
        <v>#VALUE!</v>
      </c>
      <c r="BK160" t="e">
        <f>AND(Bills!U570,"AAAAAH3xez4=")</f>
        <v>#VALUE!</v>
      </c>
      <c r="BL160" t="e">
        <f>AND(Bills!#REF!,"AAAAAH3xez8=")</f>
        <v>#REF!</v>
      </c>
      <c r="BM160" t="e">
        <f>AND(Bills!#REF!,"AAAAAH3xe0A=")</f>
        <v>#REF!</v>
      </c>
      <c r="BN160" t="e">
        <f>AND(Bills!W570,"AAAAAH3xe0E=")</f>
        <v>#VALUE!</v>
      </c>
      <c r="BO160" t="e">
        <f>AND(Bills!X570,"AAAAAH3xe0I=")</f>
        <v>#VALUE!</v>
      </c>
      <c r="BP160" t="e">
        <f>AND(Bills!#REF!,"AAAAAH3xe0M=")</f>
        <v>#REF!</v>
      </c>
      <c r="BQ160" t="e">
        <f>AND(Bills!#REF!,"AAAAAH3xe0Q=")</f>
        <v>#REF!</v>
      </c>
      <c r="BR160" t="e">
        <f>AND(Bills!#REF!,"AAAAAH3xe0U=")</f>
        <v>#REF!</v>
      </c>
      <c r="BS160" t="e">
        <f>AND(Bills!#REF!,"AAAAAH3xe0Y=")</f>
        <v>#REF!</v>
      </c>
      <c r="BT160" t="e">
        <f>AND(Bills!#REF!,"AAAAAH3xe0c=")</f>
        <v>#REF!</v>
      </c>
      <c r="BU160" t="e">
        <f>AND(Bills!#REF!,"AAAAAH3xe0g=")</f>
        <v>#REF!</v>
      </c>
      <c r="BV160" t="e">
        <f>AND(Bills!#REF!,"AAAAAH3xe0k=")</f>
        <v>#REF!</v>
      </c>
      <c r="BW160" t="e">
        <f>AND(Bills!#REF!,"AAAAAH3xe0o=")</f>
        <v>#REF!</v>
      </c>
      <c r="BX160" t="e">
        <f>AND(Bills!#REF!,"AAAAAH3xe0s=")</f>
        <v>#REF!</v>
      </c>
      <c r="BY160" t="e">
        <f>AND(Bills!Y570,"AAAAAH3xe0w=")</f>
        <v>#VALUE!</v>
      </c>
      <c r="BZ160" t="e">
        <f>AND(Bills!Z570,"AAAAAH3xe00=")</f>
        <v>#VALUE!</v>
      </c>
      <c r="CA160" t="e">
        <f>AND(Bills!#REF!,"AAAAAH3xe04=")</f>
        <v>#REF!</v>
      </c>
      <c r="CB160" t="e">
        <f>AND(Bills!#REF!,"AAAAAH3xe08=")</f>
        <v>#REF!</v>
      </c>
      <c r="CC160" t="e">
        <f>AND(Bills!#REF!,"AAAAAH3xe1A=")</f>
        <v>#REF!</v>
      </c>
      <c r="CD160" t="e">
        <f>AND(Bills!AA570,"AAAAAH3xe1E=")</f>
        <v>#VALUE!</v>
      </c>
      <c r="CE160" t="e">
        <f>AND(Bills!AB570,"AAAAAH3xe1I=")</f>
        <v>#VALUE!</v>
      </c>
      <c r="CF160" t="e">
        <f>AND(Bills!#REF!,"AAAAAH3xe1M=")</f>
        <v>#REF!</v>
      </c>
      <c r="CG160">
        <f>IF(Bills!571:571,"AAAAAH3xe1Q=",0)</f>
        <v>0</v>
      </c>
      <c r="CH160" t="e">
        <f>AND(Bills!B571,"AAAAAH3xe1U=")</f>
        <v>#VALUE!</v>
      </c>
      <c r="CI160" t="e">
        <f>AND(Bills!#REF!,"AAAAAH3xe1Y=")</f>
        <v>#REF!</v>
      </c>
      <c r="CJ160" t="e">
        <f>AND(Bills!C571,"AAAAAH3xe1c=")</f>
        <v>#VALUE!</v>
      </c>
      <c r="CK160" t="e">
        <f>AND(Bills!#REF!,"AAAAAH3xe1g=")</f>
        <v>#REF!</v>
      </c>
      <c r="CL160" t="e">
        <f>AND(Bills!#REF!,"AAAAAH3xe1k=")</f>
        <v>#REF!</v>
      </c>
      <c r="CM160" t="e">
        <f>AND(Bills!#REF!,"AAAAAH3xe1o=")</f>
        <v>#REF!</v>
      </c>
      <c r="CN160" t="e">
        <f>AND(Bills!#REF!,"AAAAAH3xe1s=")</f>
        <v>#REF!</v>
      </c>
      <c r="CO160" t="e">
        <f>AND(Bills!#REF!,"AAAAAH3xe1w=")</f>
        <v>#REF!</v>
      </c>
      <c r="CP160" t="e">
        <f>AND(Bills!D571,"AAAAAH3xe10=")</f>
        <v>#VALUE!</v>
      </c>
      <c r="CQ160" t="e">
        <f>AND(Bills!#REF!,"AAAAAH3xe14=")</f>
        <v>#REF!</v>
      </c>
      <c r="CR160" t="e">
        <f>AND(Bills!E571,"AAAAAH3xe18=")</f>
        <v>#VALUE!</v>
      </c>
      <c r="CS160" t="e">
        <f>AND(Bills!F571,"AAAAAH3xe2A=")</f>
        <v>#VALUE!</v>
      </c>
      <c r="CT160" t="e">
        <f>AND(Bills!G571,"AAAAAH3xe2E=")</f>
        <v>#VALUE!</v>
      </c>
      <c r="CU160" t="e">
        <f>AND(Bills!H571,"AAAAAH3xe2I=")</f>
        <v>#VALUE!</v>
      </c>
      <c r="CV160" t="e">
        <f>AND(Bills!I571,"AAAAAH3xe2M=")</f>
        <v>#VALUE!</v>
      </c>
      <c r="CW160" t="e">
        <f>AND(Bills!J571,"AAAAAH3xe2Q=")</f>
        <v>#VALUE!</v>
      </c>
      <c r="CX160" t="e">
        <f>AND(Bills!#REF!,"AAAAAH3xe2U=")</f>
        <v>#REF!</v>
      </c>
      <c r="CY160" t="e">
        <f>AND(Bills!K571,"AAAAAH3xe2Y=")</f>
        <v>#VALUE!</v>
      </c>
      <c r="CZ160" t="e">
        <f>AND(Bills!L571,"AAAAAH3xe2c=")</f>
        <v>#VALUE!</v>
      </c>
      <c r="DA160" t="e">
        <f>AND(Bills!M571,"AAAAAH3xe2g=")</f>
        <v>#VALUE!</v>
      </c>
      <c r="DB160" t="e">
        <f>AND(Bills!N571,"AAAAAH3xe2k=")</f>
        <v>#VALUE!</v>
      </c>
      <c r="DC160" t="e">
        <f>AND(Bills!O571,"AAAAAH3xe2o=")</f>
        <v>#VALUE!</v>
      </c>
      <c r="DD160" t="e">
        <f>AND(Bills!P571,"AAAAAH3xe2s=")</f>
        <v>#VALUE!</v>
      </c>
      <c r="DE160" t="e">
        <f>AND(Bills!Q571,"AAAAAH3xe2w=")</f>
        <v>#VALUE!</v>
      </c>
      <c r="DF160" t="e">
        <f>AND(Bills!R571,"AAAAAH3xe20=")</f>
        <v>#VALUE!</v>
      </c>
      <c r="DG160" t="e">
        <f>AND(Bills!#REF!,"AAAAAH3xe24=")</f>
        <v>#REF!</v>
      </c>
      <c r="DH160" t="e">
        <f>AND(Bills!S571,"AAAAAH3xe28=")</f>
        <v>#VALUE!</v>
      </c>
      <c r="DI160" t="e">
        <f>AND(Bills!T571,"AAAAAH3xe3A=")</f>
        <v>#VALUE!</v>
      </c>
      <c r="DJ160" t="e">
        <f>AND(Bills!U571,"AAAAAH3xe3E=")</f>
        <v>#VALUE!</v>
      </c>
      <c r="DK160" t="e">
        <f>AND(Bills!#REF!,"AAAAAH3xe3I=")</f>
        <v>#REF!</v>
      </c>
      <c r="DL160" t="e">
        <f>AND(Bills!#REF!,"AAAAAH3xe3M=")</f>
        <v>#REF!</v>
      </c>
      <c r="DM160" t="e">
        <f>AND(Bills!W571,"AAAAAH3xe3Q=")</f>
        <v>#VALUE!</v>
      </c>
      <c r="DN160" t="e">
        <f>AND(Bills!X571,"AAAAAH3xe3U=")</f>
        <v>#VALUE!</v>
      </c>
      <c r="DO160" t="e">
        <f>AND(Bills!#REF!,"AAAAAH3xe3Y=")</f>
        <v>#REF!</v>
      </c>
      <c r="DP160" t="e">
        <f>AND(Bills!#REF!,"AAAAAH3xe3c=")</f>
        <v>#REF!</v>
      </c>
      <c r="DQ160" t="e">
        <f>AND(Bills!#REF!,"AAAAAH3xe3g=")</f>
        <v>#REF!</v>
      </c>
      <c r="DR160" t="e">
        <f>AND(Bills!#REF!,"AAAAAH3xe3k=")</f>
        <v>#REF!</v>
      </c>
      <c r="DS160" t="e">
        <f>AND(Bills!#REF!,"AAAAAH3xe3o=")</f>
        <v>#REF!</v>
      </c>
      <c r="DT160" t="e">
        <f>AND(Bills!#REF!,"AAAAAH3xe3s=")</f>
        <v>#REF!</v>
      </c>
      <c r="DU160" t="e">
        <f>AND(Bills!#REF!,"AAAAAH3xe3w=")</f>
        <v>#REF!</v>
      </c>
      <c r="DV160" t="e">
        <f>AND(Bills!#REF!,"AAAAAH3xe30=")</f>
        <v>#REF!</v>
      </c>
      <c r="DW160" t="e">
        <f>AND(Bills!#REF!,"AAAAAH3xe34=")</f>
        <v>#REF!</v>
      </c>
      <c r="DX160" t="e">
        <f>AND(Bills!Y571,"AAAAAH3xe38=")</f>
        <v>#VALUE!</v>
      </c>
      <c r="DY160" t="e">
        <f>AND(Bills!Z571,"AAAAAH3xe4A=")</f>
        <v>#VALUE!</v>
      </c>
      <c r="DZ160" t="e">
        <f>AND(Bills!#REF!,"AAAAAH3xe4E=")</f>
        <v>#REF!</v>
      </c>
      <c r="EA160" t="e">
        <f>AND(Bills!#REF!,"AAAAAH3xe4I=")</f>
        <v>#REF!</v>
      </c>
      <c r="EB160" t="e">
        <f>AND(Bills!#REF!,"AAAAAH3xe4M=")</f>
        <v>#REF!</v>
      </c>
      <c r="EC160" t="e">
        <f>AND(Bills!AA571,"AAAAAH3xe4Q=")</f>
        <v>#VALUE!</v>
      </c>
      <c r="ED160" t="e">
        <f>AND(Bills!AB571,"AAAAAH3xe4U=")</f>
        <v>#VALUE!</v>
      </c>
      <c r="EE160" t="e">
        <f>AND(Bills!#REF!,"AAAAAH3xe4Y=")</f>
        <v>#REF!</v>
      </c>
      <c r="EF160">
        <f>IF(Bills!572:572,"AAAAAH3xe4c=",0)</f>
        <v>0</v>
      </c>
      <c r="EG160" t="e">
        <f>AND(Bills!B572,"AAAAAH3xe4g=")</f>
        <v>#VALUE!</v>
      </c>
      <c r="EH160" t="e">
        <f>AND(Bills!#REF!,"AAAAAH3xe4k=")</f>
        <v>#REF!</v>
      </c>
      <c r="EI160" t="e">
        <f>AND(Bills!C572,"AAAAAH3xe4o=")</f>
        <v>#VALUE!</v>
      </c>
      <c r="EJ160" t="e">
        <f>AND(Bills!#REF!,"AAAAAH3xe4s=")</f>
        <v>#REF!</v>
      </c>
      <c r="EK160" t="e">
        <f>AND(Bills!#REF!,"AAAAAH3xe4w=")</f>
        <v>#REF!</v>
      </c>
      <c r="EL160" t="e">
        <f>AND(Bills!#REF!,"AAAAAH3xe40=")</f>
        <v>#REF!</v>
      </c>
      <c r="EM160" t="e">
        <f>AND(Bills!#REF!,"AAAAAH3xe44=")</f>
        <v>#REF!</v>
      </c>
      <c r="EN160" t="e">
        <f>AND(Bills!#REF!,"AAAAAH3xe48=")</f>
        <v>#REF!</v>
      </c>
      <c r="EO160" t="e">
        <f>AND(Bills!D572,"AAAAAH3xe5A=")</f>
        <v>#VALUE!</v>
      </c>
      <c r="EP160" t="e">
        <f>AND(Bills!#REF!,"AAAAAH3xe5E=")</f>
        <v>#REF!</v>
      </c>
      <c r="EQ160" t="e">
        <f>AND(Bills!E572,"AAAAAH3xe5I=")</f>
        <v>#VALUE!</v>
      </c>
      <c r="ER160" t="e">
        <f>AND(Bills!F572,"AAAAAH3xe5M=")</f>
        <v>#VALUE!</v>
      </c>
      <c r="ES160" t="e">
        <f>AND(Bills!G572,"AAAAAH3xe5Q=")</f>
        <v>#VALUE!</v>
      </c>
      <c r="ET160" t="e">
        <f>AND(Bills!H572,"AAAAAH3xe5U=")</f>
        <v>#VALUE!</v>
      </c>
      <c r="EU160" t="e">
        <f>AND(Bills!I572,"AAAAAH3xe5Y=")</f>
        <v>#VALUE!</v>
      </c>
      <c r="EV160" t="e">
        <f>AND(Bills!J572,"AAAAAH3xe5c=")</f>
        <v>#VALUE!</v>
      </c>
      <c r="EW160" t="e">
        <f>AND(Bills!#REF!,"AAAAAH3xe5g=")</f>
        <v>#REF!</v>
      </c>
      <c r="EX160" t="e">
        <f>AND(Bills!K572,"AAAAAH3xe5k=")</f>
        <v>#VALUE!</v>
      </c>
      <c r="EY160" t="e">
        <f>AND(Bills!L572,"AAAAAH3xe5o=")</f>
        <v>#VALUE!</v>
      </c>
      <c r="EZ160" t="e">
        <f>AND(Bills!M572,"AAAAAH3xe5s=")</f>
        <v>#VALUE!</v>
      </c>
      <c r="FA160" t="e">
        <f>AND(Bills!N572,"AAAAAH3xe5w=")</f>
        <v>#VALUE!</v>
      </c>
      <c r="FB160" t="e">
        <f>AND(Bills!O572,"AAAAAH3xe50=")</f>
        <v>#VALUE!</v>
      </c>
      <c r="FC160" t="e">
        <f>AND(Bills!P572,"AAAAAH3xe54=")</f>
        <v>#VALUE!</v>
      </c>
      <c r="FD160" t="e">
        <f>AND(Bills!Q572,"AAAAAH3xe58=")</f>
        <v>#VALUE!</v>
      </c>
      <c r="FE160" t="e">
        <f>AND(Bills!R572,"AAAAAH3xe6A=")</f>
        <v>#VALUE!</v>
      </c>
      <c r="FF160" t="e">
        <f>AND(Bills!#REF!,"AAAAAH3xe6E=")</f>
        <v>#REF!</v>
      </c>
      <c r="FG160" t="e">
        <f>AND(Bills!S572,"AAAAAH3xe6I=")</f>
        <v>#VALUE!</v>
      </c>
      <c r="FH160" t="e">
        <f>AND(Bills!T572,"AAAAAH3xe6M=")</f>
        <v>#VALUE!</v>
      </c>
      <c r="FI160" t="e">
        <f>AND(Bills!U572,"AAAAAH3xe6Q=")</f>
        <v>#VALUE!</v>
      </c>
      <c r="FJ160" t="e">
        <f>AND(Bills!#REF!,"AAAAAH3xe6U=")</f>
        <v>#REF!</v>
      </c>
      <c r="FK160" t="e">
        <f>AND(Bills!#REF!,"AAAAAH3xe6Y=")</f>
        <v>#REF!</v>
      </c>
      <c r="FL160" t="e">
        <f>AND(Bills!W572,"AAAAAH3xe6c=")</f>
        <v>#VALUE!</v>
      </c>
      <c r="FM160" t="e">
        <f>AND(Bills!X572,"AAAAAH3xe6g=")</f>
        <v>#VALUE!</v>
      </c>
      <c r="FN160" t="e">
        <f>AND(Bills!#REF!,"AAAAAH3xe6k=")</f>
        <v>#REF!</v>
      </c>
      <c r="FO160" t="e">
        <f>AND(Bills!#REF!,"AAAAAH3xe6o=")</f>
        <v>#REF!</v>
      </c>
      <c r="FP160" t="e">
        <f>AND(Bills!#REF!,"AAAAAH3xe6s=")</f>
        <v>#REF!</v>
      </c>
      <c r="FQ160" t="e">
        <f>AND(Bills!#REF!,"AAAAAH3xe6w=")</f>
        <v>#REF!</v>
      </c>
      <c r="FR160" t="e">
        <f>AND(Bills!#REF!,"AAAAAH3xe60=")</f>
        <v>#REF!</v>
      </c>
      <c r="FS160" t="e">
        <f>AND(Bills!#REF!,"AAAAAH3xe64=")</f>
        <v>#REF!</v>
      </c>
      <c r="FT160" t="e">
        <f>AND(Bills!#REF!,"AAAAAH3xe68=")</f>
        <v>#REF!</v>
      </c>
      <c r="FU160" t="e">
        <f>AND(Bills!#REF!,"AAAAAH3xe7A=")</f>
        <v>#REF!</v>
      </c>
      <c r="FV160" t="e">
        <f>AND(Bills!#REF!,"AAAAAH3xe7E=")</f>
        <v>#REF!</v>
      </c>
      <c r="FW160" t="e">
        <f>AND(Bills!Y572,"AAAAAH3xe7I=")</f>
        <v>#VALUE!</v>
      </c>
      <c r="FX160" t="e">
        <f>AND(Bills!Z572,"AAAAAH3xe7M=")</f>
        <v>#VALUE!</v>
      </c>
      <c r="FY160" t="e">
        <f>AND(Bills!#REF!,"AAAAAH3xe7Q=")</f>
        <v>#REF!</v>
      </c>
      <c r="FZ160" t="e">
        <f>AND(Bills!#REF!,"AAAAAH3xe7U=")</f>
        <v>#REF!</v>
      </c>
      <c r="GA160" t="e">
        <f>AND(Bills!#REF!,"AAAAAH3xe7Y=")</f>
        <v>#REF!</v>
      </c>
      <c r="GB160" t="e">
        <f>AND(Bills!AA572,"AAAAAH3xe7c=")</f>
        <v>#VALUE!</v>
      </c>
      <c r="GC160" t="e">
        <f>AND(Bills!AB572,"AAAAAH3xe7g=")</f>
        <v>#VALUE!</v>
      </c>
      <c r="GD160" t="e">
        <f>AND(Bills!#REF!,"AAAAAH3xe7k=")</f>
        <v>#REF!</v>
      </c>
      <c r="GE160">
        <f>IF(Bills!573:573,"AAAAAH3xe7o=",0)</f>
        <v>0</v>
      </c>
      <c r="GF160" t="e">
        <f>AND(Bills!B573,"AAAAAH3xe7s=")</f>
        <v>#VALUE!</v>
      </c>
      <c r="GG160" t="e">
        <f>AND(Bills!#REF!,"AAAAAH3xe7w=")</f>
        <v>#REF!</v>
      </c>
      <c r="GH160" t="e">
        <f>AND(Bills!C573,"AAAAAH3xe70=")</f>
        <v>#VALUE!</v>
      </c>
      <c r="GI160" t="e">
        <f>AND(Bills!#REF!,"AAAAAH3xe74=")</f>
        <v>#REF!</v>
      </c>
      <c r="GJ160" t="e">
        <f>AND(Bills!#REF!,"AAAAAH3xe78=")</f>
        <v>#REF!</v>
      </c>
      <c r="GK160" t="e">
        <f>AND(Bills!#REF!,"AAAAAH3xe8A=")</f>
        <v>#REF!</v>
      </c>
      <c r="GL160" t="e">
        <f>AND(Bills!#REF!,"AAAAAH3xe8E=")</f>
        <v>#REF!</v>
      </c>
      <c r="GM160" t="e">
        <f>AND(Bills!#REF!,"AAAAAH3xe8I=")</f>
        <v>#REF!</v>
      </c>
      <c r="GN160" t="e">
        <f>AND(Bills!D573,"AAAAAH3xe8M=")</f>
        <v>#VALUE!</v>
      </c>
      <c r="GO160" t="e">
        <f>AND(Bills!#REF!,"AAAAAH3xe8Q=")</f>
        <v>#REF!</v>
      </c>
      <c r="GP160" t="e">
        <f>AND(Bills!E573,"AAAAAH3xe8U=")</f>
        <v>#VALUE!</v>
      </c>
      <c r="GQ160" t="e">
        <f>AND(Bills!F573,"AAAAAH3xe8Y=")</f>
        <v>#VALUE!</v>
      </c>
      <c r="GR160" t="e">
        <f>AND(Bills!G573,"AAAAAH3xe8c=")</f>
        <v>#VALUE!</v>
      </c>
      <c r="GS160" t="e">
        <f>AND(Bills!H573,"AAAAAH3xe8g=")</f>
        <v>#VALUE!</v>
      </c>
      <c r="GT160" t="e">
        <f>AND(Bills!I573,"AAAAAH3xe8k=")</f>
        <v>#VALUE!</v>
      </c>
      <c r="GU160" t="e">
        <f>AND(Bills!J573,"AAAAAH3xe8o=")</f>
        <v>#VALUE!</v>
      </c>
      <c r="GV160" t="e">
        <f>AND(Bills!#REF!,"AAAAAH3xe8s=")</f>
        <v>#REF!</v>
      </c>
      <c r="GW160" t="e">
        <f>AND(Bills!K573,"AAAAAH3xe8w=")</f>
        <v>#VALUE!</v>
      </c>
      <c r="GX160" t="e">
        <f>AND(Bills!L573,"AAAAAH3xe80=")</f>
        <v>#VALUE!</v>
      </c>
      <c r="GY160" t="e">
        <f>AND(Bills!M573,"AAAAAH3xe84=")</f>
        <v>#VALUE!</v>
      </c>
      <c r="GZ160" t="e">
        <f>AND(Bills!N573,"AAAAAH3xe88=")</f>
        <v>#VALUE!</v>
      </c>
      <c r="HA160" t="e">
        <f>AND(Bills!O573,"AAAAAH3xe9A=")</f>
        <v>#VALUE!</v>
      </c>
      <c r="HB160" t="e">
        <f>AND(Bills!P573,"AAAAAH3xe9E=")</f>
        <v>#VALUE!</v>
      </c>
      <c r="HC160" t="e">
        <f>AND(Bills!Q573,"AAAAAH3xe9I=")</f>
        <v>#VALUE!</v>
      </c>
      <c r="HD160" t="e">
        <f>AND(Bills!R573,"AAAAAH3xe9M=")</f>
        <v>#VALUE!</v>
      </c>
      <c r="HE160" t="e">
        <f>AND(Bills!#REF!,"AAAAAH3xe9Q=")</f>
        <v>#REF!</v>
      </c>
      <c r="HF160" t="e">
        <f>AND(Bills!S573,"AAAAAH3xe9U=")</f>
        <v>#VALUE!</v>
      </c>
      <c r="HG160" t="e">
        <f>AND(Bills!T573,"AAAAAH3xe9Y=")</f>
        <v>#VALUE!</v>
      </c>
      <c r="HH160" t="e">
        <f>AND(Bills!U573,"AAAAAH3xe9c=")</f>
        <v>#VALUE!</v>
      </c>
      <c r="HI160" t="e">
        <f>AND(Bills!#REF!,"AAAAAH3xe9g=")</f>
        <v>#REF!</v>
      </c>
      <c r="HJ160" t="e">
        <f>AND(Bills!#REF!,"AAAAAH3xe9k=")</f>
        <v>#REF!</v>
      </c>
      <c r="HK160" t="e">
        <f>AND(Bills!W573,"AAAAAH3xe9o=")</f>
        <v>#VALUE!</v>
      </c>
      <c r="HL160" t="e">
        <f>AND(Bills!X573,"AAAAAH3xe9s=")</f>
        <v>#VALUE!</v>
      </c>
      <c r="HM160" t="e">
        <f>AND(Bills!#REF!,"AAAAAH3xe9w=")</f>
        <v>#REF!</v>
      </c>
      <c r="HN160" t="e">
        <f>AND(Bills!#REF!,"AAAAAH3xe90=")</f>
        <v>#REF!</v>
      </c>
      <c r="HO160" t="e">
        <f>AND(Bills!#REF!,"AAAAAH3xe94=")</f>
        <v>#REF!</v>
      </c>
      <c r="HP160" t="e">
        <f>AND(Bills!#REF!,"AAAAAH3xe98=")</f>
        <v>#REF!</v>
      </c>
      <c r="HQ160" t="e">
        <f>AND(Bills!#REF!,"AAAAAH3xe+A=")</f>
        <v>#REF!</v>
      </c>
      <c r="HR160" t="e">
        <f>AND(Bills!#REF!,"AAAAAH3xe+E=")</f>
        <v>#REF!</v>
      </c>
      <c r="HS160" t="e">
        <f>AND(Bills!#REF!,"AAAAAH3xe+I=")</f>
        <v>#REF!</v>
      </c>
      <c r="HT160" t="e">
        <f>AND(Bills!#REF!,"AAAAAH3xe+M=")</f>
        <v>#REF!</v>
      </c>
      <c r="HU160" t="e">
        <f>AND(Bills!#REF!,"AAAAAH3xe+Q=")</f>
        <v>#REF!</v>
      </c>
      <c r="HV160" t="e">
        <f>AND(Bills!Y573,"AAAAAH3xe+U=")</f>
        <v>#VALUE!</v>
      </c>
      <c r="HW160" t="e">
        <f>AND(Bills!Z573,"AAAAAH3xe+Y=")</f>
        <v>#VALUE!</v>
      </c>
      <c r="HX160" t="e">
        <f>AND(Bills!#REF!,"AAAAAH3xe+c=")</f>
        <v>#REF!</v>
      </c>
      <c r="HY160" t="e">
        <f>AND(Bills!#REF!,"AAAAAH3xe+g=")</f>
        <v>#REF!</v>
      </c>
      <c r="HZ160" t="e">
        <f>AND(Bills!#REF!,"AAAAAH3xe+k=")</f>
        <v>#REF!</v>
      </c>
      <c r="IA160" t="e">
        <f>AND(Bills!AA573,"AAAAAH3xe+o=")</f>
        <v>#VALUE!</v>
      </c>
      <c r="IB160" t="e">
        <f>AND(Bills!AB573,"AAAAAH3xe+s=")</f>
        <v>#VALUE!</v>
      </c>
      <c r="IC160" t="e">
        <f>AND(Bills!#REF!,"AAAAAH3xe+w=")</f>
        <v>#REF!</v>
      </c>
      <c r="ID160">
        <f>IF(Bills!574:574,"AAAAAH3xe+0=",0)</f>
        <v>0</v>
      </c>
      <c r="IE160" t="e">
        <f>AND(Bills!B574,"AAAAAH3xe+4=")</f>
        <v>#VALUE!</v>
      </c>
      <c r="IF160" t="e">
        <f>AND(Bills!#REF!,"AAAAAH3xe+8=")</f>
        <v>#REF!</v>
      </c>
      <c r="IG160" t="e">
        <f>AND(Bills!C574,"AAAAAH3xe/A=")</f>
        <v>#VALUE!</v>
      </c>
      <c r="IH160" t="e">
        <f>AND(Bills!#REF!,"AAAAAH3xe/E=")</f>
        <v>#REF!</v>
      </c>
      <c r="II160" t="e">
        <f>AND(Bills!#REF!,"AAAAAH3xe/I=")</f>
        <v>#REF!</v>
      </c>
      <c r="IJ160" t="e">
        <f>AND(Bills!#REF!,"AAAAAH3xe/M=")</f>
        <v>#REF!</v>
      </c>
      <c r="IK160" t="e">
        <f>AND(Bills!#REF!,"AAAAAH3xe/Q=")</f>
        <v>#REF!</v>
      </c>
      <c r="IL160" t="e">
        <f>AND(Bills!#REF!,"AAAAAH3xe/U=")</f>
        <v>#REF!</v>
      </c>
      <c r="IM160" t="e">
        <f>AND(Bills!D574,"AAAAAH3xe/Y=")</f>
        <v>#VALUE!</v>
      </c>
      <c r="IN160" t="e">
        <f>AND(Bills!#REF!,"AAAAAH3xe/c=")</f>
        <v>#REF!</v>
      </c>
      <c r="IO160" t="e">
        <f>AND(Bills!E574,"AAAAAH3xe/g=")</f>
        <v>#VALUE!</v>
      </c>
      <c r="IP160" t="e">
        <f>AND(Bills!F574,"AAAAAH3xe/k=")</f>
        <v>#VALUE!</v>
      </c>
      <c r="IQ160" t="e">
        <f>AND(Bills!G574,"AAAAAH3xe/o=")</f>
        <v>#VALUE!</v>
      </c>
      <c r="IR160" t="e">
        <f>AND(Bills!H574,"AAAAAH3xe/s=")</f>
        <v>#VALUE!</v>
      </c>
      <c r="IS160" t="e">
        <f>AND(Bills!I574,"AAAAAH3xe/w=")</f>
        <v>#VALUE!</v>
      </c>
      <c r="IT160" t="e">
        <f>AND(Bills!J574,"AAAAAH3xe/0=")</f>
        <v>#VALUE!</v>
      </c>
      <c r="IU160" t="e">
        <f>AND(Bills!#REF!,"AAAAAH3xe/4=")</f>
        <v>#REF!</v>
      </c>
      <c r="IV160" t="e">
        <f>AND(Bills!K574,"AAAAAH3xe/8=")</f>
        <v>#VALUE!</v>
      </c>
    </row>
    <row r="161" spans="1:256">
      <c r="A161" t="e">
        <f>AND(Bills!L574,"AAAAAFr/7AA=")</f>
        <v>#VALUE!</v>
      </c>
      <c r="B161" t="e">
        <f>AND(Bills!M574,"AAAAAFr/7AE=")</f>
        <v>#VALUE!</v>
      </c>
      <c r="C161" t="e">
        <f>AND(Bills!N574,"AAAAAFr/7AI=")</f>
        <v>#VALUE!</v>
      </c>
      <c r="D161" t="e">
        <f>AND(Bills!O574,"AAAAAFr/7AM=")</f>
        <v>#VALUE!</v>
      </c>
      <c r="E161" t="e">
        <f>AND(Bills!P574,"AAAAAFr/7AQ=")</f>
        <v>#VALUE!</v>
      </c>
      <c r="F161" t="e">
        <f>AND(Bills!Q574,"AAAAAFr/7AU=")</f>
        <v>#VALUE!</v>
      </c>
      <c r="G161" t="e">
        <f>AND(Bills!R574,"AAAAAFr/7AY=")</f>
        <v>#VALUE!</v>
      </c>
      <c r="H161" t="e">
        <f>AND(Bills!#REF!,"AAAAAFr/7Ac=")</f>
        <v>#REF!</v>
      </c>
      <c r="I161" t="e">
        <f>AND(Bills!S574,"AAAAAFr/7Ag=")</f>
        <v>#VALUE!</v>
      </c>
      <c r="J161" t="e">
        <f>AND(Bills!T574,"AAAAAFr/7Ak=")</f>
        <v>#VALUE!</v>
      </c>
      <c r="K161" t="e">
        <f>AND(Bills!U574,"AAAAAFr/7Ao=")</f>
        <v>#VALUE!</v>
      </c>
      <c r="L161" t="e">
        <f>AND(Bills!#REF!,"AAAAAFr/7As=")</f>
        <v>#REF!</v>
      </c>
      <c r="M161" t="e">
        <f>AND(Bills!#REF!,"AAAAAFr/7Aw=")</f>
        <v>#REF!</v>
      </c>
      <c r="N161" t="e">
        <f>AND(Bills!W574,"AAAAAFr/7A0=")</f>
        <v>#VALUE!</v>
      </c>
      <c r="O161" t="e">
        <f>AND(Bills!X574,"AAAAAFr/7A4=")</f>
        <v>#VALUE!</v>
      </c>
      <c r="P161" t="e">
        <f>AND(Bills!#REF!,"AAAAAFr/7A8=")</f>
        <v>#REF!</v>
      </c>
      <c r="Q161" t="e">
        <f>AND(Bills!#REF!,"AAAAAFr/7BA=")</f>
        <v>#REF!</v>
      </c>
      <c r="R161" t="e">
        <f>AND(Bills!#REF!,"AAAAAFr/7BE=")</f>
        <v>#REF!</v>
      </c>
      <c r="S161" t="e">
        <f>AND(Bills!#REF!,"AAAAAFr/7BI=")</f>
        <v>#REF!</v>
      </c>
      <c r="T161" t="e">
        <f>AND(Bills!#REF!,"AAAAAFr/7BM=")</f>
        <v>#REF!</v>
      </c>
      <c r="U161" t="e">
        <f>AND(Bills!#REF!,"AAAAAFr/7BQ=")</f>
        <v>#REF!</v>
      </c>
      <c r="V161" t="e">
        <f>AND(Bills!#REF!,"AAAAAFr/7BU=")</f>
        <v>#REF!</v>
      </c>
      <c r="W161" t="e">
        <f>AND(Bills!#REF!,"AAAAAFr/7BY=")</f>
        <v>#REF!</v>
      </c>
      <c r="X161" t="e">
        <f>AND(Bills!#REF!,"AAAAAFr/7Bc=")</f>
        <v>#REF!</v>
      </c>
      <c r="Y161" t="e">
        <f>AND(Bills!Y574,"AAAAAFr/7Bg=")</f>
        <v>#VALUE!</v>
      </c>
      <c r="Z161" t="e">
        <f>AND(Bills!Z574,"AAAAAFr/7Bk=")</f>
        <v>#VALUE!</v>
      </c>
      <c r="AA161" t="e">
        <f>AND(Bills!#REF!,"AAAAAFr/7Bo=")</f>
        <v>#REF!</v>
      </c>
      <c r="AB161" t="e">
        <f>AND(Bills!#REF!,"AAAAAFr/7Bs=")</f>
        <v>#REF!</v>
      </c>
      <c r="AC161" t="e">
        <f>AND(Bills!#REF!,"AAAAAFr/7Bw=")</f>
        <v>#REF!</v>
      </c>
      <c r="AD161" t="e">
        <f>AND(Bills!AA574,"AAAAAFr/7B0=")</f>
        <v>#VALUE!</v>
      </c>
      <c r="AE161" t="e">
        <f>AND(Bills!AB574,"AAAAAFr/7B4=")</f>
        <v>#VALUE!</v>
      </c>
      <c r="AF161" t="e">
        <f>AND(Bills!#REF!,"AAAAAFr/7B8=")</f>
        <v>#REF!</v>
      </c>
      <c r="AG161">
        <f>IF(Bills!575:575,"AAAAAFr/7CA=",0)</f>
        <v>0</v>
      </c>
      <c r="AH161" t="e">
        <f>AND(Bills!B575,"AAAAAFr/7CE=")</f>
        <v>#VALUE!</v>
      </c>
      <c r="AI161" t="e">
        <f>AND(Bills!#REF!,"AAAAAFr/7CI=")</f>
        <v>#REF!</v>
      </c>
      <c r="AJ161" t="e">
        <f>AND(Bills!C575,"AAAAAFr/7CM=")</f>
        <v>#VALUE!</v>
      </c>
      <c r="AK161" t="e">
        <f>AND(Bills!#REF!,"AAAAAFr/7CQ=")</f>
        <v>#REF!</v>
      </c>
      <c r="AL161" t="e">
        <f>AND(Bills!#REF!,"AAAAAFr/7CU=")</f>
        <v>#REF!</v>
      </c>
      <c r="AM161" t="e">
        <f>AND(Bills!#REF!,"AAAAAFr/7CY=")</f>
        <v>#REF!</v>
      </c>
      <c r="AN161" t="e">
        <f>AND(Bills!#REF!,"AAAAAFr/7Cc=")</f>
        <v>#REF!</v>
      </c>
      <c r="AO161" t="e">
        <f>AND(Bills!#REF!,"AAAAAFr/7Cg=")</f>
        <v>#REF!</v>
      </c>
      <c r="AP161" t="e">
        <f>AND(Bills!D575,"AAAAAFr/7Ck=")</f>
        <v>#VALUE!</v>
      </c>
      <c r="AQ161" t="e">
        <f>AND(Bills!#REF!,"AAAAAFr/7Co=")</f>
        <v>#REF!</v>
      </c>
      <c r="AR161" t="e">
        <f>AND(Bills!E575,"AAAAAFr/7Cs=")</f>
        <v>#VALUE!</v>
      </c>
      <c r="AS161" t="e">
        <f>AND(Bills!F575,"AAAAAFr/7Cw=")</f>
        <v>#VALUE!</v>
      </c>
      <c r="AT161" t="e">
        <f>AND(Bills!G575,"AAAAAFr/7C0=")</f>
        <v>#VALUE!</v>
      </c>
      <c r="AU161" t="e">
        <f>AND(Bills!H575,"AAAAAFr/7C4=")</f>
        <v>#VALUE!</v>
      </c>
      <c r="AV161" t="e">
        <f>AND(Bills!I575,"AAAAAFr/7C8=")</f>
        <v>#VALUE!</v>
      </c>
      <c r="AW161" t="e">
        <f>AND(Bills!J575,"AAAAAFr/7DA=")</f>
        <v>#VALUE!</v>
      </c>
      <c r="AX161" t="e">
        <f>AND(Bills!#REF!,"AAAAAFr/7DE=")</f>
        <v>#REF!</v>
      </c>
      <c r="AY161" t="e">
        <f>AND(Bills!K575,"AAAAAFr/7DI=")</f>
        <v>#VALUE!</v>
      </c>
      <c r="AZ161" t="e">
        <f>AND(Bills!L575,"AAAAAFr/7DM=")</f>
        <v>#VALUE!</v>
      </c>
      <c r="BA161" t="e">
        <f>AND(Bills!M575,"AAAAAFr/7DQ=")</f>
        <v>#VALUE!</v>
      </c>
      <c r="BB161" t="e">
        <f>AND(Bills!N575,"AAAAAFr/7DU=")</f>
        <v>#VALUE!</v>
      </c>
      <c r="BC161" t="e">
        <f>AND(Bills!O575,"AAAAAFr/7DY=")</f>
        <v>#VALUE!</v>
      </c>
      <c r="BD161" t="e">
        <f>AND(Bills!P575,"AAAAAFr/7Dc=")</f>
        <v>#VALUE!</v>
      </c>
      <c r="BE161" t="e">
        <f>AND(Bills!Q575,"AAAAAFr/7Dg=")</f>
        <v>#VALUE!</v>
      </c>
      <c r="BF161" t="e">
        <f>AND(Bills!R575,"AAAAAFr/7Dk=")</f>
        <v>#VALUE!</v>
      </c>
      <c r="BG161" t="e">
        <f>AND(Bills!#REF!,"AAAAAFr/7Do=")</f>
        <v>#REF!</v>
      </c>
      <c r="BH161" t="e">
        <f>AND(Bills!S575,"AAAAAFr/7Ds=")</f>
        <v>#VALUE!</v>
      </c>
      <c r="BI161" t="e">
        <f>AND(Bills!T575,"AAAAAFr/7Dw=")</f>
        <v>#VALUE!</v>
      </c>
      <c r="BJ161" t="e">
        <f>AND(Bills!U575,"AAAAAFr/7D0=")</f>
        <v>#VALUE!</v>
      </c>
      <c r="BK161" t="e">
        <f>AND(Bills!#REF!,"AAAAAFr/7D4=")</f>
        <v>#REF!</v>
      </c>
      <c r="BL161" t="e">
        <f>AND(Bills!#REF!,"AAAAAFr/7D8=")</f>
        <v>#REF!</v>
      </c>
      <c r="BM161" t="e">
        <f>AND(Bills!W575,"AAAAAFr/7EA=")</f>
        <v>#VALUE!</v>
      </c>
      <c r="BN161" t="e">
        <f>AND(Bills!X575,"AAAAAFr/7EE=")</f>
        <v>#VALUE!</v>
      </c>
      <c r="BO161" t="e">
        <f>AND(Bills!#REF!,"AAAAAFr/7EI=")</f>
        <v>#REF!</v>
      </c>
      <c r="BP161" t="e">
        <f>AND(Bills!#REF!,"AAAAAFr/7EM=")</f>
        <v>#REF!</v>
      </c>
      <c r="BQ161" t="e">
        <f>AND(Bills!#REF!,"AAAAAFr/7EQ=")</f>
        <v>#REF!</v>
      </c>
      <c r="BR161" t="e">
        <f>AND(Bills!#REF!,"AAAAAFr/7EU=")</f>
        <v>#REF!</v>
      </c>
      <c r="BS161" t="e">
        <f>AND(Bills!#REF!,"AAAAAFr/7EY=")</f>
        <v>#REF!</v>
      </c>
      <c r="BT161" t="e">
        <f>AND(Bills!#REF!,"AAAAAFr/7Ec=")</f>
        <v>#REF!</v>
      </c>
      <c r="BU161" t="e">
        <f>AND(Bills!#REF!,"AAAAAFr/7Eg=")</f>
        <v>#REF!</v>
      </c>
      <c r="BV161" t="e">
        <f>AND(Bills!#REF!,"AAAAAFr/7Ek=")</f>
        <v>#REF!</v>
      </c>
      <c r="BW161" t="e">
        <f>AND(Bills!#REF!,"AAAAAFr/7Eo=")</f>
        <v>#REF!</v>
      </c>
      <c r="BX161" t="e">
        <f>AND(Bills!Y575,"AAAAAFr/7Es=")</f>
        <v>#VALUE!</v>
      </c>
      <c r="BY161" t="e">
        <f>AND(Bills!Z575,"AAAAAFr/7Ew=")</f>
        <v>#VALUE!</v>
      </c>
      <c r="BZ161" t="e">
        <f>AND(Bills!#REF!,"AAAAAFr/7E0=")</f>
        <v>#REF!</v>
      </c>
      <c r="CA161" t="e">
        <f>AND(Bills!#REF!,"AAAAAFr/7E4=")</f>
        <v>#REF!</v>
      </c>
      <c r="CB161" t="e">
        <f>AND(Bills!#REF!,"AAAAAFr/7E8=")</f>
        <v>#REF!</v>
      </c>
      <c r="CC161" t="e">
        <f>AND(Bills!AA575,"AAAAAFr/7FA=")</f>
        <v>#VALUE!</v>
      </c>
      <c r="CD161" t="e">
        <f>AND(Bills!AB575,"AAAAAFr/7FE=")</f>
        <v>#VALUE!</v>
      </c>
      <c r="CE161" t="e">
        <f>AND(Bills!#REF!,"AAAAAFr/7FI=")</f>
        <v>#REF!</v>
      </c>
      <c r="CF161">
        <f>IF(Bills!576:576,"AAAAAFr/7FM=",0)</f>
        <v>0</v>
      </c>
      <c r="CG161" t="e">
        <f>AND(Bills!B576,"AAAAAFr/7FQ=")</f>
        <v>#VALUE!</v>
      </c>
      <c r="CH161" t="e">
        <f>AND(Bills!#REF!,"AAAAAFr/7FU=")</f>
        <v>#REF!</v>
      </c>
      <c r="CI161" t="e">
        <f>AND(Bills!C576,"AAAAAFr/7FY=")</f>
        <v>#VALUE!</v>
      </c>
      <c r="CJ161" t="e">
        <f>AND(Bills!#REF!,"AAAAAFr/7Fc=")</f>
        <v>#REF!</v>
      </c>
      <c r="CK161" t="e">
        <f>AND(Bills!#REF!,"AAAAAFr/7Fg=")</f>
        <v>#REF!</v>
      </c>
      <c r="CL161" t="e">
        <f>AND(Bills!#REF!,"AAAAAFr/7Fk=")</f>
        <v>#REF!</v>
      </c>
      <c r="CM161" t="e">
        <f>AND(Bills!#REF!,"AAAAAFr/7Fo=")</f>
        <v>#REF!</v>
      </c>
      <c r="CN161" t="e">
        <f>AND(Bills!#REF!,"AAAAAFr/7Fs=")</f>
        <v>#REF!</v>
      </c>
      <c r="CO161" t="e">
        <f>AND(Bills!D576,"AAAAAFr/7Fw=")</f>
        <v>#VALUE!</v>
      </c>
      <c r="CP161" t="e">
        <f>AND(Bills!#REF!,"AAAAAFr/7F0=")</f>
        <v>#REF!</v>
      </c>
      <c r="CQ161" t="e">
        <f>AND(Bills!E576,"AAAAAFr/7F4=")</f>
        <v>#VALUE!</v>
      </c>
      <c r="CR161" t="e">
        <f>AND(Bills!F576,"AAAAAFr/7F8=")</f>
        <v>#VALUE!</v>
      </c>
      <c r="CS161" t="e">
        <f>AND(Bills!G576,"AAAAAFr/7GA=")</f>
        <v>#VALUE!</v>
      </c>
      <c r="CT161" t="e">
        <f>AND(Bills!H576,"AAAAAFr/7GE=")</f>
        <v>#VALUE!</v>
      </c>
      <c r="CU161" t="e">
        <f>AND(Bills!I576,"AAAAAFr/7GI=")</f>
        <v>#VALUE!</v>
      </c>
      <c r="CV161" t="e">
        <f>AND(Bills!J576,"AAAAAFr/7GM=")</f>
        <v>#VALUE!</v>
      </c>
      <c r="CW161" t="e">
        <f>AND(Bills!#REF!,"AAAAAFr/7GQ=")</f>
        <v>#REF!</v>
      </c>
      <c r="CX161" t="e">
        <f>AND(Bills!K576,"AAAAAFr/7GU=")</f>
        <v>#VALUE!</v>
      </c>
      <c r="CY161" t="e">
        <f>AND(Bills!L576,"AAAAAFr/7GY=")</f>
        <v>#VALUE!</v>
      </c>
      <c r="CZ161" t="e">
        <f>AND(Bills!M576,"AAAAAFr/7Gc=")</f>
        <v>#VALUE!</v>
      </c>
      <c r="DA161" t="e">
        <f>AND(Bills!N576,"AAAAAFr/7Gg=")</f>
        <v>#VALUE!</v>
      </c>
      <c r="DB161" t="e">
        <f>AND(Bills!O576,"AAAAAFr/7Gk=")</f>
        <v>#VALUE!</v>
      </c>
      <c r="DC161" t="e">
        <f>AND(Bills!P576,"AAAAAFr/7Go=")</f>
        <v>#VALUE!</v>
      </c>
      <c r="DD161" t="e">
        <f>AND(Bills!Q576,"AAAAAFr/7Gs=")</f>
        <v>#VALUE!</v>
      </c>
      <c r="DE161" t="e">
        <f>AND(Bills!R576,"AAAAAFr/7Gw=")</f>
        <v>#VALUE!</v>
      </c>
      <c r="DF161" t="e">
        <f>AND(Bills!#REF!,"AAAAAFr/7G0=")</f>
        <v>#REF!</v>
      </c>
      <c r="DG161" t="e">
        <f>AND(Bills!S576,"AAAAAFr/7G4=")</f>
        <v>#VALUE!</v>
      </c>
      <c r="DH161" t="e">
        <f>AND(Bills!T576,"AAAAAFr/7G8=")</f>
        <v>#VALUE!</v>
      </c>
      <c r="DI161" t="e">
        <f>AND(Bills!U576,"AAAAAFr/7HA=")</f>
        <v>#VALUE!</v>
      </c>
      <c r="DJ161" t="e">
        <f>AND(Bills!#REF!,"AAAAAFr/7HE=")</f>
        <v>#REF!</v>
      </c>
      <c r="DK161" t="e">
        <f>AND(Bills!#REF!,"AAAAAFr/7HI=")</f>
        <v>#REF!</v>
      </c>
      <c r="DL161" t="e">
        <f>AND(Bills!W576,"AAAAAFr/7HM=")</f>
        <v>#VALUE!</v>
      </c>
      <c r="DM161" t="e">
        <f>AND(Bills!X576,"AAAAAFr/7HQ=")</f>
        <v>#VALUE!</v>
      </c>
      <c r="DN161" t="e">
        <f>AND(Bills!#REF!,"AAAAAFr/7HU=")</f>
        <v>#REF!</v>
      </c>
      <c r="DO161" t="e">
        <f>AND(Bills!#REF!,"AAAAAFr/7HY=")</f>
        <v>#REF!</v>
      </c>
      <c r="DP161" t="e">
        <f>AND(Bills!#REF!,"AAAAAFr/7Hc=")</f>
        <v>#REF!</v>
      </c>
      <c r="DQ161" t="e">
        <f>AND(Bills!#REF!,"AAAAAFr/7Hg=")</f>
        <v>#REF!</v>
      </c>
      <c r="DR161" t="e">
        <f>AND(Bills!#REF!,"AAAAAFr/7Hk=")</f>
        <v>#REF!</v>
      </c>
      <c r="DS161" t="e">
        <f>AND(Bills!#REF!,"AAAAAFr/7Ho=")</f>
        <v>#REF!</v>
      </c>
      <c r="DT161" t="e">
        <f>AND(Bills!#REF!,"AAAAAFr/7Hs=")</f>
        <v>#REF!</v>
      </c>
      <c r="DU161" t="e">
        <f>AND(Bills!#REF!,"AAAAAFr/7Hw=")</f>
        <v>#REF!</v>
      </c>
      <c r="DV161" t="e">
        <f>AND(Bills!#REF!,"AAAAAFr/7H0=")</f>
        <v>#REF!</v>
      </c>
      <c r="DW161" t="e">
        <f>AND(Bills!Y576,"AAAAAFr/7H4=")</f>
        <v>#VALUE!</v>
      </c>
      <c r="DX161" t="e">
        <f>AND(Bills!Z576,"AAAAAFr/7H8=")</f>
        <v>#VALUE!</v>
      </c>
      <c r="DY161" t="e">
        <f>AND(Bills!#REF!,"AAAAAFr/7IA=")</f>
        <v>#REF!</v>
      </c>
      <c r="DZ161" t="e">
        <f>AND(Bills!#REF!,"AAAAAFr/7IE=")</f>
        <v>#REF!</v>
      </c>
      <c r="EA161" t="e">
        <f>AND(Bills!#REF!,"AAAAAFr/7II=")</f>
        <v>#REF!</v>
      </c>
      <c r="EB161" t="e">
        <f>AND(Bills!AA576,"AAAAAFr/7IM=")</f>
        <v>#VALUE!</v>
      </c>
      <c r="EC161" t="e">
        <f>AND(Bills!AB576,"AAAAAFr/7IQ=")</f>
        <v>#VALUE!</v>
      </c>
      <c r="ED161" t="e">
        <f>AND(Bills!#REF!,"AAAAAFr/7IU=")</f>
        <v>#REF!</v>
      </c>
      <c r="EE161">
        <f>IF(Bills!577:577,"AAAAAFr/7IY=",0)</f>
        <v>0</v>
      </c>
      <c r="EF161" t="e">
        <f>AND(Bills!B577,"AAAAAFr/7Ic=")</f>
        <v>#VALUE!</v>
      </c>
      <c r="EG161" t="e">
        <f>AND(Bills!#REF!,"AAAAAFr/7Ig=")</f>
        <v>#REF!</v>
      </c>
      <c r="EH161" t="e">
        <f>AND(Bills!C577,"AAAAAFr/7Ik=")</f>
        <v>#VALUE!</v>
      </c>
      <c r="EI161" t="e">
        <f>AND(Bills!#REF!,"AAAAAFr/7Io=")</f>
        <v>#REF!</v>
      </c>
      <c r="EJ161" t="e">
        <f>AND(Bills!#REF!,"AAAAAFr/7Is=")</f>
        <v>#REF!</v>
      </c>
      <c r="EK161" t="e">
        <f>AND(Bills!#REF!,"AAAAAFr/7Iw=")</f>
        <v>#REF!</v>
      </c>
      <c r="EL161" t="e">
        <f>AND(Bills!#REF!,"AAAAAFr/7I0=")</f>
        <v>#REF!</v>
      </c>
      <c r="EM161" t="e">
        <f>AND(Bills!#REF!,"AAAAAFr/7I4=")</f>
        <v>#REF!</v>
      </c>
      <c r="EN161" t="e">
        <f>AND(Bills!D577,"AAAAAFr/7I8=")</f>
        <v>#VALUE!</v>
      </c>
      <c r="EO161" t="e">
        <f>AND(Bills!#REF!,"AAAAAFr/7JA=")</f>
        <v>#REF!</v>
      </c>
      <c r="EP161" t="e">
        <f>AND(Bills!E577,"AAAAAFr/7JE=")</f>
        <v>#VALUE!</v>
      </c>
      <c r="EQ161" t="e">
        <f>AND(Bills!F577,"AAAAAFr/7JI=")</f>
        <v>#VALUE!</v>
      </c>
      <c r="ER161" t="e">
        <f>AND(Bills!G577,"AAAAAFr/7JM=")</f>
        <v>#VALUE!</v>
      </c>
      <c r="ES161" t="e">
        <f>AND(Bills!H577,"AAAAAFr/7JQ=")</f>
        <v>#VALUE!</v>
      </c>
      <c r="ET161" t="e">
        <f>AND(Bills!I577,"AAAAAFr/7JU=")</f>
        <v>#VALUE!</v>
      </c>
      <c r="EU161" t="e">
        <f>AND(Bills!J577,"AAAAAFr/7JY=")</f>
        <v>#VALUE!</v>
      </c>
      <c r="EV161" t="e">
        <f>AND(Bills!#REF!,"AAAAAFr/7Jc=")</f>
        <v>#REF!</v>
      </c>
      <c r="EW161" t="e">
        <f>AND(Bills!K577,"AAAAAFr/7Jg=")</f>
        <v>#VALUE!</v>
      </c>
      <c r="EX161" t="e">
        <f>AND(Bills!L577,"AAAAAFr/7Jk=")</f>
        <v>#VALUE!</v>
      </c>
      <c r="EY161" t="e">
        <f>AND(Bills!M577,"AAAAAFr/7Jo=")</f>
        <v>#VALUE!</v>
      </c>
      <c r="EZ161" t="e">
        <f>AND(Bills!N577,"AAAAAFr/7Js=")</f>
        <v>#VALUE!</v>
      </c>
      <c r="FA161" t="e">
        <f>AND(Bills!O577,"AAAAAFr/7Jw=")</f>
        <v>#VALUE!</v>
      </c>
      <c r="FB161" t="e">
        <f>AND(Bills!P577,"AAAAAFr/7J0=")</f>
        <v>#VALUE!</v>
      </c>
      <c r="FC161" t="e">
        <f>AND(Bills!Q577,"AAAAAFr/7J4=")</f>
        <v>#VALUE!</v>
      </c>
      <c r="FD161" t="e">
        <f>AND(Bills!R577,"AAAAAFr/7J8=")</f>
        <v>#VALUE!</v>
      </c>
      <c r="FE161" t="e">
        <f>AND(Bills!#REF!,"AAAAAFr/7KA=")</f>
        <v>#REF!</v>
      </c>
      <c r="FF161" t="e">
        <f>AND(Bills!S577,"AAAAAFr/7KE=")</f>
        <v>#VALUE!</v>
      </c>
      <c r="FG161" t="e">
        <f>AND(Bills!T577,"AAAAAFr/7KI=")</f>
        <v>#VALUE!</v>
      </c>
      <c r="FH161" t="e">
        <f>AND(Bills!U577,"AAAAAFr/7KM=")</f>
        <v>#VALUE!</v>
      </c>
      <c r="FI161" t="e">
        <f>AND(Bills!#REF!,"AAAAAFr/7KQ=")</f>
        <v>#REF!</v>
      </c>
      <c r="FJ161" t="e">
        <f>AND(Bills!#REF!,"AAAAAFr/7KU=")</f>
        <v>#REF!</v>
      </c>
      <c r="FK161" t="e">
        <f>AND(Bills!W577,"AAAAAFr/7KY=")</f>
        <v>#VALUE!</v>
      </c>
      <c r="FL161" t="e">
        <f>AND(Bills!X577,"AAAAAFr/7Kc=")</f>
        <v>#VALUE!</v>
      </c>
      <c r="FM161" t="e">
        <f>AND(Bills!#REF!,"AAAAAFr/7Kg=")</f>
        <v>#REF!</v>
      </c>
      <c r="FN161" t="e">
        <f>AND(Bills!#REF!,"AAAAAFr/7Kk=")</f>
        <v>#REF!</v>
      </c>
      <c r="FO161" t="e">
        <f>AND(Bills!#REF!,"AAAAAFr/7Ko=")</f>
        <v>#REF!</v>
      </c>
      <c r="FP161" t="e">
        <f>AND(Bills!#REF!,"AAAAAFr/7Ks=")</f>
        <v>#REF!</v>
      </c>
      <c r="FQ161" t="e">
        <f>AND(Bills!#REF!,"AAAAAFr/7Kw=")</f>
        <v>#REF!</v>
      </c>
      <c r="FR161" t="e">
        <f>AND(Bills!#REF!,"AAAAAFr/7K0=")</f>
        <v>#REF!</v>
      </c>
      <c r="FS161" t="e">
        <f>AND(Bills!#REF!,"AAAAAFr/7K4=")</f>
        <v>#REF!</v>
      </c>
      <c r="FT161" t="e">
        <f>AND(Bills!#REF!,"AAAAAFr/7K8=")</f>
        <v>#REF!</v>
      </c>
      <c r="FU161" t="e">
        <f>AND(Bills!#REF!,"AAAAAFr/7LA=")</f>
        <v>#REF!</v>
      </c>
      <c r="FV161" t="e">
        <f>AND(Bills!Y577,"AAAAAFr/7LE=")</f>
        <v>#VALUE!</v>
      </c>
      <c r="FW161" t="e">
        <f>AND(Bills!Z577,"AAAAAFr/7LI=")</f>
        <v>#VALUE!</v>
      </c>
      <c r="FX161" t="e">
        <f>AND(Bills!#REF!,"AAAAAFr/7LM=")</f>
        <v>#REF!</v>
      </c>
      <c r="FY161" t="e">
        <f>AND(Bills!#REF!,"AAAAAFr/7LQ=")</f>
        <v>#REF!</v>
      </c>
      <c r="FZ161" t="e">
        <f>AND(Bills!#REF!,"AAAAAFr/7LU=")</f>
        <v>#REF!</v>
      </c>
      <c r="GA161" t="e">
        <f>AND(Bills!AA577,"AAAAAFr/7LY=")</f>
        <v>#VALUE!</v>
      </c>
      <c r="GB161" t="e">
        <f>AND(Bills!AB577,"AAAAAFr/7Lc=")</f>
        <v>#VALUE!</v>
      </c>
      <c r="GC161" t="e">
        <f>AND(Bills!#REF!,"AAAAAFr/7Lg=")</f>
        <v>#REF!</v>
      </c>
      <c r="GD161">
        <f>IF(Bills!578:578,"AAAAAFr/7Lk=",0)</f>
        <v>0</v>
      </c>
      <c r="GE161" t="e">
        <f>AND(Bills!B578,"AAAAAFr/7Lo=")</f>
        <v>#VALUE!</v>
      </c>
      <c r="GF161" t="e">
        <f>AND(Bills!#REF!,"AAAAAFr/7Ls=")</f>
        <v>#REF!</v>
      </c>
      <c r="GG161" t="e">
        <f>AND(Bills!C578,"AAAAAFr/7Lw=")</f>
        <v>#VALUE!</v>
      </c>
      <c r="GH161" t="e">
        <f>AND(Bills!#REF!,"AAAAAFr/7L0=")</f>
        <v>#REF!</v>
      </c>
      <c r="GI161" t="e">
        <f>AND(Bills!#REF!,"AAAAAFr/7L4=")</f>
        <v>#REF!</v>
      </c>
      <c r="GJ161" t="e">
        <f>AND(Bills!#REF!,"AAAAAFr/7L8=")</f>
        <v>#REF!</v>
      </c>
      <c r="GK161" t="e">
        <f>AND(Bills!#REF!,"AAAAAFr/7MA=")</f>
        <v>#REF!</v>
      </c>
      <c r="GL161" t="e">
        <f>AND(Bills!#REF!,"AAAAAFr/7ME=")</f>
        <v>#REF!</v>
      </c>
      <c r="GM161" t="e">
        <f>AND(Bills!D578,"AAAAAFr/7MI=")</f>
        <v>#VALUE!</v>
      </c>
      <c r="GN161" t="e">
        <f>AND(Bills!#REF!,"AAAAAFr/7MM=")</f>
        <v>#REF!</v>
      </c>
      <c r="GO161" t="e">
        <f>AND(Bills!E578,"AAAAAFr/7MQ=")</f>
        <v>#VALUE!</v>
      </c>
      <c r="GP161" t="e">
        <f>AND(Bills!F578,"AAAAAFr/7MU=")</f>
        <v>#VALUE!</v>
      </c>
      <c r="GQ161" t="e">
        <f>AND(Bills!G578,"AAAAAFr/7MY=")</f>
        <v>#VALUE!</v>
      </c>
      <c r="GR161" t="e">
        <f>AND(Bills!H578,"AAAAAFr/7Mc=")</f>
        <v>#VALUE!</v>
      </c>
      <c r="GS161" t="e">
        <f>AND(Bills!I578,"AAAAAFr/7Mg=")</f>
        <v>#VALUE!</v>
      </c>
      <c r="GT161" t="e">
        <f>AND(Bills!J578,"AAAAAFr/7Mk=")</f>
        <v>#VALUE!</v>
      </c>
      <c r="GU161" t="e">
        <f>AND(Bills!#REF!,"AAAAAFr/7Mo=")</f>
        <v>#REF!</v>
      </c>
      <c r="GV161" t="e">
        <f>AND(Bills!K578,"AAAAAFr/7Ms=")</f>
        <v>#VALUE!</v>
      </c>
      <c r="GW161" t="e">
        <f>AND(Bills!L578,"AAAAAFr/7Mw=")</f>
        <v>#VALUE!</v>
      </c>
      <c r="GX161" t="e">
        <f>AND(Bills!M578,"AAAAAFr/7M0=")</f>
        <v>#VALUE!</v>
      </c>
      <c r="GY161" t="e">
        <f>AND(Bills!N578,"AAAAAFr/7M4=")</f>
        <v>#VALUE!</v>
      </c>
      <c r="GZ161" t="e">
        <f>AND(Bills!O578,"AAAAAFr/7M8=")</f>
        <v>#VALUE!</v>
      </c>
      <c r="HA161" t="e">
        <f>AND(Bills!P578,"AAAAAFr/7NA=")</f>
        <v>#VALUE!</v>
      </c>
      <c r="HB161" t="e">
        <f>AND(Bills!Q578,"AAAAAFr/7NE=")</f>
        <v>#VALUE!</v>
      </c>
      <c r="HC161" t="e">
        <f>AND(Bills!R578,"AAAAAFr/7NI=")</f>
        <v>#VALUE!</v>
      </c>
      <c r="HD161" t="e">
        <f>AND(Bills!#REF!,"AAAAAFr/7NM=")</f>
        <v>#REF!</v>
      </c>
      <c r="HE161" t="e">
        <f>AND(Bills!S578,"AAAAAFr/7NQ=")</f>
        <v>#VALUE!</v>
      </c>
      <c r="HF161" t="e">
        <f>AND(Bills!T578,"AAAAAFr/7NU=")</f>
        <v>#VALUE!</v>
      </c>
      <c r="HG161" t="e">
        <f>AND(Bills!U578,"AAAAAFr/7NY=")</f>
        <v>#VALUE!</v>
      </c>
      <c r="HH161" t="e">
        <f>AND(Bills!#REF!,"AAAAAFr/7Nc=")</f>
        <v>#REF!</v>
      </c>
      <c r="HI161" t="e">
        <f>AND(Bills!#REF!,"AAAAAFr/7Ng=")</f>
        <v>#REF!</v>
      </c>
      <c r="HJ161" t="e">
        <f>AND(Bills!W578,"AAAAAFr/7Nk=")</f>
        <v>#VALUE!</v>
      </c>
      <c r="HK161" t="e">
        <f>AND(Bills!X578,"AAAAAFr/7No=")</f>
        <v>#VALUE!</v>
      </c>
      <c r="HL161" t="e">
        <f>AND(Bills!#REF!,"AAAAAFr/7Ns=")</f>
        <v>#REF!</v>
      </c>
      <c r="HM161" t="e">
        <f>AND(Bills!#REF!,"AAAAAFr/7Nw=")</f>
        <v>#REF!</v>
      </c>
      <c r="HN161" t="e">
        <f>AND(Bills!#REF!,"AAAAAFr/7N0=")</f>
        <v>#REF!</v>
      </c>
      <c r="HO161" t="e">
        <f>AND(Bills!#REF!,"AAAAAFr/7N4=")</f>
        <v>#REF!</v>
      </c>
      <c r="HP161" t="e">
        <f>AND(Bills!#REF!,"AAAAAFr/7N8=")</f>
        <v>#REF!</v>
      </c>
      <c r="HQ161" t="e">
        <f>AND(Bills!#REF!,"AAAAAFr/7OA=")</f>
        <v>#REF!</v>
      </c>
      <c r="HR161" t="e">
        <f>AND(Bills!#REF!,"AAAAAFr/7OE=")</f>
        <v>#REF!</v>
      </c>
      <c r="HS161" t="e">
        <f>AND(Bills!#REF!,"AAAAAFr/7OI=")</f>
        <v>#REF!</v>
      </c>
      <c r="HT161" t="e">
        <f>AND(Bills!#REF!,"AAAAAFr/7OM=")</f>
        <v>#REF!</v>
      </c>
      <c r="HU161" t="e">
        <f>AND(Bills!Y578,"AAAAAFr/7OQ=")</f>
        <v>#VALUE!</v>
      </c>
      <c r="HV161" t="e">
        <f>AND(Bills!Z578,"AAAAAFr/7OU=")</f>
        <v>#VALUE!</v>
      </c>
      <c r="HW161" t="e">
        <f>AND(Bills!#REF!,"AAAAAFr/7OY=")</f>
        <v>#REF!</v>
      </c>
      <c r="HX161" t="e">
        <f>AND(Bills!#REF!,"AAAAAFr/7Oc=")</f>
        <v>#REF!</v>
      </c>
      <c r="HY161" t="e">
        <f>AND(Bills!#REF!,"AAAAAFr/7Og=")</f>
        <v>#REF!</v>
      </c>
      <c r="HZ161" t="e">
        <f>AND(Bills!AA578,"AAAAAFr/7Ok=")</f>
        <v>#VALUE!</v>
      </c>
      <c r="IA161" t="e">
        <f>AND(Bills!AB578,"AAAAAFr/7Oo=")</f>
        <v>#VALUE!</v>
      </c>
      <c r="IB161" t="e">
        <f>AND(Bills!#REF!,"AAAAAFr/7Os=")</f>
        <v>#REF!</v>
      </c>
      <c r="IC161">
        <f>IF(Bills!579:579,"AAAAAFr/7Ow=",0)</f>
        <v>0</v>
      </c>
      <c r="ID161" t="e">
        <f>AND(Bills!B579,"AAAAAFr/7O0=")</f>
        <v>#VALUE!</v>
      </c>
      <c r="IE161" t="e">
        <f>AND(Bills!#REF!,"AAAAAFr/7O4=")</f>
        <v>#REF!</v>
      </c>
      <c r="IF161" t="e">
        <f>AND(Bills!C579,"AAAAAFr/7O8=")</f>
        <v>#VALUE!</v>
      </c>
      <c r="IG161" t="e">
        <f>AND(Bills!#REF!,"AAAAAFr/7PA=")</f>
        <v>#REF!</v>
      </c>
      <c r="IH161" t="e">
        <f>AND(Bills!#REF!,"AAAAAFr/7PE=")</f>
        <v>#REF!</v>
      </c>
      <c r="II161" t="e">
        <f>AND(Bills!#REF!,"AAAAAFr/7PI=")</f>
        <v>#REF!</v>
      </c>
      <c r="IJ161" t="e">
        <f>AND(Bills!#REF!,"AAAAAFr/7PM=")</f>
        <v>#REF!</v>
      </c>
      <c r="IK161" t="e">
        <f>AND(Bills!#REF!,"AAAAAFr/7PQ=")</f>
        <v>#REF!</v>
      </c>
      <c r="IL161" t="e">
        <f>AND(Bills!D579,"AAAAAFr/7PU=")</f>
        <v>#VALUE!</v>
      </c>
      <c r="IM161" t="e">
        <f>AND(Bills!#REF!,"AAAAAFr/7PY=")</f>
        <v>#REF!</v>
      </c>
      <c r="IN161" t="e">
        <f>AND(Bills!E579,"AAAAAFr/7Pc=")</f>
        <v>#VALUE!</v>
      </c>
      <c r="IO161" t="e">
        <f>AND(Bills!F579,"AAAAAFr/7Pg=")</f>
        <v>#VALUE!</v>
      </c>
      <c r="IP161" t="e">
        <f>AND(Bills!G579,"AAAAAFr/7Pk=")</f>
        <v>#VALUE!</v>
      </c>
      <c r="IQ161" t="e">
        <f>AND(Bills!H579,"AAAAAFr/7Po=")</f>
        <v>#VALUE!</v>
      </c>
      <c r="IR161" t="e">
        <f>AND(Bills!I579,"AAAAAFr/7Ps=")</f>
        <v>#VALUE!</v>
      </c>
      <c r="IS161" t="e">
        <f>AND(Bills!J579,"AAAAAFr/7Pw=")</f>
        <v>#VALUE!</v>
      </c>
      <c r="IT161" t="e">
        <f>AND(Bills!#REF!,"AAAAAFr/7P0=")</f>
        <v>#REF!</v>
      </c>
      <c r="IU161" t="e">
        <f>AND(Bills!K579,"AAAAAFr/7P4=")</f>
        <v>#VALUE!</v>
      </c>
      <c r="IV161" t="e">
        <f>AND(Bills!L579,"AAAAAFr/7P8=")</f>
        <v>#VALUE!</v>
      </c>
    </row>
    <row r="162" spans="1:256">
      <c r="A162" t="e">
        <f>AND(Bills!M579,"AAAAAHH/RQA=")</f>
        <v>#VALUE!</v>
      </c>
      <c r="B162" t="e">
        <f>AND(Bills!N579,"AAAAAHH/RQE=")</f>
        <v>#VALUE!</v>
      </c>
      <c r="C162" t="e">
        <f>AND(Bills!O579,"AAAAAHH/RQI=")</f>
        <v>#VALUE!</v>
      </c>
      <c r="D162" t="e">
        <f>AND(Bills!P579,"AAAAAHH/RQM=")</f>
        <v>#VALUE!</v>
      </c>
      <c r="E162" t="e">
        <f>AND(Bills!Q579,"AAAAAHH/RQQ=")</f>
        <v>#VALUE!</v>
      </c>
      <c r="F162" t="e">
        <f>AND(Bills!R579,"AAAAAHH/RQU=")</f>
        <v>#VALUE!</v>
      </c>
      <c r="G162" t="e">
        <f>AND(Bills!#REF!,"AAAAAHH/RQY=")</f>
        <v>#REF!</v>
      </c>
      <c r="H162" t="e">
        <f>AND(Bills!S579,"AAAAAHH/RQc=")</f>
        <v>#VALUE!</v>
      </c>
      <c r="I162" t="e">
        <f>AND(Bills!T579,"AAAAAHH/RQg=")</f>
        <v>#VALUE!</v>
      </c>
      <c r="J162" t="e">
        <f>AND(Bills!U579,"AAAAAHH/RQk=")</f>
        <v>#VALUE!</v>
      </c>
      <c r="K162" t="e">
        <f>AND(Bills!#REF!,"AAAAAHH/RQo=")</f>
        <v>#REF!</v>
      </c>
      <c r="L162" t="e">
        <f>AND(Bills!#REF!,"AAAAAHH/RQs=")</f>
        <v>#REF!</v>
      </c>
      <c r="M162" t="e">
        <f>AND(Bills!W579,"AAAAAHH/RQw=")</f>
        <v>#VALUE!</v>
      </c>
      <c r="N162" t="e">
        <f>AND(Bills!X579,"AAAAAHH/RQ0=")</f>
        <v>#VALUE!</v>
      </c>
      <c r="O162" t="e">
        <f>AND(Bills!#REF!,"AAAAAHH/RQ4=")</f>
        <v>#REF!</v>
      </c>
      <c r="P162" t="e">
        <f>AND(Bills!#REF!,"AAAAAHH/RQ8=")</f>
        <v>#REF!</v>
      </c>
      <c r="Q162" t="e">
        <f>AND(Bills!#REF!,"AAAAAHH/RRA=")</f>
        <v>#REF!</v>
      </c>
      <c r="R162" t="e">
        <f>AND(Bills!#REF!,"AAAAAHH/RRE=")</f>
        <v>#REF!</v>
      </c>
      <c r="S162" t="e">
        <f>AND(Bills!#REF!,"AAAAAHH/RRI=")</f>
        <v>#REF!</v>
      </c>
      <c r="T162" t="e">
        <f>AND(Bills!#REF!,"AAAAAHH/RRM=")</f>
        <v>#REF!</v>
      </c>
      <c r="U162" t="e">
        <f>AND(Bills!#REF!,"AAAAAHH/RRQ=")</f>
        <v>#REF!</v>
      </c>
      <c r="V162" t="e">
        <f>AND(Bills!#REF!,"AAAAAHH/RRU=")</f>
        <v>#REF!</v>
      </c>
      <c r="W162" t="e">
        <f>AND(Bills!#REF!,"AAAAAHH/RRY=")</f>
        <v>#REF!</v>
      </c>
      <c r="X162" t="e">
        <f>AND(Bills!Y579,"AAAAAHH/RRc=")</f>
        <v>#VALUE!</v>
      </c>
      <c r="Y162" t="e">
        <f>AND(Bills!Z579,"AAAAAHH/RRg=")</f>
        <v>#VALUE!</v>
      </c>
      <c r="Z162" t="e">
        <f>AND(Bills!#REF!,"AAAAAHH/RRk=")</f>
        <v>#REF!</v>
      </c>
      <c r="AA162" t="e">
        <f>AND(Bills!#REF!,"AAAAAHH/RRo=")</f>
        <v>#REF!</v>
      </c>
      <c r="AB162" t="e">
        <f>AND(Bills!#REF!,"AAAAAHH/RRs=")</f>
        <v>#REF!</v>
      </c>
      <c r="AC162" t="e">
        <f>AND(Bills!AA579,"AAAAAHH/RRw=")</f>
        <v>#VALUE!</v>
      </c>
      <c r="AD162" t="e">
        <f>AND(Bills!AB579,"AAAAAHH/RR0=")</f>
        <v>#VALUE!</v>
      </c>
      <c r="AE162" t="e">
        <f>AND(Bills!#REF!,"AAAAAHH/RR4=")</f>
        <v>#REF!</v>
      </c>
      <c r="AF162">
        <f>IF(Bills!580:580,"AAAAAHH/RR8=",0)</f>
        <v>0</v>
      </c>
      <c r="AG162" t="e">
        <f>AND(Bills!B580,"AAAAAHH/RSA=")</f>
        <v>#VALUE!</v>
      </c>
      <c r="AH162" t="e">
        <f>AND(Bills!#REF!,"AAAAAHH/RSE=")</f>
        <v>#REF!</v>
      </c>
      <c r="AI162" t="e">
        <f>AND(Bills!C580,"AAAAAHH/RSI=")</f>
        <v>#VALUE!</v>
      </c>
      <c r="AJ162" t="e">
        <f>AND(Bills!#REF!,"AAAAAHH/RSM=")</f>
        <v>#REF!</v>
      </c>
      <c r="AK162" t="e">
        <f>AND(Bills!#REF!,"AAAAAHH/RSQ=")</f>
        <v>#REF!</v>
      </c>
      <c r="AL162" t="e">
        <f>AND(Bills!#REF!,"AAAAAHH/RSU=")</f>
        <v>#REF!</v>
      </c>
      <c r="AM162" t="e">
        <f>AND(Bills!#REF!,"AAAAAHH/RSY=")</f>
        <v>#REF!</v>
      </c>
      <c r="AN162" t="e">
        <f>AND(Bills!#REF!,"AAAAAHH/RSc=")</f>
        <v>#REF!</v>
      </c>
      <c r="AO162" t="e">
        <f>AND(Bills!D580,"AAAAAHH/RSg=")</f>
        <v>#VALUE!</v>
      </c>
      <c r="AP162" t="e">
        <f>AND(Bills!#REF!,"AAAAAHH/RSk=")</f>
        <v>#REF!</v>
      </c>
      <c r="AQ162" t="e">
        <f>AND(Bills!E580,"AAAAAHH/RSo=")</f>
        <v>#VALUE!</v>
      </c>
      <c r="AR162" t="e">
        <f>AND(Bills!F580,"AAAAAHH/RSs=")</f>
        <v>#VALUE!</v>
      </c>
      <c r="AS162" t="e">
        <f>AND(Bills!G580,"AAAAAHH/RSw=")</f>
        <v>#VALUE!</v>
      </c>
      <c r="AT162" t="e">
        <f>AND(Bills!H580,"AAAAAHH/RS0=")</f>
        <v>#VALUE!</v>
      </c>
      <c r="AU162" t="e">
        <f>AND(Bills!I580,"AAAAAHH/RS4=")</f>
        <v>#VALUE!</v>
      </c>
      <c r="AV162" t="e">
        <f>AND(Bills!J580,"AAAAAHH/RS8=")</f>
        <v>#VALUE!</v>
      </c>
      <c r="AW162" t="e">
        <f>AND(Bills!#REF!,"AAAAAHH/RTA=")</f>
        <v>#REF!</v>
      </c>
      <c r="AX162" t="e">
        <f>AND(Bills!K580,"AAAAAHH/RTE=")</f>
        <v>#VALUE!</v>
      </c>
      <c r="AY162" t="e">
        <f>AND(Bills!L580,"AAAAAHH/RTI=")</f>
        <v>#VALUE!</v>
      </c>
      <c r="AZ162" t="e">
        <f>AND(Bills!M580,"AAAAAHH/RTM=")</f>
        <v>#VALUE!</v>
      </c>
      <c r="BA162" t="e">
        <f>AND(Bills!N580,"AAAAAHH/RTQ=")</f>
        <v>#VALUE!</v>
      </c>
      <c r="BB162" t="e">
        <f>AND(Bills!O580,"AAAAAHH/RTU=")</f>
        <v>#VALUE!</v>
      </c>
      <c r="BC162" t="e">
        <f>AND(Bills!P580,"AAAAAHH/RTY=")</f>
        <v>#VALUE!</v>
      </c>
      <c r="BD162" t="e">
        <f>AND(Bills!Q580,"AAAAAHH/RTc=")</f>
        <v>#VALUE!</v>
      </c>
      <c r="BE162" t="e">
        <f>AND(Bills!R580,"AAAAAHH/RTg=")</f>
        <v>#VALUE!</v>
      </c>
      <c r="BF162" t="e">
        <f>AND(Bills!#REF!,"AAAAAHH/RTk=")</f>
        <v>#REF!</v>
      </c>
      <c r="BG162" t="e">
        <f>AND(Bills!S580,"AAAAAHH/RTo=")</f>
        <v>#VALUE!</v>
      </c>
      <c r="BH162" t="e">
        <f>AND(Bills!T580,"AAAAAHH/RTs=")</f>
        <v>#VALUE!</v>
      </c>
      <c r="BI162" t="e">
        <f>AND(Bills!U580,"AAAAAHH/RTw=")</f>
        <v>#VALUE!</v>
      </c>
      <c r="BJ162" t="e">
        <f>AND(Bills!#REF!,"AAAAAHH/RT0=")</f>
        <v>#REF!</v>
      </c>
      <c r="BK162" t="e">
        <f>AND(Bills!#REF!,"AAAAAHH/RT4=")</f>
        <v>#REF!</v>
      </c>
      <c r="BL162" t="e">
        <f>AND(Bills!W580,"AAAAAHH/RT8=")</f>
        <v>#VALUE!</v>
      </c>
      <c r="BM162" t="e">
        <f>AND(Bills!X580,"AAAAAHH/RUA=")</f>
        <v>#VALUE!</v>
      </c>
      <c r="BN162" t="e">
        <f>AND(Bills!#REF!,"AAAAAHH/RUE=")</f>
        <v>#REF!</v>
      </c>
      <c r="BO162" t="e">
        <f>AND(Bills!#REF!,"AAAAAHH/RUI=")</f>
        <v>#REF!</v>
      </c>
      <c r="BP162" t="e">
        <f>AND(Bills!#REF!,"AAAAAHH/RUM=")</f>
        <v>#REF!</v>
      </c>
      <c r="BQ162" t="e">
        <f>AND(Bills!#REF!,"AAAAAHH/RUQ=")</f>
        <v>#REF!</v>
      </c>
      <c r="BR162" t="e">
        <f>AND(Bills!#REF!,"AAAAAHH/RUU=")</f>
        <v>#REF!</v>
      </c>
      <c r="BS162" t="e">
        <f>AND(Bills!#REF!,"AAAAAHH/RUY=")</f>
        <v>#REF!</v>
      </c>
      <c r="BT162" t="e">
        <f>AND(Bills!#REF!,"AAAAAHH/RUc=")</f>
        <v>#REF!</v>
      </c>
      <c r="BU162" t="e">
        <f>AND(Bills!#REF!,"AAAAAHH/RUg=")</f>
        <v>#REF!</v>
      </c>
      <c r="BV162" t="e">
        <f>AND(Bills!#REF!,"AAAAAHH/RUk=")</f>
        <v>#REF!</v>
      </c>
      <c r="BW162" t="e">
        <f>AND(Bills!Y580,"AAAAAHH/RUo=")</f>
        <v>#VALUE!</v>
      </c>
      <c r="BX162" t="e">
        <f>AND(Bills!Z580,"AAAAAHH/RUs=")</f>
        <v>#VALUE!</v>
      </c>
      <c r="BY162" t="e">
        <f>AND(Bills!#REF!,"AAAAAHH/RUw=")</f>
        <v>#REF!</v>
      </c>
      <c r="BZ162" t="e">
        <f>AND(Bills!#REF!,"AAAAAHH/RU0=")</f>
        <v>#REF!</v>
      </c>
      <c r="CA162" t="e">
        <f>AND(Bills!#REF!,"AAAAAHH/RU4=")</f>
        <v>#REF!</v>
      </c>
      <c r="CB162" t="e">
        <f>AND(Bills!AA580,"AAAAAHH/RU8=")</f>
        <v>#VALUE!</v>
      </c>
      <c r="CC162" t="e">
        <f>AND(Bills!AB580,"AAAAAHH/RVA=")</f>
        <v>#VALUE!</v>
      </c>
      <c r="CD162" t="e">
        <f>AND(Bills!#REF!,"AAAAAHH/RVE=")</f>
        <v>#REF!</v>
      </c>
      <c r="CE162">
        <f>IF(Bills!581:581,"AAAAAHH/RVI=",0)</f>
        <v>0</v>
      </c>
      <c r="CF162" t="e">
        <f>AND(Bills!B581,"AAAAAHH/RVM=")</f>
        <v>#VALUE!</v>
      </c>
      <c r="CG162" t="e">
        <f>AND(Bills!#REF!,"AAAAAHH/RVQ=")</f>
        <v>#REF!</v>
      </c>
      <c r="CH162" t="e">
        <f>AND(Bills!C581,"AAAAAHH/RVU=")</f>
        <v>#VALUE!</v>
      </c>
      <c r="CI162" t="e">
        <f>AND(Bills!#REF!,"AAAAAHH/RVY=")</f>
        <v>#REF!</v>
      </c>
      <c r="CJ162" t="e">
        <f>AND(Bills!#REF!,"AAAAAHH/RVc=")</f>
        <v>#REF!</v>
      </c>
      <c r="CK162" t="e">
        <f>AND(Bills!#REF!,"AAAAAHH/RVg=")</f>
        <v>#REF!</v>
      </c>
      <c r="CL162" t="e">
        <f>AND(Bills!#REF!,"AAAAAHH/RVk=")</f>
        <v>#REF!</v>
      </c>
      <c r="CM162" t="e">
        <f>AND(Bills!#REF!,"AAAAAHH/RVo=")</f>
        <v>#REF!</v>
      </c>
      <c r="CN162" t="e">
        <f>AND(Bills!D581,"AAAAAHH/RVs=")</f>
        <v>#VALUE!</v>
      </c>
      <c r="CO162" t="e">
        <f>AND(Bills!#REF!,"AAAAAHH/RVw=")</f>
        <v>#REF!</v>
      </c>
      <c r="CP162" t="e">
        <f>AND(Bills!E581,"AAAAAHH/RV0=")</f>
        <v>#VALUE!</v>
      </c>
      <c r="CQ162" t="e">
        <f>AND(Bills!F581,"AAAAAHH/RV4=")</f>
        <v>#VALUE!</v>
      </c>
      <c r="CR162" t="e">
        <f>AND(Bills!G581,"AAAAAHH/RV8=")</f>
        <v>#VALUE!</v>
      </c>
      <c r="CS162" t="e">
        <f>AND(Bills!H581,"AAAAAHH/RWA=")</f>
        <v>#VALUE!</v>
      </c>
      <c r="CT162" t="e">
        <f>AND(Bills!I581,"AAAAAHH/RWE=")</f>
        <v>#VALUE!</v>
      </c>
      <c r="CU162" t="e">
        <f>AND(Bills!J581,"AAAAAHH/RWI=")</f>
        <v>#VALUE!</v>
      </c>
      <c r="CV162" t="e">
        <f>AND(Bills!#REF!,"AAAAAHH/RWM=")</f>
        <v>#REF!</v>
      </c>
      <c r="CW162" t="e">
        <f>AND(Bills!K581,"AAAAAHH/RWQ=")</f>
        <v>#VALUE!</v>
      </c>
      <c r="CX162" t="e">
        <f>AND(Bills!L581,"AAAAAHH/RWU=")</f>
        <v>#VALUE!</v>
      </c>
      <c r="CY162" t="e">
        <f>AND(Bills!M581,"AAAAAHH/RWY=")</f>
        <v>#VALUE!</v>
      </c>
      <c r="CZ162" t="e">
        <f>AND(Bills!N581,"AAAAAHH/RWc=")</f>
        <v>#VALUE!</v>
      </c>
      <c r="DA162" t="e">
        <f>AND(Bills!O581,"AAAAAHH/RWg=")</f>
        <v>#VALUE!</v>
      </c>
      <c r="DB162" t="e">
        <f>AND(Bills!P581,"AAAAAHH/RWk=")</f>
        <v>#VALUE!</v>
      </c>
      <c r="DC162" t="e">
        <f>AND(Bills!Q581,"AAAAAHH/RWo=")</f>
        <v>#VALUE!</v>
      </c>
      <c r="DD162" t="e">
        <f>AND(Bills!R581,"AAAAAHH/RWs=")</f>
        <v>#VALUE!</v>
      </c>
      <c r="DE162" t="e">
        <f>AND(Bills!#REF!,"AAAAAHH/RWw=")</f>
        <v>#REF!</v>
      </c>
      <c r="DF162" t="e">
        <f>AND(Bills!S581,"AAAAAHH/RW0=")</f>
        <v>#VALUE!</v>
      </c>
      <c r="DG162" t="e">
        <f>AND(Bills!T581,"AAAAAHH/RW4=")</f>
        <v>#VALUE!</v>
      </c>
      <c r="DH162" t="e">
        <f>AND(Bills!U581,"AAAAAHH/RW8=")</f>
        <v>#VALUE!</v>
      </c>
      <c r="DI162" t="e">
        <f>AND(Bills!#REF!,"AAAAAHH/RXA=")</f>
        <v>#REF!</v>
      </c>
      <c r="DJ162" t="e">
        <f>AND(Bills!#REF!,"AAAAAHH/RXE=")</f>
        <v>#REF!</v>
      </c>
      <c r="DK162" t="e">
        <f>AND(Bills!W581,"AAAAAHH/RXI=")</f>
        <v>#VALUE!</v>
      </c>
      <c r="DL162" t="e">
        <f>AND(Bills!X581,"AAAAAHH/RXM=")</f>
        <v>#VALUE!</v>
      </c>
      <c r="DM162" t="e">
        <f>AND(Bills!#REF!,"AAAAAHH/RXQ=")</f>
        <v>#REF!</v>
      </c>
      <c r="DN162" t="e">
        <f>AND(Bills!#REF!,"AAAAAHH/RXU=")</f>
        <v>#REF!</v>
      </c>
      <c r="DO162" t="e">
        <f>AND(Bills!#REF!,"AAAAAHH/RXY=")</f>
        <v>#REF!</v>
      </c>
      <c r="DP162" t="e">
        <f>AND(Bills!#REF!,"AAAAAHH/RXc=")</f>
        <v>#REF!</v>
      </c>
      <c r="DQ162" t="e">
        <f>AND(Bills!#REF!,"AAAAAHH/RXg=")</f>
        <v>#REF!</v>
      </c>
      <c r="DR162" t="e">
        <f>AND(Bills!#REF!,"AAAAAHH/RXk=")</f>
        <v>#REF!</v>
      </c>
      <c r="DS162" t="e">
        <f>AND(Bills!#REF!,"AAAAAHH/RXo=")</f>
        <v>#REF!</v>
      </c>
      <c r="DT162" t="e">
        <f>AND(Bills!#REF!,"AAAAAHH/RXs=")</f>
        <v>#REF!</v>
      </c>
      <c r="DU162" t="e">
        <f>AND(Bills!#REF!,"AAAAAHH/RXw=")</f>
        <v>#REF!</v>
      </c>
      <c r="DV162" t="e">
        <f>AND(Bills!Y581,"AAAAAHH/RX0=")</f>
        <v>#VALUE!</v>
      </c>
      <c r="DW162" t="e">
        <f>AND(Bills!Z581,"AAAAAHH/RX4=")</f>
        <v>#VALUE!</v>
      </c>
      <c r="DX162" t="e">
        <f>AND(Bills!#REF!,"AAAAAHH/RX8=")</f>
        <v>#REF!</v>
      </c>
      <c r="DY162" t="e">
        <f>AND(Bills!#REF!,"AAAAAHH/RYA=")</f>
        <v>#REF!</v>
      </c>
      <c r="DZ162" t="e">
        <f>AND(Bills!#REF!,"AAAAAHH/RYE=")</f>
        <v>#REF!</v>
      </c>
      <c r="EA162" t="e">
        <f>AND(Bills!AA581,"AAAAAHH/RYI=")</f>
        <v>#VALUE!</v>
      </c>
      <c r="EB162" t="e">
        <f>AND(Bills!AB581,"AAAAAHH/RYM=")</f>
        <v>#VALUE!</v>
      </c>
      <c r="EC162" t="e">
        <f>AND(Bills!#REF!,"AAAAAHH/RYQ=")</f>
        <v>#REF!</v>
      </c>
      <c r="ED162">
        <f>IF(Bills!582:582,"AAAAAHH/RYU=",0)</f>
        <v>0</v>
      </c>
      <c r="EE162" t="e">
        <f>AND(Bills!B582,"AAAAAHH/RYY=")</f>
        <v>#VALUE!</v>
      </c>
      <c r="EF162" t="e">
        <f>AND(Bills!#REF!,"AAAAAHH/RYc=")</f>
        <v>#REF!</v>
      </c>
      <c r="EG162" t="e">
        <f>AND(Bills!C582,"AAAAAHH/RYg=")</f>
        <v>#VALUE!</v>
      </c>
      <c r="EH162" t="e">
        <f>AND(Bills!#REF!,"AAAAAHH/RYk=")</f>
        <v>#REF!</v>
      </c>
      <c r="EI162" t="e">
        <f>AND(Bills!#REF!,"AAAAAHH/RYo=")</f>
        <v>#REF!</v>
      </c>
      <c r="EJ162" t="e">
        <f>AND(Bills!#REF!,"AAAAAHH/RYs=")</f>
        <v>#REF!</v>
      </c>
      <c r="EK162" t="e">
        <f>AND(Bills!#REF!,"AAAAAHH/RYw=")</f>
        <v>#REF!</v>
      </c>
      <c r="EL162" t="e">
        <f>AND(Bills!#REF!,"AAAAAHH/RY0=")</f>
        <v>#REF!</v>
      </c>
      <c r="EM162" t="e">
        <f>AND(Bills!D582,"AAAAAHH/RY4=")</f>
        <v>#VALUE!</v>
      </c>
      <c r="EN162" t="e">
        <f>AND(Bills!#REF!,"AAAAAHH/RY8=")</f>
        <v>#REF!</v>
      </c>
      <c r="EO162" t="e">
        <f>AND(Bills!E582,"AAAAAHH/RZA=")</f>
        <v>#VALUE!</v>
      </c>
      <c r="EP162" t="e">
        <f>AND(Bills!F582,"AAAAAHH/RZE=")</f>
        <v>#VALUE!</v>
      </c>
      <c r="EQ162" t="e">
        <f>AND(Bills!G582,"AAAAAHH/RZI=")</f>
        <v>#VALUE!</v>
      </c>
      <c r="ER162" t="e">
        <f>AND(Bills!H582,"AAAAAHH/RZM=")</f>
        <v>#VALUE!</v>
      </c>
      <c r="ES162" t="e">
        <f>AND(Bills!I582,"AAAAAHH/RZQ=")</f>
        <v>#VALUE!</v>
      </c>
      <c r="ET162" t="e">
        <f>AND(Bills!J582,"AAAAAHH/RZU=")</f>
        <v>#VALUE!</v>
      </c>
      <c r="EU162" t="e">
        <f>AND(Bills!#REF!,"AAAAAHH/RZY=")</f>
        <v>#REF!</v>
      </c>
      <c r="EV162" t="e">
        <f>AND(Bills!K582,"AAAAAHH/RZc=")</f>
        <v>#VALUE!</v>
      </c>
      <c r="EW162" t="e">
        <f>AND(Bills!L582,"AAAAAHH/RZg=")</f>
        <v>#VALUE!</v>
      </c>
      <c r="EX162" t="e">
        <f>AND(Bills!M582,"AAAAAHH/RZk=")</f>
        <v>#VALUE!</v>
      </c>
      <c r="EY162" t="e">
        <f>AND(Bills!N582,"AAAAAHH/RZo=")</f>
        <v>#VALUE!</v>
      </c>
      <c r="EZ162" t="e">
        <f>AND(Bills!O582,"AAAAAHH/RZs=")</f>
        <v>#VALUE!</v>
      </c>
      <c r="FA162" t="e">
        <f>AND(Bills!P582,"AAAAAHH/RZw=")</f>
        <v>#VALUE!</v>
      </c>
      <c r="FB162" t="e">
        <f>AND(Bills!Q582,"AAAAAHH/RZ0=")</f>
        <v>#VALUE!</v>
      </c>
      <c r="FC162" t="e">
        <f>AND(Bills!R582,"AAAAAHH/RZ4=")</f>
        <v>#VALUE!</v>
      </c>
      <c r="FD162" t="e">
        <f>AND(Bills!#REF!,"AAAAAHH/RZ8=")</f>
        <v>#REF!</v>
      </c>
      <c r="FE162" t="e">
        <f>AND(Bills!S582,"AAAAAHH/RaA=")</f>
        <v>#VALUE!</v>
      </c>
      <c r="FF162" t="e">
        <f>AND(Bills!T582,"AAAAAHH/RaE=")</f>
        <v>#VALUE!</v>
      </c>
      <c r="FG162" t="e">
        <f>AND(Bills!U582,"AAAAAHH/RaI=")</f>
        <v>#VALUE!</v>
      </c>
      <c r="FH162" t="e">
        <f>AND(Bills!#REF!,"AAAAAHH/RaM=")</f>
        <v>#REF!</v>
      </c>
      <c r="FI162" t="e">
        <f>AND(Bills!#REF!,"AAAAAHH/RaQ=")</f>
        <v>#REF!</v>
      </c>
      <c r="FJ162" t="e">
        <f>AND(Bills!W582,"AAAAAHH/RaU=")</f>
        <v>#VALUE!</v>
      </c>
      <c r="FK162" t="e">
        <f>AND(Bills!X582,"AAAAAHH/RaY=")</f>
        <v>#VALUE!</v>
      </c>
      <c r="FL162" t="e">
        <f>AND(Bills!#REF!,"AAAAAHH/Rac=")</f>
        <v>#REF!</v>
      </c>
      <c r="FM162" t="e">
        <f>AND(Bills!#REF!,"AAAAAHH/Rag=")</f>
        <v>#REF!</v>
      </c>
      <c r="FN162" t="e">
        <f>AND(Bills!#REF!,"AAAAAHH/Rak=")</f>
        <v>#REF!</v>
      </c>
      <c r="FO162" t="e">
        <f>AND(Bills!#REF!,"AAAAAHH/Rao=")</f>
        <v>#REF!</v>
      </c>
      <c r="FP162" t="e">
        <f>AND(Bills!#REF!,"AAAAAHH/Ras=")</f>
        <v>#REF!</v>
      </c>
      <c r="FQ162" t="e">
        <f>AND(Bills!#REF!,"AAAAAHH/Raw=")</f>
        <v>#REF!</v>
      </c>
      <c r="FR162" t="e">
        <f>AND(Bills!#REF!,"AAAAAHH/Ra0=")</f>
        <v>#REF!</v>
      </c>
      <c r="FS162" t="e">
        <f>AND(Bills!#REF!,"AAAAAHH/Ra4=")</f>
        <v>#REF!</v>
      </c>
      <c r="FT162" t="e">
        <f>AND(Bills!#REF!,"AAAAAHH/Ra8=")</f>
        <v>#REF!</v>
      </c>
      <c r="FU162" t="e">
        <f>AND(Bills!Y582,"AAAAAHH/RbA=")</f>
        <v>#VALUE!</v>
      </c>
      <c r="FV162" t="e">
        <f>AND(Bills!Z582,"AAAAAHH/RbE=")</f>
        <v>#VALUE!</v>
      </c>
      <c r="FW162" t="e">
        <f>AND(Bills!#REF!,"AAAAAHH/RbI=")</f>
        <v>#REF!</v>
      </c>
      <c r="FX162" t="e">
        <f>AND(Bills!#REF!,"AAAAAHH/RbM=")</f>
        <v>#REF!</v>
      </c>
      <c r="FY162" t="e">
        <f>AND(Bills!#REF!,"AAAAAHH/RbQ=")</f>
        <v>#REF!</v>
      </c>
      <c r="FZ162" t="e">
        <f>AND(Bills!AA582,"AAAAAHH/RbU=")</f>
        <v>#VALUE!</v>
      </c>
      <c r="GA162" t="e">
        <f>AND(Bills!AB582,"AAAAAHH/RbY=")</f>
        <v>#VALUE!</v>
      </c>
      <c r="GB162" t="e">
        <f>AND(Bills!#REF!,"AAAAAHH/Rbc=")</f>
        <v>#REF!</v>
      </c>
      <c r="GC162">
        <f>IF(Bills!583:583,"AAAAAHH/Rbg=",0)</f>
        <v>0</v>
      </c>
      <c r="GD162" t="e">
        <f>AND(Bills!B583,"AAAAAHH/Rbk=")</f>
        <v>#VALUE!</v>
      </c>
      <c r="GE162" t="e">
        <f>AND(Bills!#REF!,"AAAAAHH/Rbo=")</f>
        <v>#REF!</v>
      </c>
      <c r="GF162" t="e">
        <f>AND(Bills!C583,"AAAAAHH/Rbs=")</f>
        <v>#VALUE!</v>
      </c>
      <c r="GG162" t="e">
        <f>AND(Bills!#REF!,"AAAAAHH/Rbw=")</f>
        <v>#REF!</v>
      </c>
      <c r="GH162" t="e">
        <f>AND(Bills!#REF!,"AAAAAHH/Rb0=")</f>
        <v>#REF!</v>
      </c>
      <c r="GI162" t="e">
        <f>AND(Bills!#REF!,"AAAAAHH/Rb4=")</f>
        <v>#REF!</v>
      </c>
      <c r="GJ162" t="e">
        <f>AND(Bills!#REF!,"AAAAAHH/Rb8=")</f>
        <v>#REF!</v>
      </c>
      <c r="GK162" t="e">
        <f>AND(Bills!#REF!,"AAAAAHH/RcA=")</f>
        <v>#REF!</v>
      </c>
      <c r="GL162" t="e">
        <f>AND(Bills!D583,"AAAAAHH/RcE=")</f>
        <v>#VALUE!</v>
      </c>
      <c r="GM162" t="e">
        <f>AND(Bills!#REF!,"AAAAAHH/RcI=")</f>
        <v>#REF!</v>
      </c>
      <c r="GN162" t="e">
        <f>AND(Bills!E583,"AAAAAHH/RcM=")</f>
        <v>#VALUE!</v>
      </c>
      <c r="GO162" t="e">
        <f>AND(Bills!F583,"AAAAAHH/RcQ=")</f>
        <v>#VALUE!</v>
      </c>
      <c r="GP162" t="e">
        <f>AND(Bills!G583,"AAAAAHH/RcU=")</f>
        <v>#VALUE!</v>
      </c>
      <c r="GQ162" t="e">
        <f>AND(Bills!H583,"AAAAAHH/RcY=")</f>
        <v>#VALUE!</v>
      </c>
      <c r="GR162" t="e">
        <f>AND(Bills!I583,"AAAAAHH/Rcc=")</f>
        <v>#VALUE!</v>
      </c>
      <c r="GS162" t="e">
        <f>AND(Bills!J583,"AAAAAHH/Rcg=")</f>
        <v>#VALUE!</v>
      </c>
      <c r="GT162" t="e">
        <f>AND(Bills!#REF!,"AAAAAHH/Rck=")</f>
        <v>#REF!</v>
      </c>
      <c r="GU162" t="e">
        <f>AND(Bills!K583,"AAAAAHH/Rco=")</f>
        <v>#VALUE!</v>
      </c>
      <c r="GV162" t="e">
        <f>AND(Bills!L583,"AAAAAHH/Rcs=")</f>
        <v>#VALUE!</v>
      </c>
      <c r="GW162" t="e">
        <f>AND(Bills!M583,"AAAAAHH/Rcw=")</f>
        <v>#VALUE!</v>
      </c>
      <c r="GX162" t="e">
        <f>AND(Bills!N583,"AAAAAHH/Rc0=")</f>
        <v>#VALUE!</v>
      </c>
      <c r="GY162" t="e">
        <f>AND(Bills!O583,"AAAAAHH/Rc4=")</f>
        <v>#VALUE!</v>
      </c>
      <c r="GZ162" t="e">
        <f>AND(Bills!P583,"AAAAAHH/Rc8=")</f>
        <v>#VALUE!</v>
      </c>
      <c r="HA162" t="e">
        <f>AND(Bills!Q583,"AAAAAHH/RdA=")</f>
        <v>#VALUE!</v>
      </c>
      <c r="HB162" t="e">
        <f>AND(Bills!R583,"AAAAAHH/RdE=")</f>
        <v>#VALUE!</v>
      </c>
      <c r="HC162" t="e">
        <f>AND(Bills!#REF!,"AAAAAHH/RdI=")</f>
        <v>#REF!</v>
      </c>
      <c r="HD162" t="e">
        <f>AND(Bills!S583,"AAAAAHH/RdM=")</f>
        <v>#VALUE!</v>
      </c>
      <c r="HE162" t="e">
        <f>AND(Bills!T583,"AAAAAHH/RdQ=")</f>
        <v>#VALUE!</v>
      </c>
      <c r="HF162" t="e">
        <f>AND(Bills!U583,"AAAAAHH/RdU=")</f>
        <v>#VALUE!</v>
      </c>
      <c r="HG162" t="e">
        <f>AND(Bills!#REF!,"AAAAAHH/RdY=")</f>
        <v>#REF!</v>
      </c>
      <c r="HH162" t="e">
        <f>AND(Bills!#REF!,"AAAAAHH/Rdc=")</f>
        <v>#REF!</v>
      </c>
      <c r="HI162" t="e">
        <f>AND(Bills!W583,"AAAAAHH/Rdg=")</f>
        <v>#VALUE!</v>
      </c>
      <c r="HJ162" t="e">
        <f>AND(Bills!X583,"AAAAAHH/Rdk=")</f>
        <v>#VALUE!</v>
      </c>
      <c r="HK162" t="e">
        <f>AND(Bills!#REF!,"AAAAAHH/Rdo=")</f>
        <v>#REF!</v>
      </c>
      <c r="HL162" t="e">
        <f>AND(Bills!#REF!,"AAAAAHH/Rds=")</f>
        <v>#REF!</v>
      </c>
      <c r="HM162" t="e">
        <f>AND(Bills!#REF!,"AAAAAHH/Rdw=")</f>
        <v>#REF!</v>
      </c>
      <c r="HN162" t="e">
        <f>AND(Bills!#REF!,"AAAAAHH/Rd0=")</f>
        <v>#REF!</v>
      </c>
      <c r="HO162" t="e">
        <f>AND(Bills!#REF!,"AAAAAHH/Rd4=")</f>
        <v>#REF!</v>
      </c>
      <c r="HP162" t="e">
        <f>AND(Bills!#REF!,"AAAAAHH/Rd8=")</f>
        <v>#REF!</v>
      </c>
      <c r="HQ162" t="e">
        <f>AND(Bills!#REF!,"AAAAAHH/ReA=")</f>
        <v>#REF!</v>
      </c>
      <c r="HR162" t="e">
        <f>AND(Bills!#REF!,"AAAAAHH/ReE=")</f>
        <v>#REF!</v>
      </c>
      <c r="HS162" t="e">
        <f>AND(Bills!#REF!,"AAAAAHH/ReI=")</f>
        <v>#REF!</v>
      </c>
      <c r="HT162" t="e">
        <f>AND(Bills!Y583,"AAAAAHH/ReM=")</f>
        <v>#VALUE!</v>
      </c>
      <c r="HU162" t="e">
        <f>AND(Bills!Z583,"AAAAAHH/ReQ=")</f>
        <v>#VALUE!</v>
      </c>
      <c r="HV162" t="e">
        <f>AND(Bills!#REF!,"AAAAAHH/ReU=")</f>
        <v>#REF!</v>
      </c>
      <c r="HW162" t="e">
        <f>AND(Bills!#REF!,"AAAAAHH/ReY=")</f>
        <v>#REF!</v>
      </c>
      <c r="HX162" t="e">
        <f>AND(Bills!#REF!,"AAAAAHH/Rec=")</f>
        <v>#REF!</v>
      </c>
      <c r="HY162" t="e">
        <f>AND(Bills!AA583,"AAAAAHH/Reg=")</f>
        <v>#VALUE!</v>
      </c>
      <c r="HZ162" t="e">
        <f>AND(Bills!AB583,"AAAAAHH/Rek=")</f>
        <v>#VALUE!</v>
      </c>
      <c r="IA162" t="e">
        <f>AND(Bills!#REF!,"AAAAAHH/Reo=")</f>
        <v>#REF!</v>
      </c>
      <c r="IB162">
        <f>IF(Bills!584:584,"AAAAAHH/Res=",0)</f>
        <v>0</v>
      </c>
      <c r="IC162" t="e">
        <f>AND(Bills!B584,"AAAAAHH/Rew=")</f>
        <v>#VALUE!</v>
      </c>
      <c r="ID162" t="e">
        <f>AND(Bills!#REF!,"AAAAAHH/Re0=")</f>
        <v>#REF!</v>
      </c>
      <c r="IE162" t="e">
        <f>AND(Bills!C584,"AAAAAHH/Re4=")</f>
        <v>#VALUE!</v>
      </c>
      <c r="IF162" t="e">
        <f>AND(Bills!#REF!,"AAAAAHH/Re8=")</f>
        <v>#REF!</v>
      </c>
      <c r="IG162" t="e">
        <f>AND(Bills!#REF!,"AAAAAHH/RfA=")</f>
        <v>#REF!</v>
      </c>
      <c r="IH162" t="e">
        <f>AND(Bills!#REF!,"AAAAAHH/RfE=")</f>
        <v>#REF!</v>
      </c>
      <c r="II162" t="e">
        <f>AND(Bills!#REF!,"AAAAAHH/RfI=")</f>
        <v>#REF!</v>
      </c>
      <c r="IJ162" t="e">
        <f>AND(Bills!#REF!,"AAAAAHH/RfM=")</f>
        <v>#REF!</v>
      </c>
      <c r="IK162" t="e">
        <f>AND(Bills!D584,"AAAAAHH/RfQ=")</f>
        <v>#VALUE!</v>
      </c>
      <c r="IL162" t="e">
        <f>AND(Bills!#REF!,"AAAAAHH/RfU=")</f>
        <v>#REF!</v>
      </c>
      <c r="IM162" t="e">
        <f>AND(Bills!E584,"AAAAAHH/RfY=")</f>
        <v>#VALUE!</v>
      </c>
      <c r="IN162" t="e">
        <f>AND(Bills!F584,"AAAAAHH/Rfc=")</f>
        <v>#VALUE!</v>
      </c>
      <c r="IO162" t="e">
        <f>AND(Bills!G584,"AAAAAHH/Rfg=")</f>
        <v>#VALUE!</v>
      </c>
      <c r="IP162" t="e">
        <f>AND(Bills!H584,"AAAAAHH/Rfk=")</f>
        <v>#VALUE!</v>
      </c>
      <c r="IQ162" t="e">
        <f>AND(Bills!I584,"AAAAAHH/Rfo=")</f>
        <v>#VALUE!</v>
      </c>
      <c r="IR162" t="e">
        <f>AND(Bills!J584,"AAAAAHH/Rfs=")</f>
        <v>#VALUE!</v>
      </c>
      <c r="IS162" t="e">
        <f>AND(Bills!#REF!,"AAAAAHH/Rfw=")</f>
        <v>#REF!</v>
      </c>
      <c r="IT162" t="e">
        <f>AND(Bills!K584,"AAAAAHH/Rf0=")</f>
        <v>#VALUE!</v>
      </c>
      <c r="IU162" t="e">
        <f>AND(Bills!L584,"AAAAAHH/Rf4=")</f>
        <v>#VALUE!</v>
      </c>
      <c r="IV162" t="e">
        <f>AND(Bills!M584,"AAAAAHH/Rf8=")</f>
        <v>#VALUE!</v>
      </c>
    </row>
    <row r="163" spans="1:256">
      <c r="A163" t="e">
        <f>AND(Bills!N584,"AAAAAHZ+vwA=")</f>
        <v>#VALUE!</v>
      </c>
      <c r="B163" t="e">
        <f>AND(Bills!O584,"AAAAAHZ+vwE=")</f>
        <v>#VALUE!</v>
      </c>
      <c r="C163" t="e">
        <f>AND(Bills!P584,"AAAAAHZ+vwI=")</f>
        <v>#VALUE!</v>
      </c>
      <c r="D163" t="e">
        <f>AND(Bills!Q584,"AAAAAHZ+vwM=")</f>
        <v>#VALUE!</v>
      </c>
      <c r="E163" t="e">
        <f>AND(Bills!R584,"AAAAAHZ+vwQ=")</f>
        <v>#VALUE!</v>
      </c>
      <c r="F163" t="e">
        <f>AND(Bills!#REF!,"AAAAAHZ+vwU=")</f>
        <v>#REF!</v>
      </c>
      <c r="G163" t="e">
        <f>AND(Bills!S584,"AAAAAHZ+vwY=")</f>
        <v>#VALUE!</v>
      </c>
      <c r="H163" t="e">
        <f>AND(Bills!T584,"AAAAAHZ+vwc=")</f>
        <v>#VALUE!</v>
      </c>
      <c r="I163" t="e">
        <f>AND(Bills!U584,"AAAAAHZ+vwg=")</f>
        <v>#VALUE!</v>
      </c>
      <c r="J163" t="e">
        <f>AND(Bills!#REF!,"AAAAAHZ+vwk=")</f>
        <v>#REF!</v>
      </c>
      <c r="K163" t="e">
        <f>AND(Bills!#REF!,"AAAAAHZ+vwo=")</f>
        <v>#REF!</v>
      </c>
      <c r="L163" t="e">
        <f>AND(Bills!W584,"AAAAAHZ+vws=")</f>
        <v>#VALUE!</v>
      </c>
      <c r="M163" t="e">
        <f>AND(Bills!X584,"AAAAAHZ+vww=")</f>
        <v>#VALUE!</v>
      </c>
      <c r="N163" t="e">
        <f>AND(Bills!#REF!,"AAAAAHZ+vw0=")</f>
        <v>#REF!</v>
      </c>
      <c r="O163" t="e">
        <f>AND(Bills!#REF!,"AAAAAHZ+vw4=")</f>
        <v>#REF!</v>
      </c>
      <c r="P163" t="e">
        <f>AND(Bills!#REF!,"AAAAAHZ+vw8=")</f>
        <v>#REF!</v>
      </c>
      <c r="Q163" t="e">
        <f>AND(Bills!#REF!,"AAAAAHZ+vxA=")</f>
        <v>#REF!</v>
      </c>
      <c r="R163" t="e">
        <f>AND(Bills!#REF!,"AAAAAHZ+vxE=")</f>
        <v>#REF!</v>
      </c>
      <c r="S163" t="e">
        <f>AND(Bills!#REF!,"AAAAAHZ+vxI=")</f>
        <v>#REF!</v>
      </c>
      <c r="T163" t="e">
        <f>AND(Bills!#REF!,"AAAAAHZ+vxM=")</f>
        <v>#REF!</v>
      </c>
      <c r="U163" t="e">
        <f>AND(Bills!#REF!,"AAAAAHZ+vxQ=")</f>
        <v>#REF!</v>
      </c>
      <c r="V163" t="e">
        <f>AND(Bills!#REF!,"AAAAAHZ+vxU=")</f>
        <v>#REF!</v>
      </c>
      <c r="W163" t="e">
        <f>AND(Bills!Y584,"AAAAAHZ+vxY=")</f>
        <v>#VALUE!</v>
      </c>
      <c r="X163" t="e">
        <f>AND(Bills!Z584,"AAAAAHZ+vxc=")</f>
        <v>#VALUE!</v>
      </c>
      <c r="Y163" t="e">
        <f>AND(Bills!#REF!,"AAAAAHZ+vxg=")</f>
        <v>#REF!</v>
      </c>
      <c r="Z163" t="e">
        <f>AND(Bills!#REF!,"AAAAAHZ+vxk=")</f>
        <v>#REF!</v>
      </c>
      <c r="AA163" t="e">
        <f>AND(Bills!#REF!,"AAAAAHZ+vxo=")</f>
        <v>#REF!</v>
      </c>
      <c r="AB163" t="e">
        <f>AND(Bills!AA584,"AAAAAHZ+vxs=")</f>
        <v>#VALUE!</v>
      </c>
      <c r="AC163" t="e">
        <f>AND(Bills!AB584,"AAAAAHZ+vxw=")</f>
        <v>#VALUE!</v>
      </c>
      <c r="AD163" t="e">
        <f>AND(Bills!#REF!,"AAAAAHZ+vx0=")</f>
        <v>#REF!</v>
      </c>
      <c r="AE163">
        <f>IF(Bills!585:585,"AAAAAHZ+vx4=",0)</f>
        <v>0</v>
      </c>
      <c r="AF163" t="e">
        <f>AND(Bills!B585,"AAAAAHZ+vx8=")</f>
        <v>#VALUE!</v>
      </c>
      <c r="AG163" t="e">
        <f>AND(Bills!#REF!,"AAAAAHZ+vyA=")</f>
        <v>#REF!</v>
      </c>
      <c r="AH163" t="e">
        <f>AND(Bills!C585,"AAAAAHZ+vyE=")</f>
        <v>#VALUE!</v>
      </c>
      <c r="AI163" t="e">
        <f>AND(Bills!#REF!,"AAAAAHZ+vyI=")</f>
        <v>#REF!</v>
      </c>
      <c r="AJ163" t="e">
        <f>AND(Bills!#REF!,"AAAAAHZ+vyM=")</f>
        <v>#REF!</v>
      </c>
      <c r="AK163" t="e">
        <f>AND(Bills!#REF!,"AAAAAHZ+vyQ=")</f>
        <v>#REF!</v>
      </c>
      <c r="AL163" t="e">
        <f>AND(Bills!#REF!,"AAAAAHZ+vyU=")</f>
        <v>#REF!</v>
      </c>
      <c r="AM163" t="e">
        <f>AND(Bills!#REF!,"AAAAAHZ+vyY=")</f>
        <v>#REF!</v>
      </c>
      <c r="AN163" t="e">
        <f>AND(Bills!D585,"AAAAAHZ+vyc=")</f>
        <v>#VALUE!</v>
      </c>
      <c r="AO163" t="e">
        <f>AND(Bills!#REF!,"AAAAAHZ+vyg=")</f>
        <v>#REF!</v>
      </c>
      <c r="AP163" t="e">
        <f>AND(Bills!E585,"AAAAAHZ+vyk=")</f>
        <v>#VALUE!</v>
      </c>
      <c r="AQ163" t="e">
        <f>AND(Bills!F585,"AAAAAHZ+vyo=")</f>
        <v>#VALUE!</v>
      </c>
      <c r="AR163" t="e">
        <f>AND(Bills!G585,"AAAAAHZ+vys=")</f>
        <v>#VALUE!</v>
      </c>
      <c r="AS163" t="e">
        <f>AND(Bills!H585,"AAAAAHZ+vyw=")</f>
        <v>#VALUE!</v>
      </c>
      <c r="AT163" t="e">
        <f>AND(Bills!I585,"AAAAAHZ+vy0=")</f>
        <v>#VALUE!</v>
      </c>
      <c r="AU163" t="e">
        <f>AND(Bills!J585,"AAAAAHZ+vy4=")</f>
        <v>#VALUE!</v>
      </c>
      <c r="AV163" t="e">
        <f>AND(Bills!#REF!,"AAAAAHZ+vy8=")</f>
        <v>#REF!</v>
      </c>
      <c r="AW163" t="e">
        <f>AND(Bills!K585,"AAAAAHZ+vzA=")</f>
        <v>#VALUE!</v>
      </c>
      <c r="AX163" t="e">
        <f>AND(Bills!L585,"AAAAAHZ+vzE=")</f>
        <v>#VALUE!</v>
      </c>
      <c r="AY163" t="e">
        <f>AND(Bills!M585,"AAAAAHZ+vzI=")</f>
        <v>#VALUE!</v>
      </c>
      <c r="AZ163" t="e">
        <f>AND(Bills!N585,"AAAAAHZ+vzM=")</f>
        <v>#VALUE!</v>
      </c>
      <c r="BA163" t="e">
        <f>AND(Bills!O585,"AAAAAHZ+vzQ=")</f>
        <v>#VALUE!</v>
      </c>
      <c r="BB163" t="e">
        <f>AND(Bills!P585,"AAAAAHZ+vzU=")</f>
        <v>#VALUE!</v>
      </c>
      <c r="BC163" t="e">
        <f>AND(Bills!Q585,"AAAAAHZ+vzY=")</f>
        <v>#VALUE!</v>
      </c>
      <c r="BD163" t="e">
        <f>AND(Bills!R585,"AAAAAHZ+vzc=")</f>
        <v>#VALUE!</v>
      </c>
      <c r="BE163" t="e">
        <f>AND(Bills!#REF!,"AAAAAHZ+vzg=")</f>
        <v>#REF!</v>
      </c>
      <c r="BF163" t="e">
        <f>AND(Bills!S585,"AAAAAHZ+vzk=")</f>
        <v>#VALUE!</v>
      </c>
      <c r="BG163" t="e">
        <f>AND(Bills!T585,"AAAAAHZ+vzo=")</f>
        <v>#VALUE!</v>
      </c>
      <c r="BH163" t="e">
        <f>AND(Bills!U585,"AAAAAHZ+vzs=")</f>
        <v>#VALUE!</v>
      </c>
      <c r="BI163" t="e">
        <f>AND(Bills!#REF!,"AAAAAHZ+vzw=")</f>
        <v>#REF!</v>
      </c>
      <c r="BJ163" t="e">
        <f>AND(Bills!#REF!,"AAAAAHZ+vz0=")</f>
        <v>#REF!</v>
      </c>
      <c r="BK163" t="e">
        <f>AND(Bills!W585,"AAAAAHZ+vz4=")</f>
        <v>#VALUE!</v>
      </c>
      <c r="BL163" t="e">
        <f>AND(Bills!X585,"AAAAAHZ+vz8=")</f>
        <v>#VALUE!</v>
      </c>
      <c r="BM163" t="e">
        <f>AND(Bills!#REF!,"AAAAAHZ+v0A=")</f>
        <v>#REF!</v>
      </c>
      <c r="BN163" t="e">
        <f>AND(Bills!#REF!,"AAAAAHZ+v0E=")</f>
        <v>#REF!</v>
      </c>
      <c r="BO163" t="e">
        <f>AND(Bills!#REF!,"AAAAAHZ+v0I=")</f>
        <v>#REF!</v>
      </c>
      <c r="BP163" t="e">
        <f>AND(Bills!#REF!,"AAAAAHZ+v0M=")</f>
        <v>#REF!</v>
      </c>
      <c r="BQ163" t="e">
        <f>AND(Bills!#REF!,"AAAAAHZ+v0Q=")</f>
        <v>#REF!</v>
      </c>
      <c r="BR163" t="e">
        <f>AND(Bills!#REF!,"AAAAAHZ+v0U=")</f>
        <v>#REF!</v>
      </c>
      <c r="BS163" t="e">
        <f>AND(Bills!#REF!,"AAAAAHZ+v0Y=")</f>
        <v>#REF!</v>
      </c>
      <c r="BT163" t="e">
        <f>AND(Bills!#REF!,"AAAAAHZ+v0c=")</f>
        <v>#REF!</v>
      </c>
      <c r="BU163" t="e">
        <f>AND(Bills!#REF!,"AAAAAHZ+v0g=")</f>
        <v>#REF!</v>
      </c>
      <c r="BV163" t="e">
        <f>AND(Bills!Y585,"AAAAAHZ+v0k=")</f>
        <v>#VALUE!</v>
      </c>
      <c r="BW163" t="e">
        <f>AND(Bills!Z585,"AAAAAHZ+v0o=")</f>
        <v>#VALUE!</v>
      </c>
      <c r="BX163" t="e">
        <f>AND(Bills!#REF!,"AAAAAHZ+v0s=")</f>
        <v>#REF!</v>
      </c>
      <c r="BY163" t="e">
        <f>AND(Bills!#REF!,"AAAAAHZ+v0w=")</f>
        <v>#REF!</v>
      </c>
      <c r="BZ163" t="e">
        <f>AND(Bills!#REF!,"AAAAAHZ+v00=")</f>
        <v>#REF!</v>
      </c>
      <c r="CA163" t="e">
        <f>AND(Bills!AA585,"AAAAAHZ+v04=")</f>
        <v>#VALUE!</v>
      </c>
      <c r="CB163" t="e">
        <f>AND(Bills!AB585,"AAAAAHZ+v08=")</f>
        <v>#VALUE!</v>
      </c>
      <c r="CC163" t="e">
        <f>AND(Bills!#REF!,"AAAAAHZ+v1A=")</f>
        <v>#REF!</v>
      </c>
      <c r="CD163">
        <f>IF(Bills!586:586,"AAAAAHZ+v1E=",0)</f>
        <v>0</v>
      </c>
      <c r="CE163" t="e">
        <f>AND(Bills!B586,"AAAAAHZ+v1I=")</f>
        <v>#VALUE!</v>
      </c>
      <c r="CF163" t="e">
        <f>AND(Bills!#REF!,"AAAAAHZ+v1M=")</f>
        <v>#REF!</v>
      </c>
      <c r="CG163" t="e">
        <f>AND(Bills!C586,"AAAAAHZ+v1Q=")</f>
        <v>#VALUE!</v>
      </c>
      <c r="CH163" t="e">
        <f>AND(Bills!#REF!,"AAAAAHZ+v1U=")</f>
        <v>#REF!</v>
      </c>
      <c r="CI163" t="e">
        <f>AND(Bills!#REF!,"AAAAAHZ+v1Y=")</f>
        <v>#REF!</v>
      </c>
      <c r="CJ163" t="e">
        <f>AND(Bills!#REF!,"AAAAAHZ+v1c=")</f>
        <v>#REF!</v>
      </c>
      <c r="CK163" t="e">
        <f>AND(Bills!#REF!,"AAAAAHZ+v1g=")</f>
        <v>#REF!</v>
      </c>
      <c r="CL163" t="e">
        <f>AND(Bills!#REF!,"AAAAAHZ+v1k=")</f>
        <v>#REF!</v>
      </c>
      <c r="CM163" t="e">
        <f>AND(Bills!D586,"AAAAAHZ+v1o=")</f>
        <v>#VALUE!</v>
      </c>
      <c r="CN163" t="e">
        <f>AND(Bills!#REF!,"AAAAAHZ+v1s=")</f>
        <v>#REF!</v>
      </c>
      <c r="CO163" t="e">
        <f>AND(Bills!E586,"AAAAAHZ+v1w=")</f>
        <v>#VALUE!</v>
      </c>
      <c r="CP163" t="e">
        <f>AND(Bills!F586,"AAAAAHZ+v10=")</f>
        <v>#VALUE!</v>
      </c>
      <c r="CQ163" t="e">
        <f>AND(Bills!G586,"AAAAAHZ+v14=")</f>
        <v>#VALUE!</v>
      </c>
      <c r="CR163" t="e">
        <f>AND(Bills!H586,"AAAAAHZ+v18=")</f>
        <v>#VALUE!</v>
      </c>
      <c r="CS163" t="e">
        <f>AND(Bills!I586,"AAAAAHZ+v2A=")</f>
        <v>#VALUE!</v>
      </c>
      <c r="CT163" t="e">
        <f>AND(Bills!J586,"AAAAAHZ+v2E=")</f>
        <v>#VALUE!</v>
      </c>
      <c r="CU163" t="e">
        <f>AND(Bills!#REF!,"AAAAAHZ+v2I=")</f>
        <v>#REF!</v>
      </c>
      <c r="CV163" t="e">
        <f>AND(Bills!K586,"AAAAAHZ+v2M=")</f>
        <v>#VALUE!</v>
      </c>
      <c r="CW163" t="e">
        <f>AND(Bills!L586,"AAAAAHZ+v2Q=")</f>
        <v>#VALUE!</v>
      </c>
      <c r="CX163" t="e">
        <f>AND(Bills!M586,"AAAAAHZ+v2U=")</f>
        <v>#VALUE!</v>
      </c>
      <c r="CY163" t="e">
        <f>AND(Bills!N586,"AAAAAHZ+v2Y=")</f>
        <v>#VALUE!</v>
      </c>
      <c r="CZ163" t="e">
        <f>AND(Bills!O586,"AAAAAHZ+v2c=")</f>
        <v>#VALUE!</v>
      </c>
      <c r="DA163" t="e">
        <f>AND(Bills!P586,"AAAAAHZ+v2g=")</f>
        <v>#VALUE!</v>
      </c>
      <c r="DB163" t="e">
        <f>AND(Bills!Q586,"AAAAAHZ+v2k=")</f>
        <v>#VALUE!</v>
      </c>
      <c r="DC163" t="e">
        <f>AND(Bills!R586,"AAAAAHZ+v2o=")</f>
        <v>#VALUE!</v>
      </c>
      <c r="DD163" t="e">
        <f>AND(Bills!#REF!,"AAAAAHZ+v2s=")</f>
        <v>#REF!</v>
      </c>
      <c r="DE163" t="e">
        <f>AND(Bills!S586,"AAAAAHZ+v2w=")</f>
        <v>#VALUE!</v>
      </c>
      <c r="DF163" t="e">
        <f>AND(Bills!T586,"AAAAAHZ+v20=")</f>
        <v>#VALUE!</v>
      </c>
      <c r="DG163" t="e">
        <f>AND(Bills!U586,"AAAAAHZ+v24=")</f>
        <v>#VALUE!</v>
      </c>
      <c r="DH163" t="e">
        <f>AND(Bills!#REF!,"AAAAAHZ+v28=")</f>
        <v>#REF!</v>
      </c>
      <c r="DI163" t="e">
        <f>AND(Bills!#REF!,"AAAAAHZ+v3A=")</f>
        <v>#REF!</v>
      </c>
      <c r="DJ163" t="e">
        <f>AND(Bills!W586,"AAAAAHZ+v3E=")</f>
        <v>#VALUE!</v>
      </c>
      <c r="DK163" t="e">
        <f>AND(Bills!X586,"AAAAAHZ+v3I=")</f>
        <v>#VALUE!</v>
      </c>
      <c r="DL163" t="e">
        <f>AND(Bills!#REF!,"AAAAAHZ+v3M=")</f>
        <v>#REF!</v>
      </c>
      <c r="DM163" t="e">
        <f>AND(Bills!#REF!,"AAAAAHZ+v3Q=")</f>
        <v>#REF!</v>
      </c>
      <c r="DN163" t="e">
        <f>AND(Bills!#REF!,"AAAAAHZ+v3U=")</f>
        <v>#REF!</v>
      </c>
      <c r="DO163" t="e">
        <f>AND(Bills!#REF!,"AAAAAHZ+v3Y=")</f>
        <v>#REF!</v>
      </c>
      <c r="DP163" t="e">
        <f>AND(Bills!#REF!,"AAAAAHZ+v3c=")</f>
        <v>#REF!</v>
      </c>
      <c r="DQ163" t="e">
        <f>AND(Bills!#REF!,"AAAAAHZ+v3g=")</f>
        <v>#REF!</v>
      </c>
      <c r="DR163" t="e">
        <f>AND(Bills!#REF!,"AAAAAHZ+v3k=")</f>
        <v>#REF!</v>
      </c>
      <c r="DS163" t="e">
        <f>AND(Bills!#REF!,"AAAAAHZ+v3o=")</f>
        <v>#REF!</v>
      </c>
      <c r="DT163" t="e">
        <f>AND(Bills!#REF!,"AAAAAHZ+v3s=")</f>
        <v>#REF!</v>
      </c>
      <c r="DU163" t="e">
        <f>AND(Bills!Y586,"AAAAAHZ+v3w=")</f>
        <v>#VALUE!</v>
      </c>
      <c r="DV163" t="e">
        <f>AND(Bills!Z586,"AAAAAHZ+v30=")</f>
        <v>#VALUE!</v>
      </c>
      <c r="DW163" t="e">
        <f>AND(Bills!#REF!,"AAAAAHZ+v34=")</f>
        <v>#REF!</v>
      </c>
      <c r="DX163" t="e">
        <f>AND(Bills!#REF!,"AAAAAHZ+v38=")</f>
        <v>#REF!</v>
      </c>
      <c r="DY163" t="e">
        <f>AND(Bills!#REF!,"AAAAAHZ+v4A=")</f>
        <v>#REF!</v>
      </c>
      <c r="DZ163" t="e">
        <f>AND(Bills!AA586,"AAAAAHZ+v4E=")</f>
        <v>#VALUE!</v>
      </c>
      <c r="EA163" t="e">
        <f>AND(Bills!AB586,"AAAAAHZ+v4I=")</f>
        <v>#VALUE!</v>
      </c>
      <c r="EB163" t="e">
        <f>AND(Bills!#REF!,"AAAAAHZ+v4M=")</f>
        <v>#REF!</v>
      </c>
      <c r="EC163">
        <f>IF(Bills!587:587,"AAAAAHZ+v4Q=",0)</f>
        <v>0</v>
      </c>
      <c r="ED163" t="e">
        <f>AND(Bills!B587,"AAAAAHZ+v4U=")</f>
        <v>#VALUE!</v>
      </c>
      <c r="EE163" t="e">
        <f>AND(Bills!#REF!,"AAAAAHZ+v4Y=")</f>
        <v>#REF!</v>
      </c>
      <c r="EF163" t="e">
        <f>AND(Bills!C587,"AAAAAHZ+v4c=")</f>
        <v>#VALUE!</v>
      </c>
      <c r="EG163" t="e">
        <f>AND(Bills!#REF!,"AAAAAHZ+v4g=")</f>
        <v>#REF!</v>
      </c>
      <c r="EH163" t="e">
        <f>AND(Bills!#REF!,"AAAAAHZ+v4k=")</f>
        <v>#REF!</v>
      </c>
      <c r="EI163" t="e">
        <f>AND(Bills!#REF!,"AAAAAHZ+v4o=")</f>
        <v>#REF!</v>
      </c>
      <c r="EJ163" t="e">
        <f>AND(Bills!#REF!,"AAAAAHZ+v4s=")</f>
        <v>#REF!</v>
      </c>
      <c r="EK163" t="e">
        <f>AND(Bills!#REF!,"AAAAAHZ+v4w=")</f>
        <v>#REF!</v>
      </c>
      <c r="EL163" t="e">
        <f>AND(Bills!D587,"AAAAAHZ+v40=")</f>
        <v>#VALUE!</v>
      </c>
      <c r="EM163" t="e">
        <f>AND(Bills!#REF!,"AAAAAHZ+v44=")</f>
        <v>#REF!</v>
      </c>
      <c r="EN163" t="e">
        <f>AND(Bills!E587,"AAAAAHZ+v48=")</f>
        <v>#VALUE!</v>
      </c>
      <c r="EO163" t="e">
        <f>AND(Bills!F587,"AAAAAHZ+v5A=")</f>
        <v>#VALUE!</v>
      </c>
      <c r="EP163" t="e">
        <f>AND(Bills!G587,"AAAAAHZ+v5E=")</f>
        <v>#VALUE!</v>
      </c>
      <c r="EQ163" t="e">
        <f>AND(Bills!H587,"AAAAAHZ+v5I=")</f>
        <v>#VALUE!</v>
      </c>
      <c r="ER163" t="e">
        <f>AND(Bills!I587,"AAAAAHZ+v5M=")</f>
        <v>#VALUE!</v>
      </c>
      <c r="ES163" t="e">
        <f>AND(Bills!J587,"AAAAAHZ+v5Q=")</f>
        <v>#VALUE!</v>
      </c>
      <c r="ET163" t="e">
        <f>AND(Bills!#REF!,"AAAAAHZ+v5U=")</f>
        <v>#REF!</v>
      </c>
      <c r="EU163" t="e">
        <f>AND(Bills!K587,"AAAAAHZ+v5Y=")</f>
        <v>#VALUE!</v>
      </c>
      <c r="EV163" t="e">
        <f>AND(Bills!L587,"AAAAAHZ+v5c=")</f>
        <v>#VALUE!</v>
      </c>
      <c r="EW163" t="e">
        <f>AND(Bills!M587,"AAAAAHZ+v5g=")</f>
        <v>#VALUE!</v>
      </c>
      <c r="EX163" t="e">
        <f>AND(Bills!N587,"AAAAAHZ+v5k=")</f>
        <v>#VALUE!</v>
      </c>
      <c r="EY163" t="e">
        <f>AND(Bills!O587,"AAAAAHZ+v5o=")</f>
        <v>#VALUE!</v>
      </c>
      <c r="EZ163" t="e">
        <f>AND(Bills!P587,"AAAAAHZ+v5s=")</f>
        <v>#VALUE!</v>
      </c>
      <c r="FA163" t="e">
        <f>AND(Bills!Q587,"AAAAAHZ+v5w=")</f>
        <v>#VALUE!</v>
      </c>
      <c r="FB163" t="e">
        <f>AND(Bills!R587,"AAAAAHZ+v50=")</f>
        <v>#VALUE!</v>
      </c>
      <c r="FC163" t="e">
        <f>AND(Bills!#REF!,"AAAAAHZ+v54=")</f>
        <v>#REF!</v>
      </c>
      <c r="FD163" t="e">
        <f>AND(Bills!S587,"AAAAAHZ+v58=")</f>
        <v>#VALUE!</v>
      </c>
      <c r="FE163" t="e">
        <f>AND(Bills!T587,"AAAAAHZ+v6A=")</f>
        <v>#VALUE!</v>
      </c>
      <c r="FF163" t="e">
        <f>AND(Bills!U587,"AAAAAHZ+v6E=")</f>
        <v>#VALUE!</v>
      </c>
      <c r="FG163" t="e">
        <f>AND(Bills!#REF!,"AAAAAHZ+v6I=")</f>
        <v>#REF!</v>
      </c>
      <c r="FH163" t="e">
        <f>AND(Bills!#REF!,"AAAAAHZ+v6M=")</f>
        <v>#REF!</v>
      </c>
      <c r="FI163" t="e">
        <f>AND(Bills!W587,"AAAAAHZ+v6Q=")</f>
        <v>#VALUE!</v>
      </c>
      <c r="FJ163" t="e">
        <f>AND(Bills!X587,"AAAAAHZ+v6U=")</f>
        <v>#VALUE!</v>
      </c>
      <c r="FK163" t="e">
        <f>AND(Bills!#REF!,"AAAAAHZ+v6Y=")</f>
        <v>#REF!</v>
      </c>
      <c r="FL163" t="e">
        <f>AND(Bills!#REF!,"AAAAAHZ+v6c=")</f>
        <v>#REF!</v>
      </c>
      <c r="FM163" t="e">
        <f>AND(Bills!#REF!,"AAAAAHZ+v6g=")</f>
        <v>#REF!</v>
      </c>
      <c r="FN163" t="e">
        <f>AND(Bills!#REF!,"AAAAAHZ+v6k=")</f>
        <v>#REF!</v>
      </c>
      <c r="FO163" t="e">
        <f>AND(Bills!#REF!,"AAAAAHZ+v6o=")</f>
        <v>#REF!</v>
      </c>
      <c r="FP163" t="e">
        <f>AND(Bills!#REF!,"AAAAAHZ+v6s=")</f>
        <v>#REF!</v>
      </c>
      <c r="FQ163" t="e">
        <f>AND(Bills!#REF!,"AAAAAHZ+v6w=")</f>
        <v>#REF!</v>
      </c>
      <c r="FR163" t="e">
        <f>AND(Bills!#REF!,"AAAAAHZ+v60=")</f>
        <v>#REF!</v>
      </c>
      <c r="FS163" t="e">
        <f>AND(Bills!#REF!,"AAAAAHZ+v64=")</f>
        <v>#REF!</v>
      </c>
      <c r="FT163" t="e">
        <f>AND(Bills!Y587,"AAAAAHZ+v68=")</f>
        <v>#VALUE!</v>
      </c>
      <c r="FU163" t="e">
        <f>AND(Bills!Z587,"AAAAAHZ+v7A=")</f>
        <v>#VALUE!</v>
      </c>
      <c r="FV163" t="e">
        <f>AND(Bills!#REF!,"AAAAAHZ+v7E=")</f>
        <v>#REF!</v>
      </c>
      <c r="FW163" t="e">
        <f>AND(Bills!#REF!,"AAAAAHZ+v7I=")</f>
        <v>#REF!</v>
      </c>
      <c r="FX163" t="e">
        <f>AND(Bills!#REF!,"AAAAAHZ+v7M=")</f>
        <v>#REF!</v>
      </c>
      <c r="FY163" t="e">
        <f>AND(Bills!AA587,"AAAAAHZ+v7Q=")</f>
        <v>#VALUE!</v>
      </c>
      <c r="FZ163" t="e">
        <f>AND(Bills!AB587,"AAAAAHZ+v7U=")</f>
        <v>#VALUE!</v>
      </c>
      <c r="GA163" t="e">
        <f>AND(Bills!#REF!,"AAAAAHZ+v7Y=")</f>
        <v>#REF!</v>
      </c>
      <c r="GB163">
        <f>IF(Bills!588:588,"AAAAAHZ+v7c=",0)</f>
        <v>0</v>
      </c>
      <c r="GC163" t="e">
        <f>AND(Bills!B588,"AAAAAHZ+v7g=")</f>
        <v>#VALUE!</v>
      </c>
      <c r="GD163" t="e">
        <f>AND(Bills!#REF!,"AAAAAHZ+v7k=")</f>
        <v>#REF!</v>
      </c>
      <c r="GE163" t="e">
        <f>AND(Bills!C588,"AAAAAHZ+v7o=")</f>
        <v>#VALUE!</v>
      </c>
      <c r="GF163" t="e">
        <f>AND(Bills!#REF!,"AAAAAHZ+v7s=")</f>
        <v>#REF!</v>
      </c>
      <c r="GG163" t="e">
        <f>AND(Bills!#REF!,"AAAAAHZ+v7w=")</f>
        <v>#REF!</v>
      </c>
      <c r="GH163" t="e">
        <f>AND(Bills!#REF!,"AAAAAHZ+v70=")</f>
        <v>#REF!</v>
      </c>
      <c r="GI163" t="e">
        <f>AND(Bills!#REF!,"AAAAAHZ+v74=")</f>
        <v>#REF!</v>
      </c>
      <c r="GJ163" t="e">
        <f>AND(Bills!#REF!,"AAAAAHZ+v78=")</f>
        <v>#REF!</v>
      </c>
      <c r="GK163" t="e">
        <f>AND(Bills!D588,"AAAAAHZ+v8A=")</f>
        <v>#VALUE!</v>
      </c>
      <c r="GL163" t="e">
        <f>AND(Bills!#REF!,"AAAAAHZ+v8E=")</f>
        <v>#REF!</v>
      </c>
      <c r="GM163" t="e">
        <f>AND(Bills!E588,"AAAAAHZ+v8I=")</f>
        <v>#VALUE!</v>
      </c>
      <c r="GN163" t="e">
        <f>AND(Bills!F588,"AAAAAHZ+v8M=")</f>
        <v>#VALUE!</v>
      </c>
      <c r="GO163" t="e">
        <f>AND(Bills!G588,"AAAAAHZ+v8Q=")</f>
        <v>#VALUE!</v>
      </c>
      <c r="GP163" t="e">
        <f>AND(Bills!H588,"AAAAAHZ+v8U=")</f>
        <v>#VALUE!</v>
      </c>
      <c r="GQ163" t="e">
        <f>AND(Bills!I588,"AAAAAHZ+v8Y=")</f>
        <v>#VALUE!</v>
      </c>
      <c r="GR163" t="e">
        <f>AND(Bills!J588,"AAAAAHZ+v8c=")</f>
        <v>#VALUE!</v>
      </c>
      <c r="GS163" t="e">
        <f>AND(Bills!#REF!,"AAAAAHZ+v8g=")</f>
        <v>#REF!</v>
      </c>
      <c r="GT163" t="e">
        <f>AND(Bills!K588,"AAAAAHZ+v8k=")</f>
        <v>#VALUE!</v>
      </c>
      <c r="GU163" t="e">
        <f>AND(Bills!L588,"AAAAAHZ+v8o=")</f>
        <v>#VALUE!</v>
      </c>
      <c r="GV163" t="e">
        <f>AND(Bills!M588,"AAAAAHZ+v8s=")</f>
        <v>#VALUE!</v>
      </c>
      <c r="GW163" t="e">
        <f>AND(Bills!N588,"AAAAAHZ+v8w=")</f>
        <v>#VALUE!</v>
      </c>
      <c r="GX163" t="e">
        <f>AND(Bills!O588,"AAAAAHZ+v80=")</f>
        <v>#VALUE!</v>
      </c>
      <c r="GY163" t="e">
        <f>AND(Bills!P588,"AAAAAHZ+v84=")</f>
        <v>#VALUE!</v>
      </c>
      <c r="GZ163" t="e">
        <f>AND(Bills!Q588,"AAAAAHZ+v88=")</f>
        <v>#VALUE!</v>
      </c>
      <c r="HA163" t="e">
        <f>AND(Bills!R588,"AAAAAHZ+v9A=")</f>
        <v>#VALUE!</v>
      </c>
      <c r="HB163" t="e">
        <f>AND(Bills!#REF!,"AAAAAHZ+v9E=")</f>
        <v>#REF!</v>
      </c>
      <c r="HC163" t="e">
        <f>AND(Bills!S588,"AAAAAHZ+v9I=")</f>
        <v>#VALUE!</v>
      </c>
      <c r="HD163" t="e">
        <f>AND(Bills!T588,"AAAAAHZ+v9M=")</f>
        <v>#VALUE!</v>
      </c>
      <c r="HE163" t="e">
        <f>AND(Bills!U588,"AAAAAHZ+v9Q=")</f>
        <v>#VALUE!</v>
      </c>
      <c r="HF163" t="e">
        <f>AND(Bills!#REF!,"AAAAAHZ+v9U=")</f>
        <v>#REF!</v>
      </c>
      <c r="HG163" t="e">
        <f>AND(Bills!#REF!,"AAAAAHZ+v9Y=")</f>
        <v>#REF!</v>
      </c>
      <c r="HH163" t="e">
        <f>AND(Bills!W588,"AAAAAHZ+v9c=")</f>
        <v>#VALUE!</v>
      </c>
      <c r="HI163" t="e">
        <f>AND(Bills!X588,"AAAAAHZ+v9g=")</f>
        <v>#VALUE!</v>
      </c>
      <c r="HJ163" t="e">
        <f>AND(Bills!#REF!,"AAAAAHZ+v9k=")</f>
        <v>#REF!</v>
      </c>
      <c r="HK163" t="e">
        <f>AND(Bills!#REF!,"AAAAAHZ+v9o=")</f>
        <v>#REF!</v>
      </c>
      <c r="HL163" t="e">
        <f>AND(Bills!#REF!,"AAAAAHZ+v9s=")</f>
        <v>#REF!</v>
      </c>
      <c r="HM163" t="e">
        <f>AND(Bills!#REF!,"AAAAAHZ+v9w=")</f>
        <v>#REF!</v>
      </c>
      <c r="HN163" t="e">
        <f>AND(Bills!#REF!,"AAAAAHZ+v90=")</f>
        <v>#REF!</v>
      </c>
      <c r="HO163" t="e">
        <f>AND(Bills!#REF!,"AAAAAHZ+v94=")</f>
        <v>#REF!</v>
      </c>
      <c r="HP163" t="e">
        <f>AND(Bills!#REF!,"AAAAAHZ+v98=")</f>
        <v>#REF!</v>
      </c>
      <c r="HQ163" t="e">
        <f>AND(Bills!#REF!,"AAAAAHZ+v+A=")</f>
        <v>#REF!</v>
      </c>
      <c r="HR163" t="e">
        <f>AND(Bills!#REF!,"AAAAAHZ+v+E=")</f>
        <v>#REF!</v>
      </c>
      <c r="HS163" t="e">
        <f>AND(Bills!Y588,"AAAAAHZ+v+I=")</f>
        <v>#VALUE!</v>
      </c>
      <c r="HT163" t="e">
        <f>AND(Bills!Z588,"AAAAAHZ+v+M=")</f>
        <v>#VALUE!</v>
      </c>
      <c r="HU163" t="e">
        <f>AND(Bills!#REF!,"AAAAAHZ+v+Q=")</f>
        <v>#REF!</v>
      </c>
      <c r="HV163" t="e">
        <f>AND(Bills!#REF!,"AAAAAHZ+v+U=")</f>
        <v>#REF!</v>
      </c>
      <c r="HW163" t="e">
        <f>AND(Bills!#REF!,"AAAAAHZ+v+Y=")</f>
        <v>#REF!</v>
      </c>
      <c r="HX163" t="e">
        <f>AND(Bills!AA588,"AAAAAHZ+v+c=")</f>
        <v>#VALUE!</v>
      </c>
      <c r="HY163" t="e">
        <f>AND(Bills!AB588,"AAAAAHZ+v+g=")</f>
        <v>#VALUE!</v>
      </c>
      <c r="HZ163" t="e">
        <f>AND(Bills!#REF!,"AAAAAHZ+v+k=")</f>
        <v>#REF!</v>
      </c>
      <c r="IA163">
        <f>IF(Bills!589:589,"AAAAAHZ+v+o=",0)</f>
        <v>0</v>
      </c>
      <c r="IB163" t="e">
        <f>AND(Bills!B589,"AAAAAHZ+v+s=")</f>
        <v>#VALUE!</v>
      </c>
      <c r="IC163" t="e">
        <f>AND(Bills!#REF!,"AAAAAHZ+v+w=")</f>
        <v>#REF!</v>
      </c>
      <c r="ID163" t="e">
        <f>AND(Bills!C589,"AAAAAHZ+v+0=")</f>
        <v>#VALUE!</v>
      </c>
      <c r="IE163" t="e">
        <f>AND(Bills!#REF!,"AAAAAHZ+v+4=")</f>
        <v>#REF!</v>
      </c>
      <c r="IF163" t="e">
        <f>AND(Bills!#REF!,"AAAAAHZ+v+8=")</f>
        <v>#REF!</v>
      </c>
      <c r="IG163" t="e">
        <f>AND(Bills!#REF!,"AAAAAHZ+v/A=")</f>
        <v>#REF!</v>
      </c>
      <c r="IH163" t="e">
        <f>AND(Bills!#REF!,"AAAAAHZ+v/E=")</f>
        <v>#REF!</v>
      </c>
      <c r="II163" t="e">
        <f>AND(Bills!#REF!,"AAAAAHZ+v/I=")</f>
        <v>#REF!</v>
      </c>
      <c r="IJ163" t="e">
        <f>AND(Bills!D589,"AAAAAHZ+v/M=")</f>
        <v>#VALUE!</v>
      </c>
      <c r="IK163" t="e">
        <f>AND(Bills!#REF!,"AAAAAHZ+v/Q=")</f>
        <v>#REF!</v>
      </c>
      <c r="IL163" t="e">
        <f>AND(Bills!E589,"AAAAAHZ+v/U=")</f>
        <v>#VALUE!</v>
      </c>
      <c r="IM163" t="e">
        <f>AND(Bills!F589,"AAAAAHZ+v/Y=")</f>
        <v>#VALUE!</v>
      </c>
      <c r="IN163" t="e">
        <f>AND(Bills!G589,"AAAAAHZ+v/c=")</f>
        <v>#VALUE!</v>
      </c>
      <c r="IO163" t="e">
        <f>AND(Bills!H589,"AAAAAHZ+v/g=")</f>
        <v>#VALUE!</v>
      </c>
      <c r="IP163" t="e">
        <f>AND(Bills!I589,"AAAAAHZ+v/k=")</f>
        <v>#VALUE!</v>
      </c>
      <c r="IQ163" t="e">
        <f>AND(Bills!J589,"AAAAAHZ+v/o=")</f>
        <v>#VALUE!</v>
      </c>
      <c r="IR163" t="e">
        <f>AND(Bills!#REF!,"AAAAAHZ+v/s=")</f>
        <v>#REF!</v>
      </c>
      <c r="IS163" t="e">
        <f>AND(Bills!K589,"AAAAAHZ+v/w=")</f>
        <v>#VALUE!</v>
      </c>
      <c r="IT163" t="e">
        <f>AND(Bills!L589,"AAAAAHZ+v/0=")</f>
        <v>#VALUE!</v>
      </c>
      <c r="IU163" t="e">
        <f>AND(Bills!M589,"AAAAAHZ+v/4=")</f>
        <v>#VALUE!</v>
      </c>
      <c r="IV163" t="e">
        <f>AND(Bills!N589,"AAAAAHZ+v/8=")</f>
        <v>#VALUE!</v>
      </c>
    </row>
    <row r="164" spans="1:256">
      <c r="A164" t="e">
        <f>AND(Bills!O589,"AAAAADe32wA=")</f>
        <v>#VALUE!</v>
      </c>
      <c r="B164" t="e">
        <f>AND(Bills!P589,"AAAAADe32wE=")</f>
        <v>#VALUE!</v>
      </c>
      <c r="C164" t="e">
        <f>AND(Bills!Q589,"AAAAADe32wI=")</f>
        <v>#VALUE!</v>
      </c>
      <c r="D164" t="e">
        <f>AND(Bills!R589,"AAAAADe32wM=")</f>
        <v>#VALUE!</v>
      </c>
      <c r="E164" t="e">
        <f>AND(Bills!#REF!,"AAAAADe32wQ=")</f>
        <v>#REF!</v>
      </c>
      <c r="F164" t="e">
        <f>AND(Bills!S589,"AAAAADe32wU=")</f>
        <v>#VALUE!</v>
      </c>
      <c r="G164" t="e">
        <f>AND(Bills!T589,"AAAAADe32wY=")</f>
        <v>#VALUE!</v>
      </c>
      <c r="H164" t="e">
        <f>AND(Bills!U589,"AAAAADe32wc=")</f>
        <v>#VALUE!</v>
      </c>
      <c r="I164" t="e">
        <f>AND(Bills!#REF!,"AAAAADe32wg=")</f>
        <v>#REF!</v>
      </c>
      <c r="J164" t="e">
        <f>AND(Bills!#REF!,"AAAAADe32wk=")</f>
        <v>#REF!</v>
      </c>
      <c r="K164" t="e">
        <f>AND(Bills!W589,"AAAAADe32wo=")</f>
        <v>#VALUE!</v>
      </c>
      <c r="L164" t="e">
        <f>AND(Bills!X589,"AAAAADe32ws=")</f>
        <v>#VALUE!</v>
      </c>
      <c r="M164" t="e">
        <f>AND(Bills!#REF!,"AAAAADe32ww=")</f>
        <v>#REF!</v>
      </c>
      <c r="N164" t="e">
        <f>AND(Bills!#REF!,"AAAAADe32w0=")</f>
        <v>#REF!</v>
      </c>
      <c r="O164" t="e">
        <f>AND(Bills!#REF!,"AAAAADe32w4=")</f>
        <v>#REF!</v>
      </c>
      <c r="P164" t="e">
        <f>AND(Bills!#REF!,"AAAAADe32w8=")</f>
        <v>#REF!</v>
      </c>
      <c r="Q164" t="e">
        <f>AND(Bills!#REF!,"AAAAADe32xA=")</f>
        <v>#REF!</v>
      </c>
      <c r="R164" t="e">
        <f>AND(Bills!#REF!,"AAAAADe32xE=")</f>
        <v>#REF!</v>
      </c>
      <c r="S164" t="e">
        <f>AND(Bills!#REF!,"AAAAADe32xI=")</f>
        <v>#REF!</v>
      </c>
      <c r="T164" t="e">
        <f>AND(Bills!#REF!,"AAAAADe32xM=")</f>
        <v>#REF!</v>
      </c>
      <c r="U164" t="e">
        <f>AND(Bills!#REF!,"AAAAADe32xQ=")</f>
        <v>#REF!</v>
      </c>
      <c r="V164" t="e">
        <f>AND(Bills!Y589,"AAAAADe32xU=")</f>
        <v>#VALUE!</v>
      </c>
      <c r="W164" t="e">
        <f>AND(Bills!Z589,"AAAAADe32xY=")</f>
        <v>#VALUE!</v>
      </c>
      <c r="X164" t="e">
        <f>AND(Bills!#REF!,"AAAAADe32xc=")</f>
        <v>#REF!</v>
      </c>
      <c r="Y164" t="e">
        <f>AND(Bills!#REF!,"AAAAADe32xg=")</f>
        <v>#REF!</v>
      </c>
      <c r="Z164" t="e">
        <f>AND(Bills!#REF!,"AAAAADe32xk=")</f>
        <v>#REF!</v>
      </c>
      <c r="AA164" t="e">
        <f>AND(Bills!AA589,"AAAAADe32xo=")</f>
        <v>#VALUE!</v>
      </c>
      <c r="AB164" t="e">
        <f>AND(Bills!AB589,"AAAAADe32xs=")</f>
        <v>#VALUE!</v>
      </c>
      <c r="AC164" t="e">
        <f>AND(Bills!#REF!,"AAAAADe32xw=")</f>
        <v>#REF!</v>
      </c>
      <c r="AD164">
        <f>IF(Bills!590:590,"AAAAADe32x0=",0)</f>
        <v>0</v>
      </c>
      <c r="AE164" t="e">
        <f>AND(Bills!B590,"AAAAADe32x4=")</f>
        <v>#VALUE!</v>
      </c>
      <c r="AF164" t="e">
        <f>AND(Bills!#REF!,"AAAAADe32x8=")</f>
        <v>#REF!</v>
      </c>
      <c r="AG164" t="e">
        <f>AND(Bills!C590,"AAAAADe32yA=")</f>
        <v>#VALUE!</v>
      </c>
      <c r="AH164" t="e">
        <f>AND(Bills!#REF!,"AAAAADe32yE=")</f>
        <v>#REF!</v>
      </c>
      <c r="AI164" t="e">
        <f>AND(Bills!#REF!,"AAAAADe32yI=")</f>
        <v>#REF!</v>
      </c>
      <c r="AJ164" t="e">
        <f>AND(Bills!#REF!,"AAAAADe32yM=")</f>
        <v>#REF!</v>
      </c>
      <c r="AK164" t="e">
        <f>AND(Bills!#REF!,"AAAAADe32yQ=")</f>
        <v>#REF!</v>
      </c>
      <c r="AL164" t="e">
        <f>AND(Bills!#REF!,"AAAAADe32yU=")</f>
        <v>#REF!</v>
      </c>
      <c r="AM164" t="e">
        <f>AND(Bills!D590,"AAAAADe32yY=")</f>
        <v>#VALUE!</v>
      </c>
      <c r="AN164" t="e">
        <f>AND(Bills!#REF!,"AAAAADe32yc=")</f>
        <v>#REF!</v>
      </c>
      <c r="AO164" t="e">
        <f>AND(Bills!E590,"AAAAADe32yg=")</f>
        <v>#VALUE!</v>
      </c>
      <c r="AP164" t="e">
        <f>AND(Bills!F590,"AAAAADe32yk=")</f>
        <v>#VALUE!</v>
      </c>
      <c r="AQ164" t="e">
        <f>AND(Bills!G590,"AAAAADe32yo=")</f>
        <v>#VALUE!</v>
      </c>
      <c r="AR164" t="e">
        <f>AND(Bills!H590,"AAAAADe32ys=")</f>
        <v>#VALUE!</v>
      </c>
      <c r="AS164" t="e">
        <f>AND(Bills!I590,"AAAAADe32yw=")</f>
        <v>#VALUE!</v>
      </c>
      <c r="AT164" t="e">
        <f>AND(Bills!J590,"AAAAADe32y0=")</f>
        <v>#VALUE!</v>
      </c>
      <c r="AU164" t="e">
        <f>AND(Bills!#REF!,"AAAAADe32y4=")</f>
        <v>#REF!</v>
      </c>
      <c r="AV164" t="e">
        <f>AND(Bills!K590,"AAAAADe32y8=")</f>
        <v>#VALUE!</v>
      </c>
      <c r="AW164" t="e">
        <f>AND(Bills!L590,"AAAAADe32zA=")</f>
        <v>#VALUE!</v>
      </c>
      <c r="AX164" t="e">
        <f>AND(Bills!M590,"AAAAADe32zE=")</f>
        <v>#VALUE!</v>
      </c>
      <c r="AY164" t="e">
        <f>AND(Bills!N590,"AAAAADe32zI=")</f>
        <v>#VALUE!</v>
      </c>
      <c r="AZ164" t="e">
        <f>AND(Bills!O590,"AAAAADe32zM=")</f>
        <v>#VALUE!</v>
      </c>
      <c r="BA164" t="e">
        <f>AND(Bills!P590,"AAAAADe32zQ=")</f>
        <v>#VALUE!</v>
      </c>
      <c r="BB164" t="e">
        <f>AND(Bills!Q590,"AAAAADe32zU=")</f>
        <v>#VALUE!</v>
      </c>
      <c r="BC164" t="e">
        <f>AND(Bills!R590,"AAAAADe32zY=")</f>
        <v>#VALUE!</v>
      </c>
      <c r="BD164" t="e">
        <f>AND(Bills!#REF!,"AAAAADe32zc=")</f>
        <v>#REF!</v>
      </c>
      <c r="BE164" t="e">
        <f>AND(Bills!S590,"AAAAADe32zg=")</f>
        <v>#VALUE!</v>
      </c>
      <c r="BF164" t="e">
        <f>AND(Bills!T590,"AAAAADe32zk=")</f>
        <v>#VALUE!</v>
      </c>
      <c r="BG164" t="e">
        <f>AND(Bills!U590,"AAAAADe32zo=")</f>
        <v>#VALUE!</v>
      </c>
      <c r="BH164" t="e">
        <f>AND(Bills!#REF!,"AAAAADe32zs=")</f>
        <v>#REF!</v>
      </c>
      <c r="BI164" t="e">
        <f>AND(Bills!#REF!,"AAAAADe32zw=")</f>
        <v>#REF!</v>
      </c>
      <c r="BJ164" t="e">
        <f>AND(Bills!W590,"AAAAADe32z0=")</f>
        <v>#VALUE!</v>
      </c>
      <c r="BK164" t="e">
        <f>AND(Bills!X590,"AAAAADe32z4=")</f>
        <v>#VALUE!</v>
      </c>
      <c r="BL164" t="e">
        <f>AND(Bills!#REF!,"AAAAADe32z8=")</f>
        <v>#REF!</v>
      </c>
      <c r="BM164" t="e">
        <f>AND(Bills!#REF!,"AAAAADe320A=")</f>
        <v>#REF!</v>
      </c>
      <c r="BN164" t="e">
        <f>AND(Bills!#REF!,"AAAAADe320E=")</f>
        <v>#REF!</v>
      </c>
      <c r="BO164" t="e">
        <f>AND(Bills!#REF!,"AAAAADe320I=")</f>
        <v>#REF!</v>
      </c>
      <c r="BP164" t="e">
        <f>AND(Bills!#REF!,"AAAAADe320M=")</f>
        <v>#REF!</v>
      </c>
      <c r="BQ164" t="e">
        <f>AND(Bills!#REF!,"AAAAADe320Q=")</f>
        <v>#REF!</v>
      </c>
      <c r="BR164" t="e">
        <f>AND(Bills!#REF!,"AAAAADe320U=")</f>
        <v>#REF!</v>
      </c>
      <c r="BS164" t="e">
        <f>AND(Bills!#REF!,"AAAAADe320Y=")</f>
        <v>#REF!</v>
      </c>
      <c r="BT164" t="e">
        <f>AND(Bills!#REF!,"AAAAADe320c=")</f>
        <v>#REF!</v>
      </c>
      <c r="BU164" t="e">
        <f>AND(Bills!Y590,"AAAAADe320g=")</f>
        <v>#VALUE!</v>
      </c>
      <c r="BV164" t="e">
        <f>AND(Bills!Z590,"AAAAADe320k=")</f>
        <v>#VALUE!</v>
      </c>
      <c r="BW164" t="e">
        <f>AND(Bills!#REF!,"AAAAADe320o=")</f>
        <v>#REF!</v>
      </c>
      <c r="BX164" t="e">
        <f>AND(Bills!#REF!,"AAAAADe320s=")</f>
        <v>#REF!</v>
      </c>
      <c r="BY164" t="e">
        <f>AND(Bills!#REF!,"AAAAADe320w=")</f>
        <v>#REF!</v>
      </c>
      <c r="BZ164" t="e">
        <f>AND(Bills!AA590,"AAAAADe3200=")</f>
        <v>#VALUE!</v>
      </c>
      <c r="CA164" t="e">
        <f>AND(Bills!AB590,"AAAAADe3204=")</f>
        <v>#VALUE!</v>
      </c>
      <c r="CB164" t="e">
        <f>AND(Bills!#REF!,"AAAAADe3208=")</f>
        <v>#REF!</v>
      </c>
      <c r="CC164">
        <f>IF(Bills!591:591,"AAAAADe321A=",0)</f>
        <v>0</v>
      </c>
      <c r="CD164" t="e">
        <f>AND(Bills!B591,"AAAAADe321E=")</f>
        <v>#VALUE!</v>
      </c>
      <c r="CE164" t="e">
        <f>AND(Bills!#REF!,"AAAAADe321I=")</f>
        <v>#REF!</v>
      </c>
      <c r="CF164" t="e">
        <f>AND(Bills!C591,"AAAAADe321M=")</f>
        <v>#VALUE!</v>
      </c>
      <c r="CG164" t="e">
        <f>AND(Bills!#REF!,"AAAAADe321Q=")</f>
        <v>#REF!</v>
      </c>
      <c r="CH164" t="e">
        <f>AND(Bills!#REF!,"AAAAADe321U=")</f>
        <v>#REF!</v>
      </c>
      <c r="CI164" t="e">
        <f>AND(Bills!#REF!,"AAAAADe321Y=")</f>
        <v>#REF!</v>
      </c>
      <c r="CJ164" t="e">
        <f>AND(Bills!#REF!,"AAAAADe321c=")</f>
        <v>#REF!</v>
      </c>
      <c r="CK164" t="e">
        <f>AND(Bills!#REF!,"AAAAADe321g=")</f>
        <v>#REF!</v>
      </c>
      <c r="CL164" t="e">
        <f>AND(Bills!D591,"AAAAADe321k=")</f>
        <v>#VALUE!</v>
      </c>
      <c r="CM164" t="e">
        <f>AND(Bills!#REF!,"AAAAADe321o=")</f>
        <v>#REF!</v>
      </c>
      <c r="CN164" t="e">
        <f>AND(Bills!E591,"AAAAADe321s=")</f>
        <v>#VALUE!</v>
      </c>
      <c r="CO164" t="e">
        <f>AND(Bills!F591,"AAAAADe321w=")</f>
        <v>#VALUE!</v>
      </c>
      <c r="CP164" t="e">
        <f>AND(Bills!G591,"AAAAADe3210=")</f>
        <v>#VALUE!</v>
      </c>
      <c r="CQ164" t="e">
        <f>AND(Bills!H591,"AAAAADe3214=")</f>
        <v>#VALUE!</v>
      </c>
      <c r="CR164" t="e">
        <f>AND(Bills!I591,"AAAAADe3218=")</f>
        <v>#VALUE!</v>
      </c>
      <c r="CS164" t="e">
        <f>AND(Bills!J591,"AAAAADe322A=")</f>
        <v>#VALUE!</v>
      </c>
      <c r="CT164" t="e">
        <f>AND(Bills!#REF!,"AAAAADe322E=")</f>
        <v>#REF!</v>
      </c>
      <c r="CU164" t="e">
        <f>AND(Bills!K591,"AAAAADe322I=")</f>
        <v>#VALUE!</v>
      </c>
      <c r="CV164" t="e">
        <f>AND(Bills!L591,"AAAAADe322M=")</f>
        <v>#VALUE!</v>
      </c>
      <c r="CW164" t="e">
        <f>AND(Bills!M591,"AAAAADe322Q=")</f>
        <v>#VALUE!</v>
      </c>
      <c r="CX164" t="e">
        <f>AND(Bills!N591,"AAAAADe322U=")</f>
        <v>#VALUE!</v>
      </c>
      <c r="CY164" t="e">
        <f>AND(Bills!O591,"AAAAADe322Y=")</f>
        <v>#VALUE!</v>
      </c>
      <c r="CZ164" t="e">
        <f>AND(Bills!P591,"AAAAADe322c=")</f>
        <v>#VALUE!</v>
      </c>
      <c r="DA164" t="e">
        <f>AND(Bills!Q591,"AAAAADe322g=")</f>
        <v>#VALUE!</v>
      </c>
      <c r="DB164" t="e">
        <f>AND(Bills!R591,"AAAAADe322k=")</f>
        <v>#VALUE!</v>
      </c>
      <c r="DC164" t="e">
        <f>AND(Bills!#REF!,"AAAAADe322o=")</f>
        <v>#REF!</v>
      </c>
      <c r="DD164" t="e">
        <f>AND(Bills!S591,"AAAAADe322s=")</f>
        <v>#VALUE!</v>
      </c>
      <c r="DE164" t="e">
        <f>AND(Bills!T591,"AAAAADe322w=")</f>
        <v>#VALUE!</v>
      </c>
      <c r="DF164" t="e">
        <f>AND(Bills!U591,"AAAAADe3220=")</f>
        <v>#VALUE!</v>
      </c>
      <c r="DG164" t="e">
        <f>AND(Bills!#REF!,"AAAAADe3224=")</f>
        <v>#REF!</v>
      </c>
      <c r="DH164" t="e">
        <f>AND(Bills!#REF!,"AAAAADe3228=")</f>
        <v>#REF!</v>
      </c>
      <c r="DI164" t="e">
        <f>AND(Bills!W591,"AAAAADe323A=")</f>
        <v>#VALUE!</v>
      </c>
      <c r="DJ164" t="e">
        <f>AND(Bills!X591,"AAAAADe323E=")</f>
        <v>#VALUE!</v>
      </c>
      <c r="DK164" t="e">
        <f>AND(Bills!#REF!,"AAAAADe323I=")</f>
        <v>#REF!</v>
      </c>
      <c r="DL164" t="e">
        <f>AND(Bills!#REF!,"AAAAADe323M=")</f>
        <v>#REF!</v>
      </c>
      <c r="DM164" t="e">
        <f>AND(Bills!#REF!,"AAAAADe323Q=")</f>
        <v>#REF!</v>
      </c>
      <c r="DN164" t="e">
        <f>AND(Bills!#REF!,"AAAAADe323U=")</f>
        <v>#REF!</v>
      </c>
      <c r="DO164" t="e">
        <f>AND(Bills!#REF!,"AAAAADe323Y=")</f>
        <v>#REF!</v>
      </c>
      <c r="DP164" t="e">
        <f>AND(Bills!#REF!,"AAAAADe323c=")</f>
        <v>#REF!</v>
      </c>
      <c r="DQ164" t="e">
        <f>AND(Bills!#REF!,"AAAAADe323g=")</f>
        <v>#REF!</v>
      </c>
      <c r="DR164" t="e">
        <f>AND(Bills!#REF!,"AAAAADe323k=")</f>
        <v>#REF!</v>
      </c>
      <c r="DS164" t="e">
        <f>AND(Bills!#REF!,"AAAAADe323o=")</f>
        <v>#REF!</v>
      </c>
      <c r="DT164" t="e">
        <f>AND(Bills!Y591,"AAAAADe323s=")</f>
        <v>#VALUE!</v>
      </c>
      <c r="DU164" t="e">
        <f>AND(Bills!Z591,"AAAAADe323w=")</f>
        <v>#VALUE!</v>
      </c>
      <c r="DV164" t="e">
        <f>AND(Bills!#REF!,"AAAAADe3230=")</f>
        <v>#REF!</v>
      </c>
      <c r="DW164" t="e">
        <f>AND(Bills!#REF!,"AAAAADe3234=")</f>
        <v>#REF!</v>
      </c>
      <c r="DX164" t="e">
        <f>AND(Bills!#REF!,"AAAAADe3238=")</f>
        <v>#REF!</v>
      </c>
      <c r="DY164" t="e">
        <f>AND(Bills!AA591,"AAAAADe324A=")</f>
        <v>#VALUE!</v>
      </c>
      <c r="DZ164" t="e">
        <f>AND(Bills!AB591,"AAAAADe324E=")</f>
        <v>#VALUE!</v>
      </c>
      <c r="EA164" t="e">
        <f>AND(Bills!#REF!,"AAAAADe324I=")</f>
        <v>#REF!</v>
      </c>
      <c r="EB164">
        <f>IF(Bills!592:592,"AAAAADe324M=",0)</f>
        <v>0</v>
      </c>
      <c r="EC164" t="e">
        <f>AND(Bills!B592,"AAAAADe324Q=")</f>
        <v>#VALUE!</v>
      </c>
      <c r="ED164" t="e">
        <f>AND(Bills!#REF!,"AAAAADe324U=")</f>
        <v>#REF!</v>
      </c>
      <c r="EE164" t="e">
        <f>AND(Bills!C592,"AAAAADe324Y=")</f>
        <v>#VALUE!</v>
      </c>
      <c r="EF164" t="e">
        <f>AND(Bills!#REF!,"AAAAADe324c=")</f>
        <v>#REF!</v>
      </c>
      <c r="EG164" t="e">
        <f>AND(Bills!#REF!,"AAAAADe324g=")</f>
        <v>#REF!</v>
      </c>
      <c r="EH164" t="e">
        <f>AND(Bills!#REF!,"AAAAADe324k=")</f>
        <v>#REF!</v>
      </c>
      <c r="EI164" t="e">
        <f>AND(Bills!#REF!,"AAAAADe324o=")</f>
        <v>#REF!</v>
      </c>
      <c r="EJ164" t="e">
        <f>AND(Bills!#REF!,"AAAAADe324s=")</f>
        <v>#REF!</v>
      </c>
      <c r="EK164" t="e">
        <f>AND(Bills!D592,"AAAAADe324w=")</f>
        <v>#VALUE!</v>
      </c>
      <c r="EL164" t="e">
        <f>AND(Bills!#REF!,"AAAAADe3240=")</f>
        <v>#REF!</v>
      </c>
      <c r="EM164" t="e">
        <f>AND(Bills!E592,"AAAAADe3244=")</f>
        <v>#VALUE!</v>
      </c>
      <c r="EN164" t="e">
        <f>AND(Bills!F592,"AAAAADe3248=")</f>
        <v>#VALUE!</v>
      </c>
      <c r="EO164" t="e">
        <f>AND(Bills!G592,"AAAAADe325A=")</f>
        <v>#VALUE!</v>
      </c>
      <c r="EP164" t="e">
        <f>AND(Bills!H592,"AAAAADe325E=")</f>
        <v>#VALUE!</v>
      </c>
      <c r="EQ164" t="e">
        <f>AND(Bills!I592,"AAAAADe325I=")</f>
        <v>#VALUE!</v>
      </c>
      <c r="ER164" t="e">
        <f>AND(Bills!J592,"AAAAADe325M=")</f>
        <v>#VALUE!</v>
      </c>
      <c r="ES164" t="e">
        <f>AND(Bills!#REF!,"AAAAADe325Q=")</f>
        <v>#REF!</v>
      </c>
      <c r="ET164" t="e">
        <f>AND(Bills!K592,"AAAAADe325U=")</f>
        <v>#VALUE!</v>
      </c>
      <c r="EU164" t="e">
        <f>AND(Bills!L592,"AAAAADe325Y=")</f>
        <v>#VALUE!</v>
      </c>
      <c r="EV164" t="e">
        <f>AND(Bills!M592,"AAAAADe325c=")</f>
        <v>#VALUE!</v>
      </c>
      <c r="EW164" t="e">
        <f>AND(Bills!N592,"AAAAADe325g=")</f>
        <v>#VALUE!</v>
      </c>
      <c r="EX164" t="e">
        <f>AND(Bills!O592,"AAAAADe325k=")</f>
        <v>#VALUE!</v>
      </c>
      <c r="EY164" t="e">
        <f>AND(Bills!P592,"AAAAADe325o=")</f>
        <v>#VALUE!</v>
      </c>
      <c r="EZ164" t="e">
        <f>AND(Bills!Q592,"AAAAADe325s=")</f>
        <v>#VALUE!</v>
      </c>
      <c r="FA164" t="e">
        <f>AND(Bills!R592,"AAAAADe325w=")</f>
        <v>#VALUE!</v>
      </c>
      <c r="FB164" t="e">
        <f>AND(Bills!#REF!,"AAAAADe3250=")</f>
        <v>#REF!</v>
      </c>
      <c r="FC164" t="e">
        <f>AND(Bills!S592,"AAAAADe3254=")</f>
        <v>#VALUE!</v>
      </c>
      <c r="FD164" t="e">
        <f>AND(Bills!T592,"AAAAADe3258=")</f>
        <v>#VALUE!</v>
      </c>
      <c r="FE164" t="e">
        <f>AND(Bills!U592,"AAAAADe326A=")</f>
        <v>#VALUE!</v>
      </c>
      <c r="FF164" t="e">
        <f>AND(Bills!#REF!,"AAAAADe326E=")</f>
        <v>#REF!</v>
      </c>
      <c r="FG164" t="e">
        <f>AND(Bills!#REF!,"AAAAADe326I=")</f>
        <v>#REF!</v>
      </c>
      <c r="FH164" t="e">
        <f>AND(Bills!W592,"AAAAADe326M=")</f>
        <v>#VALUE!</v>
      </c>
      <c r="FI164" t="e">
        <f>AND(Bills!X592,"AAAAADe326Q=")</f>
        <v>#VALUE!</v>
      </c>
      <c r="FJ164" t="e">
        <f>AND(Bills!#REF!,"AAAAADe326U=")</f>
        <v>#REF!</v>
      </c>
      <c r="FK164" t="e">
        <f>AND(Bills!#REF!,"AAAAADe326Y=")</f>
        <v>#REF!</v>
      </c>
      <c r="FL164" t="e">
        <f>AND(Bills!#REF!,"AAAAADe326c=")</f>
        <v>#REF!</v>
      </c>
      <c r="FM164" t="e">
        <f>AND(Bills!#REF!,"AAAAADe326g=")</f>
        <v>#REF!</v>
      </c>
      <c r="FN164" t="e">
        <f>AND(Bills!#REF!,"AAAAADe326k=")</f>
        <v>#REF!</v>
      </c>
      <c r="FO164" t="e">
        <f>AND(Bills!#REF!,"AAAAADe326o=")</f>
        <v>#REF!</v>
      </c>
      <c r="FP164" t="e">
        <f>AND(Bills!#REF!,"AAAAADe326s=")</f>
        <v>#REF!</v>
      </c>
      <c r="FQ164" t="e">
        <f>AND(Bills!#REF!,"AAAAADe326w=")</f>
        <v>#REF!</v>
      </c>
      <c r="FR164" t="e">
        <f>AND(Bills!#REF!,"AAAAADe3260=")</f>
        <v>#REF!</v>
      </c>
      <c r="FS164" t="e">
        <f>AND(Bills!Y592,"AAAAADe3264=")</f>
        <v>#VALUE!</v>
      </c>
      <c r="FT164" t="e">
        <f>AND(Bills!Z592,"AAAAADe3268=")</f>
        <v>#VALUE!</v>
      </c>
      <c r="FU164" t="e">
        <f>AND(Bills!#REF!,"AAAAADe327A=")</f>
        <v>#REF!</v>
      </c>
      <c r="FV164" t="e">
        <f>AND(Bills!#REF!,"AAAAADe327E=")</f>
        <v>#REF!</v>
      </c>
      <c r="FW164" t="e">
        <f>AND(Bills!#REF!,"AAAAADe327I=")</f>
        <v>#REF!</v>
      </c>
      <c r="FX164" t="e">
        <f>AND(Bills!AA592,"AAAAADe327M=")</f>
        <v>#VALUE!</v>
      </c>
      <c r="FY164" t="e">
        <f>AND(Bills!AB592,"AAAAADe327Q=")</f>
        <v>#VALUE!</v>
      </c>
      <c r="FZ164" t="e">
        <f>AND(Bills!#REF!,"AAAAADe327U=")</f>
        <v>#REF!</v>
      </c>
      <c r="GA164">
        <f>IF(Bills!593:593,"AAAAADe327Y=",0)</f>
        <v>0</v>
      </c>
      <c r="GB164" t="e">
        <f>AND(Bills!B593,"AAAAADe327c=")</f>
        <v>#VALUE!</v>
      </c>
      <c r="GC164" t="e">
        <f>AND(Bills!#REF!,"AAAAADe327g=")</f>
        <v>#REF!</v>
      </c>
      <c r="GD164" t="e">
        <f>AND(Bills!C593,"AAAAADe327k=")</f>
        <v>#VALUE!</v>
      </c>
      <c r="GE164" t="e">
        <f>AND(Bills!#REF!,"AAAAADe327o=")</f>
        <v>#REF!</v>
      </c>
      <c r="GF164" t="e">
        <f>AND(Bills!#REF!,"AAAAADe327s=")</f>
        <v>#REF!</v>
      </c>
      <c r="GG164" t="e">
        <f>AND(Bills!#REF!,"AAAAADe327w=")</f>
        <v>#REF!</v>
      </c>
      <c r="GH164" t="e">
        <f>AND(Bills!#REF!,"AAAAADe3270=")</f>
        <v>#REF!</v>
      </c>
      <c r="GI164" t="e">
        <f>AND(Bills!#REF!,"AAAAADe3274=")</f>
        <v>#REF!</v>
      </c>
      <c r="GJ164" t="e">
        <f>AND(Bills!D593,"AAAAADe3278=")</f>
        <v>#VALUE!</v>
      </c>
      <c r="GK164" t="e">
        <f>AND(Bills!#REF!,"AAAAADe328A=")</f>
        <v>#REF!</v>
      </c>
      <c r="GL164" t="e">
        <f>AND(Bills!E593,"AAAAADe328E=")</f>
        <v>#VALUE!</v>
      </c>
      <c r="GM164" t="e">
        <f>AND(Bills!F593,"AAAAADe328I=")</f>
        <v>#VALUE!</v>
      </c>
      <c r="GN164" t="e">
        <f>AND(Bills!G593,"AAAAADe328M=")</f>
        <v>#VALUE!</v>
      </c>
      <c r="GO164" t="e">
        <f>AND(Bills!H593,"AAAAADe328Q=")</f>
        <v>#VALUE!</v>
      </c>
      <c r="GP164" t="e">
        <f>AND(Bills!I593,"AAAAADe328U=")</f>
        <v>#VALUE!</v>
      </c>
      <c r="GQ164" t="e">
        <f>AND(Bills!J593,"AAAAADe328Y=")</f>
        <v>#VALUE!</v>
      </c>
      <c r="GR164" t="e">
        <f>AND(Bills!#REF!,"AAAAADe328c=")</f>
        <v>#REF!</v>
      </c>
      <c r="GS164" t="e">
        <f>AND(Bills!K593,"AAAAADe328g=")</f>
        <v>#VALUE!</v>
      </c>
      <c r="GT164" t="e">
        <f>AND(Bills!L593,"AAAAADe328k=")</f>
        <v>#VALUE!</v>
      </c>
      <c r="GU164" t="e">
        <f>AND(Bills!M593,"AAAAADe328o=")</f>
        <v>#VALUE!</v>
      </c>
      <c r="GV164" t="e">
        <f>AND(Bills!N593,"AAAAADe328s=")</f>
        <v>#VALUE!</v>
      </c>
      <c r="GW164" t="e">
        <f>AND(Bills!O593,"AAAAADe328w=")</f>
        <v>#VALUE!</v>
      </c>
      <c r="GX164" t="e">
        <f>AND(Bills!P593,"AAAAADe3280=")</f>
        <v>#VALUE!</v>
      </c>
      <c r="GY164" t="e">
        <f>AND(Bills!Q593,"AAAAADe3284=")</f>
        <v>#VALUE!</v>
      </c>
      <c r="GZ164" t="e">
        <f>AND(Bills!R593,"AAAAADe3288=")</f>
        <v>#VALUE!</v>
      </c>
      <c r="HA164" t="e">
        <f>AND(Bills!#REF!,"AAAAADe329A=")</f>
        <v>#REF!</v>
      </c>
      <c r="HB164" t="e">
        <f>AND(Bills!S593,"AAAAADe329E=")</f>
        <v>#VALUE!</v>
      </c>
      <c r="HC164" t="e">
        <f>AND(Bills!T593,"AAAAADe329I=")</f>
        <v>#VALUE!</v>
      </c>
      <c r="HD164" t="e">
        <f>AND(Bills!U593,"AAAAADe329M=")</f>
        <v>#VALUE!</v>
      </c>
      <c r="HE164" t="e">
        <f>AND(Bills!#REF!,"AAAAADe329Q=")</f>
        <v>#REF!</v>
      </c>
      <c r="HF164" t="e">
        <f>AND(Bills!#REF!,"AAAAADe329U=")</f>
        <v>#REF!</v>
      </c>
      <c r="HG164" t="e">
        <f>AND(Bills!W593,"AAAAADe329Y=")</f>
        <v>#VALUE!</v>
      </c>
      <c r="HH164" t="e">
        <f>AND(Bills!X593,"AAAAADe329c=")</f>
        <v>#VALUE!</v>
      </c>
      <c r="HI164" t="e">
        <f>AND(Bills!#REF!,"AAAAADe329g=")</f>
        <v>#REF!</v>
      </c>
      <c r="HJ164" t="e">
        <f>AND(Bills!#REF!,"AAAAADe329k=")</f>
        <v>#REF!</v>
      </c>
      <c r="HK164" t="e">
        <f>AND(Bills!#REF!,"AAAAADe329o=")</f>
        <v>#REF!</v>
      </c>
      <c r="HL164" t="e">
        <f>AND(Bills!#REF!,"AAAAADe329s=")</f>
        <v>#REF!</v>
      </c>
      <c r="HM164" t="e">
        <f>AND(Bills!#REF!,"AAAAADe329w=")</f>
        <v>#REF!</v>
      </c>
      <c r="HN164" t="e">
        <f>AND(Bills!#REF!,"AAAAADe3290=")</f>
        <v>#REF!</v>
      </c>
      <c r="HO164" t="e">
        <f>AND(Bills!#REF!,"AAAAADe3294=")</f>
        <v>#REF!</v>
      </c>
      <c r="HP164" t="e">
        <f>AND(Bills!#REF!,"AAAAADe3298=")</f>
        <v>#REF!</v>
      </c>
      <c r="HQ164" t="e">
        <f>AND(Bills!#REF!,"AAAAADe32+A=")</f>
        <v>#REF!</v>
      </c>
      <c r="HR164" t="e">
        <f>AND(Bills!Y593,"AAAAADe32+E=")</f>
        <v>#VALUE!</v>
      </c>
      <c r="HS164" t="e">
        <f>AND(Bills!Z593,"AAAAADe32+I=")</f>
        <v>#VALUE!</v>
      </c>
      <c r="HT164" t="e">
        <f>AND(Bills!#REF!,"AAAAADe32+M=")</f>
        <v>#REF!</v>
      </c>
      <c r="HU164" t="e">
        <f>AND(Bills!#REF!,"AAAAADe32+Q=")</f>
        <v>#REF!</v>
      </c>
      <c r="HV164" t="e">
        <f>AND(Bills!#REF!,"AAAAADe32+U=")</f>
        <v>#REF!</v>
      </c>
      <c r="HW164" t="e">
        <f>AND(Bills!AA593,"AAAAADe32+Y=")</f>
        <v>#VALUE!</v>
      </c>
      <c r="HX164" t="e">
        <f>AND(Bills!AB593,"AAAAADe32+c=")</f>
        <v>#VALUE!</v>
      </c>
      <c r="HY164" t="e">
        <f>AND(Bills!#REF!,"AAAAADe32+g=")</f>
        <v>#REF!</v>
      </c>
      <c r="HZ164">
        <f>IF(Bills!594:594,"AAAAADe32+k=",0)</f>
        <v>0</v>
      </c>
      <c r="IA164" t="e">
        <f>AND(Bills!B594,"AAAAADe32+o=")</f>
        <v>#VALUE!</v>
      </c>
      <c r="IB164" t="e">
        <f>AND(Bills!#REF!,"AAAAADe32+s=")</f>
        <v>#REF!</v>
      </c>
      <c r="IC164" t="e">
        <f>AND(Bills!C594,"AAAAADe32+w=")</f>
        <v>#VALUE!</v>
      </c>
      <c r="ID164" t="e">
        <f>AND(Bills!#REF!,"AAAAADe32+0=")</f>
        <v>#REF!</v>
      </c>
      <c r="IE164" t="e">
        <f>AND(Bills!#REF!,"AAAAADe32+4=")</f>
        <v>#REF!</v>
      </c>
      <c r="IF164" t="e">
        <f>AND(Bills!#REF!,"AAAAADe32+8=")</f>
        <v>#REF!</v>
      </c>
      <c r="IG164" t="e">
        <f>AND(Bills!#REF!,"AAAAADe32/A=")</f>
        <v>#REF!</v>
      </c>
      <c r="IH164" t="e">
        <f>AND(Bills!#REF!,"AAAAADe32/E=")</f>
        <v>#REF!</v>
      </c>
      <c r="II164" t="e">
        <f>AND(Bills!D594,"AAAAADe32/I=")</f>
        <v>#VALUE!</v>
      </c>
      <c r="IJ164" t="e">
        <f>AND(Bills!#REF!,"AAAAADe32/M=")</f>
        <v>#REF!</v>
      </c>
      <c r="IK164" t="e">
        <f>AND(Bills!E594,"AAAAADe32/Q=")</f>
        <v>#VALUE!</v>
      </c>
      <c r="IL164" t="e">
        <f>AND(Bills!F594,"AAAAADe32/U=")</f>
        <v>#VALUE!</v>
      </c>
      <c r="IM164" t="e">
        <f>AND(Bills!G594,"AAAAADe32/Y=")</f>
        <v>#VALUE!</v>
      </c>
      <c r="IN164" t="e">
        <f>AND(Bills!H594,"AAAAADe32/c=")</f>
        <v>#VALUE!</v>
      </c>
      <c r="IO164" t="e">
        <f>AND(Bills!I594,"AAAAADe32/g=")</f>
        <v>#VALUE!</v>
      </c>
      <c r="IP164" t="e">
        <f>AND(Bills!J594,"AAAAADe32/k=")</f>
        <v>#VALUE!</v>
      </c>
      <c r="IQ164" t="e">
        <f>AND(Bills!#REF!,"AAAAADe32/o=")</f>
        <v>#REF!</v>
      </c>
      <c r="IR164" t="e">
        <f>AND(Bills!K594,"AAAAADe32/s=")</f>
        <v>#VALUE!</v>
      </c>
      <c r="IS164" t="e">
        <f>AND(Bills!L594,"AAAAADe32/w=")</f>
        <v>#VALUE!</v>
      </c>
      <c r="IT164" t="e">
        <f>AND(Bills!M594,"AAAAADe32/0=")</f>
        <v>#VALUE!</v>
      </c>
      <c r="IU164" t="e">
        <f>AND(Bills!N594,"AAAAADe32/4=")</f>
        <v>#VALUE!</v>
      </c>
      <c r="IV164" t="e">
        <f>AND(Bills!O594,"AAAAADe32/8=")</f>
        <v>#VALUE!</v>
      </c>
    </row>
    <row r="165" spans="1:256">
      <c r="A165" t="e">
        <f>AND(Bills!P594,"AAAAAFp/JQA=")</f>
        <v>#VALUE!</v>
      </c>
      <c r="B165" t="e">
        <f>AND(Bills!Q594,"AAAAAFp/JQE=")</f>
        <v>#VALUE!</v>
      </c>
      <c r="C165" t="e">
        <f>AND(Bills!R594,"AAAAAFp/JQI=")</f>
        <v>#VALUE!</v>
      </c>
      <c r="D165" t="e">
        <f>AND(Bills!#REF!,"AAAAAFp/JQM=")</f>
        <v>#REF!</v>
      </c>
      <c r="E165" t="e">
        <f>AND(Bills!S594,"AAAAAFp/JQQ=")</f>
        <v>#VALUE!</v>
      </c>
      <c r="F165" t="e">
        <f>AND(Bills!T594,"AAAAAFp/JQU=")</f>
        <v>#VALUE!</v>
      </c>
      <c r="G165" t="e">
        <f>AND(Bills!U594,"AAAAAFp/JQY=")</f>
        <v>#VALUE!</v>
      </c>
      <c r="H165" t="e">
        <f>AND(Bills!#REF!,"AAAAAFp/JQc=")</f>
        <v>#REF!</v>
      </c>
      <c r="I165" t="e">
        <f>AND(Bills!#REF!,"AAAAAFp/JQg=")</f>
        <v>#REF!</v>
      </c>
      <c r="J165" t="e">
        <f>AND(Bills!W594,"AAAAAFp/JQk=")</f>
        <v>#VALUE!</v>
      </c>
      <c r="K165" t="e">
        <f>AND(Bills!X594,"AAAAAFp/JQo=")</f>
        <v>#VALUE!</v>
      </c>
      <c r="L165" t="e">
        <f>AND(Bills!#REF!,"AAAAAFp/JQs=")</f>
        <v>#REF!</v>
      </c>
      <c r="M165" t="e">
        <f>AND(Bills!#REF!,"AAAAAFp/JQw=")</f>
        <v>#REF!</v>
      </c>
      <c r="N165" t="e">
        <f>AND(Bills!#REF!,"AAAAAFp/JQ0=")</f>
        <v>#REF!</v>
      </c>
      <c r="O165" t="e">
        <f>AND(Bills!#REF!,"AAAAAFp/JQ4=")</f>
        <v>#REF!</v>
      </c>
      <c r="P165" t="e">
        <f>AND(Bills!#REF!,"AAAAAFp/JQ8=")</f>
        <v>#REF!</v>
      </c>
      <c r="Q165" t="e">
        <f>AND(Bills!#REF!,"AAAAAFp/JRA=")</f>
        <v>#REF!</v>
      </c>
      <c r="R165" t="e">
        <f>AND(Bills!#REF!,"AAAAAFp/JRE=")</f>
        <v>#REF!</v>
      </c>
      <c r="S165" t="e">
        <f>AND(Bills!#REF!,"AAAAAFp/JRI=")</f>
        <v>#REF!</v>
      </c>
      <c r="T165" t="e">
        <f>AND(Bills!#REF!,"AAAAAFp/JRM=")</f>
        <v>#REF!</v>
      </c>
      <c r="U165" t="e">
        <f>AND(Bills!Y594,"AAAAAFp/JRQ=")</f>
        <v>#VALUE!</v>
      </c>
      <c r="V165" t="e">
        <f>AND(Bills!Z594,"AAAAAFp/JRU=")</f>
        <v>#VALUE!</v>
      </c>
      <c r="W165" t="e">
        <f>AND(Bills!#REF!,"AAAAAFp/JRY=")</f>
        <v>#REF!</v>
      </c>
      <c r="X165" t="e">
        <f>AND(Bills!#REF!,"AAAAAFp/JRc=")</f>
        <v>#REF!</v>
      </c>
      <c r="Y165" t="e">
        <f>AND(Bills!#REF!,"AAAAAFp/JRg=")</f>
        <v>#REF!</v>
      </c>
      <c r="Z165" t="e">
        <f>AND(Bills!AA594,"AAAAAFp/JRk=")</f>
        <v>#VALUE!</v>
      </c>
      <c r="AA165" t="e">
        <f>AND(Bills!AB594,"AAAAAFp/JRo=")</f>
        <v>#VALUE!</v>
      </c>
      <c r="AB165" t="e">
        <f>AND(Bills!#REF!,"AAAAAFp/JRs=")</f>
        <v>#REF!</v>
      </c>
      <c r="AC165">
        <f>IF(Bills!595:595,"AAAAAFp/JRw=",0)</f>
        <v>0</v>
      </c>
      <c r="AD165" t="e">
        <f>AND(Bills!B595,"AAAAAFp/JR0=")</f>
        <v>#VALUE!</v>
      </c>
      <c r="AE165" t="e">
        <f>AND(Bills!#REF!,"AAAAAFp/JR4=")</f>
        <v>#REF!</v>
      </c>
      <c r="AF165" t="e">
        <f>AND(Bills!C595,"AAAAAFp/JR8=")</f>
        <v>#VALUE!</v>
      </c>
      <c r="AG165" t="e">
        <f>AND(Bills!#REF!,"AAAAAFp/JSA=")</f>
        <v>#REF!</v>
      </c>
      <c r="AH165" t="e">
        <f>AND(Bills!#REF!,"AAAAAFp/JSE=")</f>
        <v>#REF!</v>
      </c>
      <c r="AI165" t="e">
        <f>AND(Bills!#REF!,"AAAAAFp/JSI=")</f>
        <v>#REF!</v>
      </c>
      <c r="AJ165" t="e">
        <f>AND(Bills!#REF!,"AAAAAFp/JSM=")</f>
        <v>#REF!</v>
      </c>
      <c r="AK165" t="e">
        <f>AND(Bills!#REF!,"AAAAAFp/JSQ=")</f>
        <v>#REF!</v>
      </c>
      <c r="AL165" t="e">
        <f>AND(Bills!D595,"AAAAAFp/JSU=")</f>
        <v>#VALUE!</v>
      </c>
      <c r="AM165" t="e">
        <f>AND(Bills!#REF!,"AAAAAFp/JSY=")</f>
        <v>#REF!</v>
      </c>
      <c r="AN165" t="e">
        <f>AND(Bills!E595,"AAAAAFp/JSc=")</f>
        <v>#VALUE!</v>
      </c>
      <c r="AO165" t="e">
        <f>AND(Bills!F595,"AAAAAFp/JSg=")</f>
        <v>#VALUE!</v>
      </c>
      <c r="AP165" t="e">
        <f>AND(Bills!G595,"AAAAAFp/JSk=")</f>
        <v>#VALUE!</v>
      </c>
      <c r="AQ165" t="e">
        <f>AND(Bills!H595,"AAAAAFp/JSo=")</f>
        <v>#VALUE!</v>
      </c>
      <c r="AR165" t="e">
        <f>AND(Bills!I595,"AAAAAFp/JSs=")</f>
        <v>#VALUE!</v>
      </c>
      <c r="AS165" t="e">
        <f>AND(Bills!J595,"AAAAAFp/JSw=")</f>
        <v>#VALUE!</v>
      </c>
      <c r="AT165" t="e">
        <f>AND(Bills!#REF!,"AAAAAFp/JS0=")</f>
        <v>#REF!</v>
      </c>
      <c r="AU165" t="e">
        <f>AND(Bills!K595,"AAAAAFp/JS4=")</f>
        <v>#VALUE!</v>
      </c>
      <c r="AV165" t="e">
        <f>AND(Bills!L595,"AAAAAFp/JS8=")</f>
        <v>#VALUE!</v>
      </c>
      <c r="AW165" t="e">
        <f>AND(Bills!M595,"AAAAAFp/JTA=")</f>
        <v>#VALUE!</v>
      </c>
      <c r="AX165" t="e">
        <f>AND(Bills!N595,"AAAAAFp/JTE=")</f>
        <v>#VALUE!</v>
      </c>
      <c r="AY165" t="e">
        <f>AND(Bills!O595,"AAAAAFp/JTI=")</f>
        <v>#VALUE!</v>
      </c>
      <c r="AZ165" t="e">
        <f>AND(Bills!P595,"AAAAAFp/JTM=")</f>
        <v>#VALUE!</v>
      </c>
      <c r="BA165" t="e">
        <f>AND(Bills!Q595,"AAAAAFp/JTQ=")</f>
        <v>#VALUE!</v>
      </c>
      <c r="BB165" t="e">
        <f>AND(Bills!R595,"AAAAAFp/JTU=")</f>
        <v>#VALUE!</v>
      </c>
      <c r="BC165" t="e">
        <f>AND(Bills!#REF!,"AAAAAFp/JTY=")</f>
        <v>#REF!</v>
      </c>
      <c r="BD165" t="e">
        <f>AND(Bills!S595,"AAAAAFp/JTc=")</f>
        <v>#VALUE!</v>
      </c>
      <c r="BE165" t="e">
        <f>AND(Bills!T595,"AAAAAFp/JTg=")</f>
        <v>#VALUE!</v>
      </c>
      <c r="BF165" t="e">
        <f>AND(Bills!U595,"AAAAAFp/JTk=")</f>
        <v>#VALUE!</v>
      </c>
      <c r="BG165" t="e">
        <f>AND(Bills!#REF!,"AAAAAFp/JTo=")</f>
        <v>#REF!</v>
      </c>
      <c r="BH165" t="e">
        <f>AND(Bills!#REF!,"AAAAAFp/JTs=")</f>
        <v>#REF!</v>
      </c>
      <c r="BI165" t="e">
        <f>AND(Bills!W595,"AAAAAFp/JTw=")</f>
        <v>#VALUE!</v>
      </c>
      <c r="BJ165" t="e">
        <f>AND(Bills!X595,"AAAAAFp/JT0=")</f>
        <v>#VALUE!</v>
      </c>
      <c r="BK165" t="e">
        <f>AND(Bills!#REF!,"AAAAAFp/JT4=")</f>
        <v>#REF!</v>
      </c>
      <c r="BL165" t="e">
        <f>AND(Bills!#REF!,"AAAAAFp/JT8=")</f>
        <v>#REF!</v>
      </c>
      <c r="BM165" t="e">
        <f>AND(Bills!#REF!,"AAAAAFp/JUA=")</f>
        <v>#REF!</v>
      </c>
      <c r="BN165" t="e">
        <f>AND(Bills!#REF!,"AAAAAFp/JUE=")</f>
        <v>#REF!</v>
      </c>
      <c r="BO165" t="e">
        <f>AND(Bills!#REF!,"AAAAAFp/JUI=")</f>
        <v>#REF!</v>
      </c>
      <c r="BP165" t="e">
        <f>AND(Bills!#REF!,"AAAAAFp/JUM=")</f>
        <v>#REF!</v>
      </c>
      <c r="BQ165" t="e">
        <f>AND(Bills!#REF!,"AAAAAFp/JUQ=")</f>
        <v>#REF!</v>
      </c>
      <c r="BR165" t="e">
        <f>AND(Bills!#REF!,"AAAAAFp/JUU=")</f>
        <v>#REF!</v>
      </c>
      <c r="BS165" t="e">
        <f>AND(Bills!#REF!,"AAAAAFp/JUY=")</f>
        <v>#REF!</v>
      </c>
      <c r="BT165" t="e">
        <f>AND(Bills!Y595,"AAAAAFp/JUc=")</f>
        <v>#VALUE!</v>
      </c>
      <c r="BU165" t="e">
        <f>AND(Bills!Z595,"AAAAAFp/JUg=")</f>
        <v>#VALUE!</v>
      </c>
      <c r="BV165" t="e">
        <f>AND(Bills!#REF!,"AAAAAFp/JUk=")</f>
        <v>#REF!</v>
      </c>
      <c r="BW165" t="e">
        <f>AND(Bills!#REF!,"AAAAAFp/JUo=")</f>
        <v>#REF!</v>
      </c>
      <c r="BX165" t="e">
        <f>AND(Bills!#REF!,"AAAAAFp/JUs=")</f>
        <v>#REF!</v>
      </c>
      <c r="BY165" t="e">
        <f>AND(Bills!AA595,"AAAAAFp/JUw=")</f>
        <v>#VALUE!</v>
      </c>
      <c r="BZ165" t="e">
        <f>AND(Bills!AB595,"AAAAAFp/JU0=")</f>
        <v>#VALUE!</v>
      </c>
      <c r="CA165" t="e">
        <f>AND(Bills!#REF!,"AAAAAFp/JU4=")</f>
        <v>#REF!</v>
      </c>
      <c r="CB165">
        <f>IF(Bills!596:596,"AAAAAFp/JU8=",0)</f>
        <v>0</v>
      </c>
      <c r="CC165" t="e">
        <f>AND(Bills!B596,"AAAAAFp/JVA=")</f>
        <v>#VALUE!</v>
      </c>
      <c r="CD165" t="e">
        <f>AND(Bills!#REF!,"AAAAAFp/JVE=")</f>
        <v>#REF!</v>
      </c>
      <c r="CE165" t="e">
        <f>AND(Bills!C596,"AAAAAFp/JVI=")</f>
        <v>#VALUE!</v>
      </c>
      <c r="CF165" t="e">
        <f>AND(Bills!#REF!,"AAAAAFp/JVM=")</f>
        <v>#REF!</v>
      </c>
      <c r="CG165" t="e">
        <f>AND(Bills!#REF!,"AAAAAFp/JVQ=")</f>
        <v>#REF!</v>
      </c>
      <c r="CH165" t="e">
        <f>AND(Bills!#REF!,"AAAAAFp/JVU=")</f>
        <v>#REF!</v>
      </c>
      <c r="CI165" t="e">
        <f>AND(Bills!#REF!,"AAAAAFp/JVY=")</f>
        <v>#REF!</v>
      </c>
      <c r="CJ165" t="e">
        <f>AND(Bills!#REF!,"AAAAAFp/JVc=")</f>
        <v>#REF!</v>
      </c>
      <c r="CK165" t="e">
        <f>AND(Bills!D596,"AAAAAFp/JVg=")</f>
        <v>#VALUE!</v>
      </c>
      <c r="CL165" t="e">
        <f>AND(Bills!#REF!,"AAAAAFp/JVk=")</f>
        <v>#REF!</v>
      </c>
      <c r="CM165" t="e">
        <f>AND(Bills!E596,"AAAAAFp/JVo=")</f>
        <v>#VALUE!</v>
      </c>
      <c r="CN165" t="e">
        <f>AND(Bills!F596,"AAAAAFp/JVs=")</f>
        <v>#VALUE!</v>
      </c>
      <c r="CO165" t="e">
        <f>AND(Bills!G596,"AAAAAFp/JVw=")</f>
        <v>#VALUE!</v>
      </c>
      <c r="CP165" t="e">
        <f>AND(Bills!H596,"AAAAAFp/JV0=")</f>
        <v>#VALUE!</v>
      </c>
      <c r="CQ165" t="e">
        <f>AND(Bills!I596,"AAAAAFp/JV4=")</f>
        <v>#VALUE!</v>
      </c>
      <c r="CR165" t="e">
        <f>AND(Bills!J596,"AAAAAFp/JV8=")</f>
        <v>#VALUE!</v>
      </c>
      <c r="CS165" t="e">
        <f>AND(Bills!#REF!,"AAAAAFp/JWA=")</f>
        <v>#REF!</v>
      </c>
      <c r="CT165" t="e">
        <f>AND(Bills!K596,"AAAAAFp/JWE=")</f>
        <v>#VALUE!</v>
      </c>
      <c r="CU165" t="e">
        <f>AND(Bills!L596,"AAAAAFp/JWI=")</f>
        <v>#VALUE!</v>
      </c>
      <c r="CV165" t="e">
        <f>AND(Bills!M596,"AAAAAFp/JWM=")</f>
        <v>#VALUE!</v>
      </c>
      <c r="CW165" t="e">
        <f>AND(Bills!N596,"AAAAAFp/JWQ=")</f>
        <v>#VALUE!</v>
      </c>
      <c r="CX165" t="e">
        <f>AND(Bills!O596,"AAAAAFp/JWU=")</f>
        <v>#VALUE!</v>
      </c>
      <c r="CY165" t="e">
        <f>AND(Bills!P596,"AAAAAFp/JWY=")</f>
        <v>#VALUE!</v>
      </c>
      <c r="CZ165" t="e">
        <f>AND(Bills!Q596,"AAAAAFp/JWc=")</f>
        <v>#VALUE!</v>
      </c>
      <c r="DA165" t="e">
        <f>AND(Bills!R596,"AAAAAFp/JWg=")</f>
        <v>#VALUE!</v>
      </c>
      <c r="DB165" t="e">
        <f>AND(Bills!#REF!,"AAAAAFp/JWk=")</f>
        <v>#REF!</v>
      </c>
      <c r="DC165" t="e">
        <f>AND(Bills!S596,"AAAAAFp/JWo=")</f>
        <v>#VALUE!</v>
      </c>
      <c r="DD165" t="e">
        <f>AND(Bills!T596,"AAAAAFp/JWs=")</f>
        <v>#VALUE!</v>
      </c>
      <c r="DE165" t="e">
        <f>AND(Bills!U596,"AAAAAFp/JWw=")</f>
        <v>#VALUE!</v>
      </c>
      <c r="DF165" t="e">
        <f>AND(Bills!#REF!,"AAAAAFp/JW0=")</f>
        <v>#REF!</v>
      </c>
      <c r="DG165" t="e">
        <f>AND(Bills!#REF!,"AAAAAFp/JW4=")</f>
        <v>#REF!</v>
      </c>
      <c r="DH165" t="e">
        <f>AND(Bills!W596,"AAAAAFp/JW8=")</f>
        <v>#VALUE!</v>
      </c>
      <c r="DI165" t="e">
        <f>AND(Bills!X596,"AAAAAFp/JXA=")</f>
        <v>#VALUE!</v>
      </c>
      <c r="DJ165" t="e">
        <f>AND(Bills!#REF!,"AAAAAFp/JXE=")</f>
        <v>#REF!</v>
      </c>
      <c r="DK165" t="e">
        <f>AND(Bills!#REF!,"AAAAAFp/JXI=")</f>
        <v>#REF!</v>
      </c>
      <c r="DL165" t="e">
        <f>AND(Bills!#REF!,"AAAAAFp/JXM=")</f>
        <v>#REF!</v>
      </c>
      <c r="DM165" t="e">
        <f>AND(Bills!#REF!,"AAAAAFp/JXQ=")</f>
        <v>#REF!</v>
      </c>
      <c r="DN165" t="e">
        <f>AND(Bills!#REF!,"AAAAAFp/JXU=")</f>
        <v>#REF!</v>
      </c>
      <c r="DO165" t="e">
        <f>AND(Bills!#REF!,"AAAAAFp/JXY=")</f>
        <v>#REF!</v>
      </c>
      <c r="DP165" t="e">
        <f>AND(Bills!#REF!,"AAAAAFp/JXc=")</f>
        <v>#REF!</v>
      </c>
      <c r="DQ165" t="e">
        <f>AND(Bills!#REF!,"AAAAAFp/JXg=")</f>
        <v>#REF!</v>
      </c>
      <c r="DR165" t="e">
        <f>AND(Bills!#REF!,"AAAAAFp/JXk=")</f>
        <v>#REF!</v>
      </c>
      <c r="DS165" t="e">
        <f>AND(Bills!Y596,"AAAAAFp/JXo=")</f>
        <v>#VALUE!</v>
      </c>
      <c r="DT165" t="e">
        <f>AND(Bills!Z596,"AAAAAFp/JXs=")</f>
        <v>#VALUE!</v>
      </c>
      <c r="DU165" t="e">
        <f>AND(Bills!#REF!,"AAAAAFp/JXw=")</f>
        <v>#REF!</v>
      </c>
      <c r="DV165" t="e">
        <f>AND(Bills!#REF!,"AAAAAFp/JX0=")</f>
        <v>#REF!</v>
      </c>
      <c r="DW165" t="e">
        <f>AND(Bills!#REF!,"AAAAAFp/JX4=")</f>
        <v>#REF!</v>
      </c>
      <c r="DX165" t="e">
        <f>AND(Bills!AA596,"AAAAAFp/JX8=")</f>
        <v>#VALUE!</v>
      </c>
      <c r="DY165" t="e">
        <f>AND(Bills!AB596,"AAAAAFp/JYA=")</f>
        <v>#VALUE!</v>
      </c>
      <c r="DZ165" t="e">
        <f>AND(Bills!#REF!,"AAAAAFp/JYE=")</f>
        <v>#REF!</v>
      </c>
      <c r="EA165">
        <f>IF(Bills!597:597,"AAAAAFp/JYI=",0)</f>
        <v>0</v>
      </c>
      <c r="EB165" t="e">
        <f>AND(Bills!B597,"AAAAAFp/JYM=")</f>
        <v>#VALUE!</v>
      </c>
      <c r="EC165" t="e">
        <f>AND(Bills!#REF!,"AAAAAFp/JYQ=")</f>
        <v>#REF!</v>
      </c>
      <c r="ED165" t="e">
        <f>AND(Bills!C597,"AAAAAFp/JYU=")</f>
        <v>#VALUE!</v>
      </c>
      <c r="EE165" t="e">
        <f>AND(Bills!#REF!,"AAAAAFp/JYY=")</f>
        <v>#REF!</v>
      </c>
      <c r="EF165" t="e">
        <f>AND(Bills!#REF!,"AAAAAFp/JYc=")</f>
        <v>#REF!</v>
      </c>
      <c r="EG165" t="e">
        <f>AND(Bills!#REF!,"AAAAAFp/JYg=")</f>
        <v>#REF!</v>
      </c>
      <c r="EH165" t="e">
        <f>AND(Bills!#REF!,"AAAAAFp/JYk=")</f>
        <v>#REF!</v>
      </c>
      <c r="EI165" t="e">
        <f>AND(Bills!#REF!,"AAAAAFp/JYo=")</f>
        <v>#REF!</v>
      </c>
      <c r="EJ165" t="e">
        <f>AND(Bills!D597,"AAAAAFp/JYs=")</f>
        <v>#VALUE!</v>
      </c>
      <c r="EK165" t="e">
        <f>AND(Bills!#REF!,"AAAAAFp/JYw=")</f>
        <v>#REF!</v>
      </c>
      <c r="EL165" t="e">
        <f>AND(Bills!E597,"AAAAAFp/JY0=")</f>
        <v>#VALUE!</v>
      </c>
      <c r="EM165" t="e">
        <f>AND(Bills!F597,"AAAAAFp/JY4=")</f>
        <v>#VALUE!</v>
      </c>
      <c r="EN165" t="e">
        <f>AND(Bills!G597,"AAAAAFp/JY8=")</f>
        <v>#VALUE!</v>
      </c>
      <c r="EO165" t="e">
        <f>AND(Bills!H597,"AAAAAFp/JZA=")</f>
        <v>#VALUE!</v>
      </c>
      <c r="EP165" t="e">
        <f>AND(Bills!I597,"AAAAAFp/JZE=")</f>
        <v>#VALUE!</v>
      </c>
      <c r="EQ165" t="e">
        <f>AND(Bills!J597,"AAAAAFp/JZI=")</f>
        <v>#VALUE!</v>
      </c>
      <c r="ER165" t="e">
        <f>AND(Bills!#REF!,"AAAAAFp/JZM=")</f>
        <v>#REF!</v>
      </c>
      <c r="ES165" t="e">
        <f>AND(Bills!K597,"AAAAAFp/JZQ=")</f>
        <v>#VALUE!</v>
      </c>
      <c r="ET165" t="e">
        <f>AND(Bills!L597,"AAAAAFp/JZU=")</f>
        <v>#VALUE!</v>
      </c>
      <c r="EU165" t="e">
        <f>AND(Bills!M597,"AAAAAFp/JZY=")</f>
        <v>#VALUE!</v>
      </c>
      <c r="EV165" t="e">
        <f>AND(Bills!N597,"AAAAAFp/JZc=")</f>
        <v>#VALUE!</v>
      </c>
      <c r="EW165" t="e">
        <f>AND(Bills!O597,"AAAAAFp/JZg=")</f>
        <v>#VALUE!</v>
      </c>
      <c r="EX165" t="e">
        <f>AND(Bills!P597,"AAAAAFp/JZk=")</f>
        <v>#VALUE!</v>
      </c>
      <c r="EY165" t="e">
        <f>AND(Bills!Q597,"AAAAAFp/JZo=")</f>
        <v>#VALUE!</v>
      </c>
      <c r="EZ165" t="e">
        <f>AND(Bills!R597,"AAAAAFp/JZs=")</f>
        <v>#VALUE!</v>
      </c>
      <c r="FA165" t="e">
        <f>AND(Bills!#REF!,"AAAAAFp/JZw=")</f>
        <v>#REF!</v>
      </c>
      <c r="FB165" t="e">
        <f>AND(Bills!S597,"AAAAAFp/JZ0=")</f>
        <v>#VALUE!</v>
      </c>
      <c r="FC165" t="e">
        <f>AND(Bills!T597,"AAAAAFp/JZ4=")</f>
        <v>#VALUE!</v>
      </c>
      <c r="FD165" t="e">
        <f>AND(Bills!U597,"AAAAAFp/JZ8=")</f>
        <v>#VALUE!</v>
      </c>
      <c r="FE165" t="e">
        <f>AND(Bills!#REF!,"AAAAAFp/JaA=")</f>
        <v>#REF!</v>
      </c>
      <c r="FF165" t="e">
        <f>AND(Bills!#REF!,"AAAAAFp/JaE=")</f>
        <v>#REF!</v>
      </c>
      <c r="FG165" t="e">
        <f>AND(Bills!W597,"AAAAAFp/JaI=")</f>
        <v>#VALUE!</v>
      </c>
      <c r="FH165" t="e">
        <f>AND(Bills!X597,"AAAAAFp/JaM=")</f>
        <v>#VALUE!</v>
      </c>
      <c r="FI165" t="e">
        <f>AND(Bills!#REF!,"AAAAAFp/JaQ=")</f>
        <v>#REF!</v>
      </c>
      <c r="FJ165" t="e">
        <f>AND(Bills!#REF!,"AAAAAFp/JaU=")</f>
        <v>#REF!</v>
      </c>
      <c r="FK165" t="e">
        <f>AND(Bills!#REF!,"AAAAAFp/JaY=")</f>
        <v>#REF!</v>
      </c>
      <c r="FL165" t="e">
        <f>AND(Bills!#REF!,"AAAAAFp/Jac=")</f>
        <v>#REF!</v>
      </c>
      <c r="FM165" t="e">
        <f>AND(Bills!#REF!,"AAAAAFp/Jag=")</f>
        <v>#REF!</v>
      </c>
      <c r="FN165" t="e">
        <f>AND(Bills!#REF!,"AAAAAFp/Jak=")</f>
        <v>#REF!</v>
      </c>
      <c r="FO165" t="e">
        <f>AND(Bills!#REF!,"AAAAAFp/Jao=")</f>
        <v>#REF!</v>
      </c>
      <c r="FP165" t="e">
        <f>AND(Bills!#REF!,"AAAAAFp/Jas=")</f>
        <v>#REF!</v>
      </c>
      <c r="FQ165" t="e">
        <f>AND(Bills!#REF!,"AAAAAFp/Jaw=")</f>
        <v>#REF!</v>
      </c>
      <c r="FR165" t="e">
        <f>AND(Bills!Y597,"AAAAAFp/Ja0=")</f>
        <v>#VALUE!</v>
      </c>
      <c r="FS165" t="e">
        <f>AND(Bills!Z597,"AAAAAFp/Ja4=")</f>
        <v>#VALUE!</v>
      </c>
      <c r="FT165" t="e">
        <f>AND(Bills!#REF!,"AAAAAFp/Ja8=")</f>
        <v>#REF!</v>
      </c>
      <c r="FU165" t="e">
        <f>AND(Bills!#REF!,"AAAAAFp/JbA=")</f>
        <v>#REF!</v>
      </c>
      <c r="FV165" t="e">
        <f>AND(Bills!#REF!,"AAAAAFp/JbE=")</f>
        <v>#REF!</v>
      </c>
      <c r="FW165" t="e">
        <f>AND(Bills!AA597,"AAAAAFp/JbI=")</f>
        <v>#VALUE!</v>
      </c>
      <c r="FX165" t="e">
        <f>AND(Bills!AB597,"AAAAAFp/JbM=")</f>
        <v>#VALUE!</v>
      </c>
      <c r="FY165" t="e">
        <f>AND(Bills!#REF!,"AAAAAFp/JbQ=")</f>
        <v>#REF!</v>
      </c>
      <c r="FZ165">
        <f>IF(Bills!598:598,"AAAAAFp/JbU=",0)</f>
        <v>0</v>
      </c>
      <c r="GA165" t="e">
        <f>AND(Bills!B598,"AAAAAFp/JbY=")</f>
        <v>#VALUE!</v>
      </c>
      <c r="GB165" t="e">
        <f>AND(Bills!#REF!,"AAAAAFp/Jbc=")</f>
        <v>#REF!</v>
      </c>
      <c r="GC165" t="e">
        <f>AND(Bills!C598,"AAAAAFp/Jbg=")</f>
        <v>#VALUE!</v>
      </c>
      <c r="GD165" t="e">
        <f>AND(Bills!#REF!,"AAAAAFp/Jbk=")</f>
        <v>#REF!</v>
      </c>
      <c r="GE165" t="e">
        <f>AND(Bills!#REF!,"AAAAAFp/Jbo=")</f>
        <v>#REF!</v>
      </c>
      <c r="GF165" t="e">
        <f>AND(Bills!#REF!,"AAAAAFp/Jbs=")</f>
        <v>#REF!</v>
      </c>
      <c r="GG165" t="e">
        <f>AND(Bills!#REF!,"AAAAAFp/Jbw=")</f>
        <v>#REF!</v>
      </c>
      <c r="GH165" t="e">
        <f>AND(Bills!#REF!,"AAAAAFp/Jb0=")</f>
        <v>#REF!</v>
      </c>
      <c r="GI165" t="e">
        <f>AND(Bills!D598,"AAAAAFp/Jb4=")</f>
        <v>#VALUE!</v>
      </c>
      <c r="GJ165" t="e">
        <f>AND(Bills!#REF!,"AAAAAFp/Jb8=")</f>
        <v>#REF!</v>
      </c>
      <c r="GK165" t="e">
        <f>AND(Bills!E598,"AAAAAFp/JcA=")</f>
        <v>#VALUE!</v>
      </c>
      <c r="GL165" t="e">
        <f>AND(Bills!F598,"AAAAAFp/JcE=")</f>
        <v>#VALUE!</v>
      </c>
      <c r="GM165" t="e">
        <f>AND(Bills!G598,"AAAAAFp/JcI=")</f>
        <v>#VALUE!</v>
      </c>
      <c r="GN165" t="e">
        <f>AND(Bills!H598,"AAAAAFp/JcM=")</f>
        <v>#VALUE!</v>
      </c>
      <c r="GO165" t="e">
        <f>AND(Bills!I598,"AAAAAFp/JcQ=")</f>
        <v>#VALUE!</v>
      </c>
      <c r="GP165" t="e">
        <f>AND(Bills!J598,"AAAAAFp/JcU=")</f>
        <v>#VALUE!</v>
      </c>
      <c r="GQ165" t="e">
        <f>AND(Bills!#REF!,"AAAAAFp/JcY=")</f>
        <v>#REF!</v>
      </c>
      <c r="GR165" t="e">
        <f>AND(Bills!K598,"AAAAAFp/Jcc=")</f>
        <v>#VALUE!</v>
      </c>
      <c r="GS165" t="e">
        <f>AND(Bills!L598,"AAAAAFp/Jcg=")</f>
        <v>#VALUE!</v>
      </c>
      <c r="GT165" t="e">
        <f>AND(Bills!M598,"AAAAAFp/Jck=")</f>
        <v>#VALUE!</v>
      </c>
      <c r="GU165" t="e">
        <f>AND(Bills!N598,"AAAAAFp/Jco=")</f>
        <v>#VALUE!</v>
      </c>
      <c r="GV165" t="e">
        <f>AND(Bills!O598,"AAAAAFp/Jcs=")</f>
        <v>#VALUE!</v>
      </c>
      <c r="GW165" t="e">
        <f>AND(Bills!P598,"AAAAAFp/Jcw=")</f>
        <v>#VALUE!</v>
      </c>
      <c r="GX165" t="e">
        <f>AND(Bills!Q598,"AAAAAFp/Jc0=")</f>
        <v>#VALUE!</v>
      </c>
      <c r="GY165" t="e">
        <f>AND(Bills!R598,"AAAAAFp/Jc4=")</f>
        <v>#VALUE!</v>
      </c>
      <c r="GZ165" t="e">
        <f>AND(Bills!#REF!,"AAAAAFp/Jc8=")</f>
        <v>#REF!</v>
      </c>
      <c r="HA165" t="e">
        <f>AND(Bills!S598,"AAAAAFp/JdA=")</f>
        <v>#VALUE!</v>
      </c>
      <c r="HB165" t="e">
        <f>AND(Bills!T598,"AAAAAFp/JdE=")</f>
        <v>#VALUE!</v>
      </c>
      <c r="HC165" t="e">
        <f>AND(Bills!U598,"AAAAAFp/JdI=")</f>
        <v>#VALUE!</v>
      </c>
      <c r="HD165" t="e">
        <f>AND(Bills!#REF!,"AAAAAFp/JdM=")</f>
        <v>#REF!</v>
      </c>
      <c r="HE165" t="e">
        <f>AND(Bills!#REF!,"AAAAAFp/JdQ=")</f>
        <v>#REF!</v>
      </c>
      <c r="HF165" t="e">
        <f>AND(Bills!W598,"AAAAAFp/JdU=")</f>
        <v>#VALUE!</v>
      </c>
      <c r="HG165" t="e">
        <f>AND(Bills!X598,"AAAAAFp/JdY=")</f>
        <v>#VALUE!</v>
      </c>
      <c r="HH165" t="e">
        <f>AND(Bills!#REF!,"AAAAAFp/Jdc=")</f>
        <v>#REF!</v>
      </c>
      <c r="HI165" t="e">
        <f>AND(Bills!#REF!,"AAAAAFp/Jdg=")</f>
        <v>#REF!</v>
      </c>
      <c r="HJ165" t="e">
        <f>AND(Bills!#REF!,"AAAAAFp/Jdk=")</f>
        <v>#REF!</v>
      </c>
      <c r="HK165" t="e">
        <f>AND(Bills!#REF!,"AAAAAFp/Jdo=")</f>
        <v>#REF!</v>
      </c>
      <c r="HL165" t="e">
        <f>AND(Bills!#REF!,"AAAAAFp/Jds=")</f>
        <v>#REF!</v>
      </c>
      <c r="HM165" t="e">
        <f>AND(Bills!#REF!,"AAAAAFp/Jdw=")</f>
        <v>#REF!</v>
      </c>
      <c r="HN165" t="e">
        <f>AND(Bills!#REF!,"AAAAAFp/Jd0=")</f>
        <v>#REF!</v>
      </c>
      <c r="HO165" t="e">
        <f>AND(Bills!#REF!,"AAAAAFp/Jd4=")</f>
        <v>#REF!</v>
      </c>
      <c r="HP165" t="e">
        <f>AND(Bills!#REF!,"AAAAAFp/Jd8=")</f>
        <v>#REF!</v>
      </c>
      <c r="HQ165" t="e">
        <f>AND(Bills!Y598,"AAAAAFp/JeA=")</f>
        <v>#VALUE!</v>
      </c>
      <c r="HR165" t="e">
        <f>AND(Bills!Z598,"AAAAAFp/JeE=")</f>
        <v>#VALUE!</v>
      </c>
      <c r="HS165" t="e">
        <f>AND(Bills!#REF!,"AAAAAFp/JeI=")</f>
        <v>#REF!</v>
      </c>
      <c r="HT165" t="e">
        <f>AND(Bills!#REF!,"AAAAAFp/JeM=")</f>
        <v>#REF!</v>
      </c>
      <c r="HU165" t="e">
        <f>AND(Bills!#REF!,"AAAAAFp/JeQ=")</f>
        <v>#REF!</v>
      </c>
      <c r="HV165" t="e">
        <f>AND(Bills!AA598,"AAAAAFp/JeU=")</f>
        <v>#VALUE!</v>
      </c>
      <c r="HW165" t="e">
        <f>AND(Bills!AB598,"AAAAAFp/JeY=")</f>
        <v>#VALUE!</v>
      </c>
      <c r="HX165" t="e">
        <f>AND(Bills!#REF!,"AAAAAFp/Jec=")</f>
        <v>#REF!</v>
      </c>
      <c r="HY165">
        <f>IF(Bills!599:599,"AAAAAFp/Jeg=",0)</f>
        <v>0</v>
      </c>
      <c r="HZ165" t="e">
        <f>AND(Bills!B599,"AAAAAFp/Jek=")</f>
        <v>#VALUE!</v>
      </c>
      <c r="IA165" t="e">
        <f>AND(Bills!#REF!,"AAAAAFp/Jeo=")</f>
        <v>#REF!</v>
      </c>
      <c r="IB165" t="e">
        <f>AND(Bills!C599,"AAAAAFp/Jes=")</f>
        <v>#VALUE!</v>
      </c>
      <c r="IC165" t="e">
        <f>AND(Bills!#REF!,"AAAAAFp/Jew=")</f>
        <v>#REF!</v>
      </c>
      <c r="ID165" t="e">
        <f>AND(Bills!#REF!,"AAAAAFp/Je0=")</f>
        <v>#REF!</v>
      </c>
      <c r="IE165" t="e">
        <f>AND(Bills!#REF!,"AAAAAFp/Je4=")</f>
        <v>#REF!</v>
      </c>
      <c r="IF165" t="e">
        <f>AND(Bills!#REF!,"AAAAAFp/Je8=")</f>
        <v>#REF!</v>
      </c>
      <c r="IG165" t="e">
        <f>AND(Bills!#REF!,"AAAAAFp/JfA=")</f>
        <v>#REF!</v>
      </c>
      <c r="IH165" t="e">
        <f>AND(Bills!D599,"AAAAAFp/JfE=")</f>
        <v>#VALUE!</v>
      </c>
      <c r="II165" t="e">
        <f>AND(Bills!#REF!,"AAAAAFp/JfI=")</f>
        <v>#REF!</v>
      </c>
      <c r="IJ165" t="e">
        <f>AND(Bills!E599,"AAAAAFp/JfM=")</f>
        <v>#VALUE!</v>
      </c>
      <c r="IK165" t="e">
        <f>AND(Bills!F599,"AAAAAFp/JfQ=")</f>
        <v>#VALUE!</v>
      </c>
      <c r="IL165" t="e">
        <f>AND(Bills!G599,"AAAAAFp/JfU=")</f>
        <v>#VALUE!</v>
      </c>
      <c r="IM165" t="e">
        <f>AND(Bills!H599,"AAAAAFp/JfY=")</f>
        <v>#VALUE!</v>
      </c>
      <c r="IN165" t="e">
        <f>AND(Bills!I599,"AAAAAFp/Jfc=")</f>
        <v>#VALUE!</v>
      </c>
      <c r="IO165" t="e">
        <f>AND(Bills!J599,"AAAAAFp/Jfg=")</f>
        <v>#VALUE!</v>
      </c>
      <c r="IP165" t="e">
        <f>AND(Bills!#REF!,"AAAAAFp/Jfk=")</f>
        <v>#REF!</v>
      </c>
      <c r="IQ165" t="e">
        <f>AND(Bills!K599,"AAAAAFp/Jfo=")</f>
        <v>#VALUE!</v>
      </c>
      <c r="IR165" t="e">
        <f>AND(Bills!L599,"AAAAAFp/Jfs=")</f>
        <v>#VALUE!</v>
      </c>
      <c r="IS165" t="e">
        <f>AND(Bills!M599,"AAAAAFp/Jfw=")</f>
        <v>#VALUE!</v>
      </c>
      <c r="IT165" t="e">
        <f>AND(Bills!N599,"AAAAAFp/Jf0=")</f>
        <v>#VALUE!</v>
      </c>
      <c r="IU165" t="e">
        <f>AND(Bills!O599,"AAAAAFp/Jf4=")</f>
        <v>#VALUE!</v>
      </c>
      <c r="IV165" t="e">
        <f>AND(Bills!P599,"AAAAAFp/Jf8=")</f>
        <v>#VALUE!</v>
      </c>
    </row>
    <row r="166" spans="1:256">
      <c r="A166" t="e">
        <f>AND(Bills!Q599,"AAAAAH2XPwA=")</f>
        <v>#VALUE!</v>
      </c>
      <c r="B166" t="e">
        <f>AND(Bills!R599,"AAAAAH2XPwE=")</f>
        <v>#VALUE!</v>
      </c>
      <c r="C166" t="e">
        <f>AND(Bills!#REF!,"AAAAAH2XPwI=")</f>
        <v>#REF!</v>
      </c>
      <c r="D166" t="e">
        <f>AND(Bills!S599,"AAAAAH2XPwM=")</f>
        <v>#VALUE!</v>
      </c>
      <c r="E166" t="e">
        <f>AND(Bills!T599,"AAAAAH2XPwQ=")</f>
        <v>#VALUE!</v>
      </c>
      <c r="F166" t="e">
        <f>AND(Bills!U599,"AAAAAH2XPwU=")</f>
        <v>#VALUE!</v>
      </c>
      <c r="G166" t="e">
        <f>AND(Bills!#REF!,"AAAAAH2XPwY=")</f>
        <v>#REF!</v>
      </c>
      <c r="H166" t="e">
        <f>AND(Bills!#REF!,"AAAAAH2XPwc=")</f>
        <v>#REF!</v>
      </c>
      <c r="I166" t="e">
        <f>AND(Bills!W599,"AAAAAH2XPwg=")</f>
        <v>#VALUE!</v>
      </c>
      <c r="J166" t="e">
        <f>AND(Bills!X599,"AAAAAH2XPwk=")</f>
        <v>#VALUE!</v>
      </c>
      <c r="K166" t="e">
        <f>AND(Bills!#REF!,"AAAAAH2XPwo=")</f>
        <v>#REF!</v>
      </c>
      <c r="L166" t="e">
        <f>AND(Bills!#REF!,"AAAAAH2XPws=")</f>
        <v>#REF!</v>
      </c>
      <c r="M166" t="e">
        <f>AND(Bills!#REF!,"AAAAAH2XPww=")</f>
        <v>#REF!</v>
      </c>
      <c r="N166" t="e">
        <f>AND(Bills!#REF!,"AAAAAH2XPw0=")</f>
        <v>#REF!</v>
      </c>
      <c r="O166" t="e">
        <f>AND(Bills!#REF!,"AAAAAH2XPw4=")</f>
        <v>#REF!</v>
      </c>
      <c r="P166" t="e">
        <f>AND(Bills!#REF!,"AAAAAH2XPw8=")</f>
        <v>#REF!</v>
      </c>
      <c r="Q166" t="e">
        <f>AND(Bills!#REF!,"AAAAAH2XPxA=")</f>
        <v>#REF!</v>
      </c>
      <c r="R166" t="e">
        <f>AND(Bills!#REF!,"AAAAAH2XPxE=")</f>
        <v>#REF!</v>
      </c>
      <c r="S166" t="e">
        <f>AND(Bills!#REF!,"AAAAAH2XPxI=")</f>
        <v>#REF!</v>
      </c>
      <c r="T166" t="e">
        <f>AND(Bills!Y599,"AAAAAH2XPxM=")</f>
        <v>#VALUE!</v>
      </c>
      <c r="U166" t="e">
        <f>AND(Bills!Z599,"AAAAAH2XPxQ=")</f>
        <v>#VALUE!</v>
      </c>
      <c r="V166" t="e">
        <f>AND(Bills!#REF!,"AAAAAH2XPxU=")</f>
        <v>#REF!</v>
      </c>
      <c r="W166" t="e">
        <f>AND(Bills!#REF!,"AAAAAH2XPxY=")</f>
        <v>#REF!</v>
      </c>
      <c r="X166" t="e">
        <f>AND(Bills!#REF!,"AAAAAH2XPxc=")</f>
        <v>#REF!</v>
      </c>
      <c r="Y166" t="e">
        <f>AND(Bills!AA599,"AAAAAH2XPxg=")</f>
        <v>#VALUE!</v>
      </c>
      <c r="Z166" t="e">
        <f>AND(Bills!AB599,"AAAAAH2XPxk=")</f>
        <v>#VALUE!</v>
      </c>
      <c r="AA166" t="e">
        <f>AND(Bills!#REF!,"AAAAAH2XPxo=")</f>
        <v>#REF!</v>
      </c>
      <c r="AB166">
        <f>IF(Bills!600:600,"AAAAAH2XPxs=",0)</f>
        <v>0</v>
      </c>
      <c r="AC166" t="e">
        <f>AND(Bills!B600,"AAAAAH2XPxw=")</f>
        <v>#VALUE!</v>
      </c>
      <c r="AD166" t="e">
        <f>AND(Bills!#REF!,"AAAAAH2XPx0=")</f>
        <v>#REF!</v>
      </c>
      <c r="AE166" t="e">
        <f>AND(Bills!C600,"AAAAAH2XPx4=")</f>
        <v>#VALUE!</v>
      </c>
      <c r="AF166" t="e">
        <f>AND(Bills!#REF!,"AAAAAH2XPx8=")</f>
        <v>#REF!</v>
      </c>
      <c r="AG166" t="e">
        <f>AND(Bills!#REF!,"AAAAAH2XPyA=")</f>
        <v>#REF!</v>
      </c>
      <c r="AH166" t="e">
        <f>AND(Bills!#REF!,"AAAAAH2XPyE=")</f>
        <v>#REF!</v>
      </c>
      <c r="AI166" t="e">
        <f>AND(Bills!#REF!,"AAAAAH2XPyI=")</f>
        <v>#REF!</v>
      </c>
      <c r="AJ166" t="e">
        <f>AND(Bills!#REF!,"AAAAAH2XPyM=")</f>
        <v>#REF!</v>
      </c>
      <c r="AK166" t="e">
        <f>AND(Bills!D600,"AAAAAH2XPyQ=")</f>
        <v>#VALUE!</v>
      </c>
      <c r="AL166" t="e">
        <f>AND(Bills!#REF!,"AAAAAH2XPyU=")</f>
        <v>#REF!</v>
      </c>
      <c r="AM166" t="e">
        <f>AND(Bills!E600,"AAAAAH2XPyY=")</f>
        <v>#VALUE!</v>
      </c>
      <c r="AN166" t="e">
        <f>AND(Bills!F600,"AAAAAH2XPyc=")</f>
        <v>#VALUE!</v>
      </c>
      <c r="AO166" t="e">
        <f>AND(Bills!G600,"AAAAAH2XPyg=")</f>
        <v>#VALUE!</v>
      </c>
      <c r="AP166" t="e">
        <f>AND(Bills!H600,"AAAAAH2XPyk=")</f>
        <v>#VALUE!</v>
      </c>
      <c r="AQ166" t="e">
        <f>AND(Bills!I600,"AAAAAH2XPyo=")</f>
        <v>#VALUE!</v>
      </c>
      <c r="AR166" t="e">
        <f>AND(Bills!J600,"AAAAAH2XPys=")</f>
        <v>#VALUE!</v>
      </c>
      <c r="AS166" t="e">
        <f>AND(Bills!#REF!,"AAAAAH2XPyw=")</f>
        <v>#REF!</v>
      </c>
      <c r="AT166" t="e">
        <f>AND(Bills!K600,"AAAAAH2XPy0=")</f>
        <v>#VALUE!</v>
      </c>
      <c r="AU166" t="e">
        <f>AND(Bills!L600,"AAAAAH2XPy4=")</f>
        <v>#VALUE!</v>
      </c>
      <c r="AV166" t="e">
        <f>AND(Bills!M600,"AAAAAH2XPy8=")</f>
        <v>#VALUE!</v>
      </c>
      <c r="AW166" t="e">
        <f>AND(Bills!N600,"AAAAAH2XPzA=")</f>
        <v>#VALUE!</v>
      </c>
      <c r="AX166" t="e">
        <f>AND(Bills!O600,"AAAAAH2XPzE=")</f>
        <v>#VALUE!</v>
      </c>
      <c r="AY166" t="e">
        <f>AND(Bills!P600,"AAAAAH2XPzI=")</f>
        <v>#VALUE!</v>
      </c>
      <c r="AZ166" t="e">
        <f>AND(Bills!Q600,"AAAAAH2XPzM=")</f>
        <v>#VALUE!</v>
      </c>
      <c r="BA166" t="e">
        <f>AND(Bills!R600,"AAAAAH2XPzQ=")</f>
        <v>#VALUE!</v>
      </c>
      <c r="BB166" t="e">
        <f>AND(Bills!#REF!,"AAAAAH2XPzU=")</f>
        <v>#REF!</v>
      </c>
      <c r="BC166" t="e">
        <f>AND(Bills!S600,"AAAAAH2XPzY=")</f>
        <v>#VALUE!</v>
      </c>
      <c r="BD166" t="e">
        <f>AND(Bills!T600,"AAAAAH2XPzc=")</f>
        <v>#VALUE!</v>
      </c>
      <c r="BE166" t="e">
        <f>AND(Bills!U600,"AAAAAH2XPzg=")</f>
        <v>#VALUE!</v>
      </c>
      <c r="BF166" t="e">
        <f>AND(Bills!#REF!,"AAAAAH2XPzk=")</f>
        <v>#REF!</v>
      </c>
      <c r="BG166" t="e">
        <f>AND(Bills!#REF!,"AAAAAH2XPzo=")</f>
        <v>#REF!</v>
      </c>
      <c r="BH166" t="e">
        <f>AND(Bills!W600,"AAAAAH2XPzs=")</f>
        <v>#VALUE!</v>
      </c>
      <c r="BI166" t="e">
        <f>AND(Bills!X600,"AAAAAH2XPzw=")</f>
        <v>#VALUE!</v>
      </c>
      <c r="BJ166" t="e">
        <f>AND(Bills!#REF!,"AAAAAH2XPz0=")</f>
        <v>#REF!</v>
      </c>
      <c r="BK166" t="e">
        <f>AND(Bills!#REF!,"AAAAAH2XPz4=")</f>
        <v>#REF!</v>
      </c>
      <c r="BL166" t="e">
        <f>AND(Bills!#REF!,"AAAAAH2XPz8=")</f>
        <v>#REF!</v>
      </c>
      <c r="BM166" t="e">
        <f>AND(Bills!#REF!,"AAAAAH2XP0A=")</f>
        <v>#REF!</v>
      </c>
      <c r="BN166" t="e">
        <f>AND(Bills!#REF!,"AAAAAH2XP0E=")</f>
        <v>#REF!</v>
      </c>
      <c r="BO166" t="e">
        <f>AND(Bills!#REF!,"AAAAAH2XP0I=")</f>
        <v>#REF!</v>
      </c>
      <c r="BP166" t="e">
        <f>AND(Bills!#REF!,"AAAAAH2XP0M=")</f>
        <v>#REF!</v>
      </c>
      <c r="BQ166" t="e">
        <f>AND(Bills!#REF!,"AAAAAH2XP0Q=")</f>
        <v>#REF!</v>
      </c>
      <c r="BR166" t="e">
        <f>AND(Bills!#REF!,"AAAAAH2XP0U=")</f>
        <v>#REF!</v>
      </c>
      <c r="BS166" t="e">
        <f>AND(Bills!Y600,"AAAAAH2XP0Y=")</f>
        <v>#VALUE!</v>
      </c>
      <c r="BT166" t="e">
        <f>AND(Bills!Z600,"AAAAAH2XP0c=")</f>
        <v>#VALUE!</v>
      </c>
      <c r="BU166" t="e">
        <f>AND(Bills!#REF!,"AAAAAH2XP0g=")</f>
        <v>#REF!</v>
      </c>
      <c r="BV166" t="e">
        <f>AND(Bills!#REF!,"AAAAAH2XP0k=")</f>
        <v>#REF!</v>
      </c>
      <c r="BW166" t="e">
        <f>AND(Bills!#REF!,"AAAAAH2XP0o=")</f>
        <v>#REF!</v>
      </c>
      <c r="BX166" t="e">
        <f>AND(Bills!AA600,"AAAAAH2XP0s=")</f>
        <v>#VALUE!</v>
      </c>
      <c r="BY166" t="e">
        <f>AND(Bills!AB600,"AAAAAH2XP0w=")</f>
        <v>#VALUE!</v>
      </c>
      <c r="BZ166" t="e">
        <f>AND(Bills!#REF!,"AAAAAH2XP00=")</f>
        <v>#REF!</v>
      </c>
      <c r="CA166">
        <f>IF(Bills!601:601,"AAAAAH2XP04=",0)</f>
        <v>0</v>
      </c>
      <c r="CB166" t="e">
        <f>AND(Bills!B601,"AAAAAH2XP08=")</f>
        <v>#VALUE!</v>
      </c>
      <c r="CC166" t="e">
        <f>AND(Bills!#REF!,"AAAAAH2XP1A=")</f>
        <v>#REF!</v>
      </c>
      <c r="CD166" t="e">
        <f>AND(Bills!C601,"AAAAAH2XP1E=")</f>
        <v>#VALUE!</v>
      </c>
      <c r="CE166" t="e">
        <f>AND(Bills!#REF!,"AAAAAH2XP1I=")</f>
        <v>#REF!</v>
      </c>
      <c r="CF166" t="e">
        <f>AND(Bills!#REF!,"AAAAAH2XP1M=")</f>
        <v>#REF!</v>
      </c>
      <c r="CG166" t="e">
        <f>AND(Bills!#REF!,"AAAAAH2XP1Q=")</f>
        <v>#REF!</v>
      </c>
      <c r="CH166" t="e">
        <f>AND(Bills!#REF!,"AAAAAH2XP1U=")</f>
        <v>#REF!</v>
      </c>
      <c r="CI166" t="e">
        <f>AND(Bills!#REF!,"AAAAAH2XP1Y=")</f>
        <v>#REF!</v>
      </c>
      <c r="CJ166" t="e">
        <f>AND(Bills!D601,"AAAAAH2XP1c=")</f>
        <v>#VALUE!</v>
      </c>
      <c r="CK166" t="e">
        <f>AND(Bills!#REF!,"AAAAAH2XP1g=")</f>
        <v>#REF!</v>
      </c>
      <c r="CL166" t="e">
        <f>AND(Bills!E601,"AAAAAH2XP1k=")</f>
        <v>#VALUE!</v>
      </c>
      <c r="CM166" t="e">
        <f>AND(Bills!F601,"AAAAAH2XP1o=")</f>
        <v>#VALUE!</v>
      </c>
      <c r="CN166" t="e">
        <f>AND(Bills!G601,"AAAAAH2XP1s=")</f>
        <v>#VALUE!</v>
      </c>
      <c r="CO166" t="e">
        <f>AND(Bills!H601,"AAAAAH2XP1w=")</f>
        <v>#VALUE!</v>
      </c>
      <c r="CP166" t="e">
        <f>AND(Bills!I601,"AAAAAH2XP10=")</f>
        <v>#VALUE!</v>
      </c>
      <c r="CQ166" t="e">
        <f>AND(Bills!J601,"AAAAAH2XP14=")</f>
        <v>#VALUE!</v>
      </c>
      <c r="CR166" t="e">
        <f>AND(Bills!#REF!,"AAAAAH2XP18=")</f>
        <v>#REF!</v>
      </c>
      <c r="CS166" t="e">
        <f>AND(Bills!K601,"AAAAAH2XP2A=")</f>
        <v>#VALUE!</v>
      </c>
      <c r="CT166" t="e">
        <f>AND(Bills!L601,"AAAAAH2XP2E=")</f>
        <v>#VALUE!</v>
      </c>
      <c r="CU166" t="e">
        <f>AND(Bills!M601,"AAAAAH2XP2I=")</f>
        <v>#VALUE!</v>
      </c>
      <c r="CV166" t="e">
        <f>AND(Bills!N601,"AAAAAH2XP2M=")</f>
        <v>#VALUE!</v>
      </c>
      <c r="CW166" t="e">
        <f>AND(Bills!O601,"AAAAAH2XP2Q=")</f>
        <v>#VALUE!</v>
      </c>
      <c r="CX166" t="e">
        <f>AND(Bills!P601,"AAAAAH2XP2U=")</f>
        <v>#VALUE!</v>
      </c>
      <c r="CY166" t="e">
        <f>AND(Bills!Q601,"AAAAAH2XP2Y=")</f>
        <v>#VALUE!</v>
      </c>
      <c r="CZ166" t="e">
        <f>AND(Bills!R601,"AAAAAH2XP2c=")</f>
        <v>#VALUE!</v>
      </c>
      <c r="DA166" t="e">
        <f>AND(Bills!#REF!,"AAAAAH2XP2g=")</f>
        <v>#REF!</v>
      </c>
      <c r="DB166" t="e">
        <f>AND(Bills!S601,"AAAAAH2XP2k=")</f>
        <v>#VALUE!</v>
      </c>
      <c r="DC166" t="e">
        <f>AND(Bills!T601,"AAAAAH2XP2o=")</f>
        <v>#VALUE!</v>
      </c>
      <c r="DD166" t="e">
        <f>AND(Bills!U601,"AAAAAH2XP2s=")</f>
        <v>#VALUE!</v>
      </c>
      <c r="DE166" t="e">
        <f>AND(Bills!#REF!,"AAAAAH2XP2w=")</f>
        <v>#REF!</v>
      </c>
      <c r="DF166" t="e">
        <f>AND(Bills!#REF!,"AAAAAH2XP20=")</f>
        <v>#REF!</v>
      </c>
      <c r="DG166" t="e">
        <f>AND(Bills!W601,"AAAAAH2XP24=")</f>
        <v>#VALUE!</v>
      </c>
      <c r="DH166" t="e">
        <f>AND(Bills!X601,"AAAAAH2XP28=")</f>
        <v>#VALUE!</v>
      </c>
      <c r="DI166" t="e">
        <f>AND(Bills!#REF!,"AAAAAH2XP3A=")</f>
        <v>#REF!</v>
      </c>
      <c r="DJ166" t="e">
        <f>AND(Bills!#REF!,"AAAAAH2XP3E=")</f>
        <v>#REF!</v>
      </c>
      <c r="DK166" t="e">
        <f>AND(Bills!#REF!,"AAAAAH2XP3I=")</f>
        <v>#REF!</v>
      </c>
      <c r="DL166" t="e">
        <f>AND(Bills!#REF!,"AAAAAH2XP3M=")</f>
        <v>#REF!</v>
      </c>
      <c r="DM166" t="e">
        <f>AND(Bills!#REF!,"AAAAAH2XP3Q=")</f>
        <v>#REF!</v>
      </c>
      <c r="DN166" t="e">
        <f>AND(Bills!#REF!,"AAAAAH2XP3U=")</f>
        <v>#REF!</v>
      </c>
      <c r="DO166" t="e">
        <f>AND(Bills!#REF!,"AAAAAH2XP3Y=")</f>
        <v>#REF!</v>
      </c>
      <c r="DP166" t="e">
        <f>AND(Bills!#REF!,"AAAAAH2XP3c=")</f>
        <v>#REF!</v>
      </c>
      <c r="DQ166" t="e">
        <f>AND(Bills!#REF!,"AAAAAH2XP3g=")</f>
        <v>#REF!</v>
      </c>
      <c r="DR166" t="e">
        <f>AND(Bills!Y601,"AAAAAH2XP3k=")</f>
        <v>#VALUE!</v>
      </c>
      <c r="DS166" t="e">
        <f>AND(Bills!Z601,"AAAAAH2XP3o=")</f>
        <v>#VALUE!</v>
      </c>
      <c r="DT166" t="e">
        <f>AND(Bills!#REF!,"AAAAAH2XP3s=")</f>
        <v>#REF!</v>
      </c>
      <c r="DU166" t="e">
        <f>AND(Bills!#REF!,"AAAAAH2XP3w=")</f>
        <v>#REF!</v>
      </c>
      <c r="DV166" t="e">
        <f>AND(Bills!#REF!,"AAAAAH2XP30=")</f>
        <v>#REF!</v>
      </c>
      <c r="DW166" t="e">
        <f>AND(Bills!AA601,"AAAAAH2XP34=")</f>
        <v>#VALUE!</v>
      </c>
      <c r="DX166" t="e">
        <f>AND(Bills!AB601,"AAAAAH2XP38=")</f>
        <v>#VALUE!</v>
      </c>
      <c r="DY166" t="e">
        <f>AND(Bills!#REF!,"AAAAAH2XP4A=")</f>
        <v>#REF!</v>
      </c>
      <c r="DZ166">
        <f>IF(Bills!602:602,"AAAAAH2XP4E=",0)</f>
        <v>0</v>
      </c>
      <c r="EA166" t="e">
        <f>AND(Bills!B602,"AAAAAH2XP4I=")</f>
        <v>#VALUE!</v>
      </c>
      <c r="EB166" t="e">
        <f>AND(Bills!#REF!,"AAAAAH2XP4M=")</f>
        <v>#REF!</v>
      </c>
      <c r="EC166" t="e">
        <f>AND(Bills!C602,"AAAAAH2XP4Q=")</f>
        <v>#VALUE!</v>
      </c>
      <c r="ED166" t="e">
        <f>AND(Bills!#REF!,"AAAAAH2XP4U=")</f>
        <v>#REF!</v>
      </c>
      <c r="EE166" t="e">
        <f>AND(Bills!#REF!,"AAAAAH2XP4Y=")</f>
        <v>#REF!</v>
      </c>
      <c r="EF166" t="e">
        <f>AND(Bills!#REF!,"AAAAAH2XP4c=")</f>
        <v>#REF!</v>
      </c>
      <c r="EG166" t="e">
        <f>AND(Bills!#REF!,"AAAAAH2XP4g=")</f>
        <v>#REF!</v>
      </c>
      <c r="EH166" t="e">
        <f>AND(Bills!#REF!,"AAAAAH2XP4k=")</f>
        <v>#REF!</v>
      </c>
      <c r="EI166" t="e">
        <f>AND(Bills!D602,"AAAAAH2XP4o=")</f>
        <v>#VALUE!</v>
      </c>
      <c r="EJ166" t="e">
        <f>AND(Bills!#REF!,"AAAAAH2XP4s=")</f>
        <v>#REF!</v>
      </c>
      <c r="EK166" t="e">
        <f>AND(Bills!E602,"AAAAAH2XP4w=")</f>
        <v>#VALUE!</v>
      </c>
      <c r="EL166" t="e">
        <f>AND(Bills!F602,"AAAAAH2XP40=")</f>
        <v>#VALUE!</v>
      </c>
      <c r="EM166" t="e">
        <f>AND(Bills!G602,"AAAAAH2XP44=")</f>
        <v>#VALUE!</v>
      </c>
      <c r="EN166" t="e">
        <f>AND(Bills!H602,"AAAAAH2XP48=")</f>
        <v>#VALUE!</v>
      </c>
      <c r="EO166" t="e">
        <f>AND(Bills!I602,"AAAAAH2XP5A=")</f>
        <v>#VALUE!</v>
      </c>
      <c r="EP166" t="e">
        <f>AND(Bills!J602,"AAAAAH2XP5E=")</f>
        <v>#VALUE!</v>
      </c>
      <c r="EQ166" t="e">
        <f>AND(Bills!#REF!,"AAAAAH2XP5I=")</f>
        <v>#REF!</v>
      </c>
      <c r="ER166" t="e">
        <f>AND(Bills!K602,"AAAAAH2XP5M=")</f>
        <v>#VALUE!</v>
      </c>
      <c r="ES166" t="e">
        <f>AND(Bills!L602,"AAAAAH2XP5Q=")</f>
        <v>#VALUE!</v>
      </c>
      <c r="ET166" t="e">
        <f>AND(Bills!M602,"AAAAAH2XP5U=")</f>
        <v>#VALUE!</v>
      </c>
      <c r="EU166" t="e">
        <f>AND(Bills!N602,"AAAAAH2XP5Y=")</f>
        <v>#VALUE!</v>
      </c>
      <c r="EV166" t="e">
        <f>AND(Bills!O602,"AAAAAH2XP5c=")</f>
        <v>#VALUE!</v>
      </c>
      <c r="EW166" t="e">
        <f>AND(Bills!P602,"AAAAAH2XP5g=")</f>
        <v>#VALUE!</v>
      </c>
      <c r="EX166" t="e">
        <f>AND(Bills!Q602,"AAAAAH2XP5k=")</f>
        <v>#VALUE!</v>
      </c>
      <c r="EY166" t="e">
        <f>AND(Bills!R602,"AAAAAH2XP5o=")</f>
        <v>#VALUE!</v>
      </c>
      <c r="EZ166" t="e">
        <f>AND(Bills!#REF!,"AAAAAH2XP5s=")</f>
        <v>#REF!</v>
      </c>
      <c r="FA166" t="e">
        <f>AND(Bills!S602,"AAAAAH2XP5w=")</f>
        <v>#VALUE!</v>
      </c>
      <c r="FB166" t="e">
        <f>AND(Bills!T602,"AAAAAH2XP50=")</f>
        <v>#VALUE!</v>
      </c>
      <c r="FC166" t="e">
        <f>AND(Bills!U602,"AAAAAH2XP54=")</f>
        <v>#VALUE!</v>
      </c>
      <c r="FD166" t="e">
        <f>AND(Bills!#REF!,"AAAAAH2XP58=")</f>
        <v>#REF!</v>
      </c>
      <c r="FE166" t="e">
        <f>AND(Bills!#REF!,"AAAAAH2XP6A=")</f>
        <v>#REF!</v>
      </c>
      <c r="FF166" t="e">
        <f>AND(Bills!W602,"AAAAAH2XP6E=")</f>
        <v>#VALUE!</v>
      </c>
      <c r="FG166" t="e">
        <f>AND(Bills!X602,"AAAAAH2XP6I=")</f>
        <v>#VALUE!</v>
      </c>
      <c r="FH166" t="e">
        <f>AND(Bills!#REF!,"AAAAAH2XP6M=")</f>
        <v>#REF!</v>
      </c>
      <c r="FI166" t="e">
        <f>AND(Bills!#REF!,"AAAAAH2XP6Q=")</f>
        <v>#REF!</v>
      </c>
      <c r="FJ166" t="e">
        <f>AND(Bills!#REF!,"AAAAAH2XP6U=")</f>
        <v>#REF!</v>
      </c>
      <c r="FK166" t="e">
        <f>AND(Bills!#REF!,"AAAAAH2XP6Y=")</f>
        <v>#REF!</v>
      </c>
      <c r="FL166" t="e">
        <f>AND(Bills!#REF!,"AAAAAH2XP6c=")</f>
        <v>#REF!</v>
      </c>
      <c r="FM166" t="e">
        <f>AND(Bills!#REF!,"AAAAAH2XP6g=")</f>
        <v>#REF!</v>
      </c>
      <c r="FN166" t="e">
        <f>AND(Bills!#REF!,"AAAAAH2XP6k=")</f>
        <v>#REF!</v>
      </c>
      <c r="FO166" t="e">
        <f>AND(Bills!#REF!,"AAAAAH2XP6o=")</f>
        <v>#REF!</v>
      </c>
      <c r="FP166" t="e">
        <f>AND(Bills!#REF!,"AAAAAH2XP6s=")</f>
        <v>#REF!</v>
      </c>
      <c r="FQ166" t="e">
        <f>AND(Bills!Y602,"AAAAAH2XP6w=")</f>
        <v>#VALUE!</v>
      </c>
      <c r="FR166" t="e">
        <f>AND(Bills!Z602,"AAAAAH2XP60=")</f>
        <v>#VALUE!</v>
      </c>
      <c r="FS166" t="e">
        <f>AND(Bills!#REF!,"AAAAAH2XP64=")</f>
        <v>#REF!</v>
      </c>
      <c r="FT166" t="e">
        <f>AND(Bills!#REF!,"AAAAAH2XP68=")</f>
        <v>#REF!</v>
      </c>
      <c r="FU166" t="e">
        <f>AND(Bills!#REF!,"AAAAAH2XP7A=")</f>
        <v>#REF!</v>
      </c>
      <c r="FV166" t="e">
        <f>AND(Bills!AA602,"AAAAAH2XP7E=")</f>
        <v>#VALUE!</v>
      </c>
      <c r="FW166" t="e">
        <f>AND(Bills!AB602,"AAAAAH2XP7I=")</f>
        <v>#VALUE!</v>
      </c>
      <c r="FX166" t="e">
        <f>AND(Bills!#REF!,"AAAAAH2XP7M=")</f>
        <v>#REF!</v>
      </c>
      <c r="FY166">
        <f>IF(Bills!603:603,"AAAAAH2XP7Q=",0)</f>
        <v>0</v>
      </c>
      <c r="FZ166" t="e">
        <f>AND(Bills!B603,"AAAAAH2XP7U=")</f>
        <v>#VALUE!</v>
      </c>
      <c r="GA166" t="e">
        <f>AND(Bills!#REF!,"AAAAAH2XP7Y=")</f>
        <v>#REF!</v>
      </c>
      <c r="GB166" t="e">
        <f>AND(Bills!C603,"AAAAAH2XP7c=")</f>
        <v>#VALUE!</v>
      </c>
      <c r="GC166" t="e">
        <f>AND(Bills!#REF!,"AAAAAH2XP7g=")</f>
        <v>#REF!</v>
      </c>
      <c r="GD166" t="e">
        <f>AND(Bills!#REF!,"AAAAAH2XP7k=")</f>
        <v>#REF!</v>
      </c>
      <c r="GE166" t="e">
        <f>AND(Bills!#REF!,"AAAAAH2XP7o=")</f>
        <v>#REF!</v>
      </c>
      <c r="GF166" t="e">
        <f>AND(Bills!#REF!,"AAAAAH2XP7s=")</f>
        <v>#REF!</v>
      </c>
      <c r="GG166" t="e">
        <f>AND(Bills!#REF!,"AAAAAH2XP7w=")</f>
        <v>#REF!</v>
      </c>
      <c r="GH166" t="e">
        <f>AND(Bills!D603,"AAAAAH2XP70=")</f>
        <v>#VALUE!</v>
      </c>
      <c r="GI166" t="e">
        <f>AND(Bills!#REF!,"AAAAAH2XP74=")</f>
        <v>#REF!</v>
      </c>
      <c r="GJ166" t="e">
        <f>AND(Bills!E603,"AAAAAH2XP78=")</f>
        <v>#VALUE!</v>
      </c>
      <c r="GK166" t="e">
        <f>AND(Bills!F603,"AAAAAH2XP8A=")</f>
        <v>#VALUE!</v>
      </c>
      <c r="GL166" t="e">
        <f>AND(Bills!G603,"AAAAAH2XP8E=")</f>
        <v>#VALUE!</v>
      </c>
      <c r="GM166" t="e">
        <f>AND(Bills!H603,"AAAAAH2XP8I=")</f>
        <v>#VALUE!</v>
      </c>
      <c r="GN166" t="e">
        <f>AND(Bills!I603,"AAAAAH2XP8M=")</f>
        <v>#VALUE!</v>
      </c>
      <c r="GO166" t="e">
        <f>AND(Bills!J603,"AAAAAH2XP8Q=")</f>
        <v>#VALUE!</v>
      </c>
      <c r="GP166" t="e">
        <f>AND(Bills!#REF!,"AAAAAH2XP8U=")</f>
        <v>#REF!</v>
      </c>
      <c r="GQ166" t="e">
        <f>AND(Bills!K603,"AAAAAH2XP8Y=")</f>
        <v>#VALUE!</v>
      </c>
      <c r="GR166" t="e">
        <f>AND(Bills!L603,"AAAAAH2XP8c=")</f>
        <v>#VALUE!</v>
      </c>
      <c r="GS166" t="e">
        <f>AND(Bills!M603,"AAAAAH2XP8g=")</f>
        <v>#VALUE!</v>
      </c>
      <c r="GT166" t="e">
        <f>AND(Bills!N603,"AAAAAH2XP8k=")</f>
        <v>#VALUE!</v>
      </c>
      <c r="GU166" t="e">
        <f>AND(Bills!O603,"AAAAAH2XP8o=")</f>
        <v>#VALUE!</v>
      </c>
      <c r="GV166" t="e">
        <f>AND(Bills!P603,"AAAAAH2XP8s=")</f>
        <v>#VALUE!</v>
      </c>
      <c r="GW166" t="e">
        <f>AND(Bills!Q603,"AAAAAH2XP8w=")</f>
        <v>#VALUE!</v>
      </c>
      <c r="GX166" t="e">
        <f>AND(Bills!R603,"AAAAAH2XP80=")</f>
        <v>#VALUE!</v>
      </c>
      <c r="GY166" t="e">
        <f>AND(Bills!#REF!,"AAAAAH2XP84=")</f>
        <v>#REF!</v>
      </c>
      <c r="GZ166" t="e">
        <f>AND(Bills!S603,"AAAAAH2XP88=")</f>
        <v>#VALUE!</v>
      </c>
      <c r="HA166" t="e">
        <f>AND(Bills!T603,"AAAAAH2XP9A=")</f>
        <v>#VALUE!</v>
      </c>
      <c r="HB166" t="e">
        <f>AND(Bills!U603,"AAAAAH2XP9E=")</f>
        <v>#VALUE!</v>
      </c>
      <c r="HC166" t="e">
        <f>AND(Bills!#REF!,"AAAAAH2XP9I=")</f>
        <v>#REF!</v>
      </c>
      <c r="HD166" t="e">
        <f>AND(Bills!#REF!,"AAAAAH2XP9M=")</f>
        <v>#REF!</v>
      </c>
      <c r="HE166" t="e">
        <f>AND(Bills!W603,"AAAAAH2XP9Q=")</f>
        <v>#VALUE!</v>
      </c>
      <c r="HF166" t="e">
        <f>AND(Bills!X603,"AAAAAH2XP9U=")</f>
        <v>#VALUE!</v>
      </c>
      <c r="HG166" t="e">
        <f>AND(Bills!#REF!,"AAAAAH2XP9Y=")</f>
        <v>#REF!</v>
      </c>
      <c r="HH166" t="e">
        <f>AND(Bills!#REF!,"AAAAAH2XP9c=")</f>
        <v>#REF!</v>
      </c>
      <c r="HI166" t="e">
        <f>AND(Bills!#REF!,"AAAAAH2XP9g=")</f>
        <v>#REF!</v>
      </c>
      <c r="HJ166" t="e">
        <f>AND(Bills!#REF!,"AAAAAH2XP9k=")</f>
        <v>#REF!</v>
      </c>
      <c r="HK166" t="e">
        <f>AND(Bills!#REF!,"AAAAAH2XP9o=")</f>
        <v>#REF!</v>
      </c>
      <c r="HL166" t="e">
        <f>AND(Bills!#REF!,"AAAAAH2XP9s=")</f>
        <v>#REF!</v>
      </c>
      <c r="HM166" t="e">
        <f>AND(Bills!#REF!,"AAAAAH2XP9w=")</f>
        <v>#REF!</v>
      </c>
      <c r="HN166" t="e">
        <f>AND(Bills!#REF!,"AAAAAH2XP90=")</f>
        <v>#REF!</v>
      </c>
      <c r="HO166" t="e">
        <f>AND(Bills!#REF!,"AAAAAH2XP94=")</f>
        <v>#REF!</v>
      </c>
      <c r="HP166" t="e">
        <f>AND(Bills!Y603,"AAAAAH2XP98=")</f>
        <v>#VALUE!</v>
      </c>
      <c r="HQ166" t="e">
        <f>AND(Bills!Z603,"AAAAAH2XP+A=")</f>
        <v>#VALUE!</v>
      </c>
      <c r="HR166" t="e">
        <f>AND(Bills!#REF!,"AAAAAH2XP+E=")</f>
        <v>#REF!</v>
      </c>
      <c r="HS166" t="e">
        <f>AND(Bills!#REF!,"AAAAAH2XP+I=")</f>
        <v>#REF!</v>
      </c>
      <c r="HT166" t="e">
        <f>AND(Bills!#REF!,"AAAAAH2XP+M=")</f>
        <v>#REF!</v>
      </c>
      <c r="HU166" t="e">
        <f>AND(Bills!AA603,"AAAAAH2XP+Q=")</f>
        <v>#VALUE!</v>
      </c>
      <c r="HV166" t="e">
        <f>AND(Bills!AB603,"AAAAAH2XP+U=")</f>
        <v>#VALUE!</v>
      </c>
      <c r="HW166" t="e">
        <f>AND(Bills!#REF!,"AAAAAH2XP+Y=")</f>
        <v>#REF!</v>
      </c>
      <c r="HX166">
        <f>IF(Bills!604:604,"AAAAAH2XP+c=",0)</f>
        <v>0</v>
      </c>
      <c r="HY166" t="e">
        <f>AND(Bills!B604,"AAAAAH2XP+g=")</f>
        <v>#VALUE!</v>
      </c>
      <c r="HZ166" t="e">
        <f>AND(Bills!#REF!,"AAAAAH2XP+k=")</f>
        <v>#REF!</v>
      </c>
      <c r="IA166" t="e">
        <f>AND(Bills!C604,"AAAAAH2XP+o=")</f>
        <v>#VALUE!</v>
      </c>
      <c r="IB166" t="e">
        <f>AND(Bills!#REF!,"AAAAAH2XP+s=")</f>
        <v>#REF!</v>
      </c>
      <c r="IC166" t="e">
        <f>AND(Bills!#REF!,"AAAAAH2XP+w=")</f>
        <v>#REF!</v>
      </c>
      <c r="ID166" t="e">
        <f>AND(Bills!#REF!,"AAAAAH2XP+0=")</f>
        <v>#REF!</v>
      </c>
      <c r="IE166" t="e">
        <f>AND(Bills!#REF!,"AAAAAH2XP+4=")</f>
        <v>#REF!</v>
      </c>
      <c r="IF166" t="e">
        <f>AND(Bills!#REF!,"AAAAAH2XP+8=")</f>
        <v>#REF!</v>
      </c>
      <c r="IG166" t="e">
        <f>AND(Bills!D604,"AAAAAH2XP/A=")</f>
        <v>#VALUE!</v>
      </c>
      <c r="IH166" t="e">
        <f>AND(Bills!#REF!,"AAAAAH2XP/E=")</f>
        <v>#REF!</v>
      </c>
      <c r="II166" t="e">
        <f>AND(Bills!E604,"AAAAAH2XP/I=")</f>
        <v>#VALUE!</v>
      </c>
      <c r="IJ166" t="e">
        <f>AND(Bills!F604,"AAAAAH2XP/M=")</f>
        <v>#VALUE!</v>
      </c>
      <c r="IK166" t="e">
        <f>AND(Bills!G604,"AAAAAH2XP/Q=")</f>
        <v>#VALUE!</v>
      </c>
      <c r="IL166" t="e">
        <f>AND(Bills!H604,"AAAAAH2XP/U=")</f>
        <v>#VALUE!</v>
      </c>
      <c r="IM166" t="e">
        <f>AND(Bills!I604,"AAAAAH2XP/Y=")</f>
        <v>#VALUE!</v>
      </c>
      <c r="IN166" t="e">
        <f>AND(Bills!J604,"AAAAAH2XP/c=")</f>
        <v>#VALUE!</v>
      </c>
      <c r="IO166" t="e">
        <f>AND(Bills!#REF!,"AAAAAH2XP/g=")</f>
        <v>#REF!</v>
      </c>
      <c r="IP166" t="e">
        <f>AND(Bills!K604,"AAAAAH2XP/k=")</f>
        <v>#VALUE!</v>
      </c>
      <c r="IQ166" t="e">
        <f>AND(Bills!L604,"AAAAAH2XP/o=")</f>
        <v>#VALUE!</v>
      </c>
      <c r="IR166" t="e">
        <f>AND(Bills!M604,"AAAAAH2XP/s=")</f>
        <v>#VALUE!</v>
      </c>
      <c r="IS166" t="e">
        <f>AND(Bills!N604,"AAAAAH2XP/w=")</f>
        <v>#VALUE!</v>
      </c>
      <c r="IT166" t="e">
        <f>AND(Bills!O604,"AAAAAH2XP/0=")</f>
        <v>#VALUE!</v>
      </c>
      <c r="IU166" t="e">
        <f>AND(Bills!P604,"AAAAAH2XP/4=")</f>
        <v>#VALUE!</v>
      </c>
      <c r="IV166" t="e">
        <f>AND(Bills!Q604,"AAAAAH2XP/8=")</f>
        <v>#VALUE!</v>
      </c>
    </row>
    <row r="167" spans="1:256">
      <c r="A167" t="e">
        <f>AND(Bills!R604,"AAAAAH/egwA=")</f>
        <v>#VALUE!</v>
      </c>
      <c r="B167" t="e">
        <f>AND(Bills!#REF!,"AAAAAH/egwE=")</f>
        <v>#REF!</v>
      </c>
      <c r="C167" t="e">
        <f>AND(Bills!S604,"AAAAAH/egwI=")</f>
        <v>#VALUE!</v>
      </c>
      <c r="D167" t="e">
        <f>AND(Bills!T604,"AAAAAH/egwM=")</f>
        <v>#VALUE!</v>
      </c>
      <c r="E167" t="e">
        <f>AND(Bills!U604,"AAAAAH/egwQ=")</f>
        <v>#VALUE!</v>
      </c>
      <c r="F167" t="e">
        <f>AND(Bills!#REF!,"AAAAAH/egwU=")</f>
        <v>#REF!</v>
      </c>
      <c r="G167" t="e">
        <f>AND(Bills!#REF!,"AAAAAH/egwY=")</f>
        <v>#REF!</v>
      </c>
      <c r="H167" t="e">
        <f>AND(Bills!W604,"AAAAAH/egwc=")</f>
        <v>#VALUE!</v>
      </c>
      <c r="I167" t="e">
        <f>AND(Bills!X604,"AAAAAH/egwg=")</f>
        <v>#VALUE!</v>
      </c>
      <c r="J167" t="e">
        <f>AND(Bills!#REF!,"AAAAAH/egwk=")</f>
        <v>#REF!</v>
      </c>
      <c r="K167" t="e">
        <f>AND(Bills!#REF!,"AAAAAH/egwo=")</f>
        <v>#REF!</v>
      </c>
      <c r="L167" t="e">
        <f>AND(Bills!#REF!,"AAAAAH/egws=")</f>
        <v>#REF!</v>
      </c>
      <c r="M167" t="e">
        <f>AND(Bills!#REF!,"AAAAAH/egww=")</f>
        <v>#REF!</v>
      </c>
      <c r="N167" t="e">
        <f>AND(Bills!#REF!,"AAAAAH/egw0=")</f>
        <v>#REF!</v>
      </c>
      <c r="O167" t="e">
        <f>AND(Bills!#REF!,"AAAAAH/egw4=")</f>
        <v>#REF!</v>
      </c>
      <c r="P167" t="e">
        <f>AND(Bills!#REF!,"AAAAAH/egw8=")</f>
        <v>#REF!</v>
      </c>
      <c r="Q167" t="e">
        <f>AND(Bills!#REF!,"AAAAAH/egxA=")</f>
        <v>#REF!</v>
      </c>
      <c r="R167" t="e">
        <f>AND(Bills!#REF!,"AAAAAH/egxE=")</f>
        <v>#REF!</v>
      </c>
      <c r="S167" t="e">
        <f>AND(Bills!Y604,"AAAAAH/egxI=")</f>
        <v>#VALUE!</v>
      </c>
      <c r="T167" t="e">
        <f>AND(Bills!Z604,"AAAAAH/egxM=")</f>
        <v>#VALUE!</v>
      </c>
      <c r="U167" t="e">
        <f>AND(Bills!#REF!,"AAAAAH/egxQ=")</f>
        <v>#REF!</v>
      </c>
      <c r="V167" t="e">
        <f>AND(Bills!#REF!,"AAAAAH/egxU=")</f>
        <v>#REF!</v>
      </c>
      <c r="W167" t="e">
        <f>AND(Bills!#REF!,"AAAAAH/egxY=")</f>
        <v>#REF!</v>
      </c>
      <c r="X167" t="e">
        <f>AND(Bills!AA604,"AAAAAH/egxc=")</f>
        <v>#VALUE!</v>
      </c>
      <c r="Y167" t="e">
        <f>AND(Bills!AB604,"AAAAAH/egxg=")</f>
        <v>#VALUE!</v>
      </c>
      <c r="Z167" t="e">
        <f>AND(Bills!#REF!,"AAAAAH/egxk=")</f>
        <v>#REF!</v>
      </c>
      <c r="AA167">
        <f>IF(Bills!605:605,"AAAAAH/egxo=",0)</f>
        <v>0</v>
      </c>
      <c r="AB167" t="e">
        <f>AND(Bills!B605,"AAAAAH/egxs=")</f>
        <v>#VALUE!</v>
      </c>
      <c r="AC167" t="e">
        <f>AND(Bills!#REF!,"AAAAAH/egxw=")</f>
        <v>#REF!</v>
      </c>
      <c r="AD167" t="e">
        <f>AND(Bills!C605,"AAAAAH/egx0=")</f>
        <v>#VALUE!</v>
      </c>
      <c r="AE167" t="e">
        <f>AND(Bills!#REF!,"AAAAAH/egx4=")</f>
        <v>#REF!</v>
      </c>
      <c r="AF167" t="e">
        <f>AND(Bills!#REF!,"AAAAAH/egx8=")</f>
        <v>#REF!</v>
      </c>
      <c r="AG167" t="e">
        <f>AND(Bills!#REF!,"AAAAAH/egyA=")</f>
        <v>#REF!</v>
      </c>
      <c r="AH167" t="e">
        <f>AND(Bills!#REF!,"AAAAAH/egyE=")</f>
        <v>#REF!</v>
      </c>
      <c r="AI167" t="e">
        <f>AND(Bills!#REF!,"AAAAAH/egyI=")</f>
        <v>#REF!</v>
      </c>
      <c r="AJ167" t="e">
        <f>AND(Bills!D605,"AAAAAH/egyM=")</f>
        <v>#VALUE!</v>
      </c>
      <c r="AK167" t="e">
        <f>AND(Bills!#REF!,"AAAAAH/egyQ=")</f>
        <v>#REF!</v>
      </c>
      <c r="AL167" t="e">
        <f>AND(Bills!E605,"AAAAAH/egyU=")</f>
        <v>#VALUE!</v>
      </c>
      <c r="AM167" t="e">
        <f>AND(Bills!F605,"AAAAAH/egyY=")</f>
        <v>#VALUE!</v>
      </c>
      <c r="AN167" t="e">
        <f>AND(Bills!G605,"AAAAAH/egyc=")</f>
        <v>#VALUE!</v>
      </c>
      <c r="AO167" t="e">
        <f>AND(Bills!H605,"AAAAAH/egyg=")</f>
        <v>#VALUE!</v>
      </c>
      <c r="AP167" t="e">
        <f>AND(Bills!I605,"AAAAAH/egyk=")</f>
        <v>#VALUE!</v>
      </c>
      <c r="AQ167" t="e">
        <f>AND(Bills!J605,"AAAAAH/egyo=")</f>
        <v>#VALUE!</v>
      </c>
      <c r="AR167" t="e">
        <f>AND(Bills!#REF!,"AAAAAH/egys=")</f>
        <v>#REF!</v>
      </c>
      <c r="AS167" t="e">
        <f>AND(Bills!K605,"AAAAAH/egyw=")</f>
        <v>#VALUE!</v>
      </c>
      <c r="AT167" t="e">
        <f>AND(Bills!L605,"AAAAAH/egy0=")</f>
        <v>#VALUE!</v>
      </c>
      <c r="AU167" t="e">
        <f>AND(Bills!M605,"AAAAAH/egy4=")</f>
        <v>#VALUE!</v>
      </c>
      <c r="AV167" t="e">
        <f>AND(Bills!N605,"AAAAAH/egy8=")</f>
        <v>#VALUE!</v>
      </c>
      <c r="AW167" t="e">
        <f>AND(Bills!O605,"AAAAAH/egzA=")</f>
        <v>#VALUE!</v>
      </c>
      <c r="AX167" t="e">
        <f>AND(Bills!P605,"AAAAAH/egzE=")</f>
        <v>#VALUE!</v>
      </c>
      <c r="AY167" t="e">
        <f>AND(Bills!Q605,"AAAAAH/egzI=")</f>
        <v>#VALUE!</v>
      </c>
      <c r="AZ167" t="e">
        <f>AND(Bills!R605,"AAAAAH/egzM=")</f>
        <v>#VALUE!</v>
      </c>
      <c r="BA167" t="e">
        <f>AND(Bills!#REF!,"AAAAAH/egzQ=")</f>
        <v>#REF!</v>
      </c>
      <c r="BB167" t="e">
        <f>AND(Bills!S605,"AAAAAH/egzU=")</f>
        <v>#VALUE!</v>
      </c>
      <c r="BC167" t="e">
        <f>AND(Bills!T605,"AAAAAH/egzY=")</f>
        <v>#VALUE!</v>
      </c>
      <c r="BD167" t="e">
        <f>AND(Bills!U605,"AAAAAH/egzc=")</f>
        <v>#VALUE!</v>
      </c>
      <c r="BE167" t="e">
        <f>AND(Bills!#REF!,"AAAAAH/egzg=")</f>
        <v>#REF!</v>
      </c>
      <c r="BF167" t="e">
        <f>AND(Bills!#REF!,"AAAAAH/egzk=")</f>
        <v>#REF!</v>
      </c>
      <c r="BG167" t="e">
        <f>AND(Bills!W605,"AAAAAH/egzo=")</f>
        <v>#VALUE!</v>
      </c>
      <c r="BH167" t="e">
        <f>AND(Bills!X605,"AAAAAH/egzs=")</f>
        <v>#VALUE!</v>
      </c>
      <c r="BI167" t="e">
        <f>AND(Bills!#REF!,"AAAAAH/egzw=")</f>
        <v>#REF!</v>
      </c>
      <c r="BJ167" t="e">
        <f>AND(Bills!#REF!,"AAAAAH/egz0=")</f>
        <v>#REF!</v>
      </c>
      <c r="BK167" t="e">
        <f>AND(Bills!#REF!,"AAAAAH/egz4=")</f>
        <v>#REF!</v>
      </c>
      <c r="BL167" t="e">
        <f>AND(Bills!#REF!,"AAAAAH/egz8=")</f>
        <v>#REF!</v>
      </c>
      <c r="BM167" t="e">
        <f>AND(Bills!#REF!,"AAAAAH/eg0A=")</f>
        <v>#REF!</v>
      </c>
      <c r="BN167" t="e">
        <f>AND(Bills!#REF!,"AAAAAH/eg0E=")</f>
        <v>#REF!</v>
      </c>
      <c r="BO167" t="e">
        <f>AND(Bills!#REF!,"AAAAAH/eg0I=")</f>
        <v>#REF!</v>
      </c>
      <c r="BP167" t="e">
        <f>AND(Bills!#REF!,"AAAAAH/eg0M=")</f>
        <v>#REF!</v>
      </c>
      <c r="BQ167" t="e">
        <f>AND(Bills!#REF!,"AAAAAH/eg0Q=")</f>
        <v>#REF!</v>
      </c>
      <c r="BR167" t="e">
        <f>AND(Bills!Y605,"AAAAAH/eg0U=")</f>
        <v>#VALUE!</v>
      </c>
      <c r="BS167" t="e">
        <f>AND(Bills!Z605,"AAAAAH/eg0Y=")</f>
        <v>#VALUE!</v>
      </c>
      <c r="BT167" t="e">
        <f>AND(Bills!#REF!,"AAAAAH/eg0c=")</f>
        <v>#REF!</v>
      </c>
      <c r="BU167" t="e">
        <f>AND(Bills!#REF!,"AAAAAH/eg0g=")</f>
        <v>#REF!</v>
      </c>
      <c r="BV167" t="e">
        <f>AND(Bills!#REF!,"AAAAAH/eg0k=")</f>
        <v>#REF!</v>
      </c>
      <c r="BW167" t="e">
        <f>AND(Bills!AA605,"AAAAAH/eg0o=")</f>
        <v>#VALUE!</v>
      </c>
      <c r="BX167" t="e">
        <f>AND(Bills!AB605,"AAAAAH/eg0s=")</f>
        <v>#VALUE!</v>
      </c>
      <c r="BY167" t="e">
        <f>AND(Bills!#REF!,"AAAAAH/eg0w=")</f>
        <v>#REF!</v>
      </c>
      <c r="BZ167">
        <f>IF(Bills!606:606,"AAAAAH/eg00=",0)</f>
        <v>0</v>
      </c>
      <c r="CA167" t="e">
        <f>AND(Bills!B606,"AAAAAH/eg04=")</f>
        <v>#VALUE!</v>
      </c>
      <c r="CB167" t="e">
        <f>AND(Bills!#REF!,"AAAAAH/eg08=")</f>
        <v>#REF!</v>
      </c>
      <c r="CC167" t="e">
        <f>AND(Bills!C606,"AAAAAH/eg1A=")</f>
        <v>#VALUE!</v>
      </c>
      <c r="CD167" t="e">
        <f>AND(Bills!#REF!,"AAAAAH/eg1E=")</f>
        <v>#REF!</v>
      </c>
      <c r="CE167" t="e">
        <f>AND(Bills!#REF!,"AAAAAH/eg1I=")</f>
        <v>#REF!</v>
      </c>
      <c r="CF167" t="e">
        <f>AND(Bills!#REF!,"AAAAAH/eg1M=")</f>
        <v>#REF!</v>
      </c>
      <c r="CG167" t="e">
        <f>AND(Bills!#REF!,"AAAAAH/eg1Q=")</f>
        <v>#REF!</v>
      </c>
      <c r="CH167" t="e">
        <f>AND(Bills!#REF!,"AAAAAH/eg1U=")</f>
        <v>#REF!</v>
      </c>
      <c r="CI167" t="e">
        <f>AND(Bills!D606,"AAAAAH/eg1Y=")</f>
        <v>#VALUE!</v>
      </c>
      <c r="CJ167" t="e">
        <f>AND(Bills!#REF!,"AAAAAH/eg1c=")</f>
        <v>#REF!</v>
      </c>
      <c r="CK167" t="e">
        <f>AND(Bills!E606,"AAAAAH/eg1g=")</f>
        <v>#VALUE!</v>
      </c>
      <c r="CL167" t="e">
        <f>AND(Bills!F606,"AAAAAH/eg1k=")</f>
        <v>#VALUE!</v>
      </c>
      <c r="CM167" t="e">
        <f>AND(Bills!G606,"AAAAAH/eg1o=")</f>
        <v>#VALUE!</v>
      </c>
      <c r="CN167" t="e">
        <f>AND(Bills!H606,"AAAAAH/eg1s=")</f>
        <v>#VALUE!</v>
      </c>
      <c r="CO167" t="e">
        <f>AND(Bills!I606,"AAAAAH/eg1w=")</f>
        <v>#VALUE!</v>
      </c>
      <c r="CP167" t="e">
        <f>AND(Bills!J606,"AAAAAH/eg10=")</f>
        <v>#VALUE!</v>
      </c>
      <c r="CQ167" t="e">
        <f>AND(Bills!#REF!,"AAAAAH/eg14=")</f>
        <v>#REF!</v>
      </c>
      <c r="CR167" t="e">
        <f>AND(Bills!K606,"AAAAAH/eg18=")</f>
        <v>#VALUE!</v>
      </c>
      <c r="CS167" t="e">
        <f>AND(Bills!L606,"AAAAAH/eg2A=")</f>
        <v>#VALUE!</v>
      </c>
      <c r="CT167" t="e">
        <f>AND(Bills!M606,"AAAAAH/eg2E=")</f>
        <v>#VALUE!</v>
      </c>
      <c r="CU167" t="e">
        <f>AND(Bills!N606,"AAAAAH/eg2I=")</f>
        <v>#VALUE!</v>
      </c>
      <c r="CV167" t="e">
        <f>AND(Bills!O606,"AAAAAH/eg2M=")</f>
        <v>#VALUE!</v>
      </c>
      <c r="CW167" t="e">
        <f>AND(Bills!P606,"AAAAAH/eg2Q=")</f>
        <v>#VALUE!</v>
      </c>
      <c r="CX167" t="e">
        <f>AND(Bills!Q606,"AAAAAH/eg2U=")</f>
        <v>#VALUE!</v>
      </c>
      <c r="CY167" t="e">
        <f>AND(Bills!R606,"AAAAAH/eg2Y=")</f>
        <v>#VALUE!</v>
      </c>
      <c r="CZ167" t="e">
        <f>AND(Bills!#REF!,"AAAAAH/eg2c=")</f>
        <v>#REF!</v>
      </c>
      <c r="DA167" t="e">
        <f>AND(Bills!S606,"AAAAAH/eg2g=")</f>
        <v>#VALUE!</v>
      </c>
      <c r="DB167" t="e">
        <f>AND(Bills!T606,"AAAAAH/eg2k=")</f>
        <v>#VALUE!</v>
      </c>
      <c r="DC167" t="e">
        <f>AND(Bills!U606,"AAAAAH/eg2o=")</f>
        <v>#VALUE!</v>
      </c>
      <c r="DD167" t="e">
        <f>AND(Bills!#REF!,"AAAAAH/eg2s=")</f>
        <v>#REF!</v>
      </c>
      <c r="DE167" t="e">
        <f>AND(Bills!#REF!,"AAAAAH/eg2w=")</f>
        <v>#REF!</v>
      </c>
      <c r="DF167" t="e">
        <f>AND(Bills!W606,"AAAAAH/eg20=")</f>
        <v>#VALUE!</v>
      </c>
      <c r="DG167" t="e">
        <f>AND(Bills!X606,"AAAAAH/eg24=")</f>
        <v>#VALUE!</v>
      </c>
      <c r="DH167" t="e">
        <f>AND(Bills!#REF!,"AAAAAH/eg28=")</f>
        <v>#REF!</v>
      </c>
      <c r="DI167" t="e">
        <f>AND(Bills!#REF!,"AAAAAH/eg3A=")</f>
        <v>#REF!</v>
      </c>
      <c r="DJ167" t="e">
        <f>AND(Bills!#REF!,"AAAAAH/eg3E=")</f>
        <v>#REF!</v>
      </c>
      <c r="DK167" t="e">
        <f>AND(Bills!#REF!,"AAAAAH/eg3I=")</f>
        <v>#REF!</v>
      </c>
      <c r="DL167" t="e">
        <f>AND(Bills!#REF!,"AAAAAH/eg3M=")</f>
        <v>#REF!</v>
      </c>
      <c r="DM167" t="e">
        <f>AND(Bills!#REF!,"AAAAAH/eg3Q=")</f>
        <v>#REF!</v>
      </c>
      <c r="DN167" t="e">
        <f>AND(Bills!#REF!,"AAAAAH/eg3U=")</f>
        <v>#REF!</v>
      </c>
      <c r="DO167" t="e">
        <f>AND(Bills!#REF!,"AAAAAH/eg3Y=")</f>
        <v>#REF!</v>
      </c>
      <c r="DP167" t="e">
        <f>AND(Bills!#REF!,"AAAAAH/eg3c=")</f>
        <v>#REF!</v>
      </c>
      <c r="DQ167" t="e">
        <f>AND(Bills!Y606,"AAAAAH/eg3g=")</f>
        <v>#VALUE!</v>
      </c>
      <c r="DR167" t="e">
        <f>AND(Bills!Z606,"AAAAAH/eg3k=")</f>
        <v>#VALUE!</v>
      </c>
      <c r="DS167" t="e">
        <f>AND(Bills!#REF!,"AAAAAH/eg3o=")</f>
        <v>#REF!</v>
      </c>
      <c r="DT167" t="e">
        <f>AND(Bills!#REF!,"AAAAAH/eg3s=")</f>
        <v>#REF!</v>
      </c>
      <c r="DU167" t="e">
        <f>AND(Bills!#REF!,"AAAAAH/eg3w=")</f>
        <v>#REF!</v>
      </c>
      <c r="DV167" t="e">
        <f>AND(Bills!AA606,"AAAAAH/eg30=")</f>
        <v>#VALUE!</v>
      </c>
      <c r="DW167" t="e">
        <f>AND(Bills!AB606,"AAAAAH/eg34=")</f>
        <v>#VALUE!</v>
      </c>
      <c r="DX167" t="e">
        <f>AND(Bills!#REF!,"AAAAAH/eg38=")</f>
        <v>#REF!</v>
      </c>
      <c r="DY167">
        <f>IF(Bills!607:607,"AAAAAH/eg4A=",0)</f>
        <v>0</v>
      </c>
      <c r="DZ167" t="e">
        <f>AND(Bills!B607,"AAAAAH/eg4E=")</f>
        <v>#VALUE!</v>
      </c>
      <c r="EA167" t="e">
        <f>AND(Bills!#REF!,"AAAAAH/eg4I=")</f>
        <v>#REF!</v>
      </c>
      <c r="EB167" t="e">
        <f>AND(Bills!C607,"AAAAAH/eg4M=")</f>
        <v>#VALUE!</v>
      </c>
      <c r="EC167" t="e">
        <f>AND(Bills!#REF!,"AAAAAH/eg4Q=")</f>
        <v>#REF!</v>
      </c>
      <c r="ED167" t="e">
        <f>AND(Bills!#REF!,"AAAAAH/eg4U=")</f>
        <v>#REF!</v>
      </c>
      <c r="EE167" t="e">
        <f>AND(Bills!#REF!,"AAAAAH/eg4Y=")</f>
        <v>#REF!</v>
      </c>
      <c r="EF167" t="e">
        <f>AND(Bills!#REF!,"AAAAAH/eg4c=")</f>
        <v>#REF!</v>
      </c>
      <c r="EG167" t="e">
        <f>AND(Bills!#REF!,"AAAAAH/eg4g=")</f>
        <v>#REF!</v>
      </c>
      <c r="EH167" t="e">
        <f>AND(Bills!D607,"AAAAAH/eg4k=")</f>
        <v>#VALUE!</v>
      </c>
      <c r="EI167" t="e">
        <f>AND(Bills!#REF!,"AAAAAH/eg4o=")</f>
        <v>#REF!</v>
      </c>
      <c r="EJ167" t="e">
        <f>AND(Bills!E607,"AAAAAH/eg4s=")</f>
        <v>#VALUE!</v>
      </c>
      <c r="EK167" t="e">
        <f>AND(Bills!F607,"AAAAAH/eg4w=")</f>
        <v>#VALUE!</v>
      </c>
      <c r="EL167" t="e">
        <f>AND(Bills!G607,"AAAAAH/eg40=")</f>
        <v>#VALUE!</v>
      </c>
      <c r="EM167" t="e">
        <f>AND(Bills!H607,"AAAAAH/eg44=")</f>
        <v>#VALUE!</v>
      </c>
      <c r="EN167" t="e">
        <f>AND(Bills!I607,"AAAAAH/eg48=")</f>
        <v>#VALUE!</v>
      </c>
      <c r="EO167" t="e">
        <f>AND(Bills!J607,"AAAAAH/eg5A=")</f>
        <v>#VALUE!</v>
      </c>
      <c r="EP167" t="e">
        <f>AND(Bills!#REF!,"AAAAAH/eg5E=")</f>
        <v>#REF!</v>
      </c>
      <c r="EQ167" t="e">
        <f>AND(Bills!K607,"AAAAAH/eg5I=")</f>
        <v>#VALUE!</v>
      </c>
      <c r="ER167" t="e">
        <f>AND(Bills!L607,"AAAAAH/eg5M=")</f>
        <v>#VALUE!</v>
      </c>
      <c r="ES167" t="e">
        <f>AND(Bills!M607,"AAAAAH/eg5Q=")</f>
        <v>#VALUE!</v>
      </c>
      <c r="ET167" t="e">
        <f>AND(Bills!N607,"AAAAAH/eg5U=")</f>
        <v>#VALUE!</v>
      </c>
      <c r="EU167" t="e">
        <f>AND(Bills!O607,"AAAAAH/eg5Y=")</f>
        <v>#VALUE!</v>
      </c>
      <c r="EV167" t="e">
        <f>AND(Bills!P607,"AAAAAH/eg5c=")</f>
        <v>#VALUE!</v>
      </c>
      <c r="EW167" t="e">
        <f>AND(Bills!Q607,"AAAAAH/eg5g=")</f>
        <v>#VALUE!</v>
      </c>
      <c r="EX167" t="e">
        <f>AND(Bills!R607,"AAAAAH/eg5k=")</f>
        <v>#VALUE!</v>
      </c>
      <c r="EY167" t="e">
        <f>AND(Bills!#REF!,"AAAAAH/eg5o=")</f>
        <v>#REF!</v>
      </c>
      <c r="EZ167" t="e">
        <f>AND(Bills!S607,"AAAAAH/eg5s=")</f>
        <v>#VALUE!</v>
      </c>
      <c r="FA167" t="e">
        <f>AND(Bills!T607,"AAAAAH/eg5w=")</f>
        <v>#VALUE!</v>
      </c>
      <c r="FB167" t="e">
        <f>AND(Bills!U607,"AAAAAH/eg50=")</f>
        <v>#VALUE!</v>
      </c>
      <c r="FC167" t="e">
        <f>AND(Bills!#REF!,"AAAAAH/eg54=")</f>
        <v>#REF!</v>
      </c>
      <c r="FD167" t="e">
        <f>AND(Bills!#REF!,"AAAAAH/eg58=")</f>
        <v>#REF!</v>
      </c>
      <c r="FE167" t="e">
        <f>AND(Bills!W607,"AAAAAH/eg6A=")</f>
        <v>#VALUE!</v>
      </c>
      <c r="FF167" t="e">
        <f>AND(Bills!X607,"AAAAAH/eg6E=")</f>
        <v>#VALUE!</v>
      </c>
      <c r="FG167" t="e">
        <f>AND(Bills!#REF!,"AAAAAH/eg6I=")</f>
        <v>#REF!</v>
      </c>
      <c r="FH167" t="e">
        <f>AND(Bills!#REF!,"AAAAAH/eg6M=")</f>
        <v>#REF!</v>
      </c>
      <c r="FI167" t="e">
        <f>AND(Bills!#REF!,"AAAAAH/eg6Q=")</f>
        <v>#REF!</v>
      </c>
      <c r="FJ167" t="e">
        <f>AND(Bills!#REF!,"AAAAAH/eg6U=")</f>
        <v>#REF!</v>
      </c>
      <c r="FK167" t="e">
        <f>AND(Bills!#REF!,"AAAAAH/eg6Y=")</f>
        <v>#REF!</v>
      </c>
      <c r="FL167" t="e">
        <f>AND(Bills!#REF!,"AAAAAH/eg6c=")</f>
        <v>#REF!</v>
      </c>
      <c r="FM167" t="e">
        <f>AND(Bills!#REF!,"AAAAAH/eg6g=")</f>
        <v>#REF!</v>
      </c>
      <c r="FN167" t="e">
        <f>AND(Bills!#REF!,"AAAAAH/eg6k=")</f>
        <v>#REF!</v>
      </c>
      <c r="FO167" t="e">
        <f>AND(Bills!#REF!,"AAAAAH/eg6o=")</f>
        <v>#REF!</v>
      </c>
      <c r="FP167" t="e">
        <f>AND(Bills!Y607,"AAAAAH/eg6s=")</f>
        <v>#VALUE!</v>
      </c>
      <c r="FQ167" t="e">
        <f>AND(Bills!Z607,"AAAAAH/eg6w=")</f>
        <v>#VALUE!</v>
      </c>
      <c r="FR167" t="e">
        <f>AND(Bills!#REF!,"AAAAAH/eg60=")</f>
        <v>#REF!</v>
      </c>
      <c r="FS167" t="e">
        <f>AND(Bills!#REF!,"AAAAAH/eg64=")</f>
        <v>#REF!</v>
      </c>
      <c r="FT167" t="e">
        <f>AND(Bills!#REF!,"AAAAAH/eg68=")</f>
        <v>#REF!</v>
      </c>
      <c r="FU167" t="e">
        <f>AND(Bills!AA607,"AAAAAH/eg7A=")</f>
        <v>#VALUE!</v>
      </c>
      <c r="FV167" t="e">
        <f>AND(Bills!AB607,"AAAAAH/eg7E=")</f>
        <v>#VALUE!</v>
      </c>
      <c r="FW167" t="e">
        <f>AND(Bills!#REF!,"AAAAAH/eg7I=")</f>
        <v>#REF!</v>
      </c>
      <c r="FX167">
        <f>IF(Bills!608:608,"AAAAAH/eg7M=",0)</f>
        <v>0</v>
      </c>
      <c r="FY167" t="e">
        <f>AND(Bills!B608,"AAAAAH/eg7Q=")</f>
        <v>#VALUE!</v>
      </c>
      <c r="FZ167" t="e">
        <f>AND(Bills!#REF!,"AAAAAH/eg7U=")</f>
        <v>#REF!</v>
      </c>
      <c r="GA167" t="e">
        <f>AND(Bills!C608,"AAAAAH/eg7Y=")</f>
        <v>#VALUE!</v>
      </c>
      <c r="GB167" t="e">
        <f>AND(Bills!#REF!,"AAAAAH/eg7c=")</f>
        <v>#REF!</v>
      </c>
      <c r="GC167" t="e">
        <f>AND(Bills!#REF!,"AAAAAH/eg7g=")</f>
        <v>#REF!</v>
      </c>
      <c r="GD167" t="e">
        <f>AND(Bills!#REF!,"AAAAAH/eg7k=")</f>
        <v>#REF!</v>
      </c>
      <c r="GE167" t="e">
        <f>AND(Bills!#REF!,"AAAAAH/eg7o=")</f>
        <v>#REF!</v>
      </c>
      <c r="GF167" t="e">
        <f>AND(Bills!#REF!,"AAAAAH/eg7s=")</f>
        <v>#REF!</v>
      </c>
      <c r="GG167" t="e">
        <f>AND(Bills!D608,"AAAAAH/eg7w=")</f>
        <v>#VALUE!</v>
      </c>
      <c r="GH167" t="e">
        <f>AND(Bills!#REF!,"AAAAAH/eg70=")</f>
        <v>#REF!</v>
      </c>
      <c r="GI167" t="e">
        <f>AND(Bills!E608,"AAAAAH/eg74=")</f>
        <v>#VALUE!</v>
      </c>
      <c r="GJ167" t="e">
        <f>AND(Bills!F608,"AAAAAH/eg78=")</f>
        <v>#VALUE!</v>
      </c>
      <c r="GK167" t="e">
        <f>AND(Bills!G608,"AAAAAH/eg8A=")</f>
        <v>#VALUE!</v>
      </c>
      <c r="GL167" t="e">
        <f>AND(Bills!H608,"AAAAAH/eg8E=")</f>
        <v>#VALUE!</v>
      </c>
      <c r="GM167" t="e">
        <f>AND(Bills!I608,"AAAAAH/eg8I=")</f>
        <v>#VALUE!</v>
      </c>
      <c r="GN167" t="e">
        <f>AND(Bills!J608,"AAAAAH/eg8M=")</f>
        <v>#VALUE!</v>
      </c>
      <c r="GO167" t="e">
        <f>AND(Bills!#REF!,"AAAAAH/eg8Q=")</f>
        <v>#REF!</v>
      </c>
      <c r="GP167" t="e">
        <f>AND(Bills!K608,"AAAAAH/eg8U=")</f>
        <v>#VALUE!</v>
      </c>
      <c r="GQ167" t="e">
        <f>AND(Bills!L608,"AAAAAH/eg8Y=")</f>
        <v>#VALUE!</v>
      </c>
      <c r="GR167" t="e">
        <f>AND(Bills!M608,"AAAAAH/eg8c=")</f>
        <v>#VALUE!</v>
      </c>
      <c r="GS167" t="e">
        <f>AND(Bills!N608,"AAAAAH/eg8g=")</f>
        <v>#VALUE!</v>
      </c>
      <c r="GT167" t="e">
        <f>AND(Bills!O608,"AAAAAH/eg8k=")</f>
        <v>#VALUE!</v>
      </c>
      <c r="GU167" t="e">
        <f>AND(Bills!P608,"AAAAAH/eg8o=")</f>
        <v>#VALUE!</v>
      </c>
      <c r="GV167" t="e">
        <f>AND(Bills!Q608,"AAAAAH/eg8s=")</f>
        <v>#VALUE!</v>
      </c>
      <c r="GW167" t="e">
        <f>AND(Bills!R608,"AAAAAH/eg8w=")</f>
        <v>#VALUE!</v>
      </c>
      <c r="GX167" t="e">
        <f>AND(Bills!#REF!,"AAAAAH/eg80=")</f>
        <v>#REF!</v>
      </c>
      <c r="GY167" t="e">
        <f>AND(Bills!S608,"AAAAAH/eg84=")</f>
        <v>#VALUE!</v>
      </c>
      <c r="GZ167" t="e">
        <f>AND(Bills!T608,"AAAAAH/eg88=")</f>
        <v>#VALUE!</v>
      </c>
      <c r="HA167" t="e">
        <f>AND(Bills!U608,"AAAAAH/eg9A=")</f>
        <v>#VALUE!</v>
      </c>
      <c r="HB167" t="e">
        <f>AND(Bills!#REF!,"AAAAAH/eg9E=")</f>
        <v>#REF!</v>
      </c>
      <c r="HC167" t="e">
        <f>AND(Bills!#REF!,"AAAAAH/eg9I=")</f>
        <v>#REF!</v>
      </c>
      <c r="HD167" t="e">
        <f>AND(Bills!W608,"AAAAAH/eg9M=")</f>
        <v>#VALUE!</v>
      </c>
      <c r="HE167" t="e">
        <f>AND(Bills!X608,"AAAAAH/eg9Q=")</f>
        <v>#VALUE!</v>
      </c>
      <c r="HF167" t="e">
        <f>AND(Bills!#REF!,"AAAAAH/eg9U=")</f>
        <v>#REF!</v>
      </c>
      <c r="HG167" t="e">
        <f>AND(Bills!#REF!,"AAAAAH/eg9Y=")</f>
        <v>#REF!</v>
      </c>
      <c r="HH167" t="e">
        <f>AND(Bills!#REF!,"AAAAAH/eg9c=")</f>
        <v>#REF!</v>
      </c>
      <c r="HI167" t="e">
        <f>AND(Bills!#REF!,"AAAAAH/eg9g=")</f>
        <v>#REF!</v>
      </c>
      <c r="HJ167" t="e">
        <f>AND(Bills!#REF!,"AAAAAH/eg9k=")</f>
        <v>#REF!</v>
      </c>
      <c r="HK167" t="e">
        <f>AND(Bills!#REF!,"AAAAAH/eg9o=")</f>
        <v>#REF!</v>
      </c>
      <c r="HL167" t="e">
        <f>AND(Bills!#REF!,"AAAAAH/eg9s=")</f>
        <v>#REF!</v>
      </c>
      <c r="HM167" t="e">
        <f>AND(Bills!#REF!,"AAAAAH/eg9w=")</f>
        <v>#REF!</v>
      </c>
      <c r="HN167" t="e">
        <f>AND(Bills!#REF!,"AAAAAH/eg90=")</f>
        <v>#REF!</v>
      </c>
      <c r="HO167" t="e">
        <f>AND(Bills!Y608,"AAAAAH/eg94=")</f>
        <v>#VALUE!</v>
      </c>
      <c r="HP167" t="e">
        <f>AND(Bills!Z608,"AAAAAH/eg98=")</f>
        <v>#VALUE!</v>
      </c>
      <c r="HQ167" t="e">
        <f>AND(Bills!#REF!,"AAAAAH/eg+A=")</f>
        <v>#REF!</v>
      </c>
      <c r="HR167" t="e">
        <f>AND(Bills!#REF!,"AAAAAH/eg+E=")</f>
        <v>#REF!</v>
      </c>
      <c r="HS167" t="e">
        <f>AND(Bills!#REF!,"AAAAAH/eg+I=")</f>
        <v>#REF!</v>
      </c>
      <c r="HT167" t="e">
        <f>AND(Bills!AA608,"AAAAAH/eg+M=")</f>
        <v>#VALUE!</v>
      </c>
      <c r="HU167" t="e">
        <f>AND(Bills!AB608,"AAAAAH/eg+Q=")</f>
        <v>#VALUE!</v>
      </c>
      <c r="HV167" t="e">
        <f>AND(Bills!#REF!,"AAAAAH/eg+U=")</f>
        <v>#REF!</v>
      </c>
      <c r="HW167">
        <f>IF(Bills!609:609,"AAAAAH/eg+Y=",0)</f>
        <v>0</v>
      </c>
      <c r="HX167" t="e">
        <f>AND(Bills!B609,"AAAAAH/eg+c=")</f>
        <v>#VALUE!</v>
      </c>
      <c r="HY167" t="e">
        <f>AND(Bills!#REF!,"AAAAAH/eg+g=")</f>
        <v>#REF!</v>
      </c>
      <c r="HZ167" t="e">
        <f>AND(Bills!C609,"AAAAAH/eg+k=")</f>
        <v>#VALUE!</v>
      </c>
      <c r="IA167" t="e">
        <f>AND(Bills!#REF!,"AAAAAH/eg+o=")</f>
        <v>#REF!</v>
      </c>
      <c r="IB167" t="e">
        <f>AND(Bills!#REF!,"AAAAAH/eg+s=")</f>
        <v>#REF!</v>
      </c>
      <c r="IC167" t="e">
        <f>AND(Bills!#REF!,"AAAAAH/eg+w=")</f>
        <v>#REF!</v>
      </c>
      <c r="ID167" t="e">
        <f>AND(Bills!#REF!,"AAAAAH/eg+0=")</f>
        <v>#REF!</v>
      </c>
      <c r="IE167" t="e">
        <f>AND(Bills!#REF!,"AAAAAH/eg+4=")</f>
        <v>#REF!</v>
      </c>
      <c r="IF167" t="e">
        <f>AND(Bills!D609,"AAAAAH/eg+8=")</f>
        <v>#VALUE!</v>
      </c>
      <c r="IG167" t="e">
        <f>AND(Bills!#REF!,"AAAAAH/eg/A=")</f>
        <v>#REF!</v>
      </c>
      <c r="IH167" t="e">
        <f>AND(Bills!E609,"AAAAAH/eg/E=")</f>
        <v>#VALUE!</v>
      </c>
      <c r="II167" t="e">
        <f>AND(Bills!F609,"AAAAAH/eg/I=")</f>
        <v>#VALUE!</v>
      </c>
      <c r="IJ167" t="e">
        <f>AND(Bills!G609,"AAAAAH/eg/M=")</f>
        <v>#VALUE!</v>
      </c>
      <c r="IK167" t="e">
        <f>AND(Bills!H609,"AAAAAH/eg/Q=")</f>
        <v>#VALUE!</v>
      </c>
      <c r="IL167" t="e">
        <f>AND(Bills!I609,"AAAAAH/eg/U=")</f>
        <v>#VALUE!</v>
      </c>
      <c r="IM167" t="e">
        <f>AND(Bills!J609,"AAAAAH/eg/Y=")</f>
        <v>#VALUE!</v>
      </c>
      <c r="IN167" t="e">
        <f>AND(Bills!#REF!,"AAAAAH/eg/c=")</f>
        <v>#REF!</v>
      </c>
      <c r="IO167" t="e">
        <f>AND(Bills!K609,"AAAAAH/eg/g=")</f>
        <v>#VALUE!</v>
      </c>
      <c r="IP167" t="e">
        <f>AND(Bills!L609,"AAAAAH/eg/k=")</f>
        <v>#VALUE!</v>
      </c>
      <c r="IQ167" t="e">
        <f>AND(Bills!M609,"AAAAAH/eg/o=")</f>
        <v>#VALUE!</v>
      </c>
      <c r="IR167" t="e">
        <f>AND(Bills!N609,"AAAAAH/eg/s=")</f>
        <v>#VALUE!</v>
      </c>
      <c r="IS167" t="e">
        <f>AND(Bills!O609,"AAAAAH/eg/w=")</f>
        <v>#VALUE!</v>
      </c>
      <c r="IT167" t="e">
        <f>AND(Bills!P609,"AAAAAH/eg/0=")</f>
        <v>#VALUE!</v>
      </c>
      <c r="IU167" t="e">
        <f>AND(Bills!Q609,"AAAAAH/eg/4=")</f>
        <v>#VALUE!</v>
      </c>
      <c r="IV167" t="e">
        <f>AND(Bills!R609,"AAAAAH/eg/8=")</f>
        <v>#VALUE!</v>
      </c>
    </row>
    <row r="168" spans="1:256">
      <c r="A168" t="e">
        <f>AND(Bills!#REF!,"AAAAAA3v3wA=")</f>
        <v>#REF!</v>
      </c>
      <c r="B168" t="e">
        <f>AND(Bills!S609,"AAAAAA3v3wE=")</f>
        <v>#VALUE!</v>
      </c>
      <c r="C168" t="e">
        <f>AND(Bills!T609,"AAAAAA3v3wI=")</f>
        <v>#VALUE!</v>
      </c>
      <c r="D168" t="e">
        <f>AND(Bills!U609,"AAAAAA3v3wM=")</f>
        <v>#VALUE!</v>
      </c>
      <c r="E168" t="e">
        <f>AND(Bills!#REF!,"AAAAAA3v3wQ=")</f>
        <v>#REF!</v>
      </c>
      <c r="F168" t="e">
        <f>AND(Bills!#REF!,"AAAAAA3v3wU=")</f>
        <v>#REF!</v>
      </c>
      <c r="G168" t="e">
        <f>AND(Bills!W609,"AAAAAA3v3wY=")</f>
        <v>#VALUE!</v>
      </c>
      <c r="H168" t="e">
        <f>AND(Bills!X609,"AAAAAA3v3wc=")</f>
        <v>#VALUE!</v>
      </c>
      <c r="I168" t="e">
        <f>AND(Bills!#REF!,"AAAAAA3v3wg=")</f>
        <v>#REF!</v>
      </c>
      <c r="J168" t="e">
        <f>AND(Bills!#REF!,"AAAAAA3v3wk=")</f>
        <v>#REF!</v>
      </c>
      <c r="K168" t="e">
        <f>AND(Bills!#REF!,"AAAAAA3v3wo=")</f>
        <v>#REF!</v>
      </c>
      <c r="L168" t="e">
        <f>AND(Bills!#REF!,"AAAAAA3v3ws=")</f>
        <v>#REF!</v>
      </c>
      <c r="M168" t="e">
        <f>AND(Bills!#REF!,"AAAAAA3v3ww=")</f>
        <v>#REF!</v>
      </c>
      <c r="N168" t="e">
        <f>AND(Bills!#REF!,"AAAAAA3v3w0=")</f>
        <v>#REF!</v>
      </c>
      <c r="O168" t="e">
        <f>AND(Bills!#REF!,"AAAAAA3v3w4=")</f>
        <v>#REF!</v>
      </c>
      <c r="P168" t="e">
        <f>AND(Bills!#REF!,"AAAAAA3v3w8=")</f>
        <v>#REF!</v>
      </c>
      <c r="Q168" t="e">
        <f>AND(Bills!#REF!,"AAAAAA3v3xA=")</f>
        <v>#REF!</v>
      </c>
      <c r="R168" t="e">
        <f>AND(Bills!Y609,"AAAAAA3v3xE=")</f>
        <v>#VALUE!</v>
      </c>
      <c r="S168" t="e">
        <f>AND(Bills!Z609,"AAAAAA3v3xI=")</f>
        <v>#VALUE!</v>
      </c>
      <c r="T168" t="e">
        <f>AND(Bills!#REF!,"AAAAAA3v3xM=")</f>
        <v>#REF!</v>
      </c>
      <c r="U168" t="e">
        <f>AND(Bills!#REF!,"AAAAAA3v3xQ=")</f>
        <v>#REF!</v>
      </c>
      <c r="V168" t="e">
        <f>AND(Bills!#REF!,"AAAAAA3v3xU=")</f>
        <v>#REF!</v>
      </c>
      <c r="W168" t="e">
        <f>AND(Bills!AA609,"AAAAAA3v3xY=")</f>
        <v>#VALUE!</v>
      </c>
      <c r="X168" t="e">
        <f>AND(Bills!AB609,"AAAAAA3v3xc=")</f>
        <v>#VALUE!</v>
      </c>
      <c r="Y168" t="e">
        <f>AND(Bills!#REF!,"AAAAAA3v3xg=")</f>
        <v>#REF!</v>
      </c>
      <c r="Z168">
        <f>IF(Bills!610:610,"AAAAAA3v3xk=",0)</f>
        <v>0</v>
      </c>
      <c r="AA168" t="e">
        <f>AND(Bills!B610,"AAAAAA3v3xo=")</f>
        <v>#VALUE!</v>
      </c>
      <c r="AB168" t="e">
        <f>AND(Bills!#REF!,"AAAAAA3v3xs=")</f>
        <v>#REF!</v>
      </c>
      <c r="AC168" t="e">
        <f>AND(Bills!C610,"AAAAAA3v3xw=")</f>
        <v>#VALUE!</v>
      </c>
      <c r="AD168" t="e">
        <f>AND(Bills!#REF!,"AAAAAA3v3x0=")</f>
        <v>#REF!</v>
      </c>
      <c r="AE168" t="e">
        <f>AND(Bills!#REF!,"AAAAAA3v3x4=")</f>
        <v>#REF!</v>
      </c>
      <c r="AF168" t="e">
        <f>AND(Bills!#REF!,"AAAAAA3v3x8=")</f>
        <v>#REF!</v>
      </c>
      <c r="AG168" t="e">
        <f>AND(Bills!#REF!,"AAAAAA3v3yA=")</f>
        <v>#REF!</v>
      </c>
      <c r="AH168" t="e">
        <f>AND(Bills!#REF!,"AAAAAA3v3yE=")</f>
        <v>#REF!</v>
      </c>
      <c r="AI168" t="e">
        <f>AND(Bills!D610,"AAAAAA3v3yI=")</f>
        <v>#VALUE!</v>
      </c>
      <c r="AJ168" t="e">
        <f>AND(Bills!#REF!,"AAAAAA3v3yM=")</f>
        <v>#REF!</v>
      </c>
      <c r="AK168" t="e">
        <f>AND(Bills!E610,"AAAAAA3v3yQ=")</f>
        <v>#VALUE!</v>
      </c>
      <c r="AL168" t="e">
        <f>AND(Bills!F610,"AAAAAA3v3yU=")</f>
        <v>#VALUE!</v>
      </c>
      <c r="AM168" t="e">
        <f>AND(Bills!G610,"AAAAAA3v3yY=")</f>
        <v>#VALUE!</v>
      </c>
      <c r="AN168" t="e">
        <f>AND(Bills!H610,"AAAAAA3v3yc=")</f>
        <v>#VALUE!</v>
      </c>
      <c r="AO168" t="e">
        <f>AND(Bills!I610,"AAAAAA3v3yg=")</f>
        <v>#VALUE!</v>
      </c>
      <c r="AP168" t="e">
        <f>AND(Bills!J610,"AAAAAA3v3yk=")</f>
        <v>#VALUE!</v>
      </c>
      <c r="AQ168" t="e">
        <f>AND(Bills!#REF!,"AAAAAA3v3yo=")</f>
        <v>#REF!</v>
      </c>
      <c r="AR168" t="e">
        <f>AND(Bills!K610,"AAAAAA3v3ys=")</f>
        <v>#VALUE!</v>
      </c>
      <c r="AS168" t="e">
        <f>AND(Bills!L610,"AAAAAA3v3yw=")</f>
        <v>#VALUE!</v>
      </c>
      <c r="AT168" t="e">
        <f>AND(Bills!M610,"AAAAAA3v3y0=")</f>
        <v>#VALUE!</v>
      </c>
      <c r="AU168" t="e">
        <f>AND(Bills!N610,"AAAAAA3v3y4=")</f>
        <v>#VALUE!</v>
      </c>
      <c r="AV168" t="e">
        <f>AND(Bills!O610,"AAAAAA3v3y8=")</f>
        <v>#VALUE!</v>
      </c>
      <c r="AW168" t="e">
        <f>AND(Bills!P610,"AAAAAA3v3zA=")</f>
        <v>#VALUE!</v>
      </c>
      <c r="AX168" t="e">
        <f>AND(Bills!Q610,"AAAAAA3v3zE=")</f>
        <v>#VALUE!</v>
      </c>
      <c r="AY168" t="e">
        <f>AND(Bills!R610,"AAAAAA3v3zI=")</f>
        <v>#VALUE!</v>
      </c>
      <c r="AZ168" t="e">
        <f>AND(Bills!#REF!,"AAAAAA3v3zM=")</f>
        <v>#REF!</v>
      </c>
      <c r="BA168" t="e">
        <f>AND(Bills!S610,"AAAAAA3v3zQ=")</f>
        <v>#VALUE!</v>
      </c>
      <c r="BB168" t="e">
        <f>AND(Bills!T610,"AAAAAA3v3zU=")</f>
        <v>#VALUE!</v>
      </c>
      <c r="BC168" t="e">
        <f>AND(Bills!U610,"AAAAAA3v3zY=")</f>
        <v>#VALUE!</v>
      </c>
      <c r="BD168" t="e">
        <f>AND(Bills!#REF!,"AAAAAA3v3zc=")</f>
        <v>#REF!</v>
      </c>
      <c r="BE168" t="e">
        <f>AND(Bills!#REF!,"AAAAAA3v3zg=")</f>
        <v>#REF!</v>
      </c>
      <c r="BF168" t="e">
        <f>AND(Bills!W610,"AAAAAA3v3zk=")</f>
        <v>#VALUE!</v>
      </c>
      <c r="BG168" t="e">
        <f>AND(Bills!X610,"AAAAAA3v3zo=")</f>
        <v>#VALUE!</v>
      </c>
      <c r="BH168" t="e">
        <f>AND(Bills!#REF!,"AAAAAA3v3zs=")</f>
        <v>#REF!</v>
      </c>
      <c r="BI168" t="e">
        <f>AND(Bills!#REF!,"AAAAAA3v3zw=")</f>
        <v>#REF!</v>
      </c>
      <c r="BJ168" t="e">
        <f>AND(Bills!#REF!,"AAAAAA3v3z0=")</f>
        <v>#REF!</v>
      </c>
      <c r="BK168" t="e">
        <f>AND(Bills!#REF!,"AAAAAA3v3z4=")</f>
        <v>#REF!</v>
      </c>
      <c r="BL168" t="e">
        <f>AND(Bills!#REF!,"AAAAAA3v3z8=")</f>
        <v>#REF!</v>
      </c>
      <c r="BM168" t="e">
        <f>AND(Bills!#REF!,"AAAAAA3v30A=")</f>
        <v>#REF!</v>
      </c>
      <c r="BN168" t="e">
        <f>AND(Bills!#REF!,"AAAAAA3v30E=")</f>
        <v>#REF!</v>
      </c>
      <c r="BO168" t="e">
        <f>AND(Bills!#REF!,"AAAAAA3v30I=")</f>
        <v>#REF!</v>
      </c>
      <c r="BP168" t="e">
        <f>AND(Bills!#REF!,"AAAAAA3v30M=")</f>
        <v>#REF!</v>
      </c>
      <c r="BQ168" t="e">
        <f>AND(Bills!Y610,"AAAAAA3v30Q=")</f>
        <v>#VALUE!</v>
      </c>
      <c r="BR168" t="e">
        <f>AND(Bills!Z610,"AAAAAA3v30U=")</f>
        <v>#VALUE!</v>
      </c>
      <c r="BS168" t="e">
        <f>AND(Bills!#REF!,"AAAAAA3v30Y=")</f>
        <v>#REF!</v>
      </c>
      <c r="BT168" t="e">
        <f>AND(Bills!#REF!,"AAAAAA3v30c=")</f>
        <v>#REF!</v>
      </c>
      <c r="BU168" t="e">
        <f>AND(Bills!#REF!,"AAAAAA3v30g=")</f>
        <v>#REF!</v>
      </c>
      <c r="BV168" t="e">
        <f>AND(Bills!AA610,"AAAAAA3v30k=")</f>
        <v>#VALUE!</v>
      </c>
      <c r="BW168" t="e">
        <f>AND(Bills!AB610,"AAAAAA3v30o=")</f>
        <v>#VALUE!</v>
      </c>
      <c r="BX168" t="e">
        <f>AND(Bills!#REF!,"AAAAAA3v30s=")</f>
        <v>#REF!</v>
      </c>
      <c r="BY168">
        <f>IF(Bills!611:611,"AAAAAA3v30w=",0)</f>
        <v>0</v>
      </c>
      <c r="BZ168" t="e">
        <f>AND(Bills!B611,"AAAAAA3v300=")</f>
        <v>#VALUE!</v>
      </c>
      <c r="CA168" t="e">
        <f>AND(Bills!#REF!,"AAAAAA3v304=")</f>
        <v>#REF!</v>
      </c>
      <c r="CB168" t="e">
        <f>AND(Bills!C611,"AAAAAA3v308=")</f>
        <v>#VALUE!</v>
      </c>
      <c r="CC168" t="e">
        <f>AND(Bills!#REF!,"AAAAAA3v31A=")</f>
        <v>#REF!</v>
      </c>
      <c r="CD168" t="e">
        <f>AND(Bills!#REF!,"AAAAAA3v31E=")</f>
        <v>#REF!</v>
      </c>
      <c r="CE168" t="e">
        <f>AND(Bills!#REF!,"AAAAAA3v31I=")</f>
        <v>#REF!</v>
      </c>
      <c r="CF168" t="e">
        <f>AND(Bills!#REF!,"AAAAAA3v31M=")</f>
        <v>#REF!</v>
      </c>
      <c r="CG168" t="e">
        <f>AND(Bills!#REF!,"AAAAAA3v31Q=")</f>
        <v>#REF!</v>
      </c>
      <c r="CH168" t="e">
        <f>AND(Bills!D611,"AAAAAA3v31U=")</f>
        <v>#VALUE!</v>
      </c>
      <c r="CI168" t="e">
        <f>AND(Bills!#REF!,"AAAAAA3v31Y=")</f>
        <v>#REF!</v>
      </c>
      <c r="CJ168" t="e">
        <f>AND(Bills!E611,"AAAAAA3v31c=")</f>
        <v>#VALUE!</v>
      </c>
      <c r="CK168" t="e">
        <f>AND(Bills!F611,"AAAAAA3v31g=")</f>
        <v>#VALUE!</v>
      </c>
      <c r="CL168" t="e">
        <f>AND(Bills!G611,"AAAAAA3v31k=")</f>
        <v>#VALUE!</v>
      </c>
      <c r="CM168" t="e">
        <f>AND(Bills!H611,"AAAAAA3v31o=")</f>
        <v>#VALUE!</v>
      </c>
      <c r="CN168" t="e">
        <f>AND(Bills!I611,"AAAAAA3v31s=")</f>
        <v>#VALUE!</v>
      </c>
      <c r="CO168" t="e">
        <f>AND(Bills!J611,"AAAAAA3v31w=")</f>
        <v>#VALUE!</v>
      </c>
      <c r="CP168" t="e">
        <f>AND(Bills!#REF!,"AAAAAA3v310=")</f>
        <v>#REF!</v>
      </c>
      <c r="CQ168" t="e">
        <f>AND(Bills!K611,"AAAAAA3v314=")</f>
        <v>#VALUE!</v>
      </c>
      <c r="CR168" t="e">
        <f>AND(Bills!L611,"AAAAAA3v318=")</f>
        <v>#VALUE!</v>
      </c>
      <c r="CS168" t="e">
        <f>AND(Bills!M611,"AAAAAA3v32A=")</f>
        <v>#VALUE!</v>
      </c>
      <c r="CT168" t="e">
        <f>AND(Bills!N611,"AAAAAA3v32E=")</f>
        <v>#VALUE!</v>
      </c>
      <c r="CU168" t="e">
        <f>AND(Bills!O611,"AAAAAA3v32I=")</f>
        <v>#VALUE!</v>
      </c>
      <c r="CV168" t="e">
        <f>AND(Bills!P611,"AAAAAA3v32M=")</f>
        <v>#VALUE!</v>
      </c>
      <c r="CW168" t="e">
        <f>AND(Bills!Q611,"AAAAAA3v32Q=")</f>
        <v>#VALUE!</v>
      </c>
      <c r="CX168" t="e">
        <f>AND(Bills!R611,"AAAAAA3v32U=")</f>
        <v>#VALUE!</v>
      </c>
      <c r="CY168" t="e">
        <f>AND(Bills!#REF!,"AAAAAA3v32Y=")</f>
        <v>#REF!</v>
      </c>
      <c r="CZ168" t="e">
        <f>AND(Bills!S611,"AAAAAA3v32c=")</f>
        <v>#VALUE!</v>
      </c>
      <c r="DA168" t="e">
        <f>AND(Bills!T611,"AAAAAA3v32g=")</f>
        <v>#VALUE!</v>
      </c>
      <c r="DB168" t="e">
        <f>AND(Bills!U611,"AAAAAA3v32k=")</f>
        <v>#VALUE!</v>
      </c>
      <c r="DC168" t="e">
        <f>AND(Bills!#REF!,"AAAAAA3v32o=")</f>
        <v>#REF!</v>
      </c>
      <c r="DD168" t="e">
        <f>AND(Bills!#REF!,"AAAAAA3v32s=")</f>
        <v>#REF!</v>
      </c>
      <c r="DE168" t="e">
        <f>AND(Bills!W611,"AAAAAA3v32w=")</f>
        <v>#VALUE!</v>
      </c>
      <c r="DF168" t="e">
        <f>AND(Bills!X611,"AAAAAA3v320=")</f>
        <v>#VALUE!</v>
      </c>
      <c r="DG168" t="e">
        <f>AND(Bills!#REF!,"AAAAAA3v324=")</f>
        <v>#REF!</v>
      </c>
      <c r="DH168" t="e">
        <f>AND(Bills!#REF!,"AAAAAA3v328=")</f>
        <v>#REF!</v>
      </c>
      <c r="DI168" t="e">
        <f>AND(Bills!#REF!,"AAAAAA3v33A=")</f>
        <v>#REF!</v>
      </c>
      <c r="DJ168" t="e">
        <f>AND(Bills!#REF!,"AAAAAA3v33E=")</f>
        <v>#REF!</v>
      </c>
      <c r="DK168" t="e">
        <f>AND(Bills!#REF!,"AAAAAA3v33I=")</f>
        <v>#REF!</v>
      </c>
      <c r="DL168" t="e">
        <f>AND(Bills!#REF!,"AAAAAA3v33M=")</f>
        <v>#REF!</v>
      </c>
      <c r="DM168" t="e">
        <f>AND(Bills!#REF!,"AAAAAA3v33Q=")</f>
        <v>#REF!</v>
      </c>
      <c r="DN168" t="e">
        <f>AND(Bills!#REF!,"AAAAAA3v33U=")</f>
        <v>#REF!</v>
      </c>
      <c r="DO168" t="e">
        <f>AND(Bills!#REF!,"AAAAAA3v33Y=")</f>
        <v>#REF!</v>
      </c>
      <c r="DP168" t="e">
        <f>AND(Bills!Y611,"AAAAAA3v33c=")</f>
        <v>#VALUE!</v>
      </c>
      <c r="DQ168" t="e">
        <f>AND(Bills!Z611,"AAAAAA3v33g=")</f>
        <v>#VALUE!</v>
      </c>
      <c r="DR168" t="e">
        <f>AND(Bills!#REF!,"AAAAAA3v33k=")</f>
        <v>#REF!</v>
      </c>
      <c r="DS168" t="e">
        <f>AND(Bills!#REF!,"AAAAAA3v33o=")</f>
        <v>#REF!</v>
      </c>
      <c r="DT168" t="e">
        <f>AND(Bills!#REF!,"AAAAAA3v33s=")</f>
        <v>#REF!</v>
      </c>
      <c r="DU168" t="e">
        <f>AND(Bills!AA611,"AAAAAA3v33w=")</f>
        <v>#VALUE!</v>
      </c>
      <c r="DV168" t="e">
        <f>AND(Bills!AB611,"AAAAAA3v330=")</f>
        <v>#VALUE!</v>
      </c>
      <c r="DW168" t="e">
        <f>AND(Bills!#REF!,"AAAAAA3v334=")</f>
        <v>#REF!</v>
      </c>
      <c r="DX168">
        <f>IF(Bills!612:612,"AAAAAA3v338=",0)</f>
        <v>0</v>
      </c>
      <c r="DY168" t="e">
        <f>AND(Bills!B612,"AAAAAA3v34A=")</f>
        <v>#VALUE!</v>
      </c>
      <c r="DZ168" t="e">
        <f>AND(Bills!#REF!,"AAAAAA3v34E=")</f>
        <v>#REF!</v>
      </c>
      <c r="EA168" t="e">
        <f>AND(Bills!C612,"AAAAAA3v34I=")</f>
        <v>#VALUE!</v>
      </c>
      <c r="EB168" t="e">
        <f>AND(Bills!#REF!,"AAAAAA3v34M=")</f>
        <v>#REF!</v>
      </c>
      <c r="EC168" t="e">
        <f>AND(Bills!#REF!,"AAAAAA3v34Q=")</f>
        <v>#REF!</v>
      </c>
      <c r="ED168" t="e">
        <f>AND(Bills!#REF!,"AAAAAA3v34U=")</f>
        <v>#REF!</v>
      </c>
      <c r="EE168" t="e">
        <f>AND(Bills!#REF!,"AAAAAA3v34Y=")</f>
        <v>#REF!</v>
      </c>
      <c r="EF168" t="e">
        <f>AND(Bills!#REF!,"AAAAAA3v34c=")</f>
        <v>#REF!</v>
      </c>
      <c r="EG168" t="e">
        <f>AND(Bills!D612,"AAAAAA3v34g=")</f>
        <v>#VALUE!</v>
      </c>
      <c r="EH168" t="e">
        <f>AND(Bills!#REF!,"AAAAAA3v34k=")</f>
        <v>#REF!</v>
      </c>
      <c r="EI168" t="e">
        <f>AND(Bills!E612,"AAAAAA3v34o=")</f>
        <v>#VALUE!</v>
      </c>
      <c r="EJ168" t="e">
        <f>AND(Bills!F612,"AAAAAA3v34s=")</f>
        <v>#VALUE!</v>
      </c>
      <c r="EK168" t="e">
        <f>AND(Bills!G612,"AAAAAA3v34w=")</f>
        <v>#VALUE!</v>
      </c>
      <c r="EL168" t="e">
        <f>AND(Bills!H612,"AAAAAA3v340=")</f>
        <v>#VALUE!</v>
      </c>
      <c r="EM168" t="e">
        <f>AND(Bills!I612,"AAAAAA3v344=")</f>
        <v>#VALUE!</v>
      </c>
      <c r="EN168" t="e">
        <f>AND(Bills!J612,"AAAAAA3v348=")</f>
        <v>#VALUE!</v>
      </c>
      <c r="EO168" t="e">
        <f>AND(Bills!#REF!,"AAAAAA3v35A=")</f>
        <v>#REF!</v>
      </c>
      <c r="EP168" t="e">
        <f>AND(Bills!K612,"AAAAAA3v35E=")</f>
        <v>#VALUE!</v>
      </c>
      <c r="EQ168" t="e">
        <f>AND(Bills!L612,"AAAAAA3v35I=")</f>
        <v>#VALUE!</v>
      </c>
      <c r="ER168" t="e">
        <f>AND(Bills!M612,"AAAAAA3v35M=")</f>
        <v>#VALUE!</v>
      </c>
      <c r="ES168" t="e">
        <f>AND(Bills!N612,"AAAAAA3v35Q=")</f>
        <v>#VALUE!</v>
      </c>
      <c r="ET168" t="e">
        <f>AND(Bills!O612,"AAAAAA3v35U=")</f>
        <v>#VALUE!</v>
      </c>
      <c r="EU168" t="e">
        <f>AND(Bills!P612,"AAAAAA3v35Y=")</f>
        <v>#VALUE!</v>
      </c>
      <c r="EV168" t="e">
        <f>AND(Bills!Q612,"AAAAAA3v35c=")</f>
        <v>#VALUE!</v>
      </c>
      <c r="EW168" t="e">
        <f>AND(Bills!R612,"AAAAAA3v35g=")</f>
        <v>#VALUE!</v>
      </c>
      <c r="EX168" t="e">
        <f>AND(Bills!#REF!,"AAAAAA3v35k=")</f>
        <v>#REF!</v>
      </c>
      <c r="EY168" t="e">
        <f>AND(Bills!S612,"AAAAAA3v35o=")</f>
        <v>#VALUE!</v>
      </c>
      <c r="EZ168" t="e">
        <f>AND(Bills!T612,"AAAAAA3v35s=")</f>
        <v>#VALUE!</v>
      </c>
      <c r="FA168" t="e">
        <f>AND(Bills!U612,"AAAAAA3v35w=")</f>
        <v>#VALUE!</v>
      </c>
      <c r="FB168" t="e">
        <f>AND(Bills!#REF!,"AAAAAA3v350=")</f>
        <v>#REF!</v>
      </c>
      <c r="FC168" t="e">
        <f>AND(Bills!#REF!,"AAAAAA3v354=")</f>
        <v>#REF!</v>
      </c>
      <c r="FD168" t="e">
        <f>AND(Bills!W612,"AAAAAA3v358=")</f>
        <v>#VALUE!</v>
      </c>
      <c r="FE168" t="e">
        <f>AND(Bills!X612,"AAAAAA3v36A=")</f>
        <v>#VALUE!</v>
      </c>
      <c r="FF168" t="e">
        <f>AND(Bills!#REF!,"AAAAAA3v36E=")</f>
        <v>#REF!</v>
      </c>
      <c r="FG168" t="e">
        <f>AND(Bills!#REF!,"AAAAAA3v36I=")</f>
        <v>#REF!</v>
      </c>
      <c r="FH168" t="e">
        <f>AND(Bills!#REF!,"AAAAAA3v36M=")</f>
        <v>#REF!</v>
      </c>
      <c r="FI168" t="e">
        <f>AND(Bills!#REF!,"AAAAAA3v36Q=")</f>
        <v>#REF!</v>
      </c>
      <c r="FJ168" t="e">
        <f>AND(Bills!#REF!,"AAAAAA3v36U=")</f>
        <v>#REF!</v>
      </c>
      <c r="FK168" t="e">
        <f>AND(Bills!#REF!,"AAAAAA3v36Y=")</f>
        <v>#REF!</v>
      </c>
      <c r="FL168" t="e">
        <f>AND(Bills!#REF!,"AAAAAA3v36c=")</f>
        <v>#REF!</v>
      </c>
      <c r="FM168" t="e">
        <f>AND(Bills!#REF!,"AAAAAA3v36g=")</f>
        <v>#REF!</v>
      </c>
      <c r="FN168" t="e">
        <f>AND(Bills!#REF!,"AAAAAA3v36k=")</f>
        <v>#REF!</v>
      </c>
      <c r="FO168" t="e">
        <f>AND(Bills!Y612,"AAAAAA3v36o=")</f>
        <v>#VALUE!</v>
      </c>
      <c r="FP168" t="e">
        <f>AND(Bills!Z612,"AAAAAA3v36s=")</f>
        <v>#VALUE!</v>
      </c>
      <c r="FQ168" t="e">
        <f>AND(Bills!#REF!,"AAAAAA3v36w=")</f>
        <v>#REF!</v>
      </c>
      <c r="FR168" t="e">
        <f>AND(Bills!#REF!,"AAAAAA3v360=")</f>
        <v>#REF!</v>
      </c>
      <c r="FS168" t="e">
        <f>AND(Bills!#REF!,"AAAAAA3v364=")</f>
        <v>#REF!</v>
      </c>
      <c r="FT168" t="e">
        <f>AND(Bills!AA612,"AAAAAA3v368=")</f>
        <v>#VALUE!</v>
      </c>
      <c r="FU168" t="e">
        <f>AND(Bills!AB612,"AAAAAA3v37A=")</f>
        <v>#VALUE!</v>
      </c>
      <c r="FV168" t="e">
        <f>AND(Bills!#REF!,"AAAAAA3v37E=")</f>
        <v>#REF!</v>
      </c>
      <c r="FW168">
        <f>IF(Bills!613:613,"AAAAAA3v37I=",0)</f>
        <v>0</v>
      </c>
      <c r="FX168" t="e">
        <f>AND(Bills!B613,"AAAAAA3v37M=")</f>
        <v>#VALUE!</v>
      </c>
      <c r="FY168" t="e">
        <f>AND(Bills!#REF!,"AAAAAA3v37Q=")</f>
        <v>#REF!</v>
      </c>
      <c r="FZ168" t="e">
        <f>AND(Bills!C613,"AAAAAA3v37U=")</f>
        <v>#VALUE!</v>
      </c>
      <c r="GA168" t="e">
        <f>AND(Bills!#REF!,"AAAAAA3v37Y=")</f>
        <v>#REF!</v>
      </c>
      <c r="GB168" t="e">
        <f>AND(Bills!#REF!,"AAAAAA3v37c=")</f>
        <v>#REF!</v>
      </c>
      <c r="GC168" t="e">
        <f>AND(Bills!#REF!,"AAAAAA3v37g=")</f>
        <v>#REF!</v>
      </c>
      <c r="GD168" t="e">
        <f>AND(Bills!#REF!,"AAAAAA3v37k=")</f>
        <v>#REF!</v>
      </c>
      <c r="GE168" t="e">
        <f>AND(Bills!#REF!,"AAAAAA3v37o=")</f>
        <v>#REF!</v>
      </c>
      <c r="GF168" t="e">
        <f>AND(Bills!D613,"AAAAAA3v37s=")</f>
        <v>#VALUE!</v>
      </c>
      <c r="GG168" t="e">
        <f>AND(Bills!#REF!,"AAAAAA3v37w=")</f>
        <v>#REF!</v>
      </c>
      <c r="GH168" t="e">
        <f>AND(Bills!E613,"AAAAAA3v370=")</f>
        <v>#VALUE!</v>
      </c>
      <c r="GI168" t="e">
        <f>AND(Bills!F613,"AAAAAA3v374=")</f>
        <v>#VALUE!</v>
      </c>
      <c r="GJ168" t="e">
        <f>AND(Bills!G613,"AAAAAA3v378=")</f>
        <v>#VALUE!</v>
      </c>
      <c r="GK168" t="e">
        <f>AND(Bills!H613,"AAAAAA3v38A=")</f>
        <v>#VALUE!</v>
      </c>
      <c r="GL168" t="e">
        <f>AND(Bills!I613,"AAAAAA3v38E=")</f>
        <v>#VALUE!</v>
      </c>
      <c r="GM168" t="e">
        <f>AND(Bills!J613,"AAAAAA3v38I=")</f>
        <v>#VALUE!</v>
      </c>
      <c r="GN168" t="e">
        <f>AND(Bills!#REF!,"AAAAAA3v38M=")</f>
        <v>#REF!</v>
      </c>
      <c r="GO168" t="e">
        <f>AND(Bills!K613,"AAAAAA3v38Q=")</f>
        <v>#VALUE!</v>
      </c>
      <c r="GP168" t="e">
        <f>AND(Bills!L613,"AAAAAA3v38U=")</f>
        <v>#VALUE!</v>
      </c>
      <c r="GQ168" t="e">
        <f>AND(Bills!M613,"AAAAAA3v38Y=")</f>
        <v>#VALUE!</v>
      </c>
      <c r="GR168" t="e">
        <f>AND(Bills!N613,"AAAAAA3v38c=")</f>
        <v>#VALUE!</v>
      </c>
      <c r="GS168" t="e">
        <f>AND(Bills!O613,"AAAAAA3v38g=")</f>
        <v>#VALUE!</v>
      </c>
      <c r="GT168" t="e">
        <f>AND(Bills!P613,"AAAAAA3v38k=")</f>
        <v>#VALUE!</v>
      </c>
      <c r="GU168" t="e">
        <f>AND(Bills!Q613,"AAAAAA3v38o=")</f>
        <v>#VALUE!</v>
      </c>
      <c r="GV168" t="e">
        <f>AND(Bills!R613,"AAAAAA3v38s=")</f>
        <v>#VALUE!</v>
      </c>
      <c r="GW168" t="e">
        <f>AND(Bills!#REF!,"AAAAAA3v38w=")</f>
        <v>#REF!</v>
      </c>
      <c r="GX168" t="e">
        <f>AND(Bills!S613,"AAAAAA3v380=")</f>
        <v>#VALUE!</v>
      </c>
      <c r="GY168" t="e">
        <f>AND(Bills!T613,"AAAAAA3v384=")</f>
        <v>#VALUE!</v>
      </c>
      <c r="GZ168" t="e">
        <f>AND(Bills!U613,"AAAAAA3v388=")</f>
        <v>#VALUE!</v>
      </c>
      <c r="HA168" t="e">
        <f>AND(Bills!#REF!,"AAAAAA3v39A=")</f>
        <v>#REF!</v>
      </c>
      <c r="HB168" t="e">
        <f>AND(Bills!#REF!,"AAAAAA3v39E=")</f>
        <v>#REF!</v>
      </c>
      <c r="HC168" t="e">
        <f>AND(Bills!W613,"AAAAAA3v39I=")</f>
        <v>#VALUE!</v>
      </c>
      <c r="HD168" t="e">
        <f>AND(Bills!X613,"AAAAAA3v39M=")</f>
        <v>#VALUE!</v>
      </c>
      <c r="HE168" t="e">
        <f>AND(Bills!#REF!,"AAAAAA3v39Q=")</f>
        <v>#REF!</v>
      </c>
      <c r="HF168" t="e">
        <f>AND(Bills!#REF!,"AAAAAA3v39U=")</f>
        <v>#REF!</v>
      </c>
      <c r="HG168" t="e">
        <f>AND(Bills!#REF!,"AAAAAA3v39Y=")</f>
        <v>#REF!</v>
      </c>
      <c r="HH168" t="e">
        <f>AND(Bills!#REF!,"AAAAAA3v39c=")</f>
        <v>#REF!</v>
      </c>
      <c r="HI168" t="e">
        <f>AND(Bills!#REF!,"AAAAAA3v39g=")</f>
        <v>#REF!</v>
      </c>
      <c r="HJ168" t="e">
        <f>AND(Bills!#REF!,"AAAAAA3v39k=")</f>
        <v>#REF!</v>
      </c>
      <c r="HK168" t="e">
        <f>AND(Bills!#REF!,"AAAAAA3v39o=")</f>
        <v>#REF!</v>
      </c>
      <c r="HL168" t="e">
        <f>AND(Bills!#REF!,"AAAAAA3v39s=")</f>
        <v>#REF!</v>
      </c>
      <c r="HM168" t="e">
        <f>AND(Bills!#REF!,"AAAAAA3v39w=")</f>
        <v>#REF!</v>
      </c>
      <c r="HN168" t="e">
        <f>AND(Bills!Y613,"AAAAAA3v390=")</f>
        <v>#VALUE!</v>
      </c>
      <c r="HO168" t="e">
        <f>AND(Bills!Z613,"AAAAAA3v394=")</f>
        <v>#VALUE!</v>
      </c>
      <c r="HP168" t="e">
        <f>AND(Bills!#REF!,"AAAAAA3v398=")</f>
        <v>#REF!</v>
      </c>
      <c r="HQ168" t="e">
        <f>AND(Bills!#REF!,"AAAAAA3v3+A=")</f>
        <v>#REF!</v>
      </c>
      <c r="HR168" t="e">
        <f>AND(Bills!#REF!,"AAAAAA3v3+E=")</f>
        <v>#REF!</v>
      </c>
      <c r="HS168" t="e">
        <f>AND(Bills!AA613,"AAAAAA3v3+I=")</f>
        <v>#VALUE!</v>
      </c>
      <c r="HT168" t="e">
        <f>AND(Bills!AB613,"AAAAAA3v3+M=")</f>
        <v>#VALUE!</v>
      </c>
      <c r="HU168" t="e">
        <f>AND(Bills!#REF!,"AAAAAA3v3+Q=")</f>
        <v>#REF!</v>
      </c>
      <c r="HV168">
        <f>IF(Bills!614:614,"AAAAAA3v3+U=",0)</f>
        <v>0</v>
      </c>
      <c r="HW168" t="e">
        <f>AND(Bills!B614,"AAAAAA3v3+Y=")</f>
        <v>#VALUE!</v>
      </c>
      <c r="HX168" t="e">
        <f>AND(Bills!#REF!,"AAAAAA3v3+c=")</f>
        <v>#REF!</v>
      </c>
      <c r="HY168" t="e">
        <f>AND(Bills!C614,"AAAAAA3v3+g=")</f>
        <v>#VALUE!</v>
      </c>
      <c r="HZ168" t="e">
        <f>AND(Bills!#REF!,"AAAAAA3v3+k=")</f>
        <v>#REF!</v>
      </c>
      <c r="IA168" t="e">
        <f>AND(Bills!#REF!,"AAAAAA3v3+o=")</f>
        <v>#REF!</v>
      </c>
      <c r="IB168" t="e">
        <f>AND(Bills!#REF!,"AAAAAA3v3+s=")</f>
        <v>#REF!</v>
      </c>
      <c r="IC168" t="e">
        <f>AND(Bills!#REF!,"AAAAAA3v3+w=")</f>
        <v>#REF!</v>
      </c>
      <c r="ID168" t="e">
        <f>AND(Bills!#REF!,"AAAAAA3v3+0=")</f>
        <v>#REF!</v>
      </c>
      <c r="IE168" t="e">
        <f>AND(Bills!D614,"AAAAAA3v3+4=")</f>
        <v>#VALUE!</v>
      </c>
      <c r="IF168" t="e">
        <f>AND(Bills!#REF!,"AAAAAA3v3+8=")</f>
        <v>#REF!</v>
      </c>
      <c r="IG168" t="e">
        <f>AND(Bills!E614,"AAAAAA3v3/A=")</f>
        <v>#VALUE!</v>
      </c>
      <c r="IH168" t="e">
        <f>AND(Bills!F614,"AAAAAA3v3/E=")</f>
        <v>#VALUE!</v>
      </c>
      <c r="II168" t="e">
        <f>AND(Bills!G614,"AAAAAA3v3/I=")</f>
        <v>#VALUE!</v>
      </c>
      <c r="IJ168" t="e">
        <f>AND(Bills!H614,"AAAAAA3v3/M=")</f>
        <v>#VALUE!</v>
      </c>
      <c r="IK168" t="e">
        <f>AND(Bills!I614,"AAAAAA3v3/Q=")</f>
        <v>#VALUE!</v>
      </c>
      <c r="IL168" t="e">
        <f>AND(Bills!J614,"AAAAAA3v3/U=")</f>
        <v>#VALUE!</v>
      </c>
      <c r="IM168" t="e">
        <f>AND(Bills!#REF!,"AAAAAA3v3/Y=")</f>
        <v>#REF!</v>
      </c>
      <c r="IN168" t="e">
        <f>AND(Bills!K614,"AAAAAA3v3/c=")</f>
        <v>#VALUE!</v>
      </c>
      <c r="IO168" t="e">
        <f>AND(Bills!L614,"AAAAAA3v3/g=")</f>
        <v>#VALUE!</v>
      </c>
      <c r="IP168" t="e">
        <f>AND(Bills!M614,"AAAAAA3v3/k=")</f>
        <v>#VALUE!</v>
      </c>
      <c r="IQ168" t="e">
        <f>AND(Bills!N614,"AAAAAA3v3/o=")</f>
        <v>#VALUE!</v>
      </c>
      <c r="IR168" t="e">
        <f>AND(Bills!O614,"AAAAAA3v3/s=")</f>
        <v>#VALUE!</v>
      </c>
      <c r="IS168" t="e">
        <f>AND(Bills!P614,"AAAAAA3v3/w=")</f>
        <v>#VALUE!</v>
      </c>
      <c r="IT168" t="e">
        <f>AND(Bills!Q614,"AAAAAA3v3/0=")</f>
        <v>#VALUE!</v>
      </c>
      <c r="IU168" t="e">
        <f>AND(Bills!R614,"AAAAAA3v3/4=")</f>
        <v>#VALUE!</v>
      </c>
      <c r="IV168" t="e">
        <f>AND(Bills!#REF!,"AAAAAA3v3/8=")</f>
        <v>#REF!</v>
      </c>
    </row>
    <row r="169" spans="1:256">
      <c r="A169" t="e">
        <f>AND(Bills!S614,"AAAAAD9uuwA=")</f>
        <v>#VALUE!</v>
      </c>
      <c r="B169" t="e">
        <f>AND(Bills!T614,"AAAAAD9uuwE=")</f>
        <v>#VALUE!</v>
      </c>
      <c r="C169" t="e">
        <f>AND(Bills!U614,"AAAAAD9uuwI=")</f>
        <v>#VALUE!</v>
      </c>
      <c r="D169" t="e">
        <f>AND(Bills!#REF!,"AAAAAD9uuwM=")</f>
        <v>#REF!</v>
      </c>
      <c r="E169" t="e">
        <f>AND(Bills!#REF!,"AAAAAD9uuwQ=")</f>
        <v>#REF!</v>
      </c>
      <c r="F169" t="e">
        <f>AND(Bills!W614,"AAAAAD9uuwU=")</f>
        <v>#VALUE!</v>
      </c>
      <c r="G169" t="e">
        <f>AND(Bills!X614,"AAAAAD9uuwY=")</f>
        <v>#VALUE!</v>
      </c>
      <c r="H169" t="e">
        <f>AND(Bills!#REF!,"AAAAAD9uuwc=")</f>
        <v>#REF!</v>
      </c>
      <c r="I169" t="e">
        <f>AND(Bills!#REF!,"AAAAAD9uuwg=")</f>
        <v>#REF!</v>
      </c>
      <c r="J169" t="e">
        <f>AND(Bills!#REF!,"AAAAAD9uuwk=")</f>
        <v>#REF!</v>
      </c>
      <c r="K169" t="e">
        <f>AND(Bills!#REF!,"AAAAAD9uuwo=")</f>
        <v>#REF!</v>
      </c>
      <c r="L169" t="e">
        <f>AND(Bills!#REF!,"AAAAAD9uuws=")</f>
        <v>#REF!</v>
      </c>
      <c r="M169" t="e">
        <f>AND(Bills!#REF!,"AAAAAD9uuww=")</f>
        <v>#REF!</v>
      </c>
      <c r="N169" t="e">
        <f>AND(Bills!#REF!,"AAAAAD9uuw0=")</f>
        <v>#REF!</v>
      </c>
      <c r="O169" t="e">
        <f>AND(Bills!#REF!,"AAAAAD9uuw4=")</f>
        <v>#REF!</v>
      </c>
      <c r="P169" t="e">
        <f>AND(Bills!#REF!,"AAAAAD9uuw8=")</f>
        <v>#REF!</v>
      </c>
      <c r="Q169" t="e">
        <f>AND(Bills!Y614,"AAAAAD9uuxA=")</f>
        <v>#VALUE!</v>
      </c>
      <c r="R169" t="e">
        <f>AND(Bills!Z614,"AAAAAD9uuxE=")</f>
        <v>#VALUE!</v>
      </c>
      <c r="S169" t="e">
        <f>AND(Bills!#REF!,"AAAAAD9uuxI=")</f>
        <v>#REF!</v>
      </c>
      <c r="T169" t="e">
        <f>AND(Bills!#REF!,"AAAAAD9uuxM=")</f>
        <v>#REF!</v>
      </c>
      <c r="U169" t="e">
        <f>AND(Bills!#REF!,"AAAAAD9uuxQ=")</f>
        <v>#REF!</v>
      </c>
      <c r="V169" t="e">
        <f>AND(Bills!AA614,"AAAAAD9uuxU=")</f>
        <v>#VALUE!</v>
      </c>
      <c r="W169" t="e">
        <f>AND(Bills!AB614,"AAAAAD9uuxY=")</f>
        <v>#VALUE!</v>
      </c>
      <c r="X169" t="e">
        <f>AND(Bills!#REF!,"AAAAAD9uuxc=")</f>
        <v>#REF!</v>
      </c>
      <c r="Y169">
        <f>IF(Bills!615:615,"AAAAAD9uuxg=",0)</f>
        <v>0</v>
      </c>
      <c r="Z169" t="e">
        <f>AND(Bills!B615,"AAAAAD9uuxk=")</f>
        <v>#VALUE!</v>
      </c>
      <c r="AA169" t="e">
        <f>AND(Bills!#REF!,"AAAAAD9uuxo=")</f>
        <v>#REF!</v>
      </c>
      <c r="AB169" t="e">
        <f>AND(Bills!C615,"AAAAAD9uuxs=")</f>
        <v>#VALUE!</v>
      </c>
      <c r="AC169" t="e">
        <f>AND(Bills!#REF!,"AAAAAD9uuxw=")</f>
        <v>#REF!</v>
      </c>
      <c r="AD169" t="e">
        <f>AND(Bills!#REF!,"AAAAAD9uux0=")</f>
        <v>#REF!</v>
      </c>
      <c r="AE169" t="e">
        <f>AND(Bills!#REF!,"AAAAAD9uux4=")</f>
        <v>#REF!</v>
      </c>
      <c r="AF169" t="e">
        <f>AND(Bills!#REF!,"AAAAAD9uux8=")</f>
        <v>#REF!</v>
      </c>
      <c r="AG169" t="e">
        <f>AND(Bills!#REF!,"AAAAAD9uuyA=")</f>
        <v>#REF!</v>
      </c>
      <c r="AH169" t="e">
        <f>AND(Bills!D615,"AAAAAD9uuyE=")</f>
        <v>#VALUE!</v>
      </c>
      <c r="AI169" t="e">
        <f>AND(Bills!#REF!,"AAAAAD9uuyI=")</f>
        <v>#REF!</v>
      </c>
      <c r="AJ169" t="e">
        <f>AND(Bills!E615,"AAAAAD9uuyM=")</f>
        <v>#VALUE!</v>
      </c>
      <c r="AK169" t="e">
        <f>AND(Bills!F615,"AAAAAD9uuyQ=")</f>
        <v>#VALUE!</v>
      </c>
      <c r="AL169" t="e">
        <f>AND(Bills!G615,"AAAAAD9uuyU=")</f>
        <v>#VALUE!</v>
      </c>
      <c r="AM169" t="e">
        <f>AND(Bills!H615,"AAAAAD9uuyY=")</f>
        <v>#VALUE!</v>
      </c>
      <c r="AN169" t="e">
        <f>AND(Bills!I615,"AAAAAD9uuyc=")</f>
        <v>#VALUE!</v>
      </c>
      <c r="AO169" t="e">
        <f>AND(Bills!J615,"AAAAAD9uuyg=")</f>
        <v>#VALUE!</v>
      </c>
      <c r="AP169" t="e">
        <f>AND(Bills!#REF!,"AAAAAD9uuyk=")</f>
        <v>#REF!</v>
      </c>
      <c r="AQ169" t="e">
        <f>AND(Bills!K615,"AAAAAD9uuyo=")</f>
        <v>#VALUE!</v>
      </c>
      <c r="AR169" t="e">
        <f>AND(Bills!L615,"AAAAAD9uuys=")</f>
        <v>#VALUE!</v>
      </c>
      <c r="AS169" t="e">
        <f>AND(Bills!M615,"AAAAAD9uuyw=")</f>
        <v>#VALUE!</v>
      </c>
      <c r="AT169" t="e">
        <f>AND(Bills!N615,"AAAAAD9uuy0=")</f>
        <v>#VALUE!</v>
      </c>
      <c r="AU169" t="e">
        <f>AND(Bills!O615,"AAAAAD9uuy4=")</f>
        <v>#VALUE!</v>
      </c>
      <c r="AV169" t="e">
        <f>AND(Bills!P615,"AAAAAD9uuy8=")</f>
        <v>#VALUE!</v>
      </c>
      <c r="AW169" t="e">
        <f>AND(Bills!Q615,"AAAAAD9uuzA=")</f>
        <v>#VALUE!</v>
      </c>
      <c r="AX169" t="e">
        <f>AND(Bills!R615,"AAAAAD9uuzE=")</f>
        <v>#VALUE!</v>
      </c>
      <c r="AY169" t="e">
        <f>AND(Bills!#REF!,"AAAAAD9uuzI=")</f>
        <v>#REF!</v>
      </c>
      <c r="AZ169" t="e">
        <f>AND(Bills!S615,"AAAAAD9uuzM=")</f>
        <v>#VALUE!</v>
      </c>
      <c r="BA169" t="e">
        <f>AND(Bills!T615,"AAAAAD9uuzQ=")</f>
        <v>#VALUE!</v>
      </c>
      <c r="BB169" t="e">
        <f>AND(Bills!U615,"AAAAAD9uuzU=")</f>
        <v>#VALUE!</v>
      </c>
      <c r="BC169" t="e">
        <f>AND(Bills!#REF!,"AAAAAD9uuzY=")</f>
        <v>#REF!</v>
      </c>
      <c r="BD169" t="e">
        <f>AND(Bills!#REF!,"AAAAAD9uuzc=")</f>
        <v>#REF!</v>
      </c>
      <c r="BE169" t="e">
        <f>AND(Bills!W615,"AAAAAD9uuzg=")</f>
        <v>#VALUE!</v>
      </c>
      <c r="BF169" t="e">
        <f>AND(Bills!X615,"AAAAAD9uuzk=")</f>
        <v>#VALUE!</v>
      </c>
      <c r="BG169" t="e">
        <f>AND(Bills!#REF!,"AAAAAD9uuzo=")</f>
        <v>#REF!</v>
      </c>
      <c r="BH169" t="e">
        <f>AND(Bills!#REF!,"AAAAAD9uuzs=")</f>
        <v>#REF!</v>
      </c>
      <c r="BI169" t="e">
        <f>AND(Bills!#REF!,"AAAAAD9uuzw=")</f>
        <v>#REF!</v>
      </c>
      <c r="BJ169" t="e">
        <f>AND(Bills!#REF!,"AAAAAD9uuz0=")</f>
        <v>#REF!</v>
      </c>
      <c r="BK169" t="e">
        <f>AND(Bills!#REF!,"AAAAAD9uuz4=")</f>
        <v>#REF!</v>
      </c>
      <c r="BL169" t="e">
        <f>AND(Bills!#REF!,"AAAAAD9uuz8=")</f>
        <v>#REF!</v>
      </c>
      <c r="BM169" t="e">
        <f>AND(Bills!#REF!,"AAAAAD9uu0A=")</f>
        <v>#REF!</v>
      </c>
      <c r="BN169" t="e">
        <f>AND(Bills!#REF!,"AAAAAD9uu0E=")</f>
        <v>#REF!</v>
      </c>
      <c r="BO169" t="e">
        <f>AND(Bills!#REF!,"AAAAAD9uu0I=")</f>
        <v>#REF!</v>
      </c>
      <c r="BP169" t="e">
        <f>AND(Bills!Y615,"AAAAAD9uu0M=")</f>
        <v>#VALUE!</v>
      </c>
      <c r="BQ169" t="e">
        <f>AND(Bills!Z615,"AAAAAD9uu0Q=")</f>
        <v>#VALUE!</v>
      </c>
      <c r="BR169" t="e">
        <f>AND(Bills!#REF!,"AAAAAD9uu0U=")</f>
        <v>#REF!</v>
      </c>
      <c r="BS169" t="e">
        <f>AND(Bills!#REF!,"AAAAAD9uu0Y=")</f>
        <v>#REF!</v>
      </c>
      <c r="BT169" t="e">
        <f>AND(Bills!#REF!,"AAAAAD9uu0c=")</f>
        <v>#REF!</v>
      </c>
      <c r="BU169" t="e">
        <f>AND(Bills!AA615,"AAAAAD9uu0g=")</f>
        <v>#VALUE!</v>
      </c>
      <c r="BV169" t="e">
        <f>AND(Bills!AB615,"AAAAAD9uu0k=")</f>
        <v>#VALUE!</v>
      </c>
      <c r="BW169" t="e">
        <f>AND(Bills!#REF!,"AAAAAD9uu0o=")</f>
        <v>#REF!</v>
      </c>
      <c r="BX169">
        <f>IF(Bills!616:616,"AAAAAD9uu0s=",0)</f>
        <v>0</v>
      </c>
      <c r="BY169" t="e">
        <f>AND(Bills!B616,"AAAAAD9uu0w=")</f>
        <v>#VALUE!</v>
      </c>
      <c r="BZ169" t="e">
        <f>AND(Bills!#REF!,"AAAAAD9uu00=")</f>
        <v>#REF!</v>
      </c>
      <c r="CA169" t="e">
        <f>AND(Bills!C616,"AAAAAD9uu04=")</f>
        <v>#VALUE!</v>
      </c>
      <c r="CB169" t="e">
        <f>AND(Bills!#REF!,"AAAAAD9uu08=")</f>
        <v>#REF!</v>
      </c>
      <c r="CC169" t="e">
        <f>AND(Bills!#REF!,"AAAAAD9uu1A=")</f>
        <v>#REF!</v>
      </c>
      <c r="CD169" t="e">
        <f>AND(Bills!#REF!,"AAAAAD9uu1E=")</f>
        <v>#REF!</v>
      </c>
      <c r="CE169" t="e">
        <f>AND(Bills!#REF!,"AAAAAD9uu1I=")</f>
        <v>#REF!</v>
      </c>
      <c r="CF169" t="e">
        <f>AND(Bills!#REF!,"AAAAAD9uu1M=")</f>
        <v>#REF!</v>
      </c>
      <c r="CG169" t="e">
        <f>AND(Bills!D616,"AAAAAD9uu1Q=")</f>
        <v>#VALUE!</v>
      </c>
      <c r="CH169" t="e">
        <f>AND(Bills!#REF!,"AAAAAD9uu1U=")</f>
        <v>#REF!</v>
      </c>
      <c r="CI169" t="e">
        <f>AND(Bills!E616,"AAAAAD9uu1Y=")</f>
        <v>#VALUE!</v>
      </c>
      <c r="CJ169" t="e">
        <f>AND(Bills!F616,"AAAAAD9uu1c=")</f>
        <v>#VALUE!</v>
      </c>
      <c r="CK169" t="e">
        <f>AND(Bills!G616,"AAAAAD9uu1g=")</f>
        <v>#VALUE!</v>
      </c>
      <c r="CL169" t="e">
        <f>AND(Bills!H616,"AAAAAD9uu1k=")</f>
        <v>#VALUE!</v>
      </c>
      <c r="CM169" t="e">
        <f>AND(Bills!I616,"AAAAAD9uu1o=")</f>
        <v>#VALUE!</v>
      </c>
      <c r="CN169" t="e">
        <f>AND(Bills!J616,"AAAAAD9uu1s=")</f>
        <v>#VALUE!</v>
      </c>
      <c r="CO169" t="e">
        <f>AND(Bills!#REF!,"AAAAAD9uu1w=")</f>
        <v>#REF!</v>
      </c>
      <c r="CP169" t="e">
        <f>AND(Bills!K616,"AAAAAD9uu10=")</f>
        <v>#VALUE!</v>
      </c>
      <c r="CQ169" t="e">
        <f>AND(Bills!L616,"AAAAAD9uu14=")</f>
        <v>#VALUE!</v>
      </c>
      <c r="CR169" t="e">
        <f>AND(Bills!M616,"AAAAAD9uu18=")</f>
        <v>#VALUE!</v>
      </c>
      <c r="CS169" t="e">
        <f>AND(Bills!N616,"AAAAAD9uu2A=")</f>
        <v>#VALUE!</v>
      </c>
      <c r="CT169" t="e">
        <f>AND(Bills!O616,"AAAAAD9uu2E=")</f>
        <v>#VALUE!</v>
      </c>
      <c r="CU169" t="e">
        <f>AND(Bills!P616,"AAAAAD9uu2I=")</f>
        <v>#VALUE!</v>
      </c>
      <c r="CV169" t="e">
        <f>AND(Bills!Q616,"AAAAAD9uu2M=")</f>
        <v>#VALUE!</v>
      </c>
      <c r="CW169" t="e">
        <f>AND(Bills!R616,"AAAAAD9uu2Q=")</f>
        <v>#VALUE!</v>
      </c>
      <c r="CX169" t="e">
        <f>AND(Bills!#REF!,"AAAAAD9uu2U=")</f>
        <v>#REF!</v>
      </c>
      <c r="CY169" t="e">
        <f>AND(Bills!S616,"AAAAAD9uu2Y=")</f>
        <v>#VALUE!</v>
      </c>
      <c r="CZ169" t="e">
        <f>AND(Bills!T616,"AAAAAD9uu2c=")</f>
        <v>#VALUE!</v>
      </c>
      <c r="DA169" t="e">
        <f>AND(Bills!U616,"AAAAAD9uu2g=")</f>
        <v>#VALUE!</v>
      </c>
      <c r="DB169" t="e">
        <f>AND(Bills!#REF!,"AAAAAD9uu2k=")</f>
        <v>#REF!</v>
      </c>
      <c r="DC169" t="e">
        <f>AND(Bills!#REF!,"AAAAAD9uu2o=")</f>
        <v>#REF!</v>
      </c>
      <c r="DD169" t="e">
        <f>AND(Bills!W616,"AAAAAD9uu2s=")</f>
        <v>#VALUE!</v>
      </c>
      <c r="DE169" t="e">
        <f>AND(Bills!X616,"AAAAAD9uu2w=")</f>
        <v>#VALUE!</v>
      </c>
      <c r="DF169" t="e">
        <f>AND(Bills!#REF!,"AAAAAD9uu20=")</f>
        <v>#REF!</v>
      </c>
      <c r="DG169" t="e">
        <f>AND(Bills!#REF!,"AAAAAD9uu24=")</f>
        <v>#REF!</v>
      </c>
      <c r="DH169" t="e">
        <f>AND(Bills!#REF!,"AAAAAD9uu28=")</f>
        <v>#REF!</v>
      </c>
      <c r="DI169" t="e">
        <f>AND(Bills!#REF!,"AAAAAD9uu3A=")</f>
        <v>#REF!</v>
      </c>
      <c r="DJ169" t="e">
        <f>AND(Bills!#REF!,"AAAAAD9uu3E=")</f>
        <v>#REF!</v>
      </c>
      <c r="DK169" t="e">
        <f>AND(Bills!#REF!,"AAAAAD9uu3I=")</f>
        <v>#REF!</v>
      </c>
      <c r="DL169" t="e">
        <f>AND(Bills!#REF!,"AAAAAD9uu3M=")</f>
        <v>#REF!</v>
      </c>
      <c r="DM169" t="e">
        <f>AND(Bills!#REF!,"AAAAAD9uu3Q=")</f>
        <v>#REF!</v>
      </c>
      <c r="DN169" t="e">
        <f>AND(Bills!#REF!,"AAAAAD9uu3U=")</f>
        <v>#REF!</v>
      </c>
      <c r="DO169" t="e">
        <f>AND(Bills!Y616,"AAAAAD9uu3Y=")</f>
        <v>#VALUE!</v>
      </c>
      <c r="DP169" t="e">
        <f>AND(Bills!Z616,"AAAAAD9uu3c=")</f>
        <v>#VALUE!</v>
      </c>
      <c r="DQ169" t="e">
        <f>AND(Bills!#REF!,"AAAAAD9uu3g=")</f>
        <v>#REF!</v>
      </c>
      <c r="DR169" t="e">
        <f>AND(Bills!#REF!,"AAAAAD9uu3k=")</f>
        <v>#REF!</v>
      </c>
      <c r="DS169" t="e">
        <f>AND(Bills!#REF!,"AAAAAD9uu3o=")</f>
        <v>#REF!</v>
      </c>
      <c r="DT169" t="e">
        <f>AND(Bills!AA616,"AAAAAD9uu3s=")</f>
        <v>#VALUE!</v>
      </c>
      <c r="DU169" t="e">
        <f>AND(Bills!AB616,"AAAAAD9uu3w=")</f>
        <v>#VALUE!</v>
      </c>
      <c r="DV169" t="e">
        <f>AND(Bills!#REF!,"AAAAAD9uu30=")</f>
        <v>#REF!</v>
      </c>
      <c r="DW169">
        <f>IF(Bills!617:617,"AAAAAD9uu34=",0)</f>
        <v>0</v>
      </c>
      <c r="DX169" t="e">
        <f>AND(Bills!B617,"AAAAAD9uu38=")</f>
        <v>#VALUE!</v>
      </c>
      <c r="DY169" t="e">
        <f>AND(Bills!#REF!,"AAAAAD9uu4A=")</f>
        <v>#REF!</v>
      </c>
      <c r="DZ169" t="e">
        <f>AND(Bills!C617,"AAAAAD9uu4E=")</f>
        <v>#VALUE!</v>
      </c>
      <c r="EA169" t="e">
        <f>AND(Bills!#REF!,"AAAAAD9uu4I=")</f>
        <v>#REF!</v>
      </c>
      <c r="EB169" t="e">
        <f>AND(Bills!#REF!,"AAAAAD9uu4M=")</f>
        <v>#REF!</v>
      </c>
      <c r="EC169" t="e">
        <f>AND(Bills!#REF!,"AAAAAD9uu4Q=")</f>
        <v>#REF!</v>
      </c>
      <c r="ED169" t="e">
        <f>AND(Bills!#REF!,"AAAAAD9uu4U=")</f>
        <v>#REF!</v>
      </c>
      <c r="EE169" t="e">
        <f>AND(Bills!#REF!,"AAAAAD9uu4Y=")</f>
        <v>#REF!</v>
      </c>
      <c r="EF169" t="e">
        <f>AND(Bills!D617,"AAAAAD9uu4c=")</f>
        <v>#VALUE!</v>
      </c>
      <c r="EG169" t="e">
        <f>AND(Bills!#REF!,"AAAAAD9uu4g=")</f>
        <v>#REF!</v>
      </c>
      <c r="EH169" t="e">
        <f>AND(Bills!E617,"AAAAAD9uu4k=")</f>
        <v>#VALUE!</v>
      </c>
      <c r="EI169" t="e">
        <f>AND(Bills!F617,"AAAAAD9uu4o=")</f>
        <v>#VALUE!</v>
      </c>
      <c r="EJ169" t="e">
        <f>AND(Bills!G617,"AAAAAD9uu4s=")</f>
        <v>#VALUE!</v>
      </c>
      <c r="EK169" t="e">
        <f>AND(Bills!H617,"AAAAAD9uu4w=")</f>
        <v>#VALUE!</v>
      </c>
      <c r="EL169" t="e">
        <f>AND(Bills!I617,"AAAAAD9uu40=")</f>
        <v>#VALUE!</v>
      </c>
      <c r="EM169" t="e">
        <f>AND(Bills!J617,"AAAAAD9uu44=")</f>
        <v>#VALUE!</v>
      </c>
      <c r="EN169" t="e">
        <f>AND(Bills!#REF!,"AAAAAD9uu48=")</f>
        <v>#REF!</v>
      </c>
      <c r="EO169" t="e">
        <f>AND(Bills!K617,"AAAAAD9uu5A=")</f>
        <v>#VALUE!</v>
      </c>
      <c r="EP169" t="e">
        <f>AND(Bills!L617,"AAAAAD9uu5E=")</f>
        <v>#VALUE!</v>
      </c>
      <c r="EQ169" t="e">
        <f>AND(Bills!M617,"AAAAAD9uu5I=")</f>
        <v>#VALUE!</v>
      </c>
      <c r="ER169" t="e">
        <f>AND(Bills!N617,"AAAAAD9uu5M=")</f>
        <v>#VALUE!</v>
      </c>
      <c r="ES169" t="e">
        <f>AND(Bills!O617,"AAAAAD9uu5Q=")</f>
        <v>#VALUE!</v>
      </c>
      <c r="ET169" t="e">
        <f>AND(Bills!P617,"AAAAAD9uu5U=")</f>
        <v>#VALUE!</v>
      </c>
      <c r="EU169" t="e">
        <f>AND(Bills!Q617,"AAAAAD9uu5Y=")</f>
        <v>#VALUE!</v>
      </c>
      <c r="EV169" t="e">
        <f>AND(Bills!R617,"AAAAAD9uu5c=")</f>
        <v>#VALUE!</v>
      </c>
      <c r="EW169" t="e">
        <f>AND(Bills!#REF!,"AAAAAD9uu5g=")</f>
        <v>#REF!</v>
      </c>
      <c r="EX169" t="e">
        <f>AND(Bills!S617,"AAAAAD9uu5k=")</f>
        <v>#VALUE!</v>
      </c>
      <c r="EY169" t="e">
        <f>AND(Bills!T617,"AAAAAD9uu5o=")</f>
        <v>#VALUE!</v>
      </c>
      <c r="EZ169" t="e">
        <f>AND(Bills!U617,"AAAAAD9uu5s=")</f>
        <v>#VALUE!</v>
      </c>
      <c r="FA169" t="e">
        <f>AND(Bills!#REF!,"AAAAAD9uu5w=")</f>
        <v>#REF!</v>
      </c>
      <c r="FB169" t="e">
        <f>AND(Bills!#REF!,"AAAAAD9uu50=")</f>
        <v>#REF!</v>
      </c>
      <c r="FC169" t="e">
        <f>AND(Bills!W617,"AAAAAD9uu54=")</f>
        <v>#VALUE!</v>
      </c>
      <c r="FD169" t="e">
        <f>AND(Bills!X617,"AAAAAD9uu58=")</f>
        <v>#VALUE!</v>
      </c>
      <c r="FE169" t="e">
        <f>AND(Bills!#REF!,"AAAAAD9uu6A=")</f>
        <v>#REF!</v>
      </c>
      <c r="FF169" t="e">
        <f>AND(Bills!#REF!,"AAAAAD9uu6E=")</f>
        <v>#REF!</v>
      </c>
      <c r="FG169" t="e">
        <f>AND(Bills!#REF!,"AAAAAD9uu6I=")</f>
        <v>#REF!</v>
      </c>
      <c r="FH169" t="e">
        <f>AND(Bills!#REF!,"AAAAAD9uu6M=")</f>
        <v>#REF!</v>
      </c>
      <c r="FI169" t="e">
        <f>AND(Bills!#REF!,"AAAAAD9uu6Q=")</f>
        <v>#REF!</v>
      </c>
      <c r="FJ169" t="e">
        <f>AND(Bills!#REF!,"AAAAAD9uu6U=")</f>
        <v>#REF!</v>
      </c>
      <c r="FK169" t="e">
        <f>AND(Bills!#REF!,"AAAAAD9uu6Y=")</f>
        <v>#REF!</v>
      </c>
      <c r="FL169" t="e">
        <f>AND(Bills!#REF!,"AAAAAD9uu6c=")</f>
        <v>#REF!</v>
      </c>
      <c r="FM169" t="e">
        <f>AND(Bills!#REF!,"AAAAAD9uu6g=")</f>
        <v>#REF!</v>
      </c>
      <c r="FN169" t="e">
        <f>AND(Bills!Y617,"AAAAAD9uu6k=")</f>
        <v>#VALUE!</v>
      </c>
      <c r="FO169" t="e">
        <f>AND(Bills!Z617,"AAAAAD9uu6o=")</f>
        <v>#VALUE!</v>
      </c>
      <c r="FP169" t="e">
        <f>AND(Bills!#REF!,"AAAAAD9uu6s=")</f>
        <v>#REF!</v>
      </c>
      <c r="FQ169" t="e">
        <f>AND(Bills!#REF!,"AAAAAD9uu6w=")</f>
        <v>#REF!</v>
      </c>
      <c r="FR169" t="e">
        <f>AND(Bills!#REF!,"AAAAAD9uu60=")</f>
        <v>#REF!</v>
      </c>
      <c r="FS169" t="e">
        <f>AND(Bills!AA617,"AAAAAD9uu64=")</f>
        <v>#VALUE!</v>
      </c>
      <c r="FT169" t="e">
        <f>AND(Bills!AB617,"AAAAAD9uu68=")</f>
        <v>#VALUE!</v>
      </c>
      <c r="FU169" t="e">
        <f>AND(Bills!#REF!,"AAAAAD9uu7A=")</f>
        <v>#REF!</v>
      </c>
      <c r="FV169">
        <f>IF(Bills!618:618,"AAAAAD9uu7E=",0)</f>
        <v>0</v>
      </c>
      <c r="FW169" t="e">
        <f>AND(Bills!B618,"AAAAAD9uu7I=")</f>
        <v>#VALUE!</v>
      </c>
      <c r="FX169" t="e">
        <f>AND(Bills!#REF!,"AAAAAD9uu7M=")</f>
        <v>#REF!</v>
      </c>
      <c r="FY169" t="e">
        <f>AND(Bills!C618,"AAAAAD9uu7Q=")</f>
        <v>#VALUE!</v>
      </c>
      <c r="FZ169" t="e">
        <f>AND(Bills!#REF!,"AAAAAD9uu7U=")</f>
        <v>#REF!</v>
      </c>
      <c r="GA169" t="e">
        <f>AND(Bills!#REF!,"AAAAAD9uu7Y=")</f>
        <v>#REF!</v>
      </c>
      <c r="GB169" t="e">
        <f>AND(Bills!#REF!,"AAAAAD9uu7c=")</f>
        <v>#REF!</v>
      </c>
      <c r="GC169" t="e">
        <f>AND(Bills!#REF!,"AAAAAD9uu7g=")</f>
        <v>#REF!</v>
      </c>
      <c r="GD169" t="e">
        <f>AND(Bills!#REF!,"AAAAAD9uu7k=")</f>
        <v>#REF!</v>
      </c>
      <c r="GE169" t="e">
        <f>AND(Bills!D618,"AAAAAD9uu7o=")</f>
        <v>#VALUE!</v>
      </c>
      <c r="GF169" t="e">
        <f>AND(Bills!#REF!,"AAAAAD9uu7s=")</f>
        <v>#REF!</v>
      </c>
      <c r="GG169" t="e">
        <f>AND(Bills!E618,"AAAAAD9uu7w=")</f>
        <v>#VALUE!</v>
      </c>
      <c r="GH169" t="e">
        <f>AND(Bills!F618,"AAAAAD9uu70=")</f>
        <v>#VALUE!</v>
      </c>
      <c r="GI169" t="e">
        <f>AND(Bills!G618,"AAAAAD9uu74=")</f>
        <v>#VALUE!</v>
      </c>
      <c r="GJ169" t="e">
        <f>AND(Bills!H618,"AAAAAD9uu78=")</f>
        <v>#VALUE!</v>
      </c>
      <c r="GK169" t="e">
        <f>AND(Bills!I618,"AAAAAD9uu8A=")</f>
        <v>#VALUE!</v>
      </c>
      <c r="GL169" t="e">
        <f>AND(Bills!J618,"AAAAAD9uu8E=")</f>
        <v>#VALUE!</v>
      </c>
      <c r="GM169" t="e">
        <f>AND(Bills!#REF!,"AAAAAD9uu8I=")</f>
        <v>#REF!</v>
      </c>
      <c r="GN169" t="e">
        <f>AND(Bills!K618,"AAAAAD9uu8M=")</f>
        <v>#VALUE!</v>
      </c>
      <c r="GO169" t="e">
        <f>AND(Bills!L618,"AAAAAD9uu8Q=")</f>
        <v>#VALUE!</v>
      </c>
      <c r="GP169" t="e">
        <f>AND(Bills!M618,"AAAAAD9uu8U=")</f>
        <v>#VALUE!</v>
      </c>
      <c r="GQ169" t="e">
        <f>AND(Bills!N618,"AAAAAD9uu8Y=")</f>
        <v>#VALUE!</v>
      </c>
      <c r="GR169" t="e">
        <f>AND(Bills!O618,"AAAAAD9uu8c=")</f>
        <v>#VALUE!</v>
      </c>
      <c r="GS169" t="e">
        <f>AND(Bills!P618,"AAAAAD9uu8g=")</f>
        <v>#VALUE!</v>
      </c>
      <c r="GT169" t="e">
        <f>AND(Bills!Q618,"AAAAAD9uu8k=")</f>
        <v>#VALUE!</v>
      </c>
      <c r="GU169" t="e">
        <f>AND(Bills!R618,"AAAAAD9uu8o=")</f>
        <v>#VALUE!</v>
      </c>
      <c r="GV169" t="e">
        <f>AND(Bills!#REF!,"AAAAAD9uu8s=")</f>
        <v>#REF!</v>
      </c>
      <c r="GW169" t="e">
        <f>AND(Bills!S618,"AAAAAD9uu8w=")</f>
        <v>#VALUE!</v>
      </c>
      <c r="GX169" t="e">
        <f>AND(Bills!T618,"AAAAAD9uu80=")</f>
        <v>#VALUE!</v>
      </c>
      <c r="GY169" t="e">
        <f>AND(Bills!U618,"AAAAAD9uu84=")</f>
        <v>#VALUE!</v>
      </c>
      <c r="GZ169" t="e">
        <f>AND(Bills!#REF!,"AAAAAD9uu88=")</f>
        <v>#REF!</v>
      </c>
      <c r="HA169" t="e">
        <f>AND(Bills!#REF!,"AAAAAD9uu9A=")</f>
        <v>#REF!</v>
      </c>
      <c r="HB169" t="e">
        <f>AND(Bills!W618,"AAAAAD9uu9E=")</f>
        <v>#VALUE!</v>
      </c>
      <c r="HC169" t="e">
        <f>AND(Bills!X618,"AAAAAD9uu9I=")</f>
        <v>#VALUE!</v>
      </c>
      <c r="HD169" t="e">
        <f>AND(Bills!#REF!,"AAAAAD9uu9M=")</f>
        <v>#REF!</v>
      </c>
      <c r="HE169" t="e">
        <f>AND(Bills!#REF!,"AAAAAD9uu9Q=")</f>
        <v>#REF!</v>
      </c>
      <c r="HF169" t="e">
        <f>AND(Bills!#REF!,"AAAAAD9uu9U=")</f>
        <v>#REF!</v>
      </c>
      <c r="HG169" t="e">
        <f>AND(Bills!#REF!,"AAAAAD9uu9Y=")</f>
        <v>#REF!</v>
      </c>
      <c r="HH169" t="e">
        <f>AND(Bills!#REF!,"AAAAAD9uu9c=")</f>
        <v>#REF!</v>
      </c>
      <c r="HI169" t="e">
        <f>AND(Bills!#REF!,"AAAAAD9uu9g=")</f>
        <v>#REF!</v>
      </c>
      <c r="HJ169" t="e">
        <f>AND(Bills!#REF!,"AAAAAD9uu9k=")</f>
        <v>#REF!</v>
      </c>
      <c r="HK169" t="e">
        <f>AND(Bills!#REF!,"AAAAAD9uu9o=")</f>
        <v>#REF!</v>
      </c>
      <c r="HL169" t="e">
        <f>AND(Bills!#REF!,"AAAAAD9uu9s=")</f>
        <v>#REF!</v>
      </c>
      <c r="HM169" t="e">
        <f>AND(Bills!Y618,"AAAAAD9uu9w=")</f>
        <v>#VALUE!</v>
      </c>
      <c r="HN169" t="e">
        <f>AND(Bills!Z618,"AAAAAD9uu90=")</f>
        <v>#VALUE!</v>
      </c>
      <c r="HO169" t="e">
        <f>AND(Bills!#REF!,"AAAAAD9uu94=")</f>
        <v>#REF!</v>
      </c>
      <c r="HP169" t="e">
        <f>AND(Bills!#REF!,"AAAAAD9uu98=")</f>
        <v>#REF!</v>
      </c>
      <c r="HQ169" t="e">
        <f>AND(Bills!#REF!,"AAAAAD9uu+A=")</f>
        <v>#REF!</v>
      </c>
      <c r="HR169" t="e">
        <f>AND(Bills!AA618,"AAAAAD9uu+E=")</f>
        <v>#VALUE!</v>
      </c>
      <c r="HS169" t="e">
        <f>AND(Bills!AB618,"AAAAAD9uu+I=")</f>
        <v>#VALUE!</v>
      </c>
      <c r="HT169" t="e">
        <f>AND(Bills!#REF!,"AAAAAD9uu+M=")</f>
        <v>#REF!</v>
      </c>
      <c r="HU169">
        <f>IF(Bills!619:619,"AAAAAD9uu+Q=",0)</f>
        <v>0</v>
      </c>
      <c r="HV169" t="e">
        <f>AND(Bills!B619,"AAAAAD9uu+U=")</f>
        <v>#VALUE!</v>
      </c>
      <c r="HW169" t="e">
        <f>AND(Bills!#REF!,"AAAAAD9uu+Y=")</f>
        <v>#REF!</v>
      </c>
      <c r="HX169" t="e">
        <f>AND(Bills!C619,"AAAAAD9uu+c=")</f>
        <v>#VALUE!</v>
      </c>
      <c r="HY169" t="e">
        <f>AND(Bills!#REF!,"AAAAAD9uu+g=")</f>
        <v>#REF!</v>
      </c>
      <c r="HZ169" t="e">
        <f>AND(Bills!#REF!,"AAAAAD9uu+k=")</f>
        <v>#REF!</v>
      </c>
      <c r="IA169" t="e">
        <f>AND(Bills!#REF!,"AAAAAD9uu+o=")</f>
        <v>#REF!</v>
      </c>
      <c r="IB169" t="e">
        <f>AND(Bills!#REF!,"AAAAAD9uu+s=")</f>
        <v>#REF!</v>
      </c>
      <c r="IC169" t="e">
        <f>AND(Bills!#REF!,"AAAAAD9uu+w=")</f>
        <v>#REF!</v>
      </c>
      <c r="ID169" t="e">
        <f>AND(Bills!D619,"AAAAAD9uu+0=")</f>
        <v>#VALUE!</v>
      </c>
      <c r="IE169" t="e">
        <f>AND(Bills!#REF!,"AAAAAD9uu+4=")</f>
        <v>#REF!</v>
      </c>
      <c r="IF169" t="e">
        <f>AND(Bills!E619,"AAAAAD9uu+8=")</f>
        <v>#VALUE!</v>
      </c>
      <c r="IG169" t="e">
        <f>AND(Bills!F619,"AAAAAD9uu/A=")</f>
        <v>#VALUE!</v>
      </c>
      <c r="IH169" t="e">
        <f>AND(Bills!G619,"AAAAAD9uu/E=")</f>
        <v>#VALUE!</v>
      </c>
      <c r="II169" t="e">
        <f>AND(Bills!H619,"AAAAAD9uu/I=")</f>
        <v>#VALUE!</v>
      </c>
      <c r="IJ169" t="e">
        <f>AND(Bills!I619,"AAAAAD9uu/M=")</f>
        <v>#VALUE!</v>
      </c>
      <c r="IK169" t="e">
        <f>AND(Bills!J619,"AAAAAD9uu/Q=")</f>
        <v>#VALUE!</v>
      </c>
      <c r="IL169" t="e">
        <f>AND(Bills!#REF!,"AAAAAD9uu/U=")</f>
        <v>#REF!</v>
      </c>
      <c r="IM169" t="e">
        <f>AND(Bills!K619,"AAAAAD9uu/Y=")</f>
        <v>#VALUE!</v>
      </c>
      <c r="IN169" t="e">
        <f>AND(Bills!L619,"AAAAAD9uu/c=")</f>
        <v>#VALUE!</v>
      </c>
      <c r="IO169" t="e">
        <f>AND(Bills!M619,"AAAAAD9uu/g=")</f>
        <v>#VALUE!</v>
      </c>
      <c r="IP169" t="e">
        <f>AND(Bills!N619,"AAAAAD9uu/k=")</f>
        <v>#VALUE!</v>
      </c>
      <c r="IQ169" t="e">
        <f>AND(Bills!O619,"AAAAAD9uu/o=")</f>
        <v>#VALUE!</v>
      </c>
      <c r="IR169" t="e">
        <f>AND(Bills!P619,"AAAAAD9uu/s=")</f>
        <v>#VALUE!</v>
      </c>
      <c r="IS169" t="e">
        <f>AND(Bills!Q619,"AAAAAD9uu/w=")</f>
        <v>#VALUE!</v>
      </c>
      <c r="IT169" t="e">
        <f>AND(Bills!R619,"AAAAAD9uu/0=")</f>
        <v>#VALUE!</v>
      </c>
      <c r="IU169" t="e">
        <f>AND(Bills!#REF!,"AAAAAD9uu/4=")</f>
        <v>#REF!</v>
      </c>
      <c r="IV169" t="e">
        <f>AND(Bills!S619,"AAAAAD9uu/8=")</f>
        <v>#VALUE!</v>
      </c>
    </row>
    <row r="170" spans="1:256">
      <c r="A170" t="e">
        <f>AND(Bills!T619,"AAAAAD/+PwA=")</f>
        <v>#VALUE!</v>
      </c>
      <c r="B170" t="e">
        <f>AND(Bills!U619,"AAAAAD/+PwE=")</f>
        <v>#VALUE!</v>
      </c>
      <c r="C170" t="e">
        <f>AND(Bills!#REF!,"AAAAAD/+PwI=")</f>
        <v>#REF!</v>
      </c>
      <c r="D170" t="e">
        <f>AND(Bills!#REF!,"AAAAAD/+PwM=")</f>
        <v>#REF!</v>
      </c>
      <c r="E170" t="e">
        <f>AND(Bills!W619,"AAAAAD/+PwQ=")</f>
        <v>#VALUE!</v>
      </c>
      <c r="F170" t="e">
        <f>AND(Bills!X619,"AAAAAD/+PwU=")</f>
        <v>#VALUE!</v>
      </c>
      <c r="G170" t="e">
        <f>AND(Bills!#REF!,"AAAAAD/+PwY=")</f>
        <v>#REF!</v>
      </c>
      <c r="H170" t="e">
        <f>AND(Bills!#REF!,"AAAAAD/+Pwc=")</f>
        <v>#REF!</v>
      </c>
      <c r="I170" t="e">
        <f>AND(Bills!#REF!,"AAAAAD/+Pwg=")</f>
        <v>#REF!</v>
      </c>
      <c r="J170" t="e">
        <f>AND(Bills!#REF!,"AAAAAD/+Pwk=")</f>
        <v>#REF!</v>
      </c>
      <c r="K170" t="e">
        <f>AND(Bills!#REF!,"AAAAAD/+Pwo=")</f>
        <v>#REF!</v>
      </c>
      <c r="L170" t="e">
        <f>AND(Bills!#REF!,"AAAAAD/+Pws=")</f>
        <v>#REF!</v>
      </c>
      <c r="M170" t="e">
        <f>AND(Bills!#REF!,"AAAAAD/+Pww=")</f>
        <v>#REF!</v>
      </c>
      <c r="N170" t="e">
        <f>AND(Bills!#REF!,"AAAAAD/+Pw0=")</f>
        <v>#REF!</v>
      </c>
      <c r="O170" t="e">
        <f>AND(Bills!#REF!,"AAAAAD/+Pw4=")</f>
        <v>#REF!</v>
      </c>
      <c r="P170" t="e">
        <f>AND(Bills!Y619,"AAAAAD/+Pw8=")</f>
        <v>#VALUE!</v>
      </c>
      <c r="Q170" t="e">
        <f>AND(Bills!Z619,"AAAAAD/+PxA=")</f>
        <v>#VALUE!</v>
      </c>
      <c r="R170" t="e">
        <f>AND(Bills!#REF!,"AAAAAD/+PxE=")</f>
        <v>#REF!</v>
      </c>
      <c r="S170" t="e">
        <f>AND(Bills!#REF!,"AAAAAD/+PxI=")</f>
        <v>#REF!</v>
      </c>
      <c r="T170" t="e">
        <f>AND(Bills!#REF!,"AAAAAD/+PxM=")</f>
        <v>#REF!</v>
      </c>
      <c r="U170" t="e">
        <f>AND(Bills!AA619,"AAAAAD/+PxQ=")</f>
        <v>#VALUE!</v>
      </c>
      <c r="V170" t="e">
        <f>AND(Bills!AB619,"AAAAAD/+PxU=")</f>
        <v>#VALUE!</v>
      </c>
      <c r="W170" t="e">
        <f>AND(Bills!#REF!,"AAAAAD/+PxY=")</f>
        <v>#REF!</v>
      </c>
      <c r="X170">
        <f>IF(Bills!620:620,"AAAAAD/+Pxc=",0)</f>
        <v>0</v>
      </c>
      <c r="Y170" t="e">
        <f>AND(Bills!B620,"AAAAAD/+Pxg=")</f>
        <v>#VALUE!</v>
      </c>
      <c r="Z170" t="e">
        <f>AND(Bills!#REF!,"AAAAAD/+Pxk=")</f>
        <v>#REF!</v>
      </c>
      <c r="AA170" t="e">
        <f>AND(Bills!C620,"AAAAAD/+Pxo=")</f>
        <v>#VALUE!</v>
      </c>
      <c r="AB170" t="e">
        <f>AND(Bills!#REF!,"AAAAAD/+Pxs=")</f>
        <v>#REF!</v>
      </c>
      <c r="AC170" t="e">
        <f>AND(Bills!#REF!,"AAAAAD/+Pxw=")</f>
        <v>#REF!</v>
      </c>
      <c r="AD170" t="e">
        <f>AND(Bills!#REF!,"AAAAAD/+Px0=")</f>
        <v>#REF!</v>
      </c>
      <c r="AE170" t="e">
        <f>AND(Bills!#REF!,"AAAAAD/+Px4=")</f>
        <v>#REF!</v>
      </c>
      <c r="AF170" t="e">
        <f>AND(Bills!#REF!,"AAAAAD/+Px8=")</f>
        <v>#REF!</v>
      </c>
      <c r="AG170" t="e">
        <f>AND(Bills!D620,"AAAAAD/+PyA=")</f>
        <v>#VALUE!</v>
      </c>
      <c r="AH170" t="e">
        <f>AND(Bills!#REF!,"AAAAAD/+PyE=")</f>
        <v>#REF!</v>
      </c>
      <c r="AI170" t="e">
        <f>AND(Bills!E620,"AAAAAD/+PyI=")</f>
        <v>#VALUE!</v>
      </c>
      <c r="AJ170" t="e">
        <f>AND(Bills!F620,"AAAAAD/+PyM=")</f>
        <v>#VALUE!</v>
      </c>
      <c r="AK170" t="e">
        <f>AND(Bills!G620,"AAAAAD/+PyQ=")</f>
        <v>#VALUE!</v>
      </c>
      <c r="AL170" t="e">
        <f>AND(Bills!H620,"AAAAAD/+PyU=")</f>
        <v>#VALUE!</v>
      </c>
      <c r="AM170" t="e">
        <f>AND(Bills!I620,"AAAAAD/+PyY=")</f>
        <v>#VALUE!</v>
      </c>
      <c r="AN170" t="e">
        <f>AND(Bills!J620,"AAAAAD/+Pyc=")</f>
        <v>#VALUE!</v>
      </c>
      <c r="AO170" t="e">
        <f>AND(Bills!#REF!,"AAAAAD/+Pyg=")</f>
        <v>#REF!</v>
      </c>
      <c r="AP170" t="e">
        <f>AND(Bills!K620,"AAAAAD/+Pyk=")</f>
        <v>#VALUE!</v>
      </c>
      <c r="AQ170" t="e">
        <f>AND(Bills!L620,"AAAAAD/+Pyo=")</f>
        <v>#VALUE!</v>
      </c>
      <c r="AR170" t="e">
        <f>AND(Bills!M620,"AAAAAD/+Pys=")</f>
        <v>#VALUE!</v>
      </c>
      <c r="AS170" t="e">
        <f>AND(Bills!N620,"AAAAAD/+Pyw=")</f>
        <v>#VALUE!</v>
      </c>
      <c r="AT170" t="e">
        <f>AND(Bills!O620,"AAAAAD/+Py0=")</f>
        <v>#VALUE!</v>
      </c>
      <c r="AU170" t="e">
        <f>AND(Bills!P620,"AAAAAD/+Py4=")</f>
        <v>#VALUE!</v>
      </c>
      <c r="AV170" t="e">
        <f>AND(Bills!Q620,"AAAAAD/+Py8=")</f>
        <v>#VALUE!</v>
      </c>
      <c r="AW170" t="e">
        <f>AND(Bills!R620,"AAAAAD/+PzA=")</f>
        <v>#VALUE!</v>
      </c>
      <c r="AX170" t="e">
        <f>AND(Bills!#REF!,"AAAAAD/+PzE=")</f>
        <v>#REF!</v>
      </c>
      <c r="AY170" t="e">
        <f>AND(Bills!S620,"AAAAAD/+PzI=")</f>
        <v>#VALUE!</v>
      </c>
      <c r="AZ170" t="e">
        <f>AND(Bills!T620,"AAAAAD/+PzM=")</f>
        <v>#VALUE!</v>
      </c>
      <c r="BA170" t="e">
        <f>AND(Bills!U620,"AAAAAD/+PzQ=")</f>
        <v>#VALUE!</v>
      </c>
      <c r="BB170" t="e">
        <f>AND(Bills!#REF!,"AAAAAD/+PzU=")</f>
        <v>#REF!</v>
      </c>
      <c r="BC170" t="e">
        <f>AND(Bills!#REF!,"AAAAAD/+PzY=")</f>
        <v>#REF!</v>
      </c>
      <c r="BD170" t="e">
        <f>AND(Bills!W620,"AAAAAD/+Pzc=")</f>
        <v>#VALUE!</v>
      </c>
      <c r="BE170" t="e">
        <f>AND(Bills!X620,"AAAAAD/+Pzg=")</f>
        <v>#VALUE!</v>
      </c>
      <c r="BF170" t="e">
        <f>AND(Bills!#REF!,"AAAAAD/+Pzk=")</f>
        <v>#REF!</v>
      </c>
      <c r="BG170" t="e">
        <f>AND(Bills!#REF!,"AAAAAD/+Pzo=")</f>
        <v>#REF!</v>
      </c>
      <c r="BH170" t="e">
        <f>AND(Bills!#REF!,"AAAAAD/+Pzs=")</f>
        <v>#REF!</v>
      </c>
      <c r="BI170" t="e">
        <f>AND(Bills!#REF!,"AAAAAD/+Pzw=")</f>
        <v>#REF!</v>
      </c>
      <c r="BJ170" t="e">
        <f>AND(Bills!#REF!,"AAAAAD/+Pz0=")</f>
        <v>#REF!</v>
      </c>
      <c r="BK170" t="e">
        <f>AND(Bills!#REF!,"AAAAAD/+Pz4=")</f>
        <v>#REF!</v>
      </c>
      <c r="BL170" t="e">
        <f>AND(Bills!#REF!,"AAAAAD/+Pz8=")</f>
        <v>#REF!</v>
      </c>
      <c r="BM170" t="e">
        <f>AND(Bills!#REF!,"AAAAAD/+P0A=")</f>
        <v>#REF!</v>
      </c>
      <c r="BN170" t="e">
        <f>AND(Bills!#REF!,"AAAAAD/+P0E=")</f>
        <v>#REF!</v>
      </c>
      <c r="BO170" t="e">
        <f>AND(Bills!Y620,"AAAAAD/+P0I=")</f>
        <v>#VALUE!</v>
      </c>
      <c r="BP170" t="e">
        <f>AND(Bills!Z620,"AAAAAD/+P0M=")</f>
        <v>#VALUE!</v>
      </c>
      <c r="BQ170" t="e">
        <f>AND(Bills!#REF!,"AAAAAD/+P0Q=")</f>
        <v>#REF!</v>
      </c>
      <c r="BR170" t="e">
        <f>AND(Bills!#REF!,"AAAAAD/+P0U=")</f>
        <v>#REF!</v>
      </c>
      <c r="BS170" t="e">
        <f>AND(Bills!#REF!,"AAAAAD/+P0Y=")</f>
        <v>#REF!</v>
      </c>
      <c r="BT170" t="e">
        <f>AND(Bills!AA620,"AAAAAD/+P0c=")</f>
        <v>#VALUE!</v>
      </c>
      <c r="BU170" t="e">
        <f>AND(Bills!AB620,"AAAAAD/+P0g=")</f>
        <v>#VALUE!</v>
      </c>
      <c r="BV170" t="e">
        <f>AND(Bills!#REF!,"AAAAAD/+P0k=")</f>
        <v>#REF!</v>
      </c>
      <c r="BW170">
        <f>IF(Bills!621:621,"AAAAAD/+P0o=",0)</f>
        <v>0</v>
      </c>
      <c r="BX170" t="e">
        <f>AND(Bills!B621,"AAAAAD/+P0s=")</f>
        <v>#VALUE!</v>
      </c>
      <c r="BY170" t="e">
        <f>AND(Bills!#REF!,"AAAAAD/+P0w=")</f>
        <v>#REF!</v>
      </c>
      <c r="BZ170" t="e">
        <f>AND(Bills!C621,"AAAAAD/+P00=")</f>
        <v>#VALUE!</v>
      </c>
      <c r="CA170" t="e">
        <f>AND(Bills!#REF!,"AAAAAD/+P04=")</f>
        <v>#REF!</v>
      </c>
      <c r="CB170" t="e">
        <f>AND(Bills!#REF!,"AAAAAD/+P08=")</f>
        <v>#REF!</v>
      </c>
      <c r="CC170" t="e">
        <f>AND(Bills!#REF!,"AAAAAD/+P1A=")</f>
        <v>#REF!</v>
      </c>
      <c r="CD170" t="e">
        <f>AND(Bills!#REF!,"AAAAAD/+P1E=")</f>
        <v>#REF!</v>
      </c>
      <c r="CE170" t="e">
        <f>AND(Bills!#REF!,"AAAAAD/+P1I=")</f>
        <v>#REF!</v>
      </c>
      <c r="CF170" t="e">
        <f>AND(Bills!D621,"AAAAAD/+P1M=")</f>
        <v>#VALUE!</v>
      </c>
      <c r="CG170" t="e">
        <f>AND(Bills!#REF!,"AAAAAD/+P1Q=")</f>
        <v>#REF!</v>
      </c>
      <c r="CH170" t="e">
        <f>AND(Bills!E621,"AAAAAD/+P1U=")</f>
        <v>#VALUE!</v>
      </c>
      <c r="CI170" t="e">
        <f>AND(Bills!F621,"AAAAAD/+P1Y=")</f>
        <v>#VALUE!</v>
      </c>
      <c r="CJ170" t="e">
        <f>AND(Bills!G621,"AAAAAD/+P1c=")</f>
        <v>#VALUE!</v>
      </c>
      <c r="CK170" t="e">
        <f>AND(Bills!H621,"AAAAAD/+P1g=")</f>
        <v>#VALUE!</v>
      </c>
      <c r="CL170" t="e">
        <f>AND(Bills!I621,"AAAAAD/+P1k=")</f>
        <v>#VALUE!</v>
      </c>
      <c r="CM170" t="e">
        <f>AND(Bills!J621,"AAAAAD/+P1o=")</f>
        <v>#VALUE!</v>
      </c>
      <c r="CN170" t="e">
        <f>AND(Bills!#REF!,"AAAAAD/+P1s=")</f>
        <v>#REF!</v>
      </c>
      <c r="CO170" t="e">
        <f>AND(Bills!K621,"AAAAAD/+P1w=")</f>
        <v>#VALUE!</v>
      </c>
      <c r="CP170" t="e">
        <f>AND(Bills!L621,"AAAAAD/+P10=")</f>
        <v>#VALUE!</v>
      </c>
      <c r="CQ170" t="e">
        <f>AND(Bills!M621,"AAAAAD/+P14=")</f>
        <v>#VALUE!</v>
      </c>
      <c r="CR170" t="e">
        <f>AND(Bills!N621,"AAAAAD/+P18=")</f>
        <v>#VALUE!</v>
      </c>
      <c r="CS170" t="e">
        <f>AND(Bills!O621,"AAAAAD/+P2A=")</f>
        <v>#VALUE!</v>
      </c>
      <c r="CT170" t="e">
        <f>AND(Bills!P621,"AAAAAD/+P2E=")</f>
        <v>#VALUE!</v>
      </c>
      <c r="CU170" t="e">
        <f>AND(Bills!Q621,"AAAAAD/+P2I=")</f>
        <v>#VALUE!</v>
      </c>
      <c r="CV170" t="e">
        <f>AND(Bills!R621,"AAAAAD/+P2M=")</f>
        <v>#VALUE!</v>
      </c>
      <c r="CW170" t="e">
        <f>AND(Bills!#REF!,"AAAAAD/+P2Q=")</f>
        <v>#REF!</v>
      </c>
      <c r="CX170" t="e">
        <f>AND(Bills!S621,"AAAAAD/+P2U=")</f>
        <v>#VALUE!</v>
      </c>
      <c r="CY170" t="e">
        <f>AND(Bills!T621,"AAAAAD/+P2Y=")</f>
        <v>#VALUE!</v>
      </c>
      <c r="CZ170" t="e">
        <f>AND(Bills!U621,"AAAAAD/+P2c=")</f>
        <v>#VALUE!</v>
      </c>
      <c r="DA170" t="e">
        <f>AND(Bills!#REF!,"AAAAAD/+P2g=")</f>
        <v>#REF!</v>
      </c>
      <c r="DB170" t="e">
        <f>AND(Bills!#REF!,"AAAAAD/+P2k=")</f>
        <v>#REF!</v>
      </c>
      <c r="DC170" t="e">
        <f>AND(Bills!W621,"AAAAAD/+P2o=")</f>
        <v>#VALUE!</v>
      </c>
      <c r="DD170" t="e">
        <f>AND(Bills!X621,"AAAAAD/+P2s=")</f>
        <v>#VALUE!</v>
      </c>
      <c r="DE170" t="e">
        <f>AND(Bills!#REF!,"AAAAAD/+P2w=")</f>
        <v>#REF!</v>
      </c>
      <c r="DF170" t="e">
        <f>AND(Bills!#REF!,"AAAAAD/+P20=")</f>
        <v>#REF!</v>
      </c>
      <c r="DG170" t="e">
        <f>AND(Bills!#REF!,"AAAAAD/+P24=")</f>
        <v>#REF!</v>
      </c>
      <c r="DH170" t="e">
        <f>AND(Bills!#REF!,"AAAAAD/+P28=")</f>
        <v>#REF!</v>
      </c>
      <c r="DI170" t="e">
        <f>AND(Bills!#REF!,"AAAAAD/+P3A=")</f>
        <v>#REF!</v>
      </c>
      <c r="DJ170" t="e">
        <f>AND(Bills!#REF!,"AAAAAD/+P3E=")</f>
        <v>#REF!</v>
      </c>
      <c r="DK170" t="e">
        <f>AND(Bills!#REF!,"AAAAAD/+P3I=")</f>
        <v>#REF!</v>
      </c>
      <c r="DL170" t="e">
        <f>AND(Bills!#REF!,"AAAAAD/+P3M=")</f>
        <v>#REF!</v>
      </c>
      <c r="DM170" t="e">
        <f>AND(Bills!#REF!,"AAAAAD/+P3Q=")</f>
        <v>#REF!</v>
      </c>
      <c r="DN170" t="e">
        <f>AND(Bills!Y621,"AAAAAD/+P3U=")</f>
        <v>#VALUE!</v>
      </c>
      <c r="DO170" t="e">
        <f>AND(Bills!Z621,"AAAAAD/+P3Y=")</f>
        <v>#VALUE!</v>
      </c>
      <c r="DP170" t="e">
        <f>AND(Bills!#REF!,"AAAAAD/+P3c=")</f>
        <v>#REF!</v>
      </c>
      <c r="DQ170" t="e">
        <f>AND(Bills!#REF!,"AAAAAD/+P3g=")</f>
        <v>#REF!</v>
      </c>
      <c r="DR170" t="e">
        <f>AND(Bills!#REF!,"AAAAAD/+P3k=")</f>
        <v>#REF!</v>
      </c>
      <c r="DS170" t="e">
        <f>AND(Bills!AA621,"AAAAAD/+P3o=")</f>
        <v>#VALUE!</v>
      </c>
      <c r="DT170" t="e">
        <f>AND(Bills!AB621,"AAAAAD/+P3s=")</f>
        <v>#VALUE!</v>
      </c>
      <c r="DU170" t="e">
        <f>AND(Bills!#REF!,"AAAAAD/+P3w=")</f>
        <v>#REF!</v>
      </c>
      <c r="DV170">
        <f>IF(Bills!622:622,"AAAAAD/+P30=",0)</f>
        <v>0</v>
      </c>
      <c r="DW170" t="e">
        <f>AND(Bills!B622,"AAAAAD/+P34=")</f>
        <v>#VALUE!</v>
      </c>
      <c r="DX170" t="e">
        <f>AND(Bills!#REF!,"AAAAAD/+P38=")</f>
        <v>#REF!</v>
      </c>
      <c r="DY170" t="e">
        <f>AND(Bills!C622,"AAAAAD/+P4A=")</f>
        <v>#VALUE!</v>
      </c>
      <c r="DZ170" t="e">
        <f>AND(Bills!#REF!,"AAAAAD/+P4E=")</f>
        <v>#REF!</v>
      </c>
      <c r="EA170" t="e">
        <f>AND(Bills!#REF!,"AAAAAD/+P4I=")</f>
        <v>#REF!</v>
      </c>
      <c r="EB170" t="e">
        <f>AND(Bills!#REF!,"AAAAAD/+P4M=")</f>
        <v>#REF!</v>
      </c>
      <c r="EC170" t="e">
        <f>AND(Bills!#REF!,"AAAAAD/+P4Q=")</f>
        <v>#REF!</v>
      </c>
      <c r="ED170" t="e">
        <f>AND(Bills!#REF!,"AAAAAD/+P4U=")</f>
        <v>#REF!</v>
      </c>
      <c r="EE170" t="e">
        <f>AND(Bills!D622,"AAAAAD/+P4Y=")</f>
        <v>#VALUE!</v>
      </c>
      <c r="EF170" t="e">
        <f>AND(Bills!#REF!,"AAAAAD/+P4c=")</f>
        <v>#REF!</v>
      </c>
      <c r="EG170" t="e">
        <f>AND(Bills!E622,"AAAAAD/+P4g=")</f>
        <v>#VALUE!</v>
      </c>
      <c r="EH170" t="e">
        <f>AND(Bills!F622,"AAAAAD/+P4k=")</f>
        <v>#VALUE!</v>
      </c>
      <c r="EI170" t="e">
        <f>AND(Bills!G622,"AAAAAD/+P4o=")</f>
        <v>#VALUE!</v>
      </c>
      <c r="EJ170" t="e">
        <f>AND(Bills!H622,"AAAAAD/+P4s=")</f>
        <v>#VALUE!</v>
      </c>
      <c r="EK170" t="e">
        <f>AND(Bills!I622,"AAAAAD/+P4w=")</f>
        <v>#VALUE!</v>
      </c>
      <c r="EL170" t="e">
        <f>AND(Bills!J622,"AAAAAD/+P40=")</f>
        <v>#VALUE!</v>
      </c>
      <c r="EM170" t="e">
        <f>AND(Bills!#REF!,"AAAAAD/+P44=")</f>
        <v>#REF!</v>
      </c>
      <c r="EN170" t="e">
        <f>AND(Bills!K622,"AAAAAD/+P48=")</f>
        <v>#VALUE!</v>
      </c>
      <c r="EO170" t="e">
        <f>AND(Bills!L622,"AAAAAD/+P5A=")</f>
        <v>#VALUE!</v>
      </c>
      <c r="EP170" t="e">
        <f>AND(Bills!M622,"AAAAAD/+P5E=")</f>
        <v>#VALUE!</v>
      </c>
      <c r="EQ170" t="e">
        <f>AND(Bills!N622,"AAAAAD/+P5I=")</f>
        <v>#VALUE!</v>
      </c>
      <c r="ER170" t="e">
        <f>AND(Bills!O622,"AAAAAD/+P5M=")</f>
        <v>#VALUE!</v>
      </c>
      <c r="ES170" t="e">
        <f>AND(Bills!P622,"AAAAAD/+P5Q=")</f>
        <v>#VALUE!</v>
      </c>
      <c r="ET170" t="e">
        <f>AND(Bills!Q622,"AAAAAD/+P5U=")</f>
        <v>#VALUE!</v>
      </c>
      <c r="EU170" t="e">
        <f>AND(Bills!R622,"AAAAAD/+P5Y=")</f>
        <v>#VALUE!</v>
      </c>
      <c r="EV170" t="e">
        <f>AND(Bills!#REF!,"AAAAAD/+P5c=")</f>
        <v>#REF!</v>
      </c>
      <c r="EW170" t="e">
        <f>AND(Bills!S622,"AAAAAD/+P5g=")</f>
        <v>#VALUE!</v>
      </c>
      <c r="EX170" t="e">
        <f>AND(Bills!T622,"AAAAAD/+P5k=")</f>
        <v>#VALUE!</v>
      </c>
      <c r="EY170" t="e">
        <f>AND(Bills!U622,"AAAAAD/+P5o=")</f>
        <v>#VALUE!</v>
      </c>
      <c r="EZ170" t="e">
        <f>AND(Bills!#REF!,"AAAAAD/+P5s=")</f>
        <v>#REF!</v>
      </c>
      <c r="FA170" t="e">
        <f>AND(Bills!#REF!,"AAAAAD/+P5w=")</f>
        <v>#REF!</v>
      </c>
      <c r="FB170" t="e">
        <f>AND(Bills!W622,"AAAAAD/+P50=")</f>
        <v>#VALUE!</v>
      </c>
      <c r="FC170" t="e">
        <f>AND(Bills!X622,"AAAAAD/+P54=")</f>
        <v>#VALUE!</v>
      </c>
      <c r="FD170" t="e">
        <f>AND(Bills!#REF!,"AAAAAD/+P58=")</f>
        <v>#REF!</v>
      </c>
      <c r="FE170" t="e">
        <f>AND(Bills!#REF!,"AAAAAD/+P6A=")</f>
        <v>#REF!</v>
      </c>
      <c r="FF170" t="e">
        <f>AND(Bills!#REF!,"AAAAAD/+P6E=")</f>
        <v>#REF!</v>
      </c>
      <c r="FG170" t="e">
        <f>AND(Bills!#REF!,"AAAAAD/+P6I=")</f>
        <v>#REF!</v>
      </c>
      <c r="FH170" t="e">
        <f>AND(Bills!#REF!,"AAAAAD/+P6M=")</f>
        <v>#REF!</v>
      </c>
      <c r="FI170" t="e">
        <f>AND(Bills!#REF!,"AAAAAD/+P6Q=")</f>
        <v>#REF!</v>
      </c>
      <c r="FJ170" t="e">
        <f>AND(Bills!#REF!,"AAAAAD/+P6U=")</f>
        <v>#REF!</v>
      </c>
      <c r="FK170" t="e">
        <f>AND(Bills!#REF!,"AAAAAD/+P6Y=")</f>
        <v>#REF!</v>
      </c>
      <c r="FL170" t="e">
        <f>AND(Bills!#REF!,"AAAAAD/+P6c=")</f>
        <v>#REF!</v>
      </c>
      <c r="FM170" t="e">
        <f>AND(Bills!Y622,"AAAAAD/+P6g=")</f>
        <v>#VALUE!</v>
      </c>
      <c r="FN170" t="e">
        <f>AND(Bills!Z622,"AAAAAD/+P6k=")</f>
        <v>#VALUE!</v>
      </c>
      <c r="FO170" t="e">
        <f>AND(Bills!#REF!,"AAAAAD/+P6o=")</f>
        <v>#REF!</v>
      </c>
      <c r="FP170" t="e">
        <f>AND(Bills!#REF!,"AAAAAD/+P6s=")</f>
        <v>#REF!</v>
      </c>
      <c r="FQ170" t="e">
        <f>AND(Bills!#REF!,"AAAAAD/+P6w=")</f>
        <v>#REF!</v>
      </c>
      <c r="FR170" t="e">
        <f>AND(Bills!AA622,"AAAAAD/+P60=")</f>
        <v>#VALUE!</v>
      </c>
      <c r="FS170" t="e">
        <f>AND(Bills!AB622,"AAAAAD/+P64=")</f>
        <v>#VALUE!</v>
      </c>
      <c r="FT170" t="e">
        <f>AND(Bills!#REF!,"AAAAAD/+P68=")</f>
        <v>#REF!</v>
      </c>
      <c r="FU170">
        <f>IF(Bills!623:623,"AAAAAD/+P7A=",0)</f>
        <v>0</v>
      </c>
      <c r="FV170" t="e">
        <f>AND(Bills!B623,"AAAAAD/+P7E=")</f>
        <v>#VALUE!</v>
      </c>
      <c r="FW170" t="e">
        <f>AND(Bills!#REF!,"AAAAAD/+P7I=")</f>
        <v>#REF!</v>
      </c>
      <c r="FX170" t="e">
        <f>AND(Bills!C623,"AAAAAD/+P7M=")</f>
        <v>#VALUE!</v>
      </c>
      <c r="FY170" t="e">
        <f>AND(Bills!#REF!,"AAAAAD/+P7Q=")</f>
        <v>#REF!</v>
      </c>
      <c r="FZ170" t="e">
        <f>AND(Bills!#REF!,"AAAAAD/+P7U=")</f>
        <v>#REF!</v>
      </c>
      <c r="GA170" t="e">
        <f>AND(Bills!#REF!,"AAAAAD/+P7Y=")</f>
        <v>#REF!</v>
      </c>
      <c r="GB170" t="e">
        <f>AND(Bills!#REF!,"AAAAAD/+P7c=")</f>
        <v>#REF!</v>
      </c>
      <c r="GC170" t="e">
        <f>AND(Bills!#REF!,"AAAAAD/+P7g=")</f>
        <v>#REF!</v>
      </c>
      <c r="GD170" t="e">
        <f>AND(Bills!D623,"AAAAAD/+P7k=")</f>
        <v>#VALUE!</v>
      </c>
      <c r="GE170" t="e">
        <f>AND(Bills!#REF!,"AAAAAD/+P7o=")</f>
        <v>#REF!</v>
      </c>
      <c r="GF170" t="e">
        <f>AND(Bills!E623,"AAAAAD/+P7s=")</f>
        <v>#VALUE!</v>
      </c>
      <c r="GG170" t="e">
        <f>AND(Bills!F623,"AAAAAD/+P7w=")</f>
        <v>#VALUE!</v>
      </c>
      <c r="GH170" t="e">
        <f>AND(Bills!G623,"AAAAAD/+P70=")</f>
        <v>#VALUE!</v>
      </c>
      <c r="GI170" t="e">
        <f>AND(Bills!H623,"AAAAAD/+P74=")</f>
        <v>#VALUE!</v>
      </c>
      <c r="GJ170" t="e">
        <f>AND(Bills!I623,"AAAAAD/+P78=")</f>
        <v>#VALUE!</v>
      </c>
      <c r="GK170" t="e">
        <f>AND(Bills!J623,"AAAAAD/+P8A=")</f>
        <v>#VALUE!</v>
      </c>
      <c r="GL170" t="e">
        <f>AND(Bills!#REF!,"AAAAAD/+P8E=")</f>
        <v>#REF!</v>
      </c>
      <c r="GM170" t="e">
        <f>AND(Bills!K623,"AAAAAD/+P8I=")</f>
        <v>#VALUE!</v>
      </c>
      <c r="GN170" t="e">
        <f>AND(Bills!L623,"AAAAAD/+P8M=")</f>
        <v>#VALUE!</v>
      </c>
      <c r="GO170" t="e">
        <f>AND(Bills!M623,"AAAAAD/+P8Q=")</f>
        <v>#VALUE!</v>
      </c>
      <c r="GP170" t="e">
        <f>AND(Bills!N623,"AAAAAD/+P8U=")</f>
        <v>#VALUE!</v>
      </c>
      <c r="GQ170" t="e">
        <f>AND(Bills!O623,"AAAAAD/+P8Y=")</f>
        <v>#VALUE!</v>
      </c>
      <c r="GR170" t="e">
        <f>AND(Bills!P623,"AAAAAD/+P8c=")</f>
        <v>#VALUE!</v>
      </c>
      <c r="GS170" t="e">
        <f>AND(Bills!Q623,"AAAAAD/+P8g=")</f>
        <v>#VALUE!</v>
      </c>
      <c r="GT170" t="e">
        <f>AND(Bills!R623,"AAAAAD/+P8k=")</f>
        <v>#VALUE!</v>
      </c>
      <c r="GU170" t="e">
        <f>AND(Bills!#REF!,"AAAAAD/+P8o=")</f>
        <v>#REF!</v>
      </c>
      <c r="GV170" t="e">
        <f>AND(Bills!S623,"AAAAAD/+P8s=")</f>
        <v>#VALUE!</v>
      </c>
      <c r="GW170" t="e">
        <f>AND(Bills!T623,"AAAAAD/+P8w=")</f>
        <v>#VALUE!</v>
      </c>
      <c r="GX170" t="e">
        <f>AND(Bills!U623,"AAAAAD/+P80=")</f>
        <v>#VALUE!</v>
      </c>
      <c r="GY170" t="e">
        <f>AND(Bills!#REF!,"AAAAAD/+P84=")</f>
        <v>#REF!</v>
      </c>
      <c r="GZ170" t="e">
        <f>AND(Bills!#REF!,"AAAAAD/+P88=")</f>
        <v>#REF!</v>
      </c>
      <c r="HA170" t="e">
        <f>AND(Bills!W623,"AAAAAD/+P9A=")</f>
        <v>#VALUE!</v>
      </c>
      <c r="HB170" t="e">
        <f>AND(Bills!X623,"AAAAAD/+P9E=")</f>
        <v>#VALUE!</v>
      </c>
      <c r="HC170" t="e">
        <f>AND(Bills!#REF!,"AAAAAD/+P9I=")</f>
        <v>#REF!</v>
      </c>
      <c r="HD170" t="e">
        <f>AND(Bills!#REF!,"AAAAAD/+P9M=")</f>
        <v>#REF!</v>
      </c>
      <c r="HE170" t="e">
        <f>AND(Bills!#REF!,"AAAAAD/+P9Q=")</f>
        <v>#REF!</v>
      </c>
      <c r="HF170" t="e">
        <f>AND(Bills!#REF!,"AAAAAD/+P9U=")</f>
        <v>#REF!</v>
      </c>
      <c r="HG170" t="e">
        <f>AND(Bills!#REF!,"AAAAAD/+P9Y=")</f>
        <v>#REF!</v>
      </c>
      <c r="HH170" t="e">
        <f>AND(Bills!#REF!,"AAAAAD/+P9c=")</f>
        <v>#REF!</v>
      </c>
      <c r="HI170" t="e">
        <f>AND(Bills!#REF!,"AAAAAD/+P9g=")</f>
        <v>#REF!</v>
      </c>
      <c r="HJ170" t="e">
        <f>AND(Bills!#REF!,"AAAAAD/+P9k=")</f>
        <v>#REF!</v>
      </c>
      <c r="HK170" t="e">
        <f>AND(Bills!#REF!,"AAAAAD/+P9o=")</f>
        <v>#REF!</v>
      </c>
      <c r="HL170" t="e">
        <f>AND(Bills!Y623,"AAAAAD/+P9s=")</f>
        <v>#VALUE!</v>
      </c>
      <c r="HM170" t="e">
        <f>AND(Bills!Z623,"AAAAAD/+P9w=")</f>
        <v>#VALUE!</v>
      </c>
      <c r="HN170" t="e">
        <f>AND(Bills!#REF!,"AAAAAD/+P90=")</f>
        <v>#REF!</v>
      </c>
      <c r="HO170" t="e">
        <f>AND(Bills!#REF!,"AAAAAD/+P94=")</f>
        <v>#REF!</v>
      </c>
      <c r="HP170" t="e">
        <f>AND(Bills!#REF!,"AAAAAD/+P98=")</f>
        <v>#REF!</v>
      </c>
      <c r="HQ170" t="e">
        <f>AND(Bills!AA623,"AAAAAD/+P+A=")</f>
        <v>#VALUE!</v>
      </c>
      <c r="HR170" t="e">
        <f>AND(Bills!AB623,"AAAAAD/+P+E=")</f>
        <v>#VALUE!</v>
      </c>
      <c r="HS170" t="e">
        <f>AND(Bills!#REF!,"AAAAAD/+P+I=")</f>
        <v>#REF!</v>
      </c>
      <c r="HT170">
        <f>IF(Bills!624:624,"AAAAAD/+P+M=",0)</f>
        <v>0</v>
      </c>
      <c r="HU170" t="e">
        <f>AND(Bills!B624,"AAAAAD/+P+Q=")</f>
        <v>#VALUE!</v>
      </c>
      <c r="HV170" t="e">
        <f>AND(Bills!#REF!,"AAAAAD/+P+U=")</f>
        <v>#REF!</v>
      </c>
      <c r="HW170" t="e">
        <f>AND(Bills!C624,"AAAAAD/+P+Y=")</f>
        <v>#VALUE!</v>
      </c>
      <c r="HX170" t="e">
        <f>AND(Bills!#REF!,"AAAAAD/+P+c=")</f>
        <v>#REF!</v>
      </c>
      <c r="HY170" t="e">
        <f>AND(Bills!#REF!,"AAAAAD/+P+g=")</f>
        <v>#REF!</v>
      </c>
      <c r="HZ170" t="e">
        <f>AND(Bills!#REF!,"AAAAAD/+P+k=")</f>
        <v>#REF!</v>
      </c>
      <c r="IA170" t="e">
        <f>AND(Bills!#REF!,"AAAAAD/+P+o=")</f>
        <v>#REF!</v>
      </c>
      <c r="IB170" t="e">
        <f>AND(Bills!#REF!,"AAAAAD/+P+s=")</f>
        <v>#REF!</v>
      </c>
      <c r="IC170" t="e">
        <f>AND(Bills!D624,"AAAAAD/+P+w=")</f>
        <v>#VALUE!</v>
      </c>
      <c r="ID170" t="e">
        <f>AND(Bills!#REF!,"AAAAAD/+P+0=")</f>
        <v>#REF!</v>
      </c>
      <c r="IE170" t="e">
        <f>AND(Bills!E624,"AAAAAD/+P+4=")</f>
        <v>#VALUE!</v>
      </c>
      <c r="IF170" t="e">
        <f>AND(Bills!F624,"AAAAAD/+P+8=")</f>
        <v>#VALUE!</v>
      </c>
      <c r="IG170" t="e">
        <f>AND(Bills!G624,"AAAAAD/+P/A=")</f>
        <v>#VALUE!</v>
      </c>
      <c r="IH170" t="e">
        <f>AND(Bills!H624,"AAAAAD/+P/E=")</f>
        <v>#VALUE!</v>
      </c>
      <c r="II170" t="e">
        <f>AND(Bills!I624,"AAAAAD/+P/I=")</f>
        <v>#VALUE!</v>
      </c>
      <c r="IJ170" t="e">
        <f>AND(Bills!J624,"AAAAAD/+P/M=")</f>
        <v>#VALUE!</v>
      </c>
      <c r="IK170" t="e">
        <f>AND(Bills!#REF!,"AAAAAD/+P/Q=")</f>
        <v>#REF!</v>
      </c>
      <c r="IL170" t="e">
        <f>AND(Bills!K624,"AAAAAD/+P/U=")</f>
        <v>#VALUE!</v>
      </c>
      <c r="IM170" t="e">
        <f>AND(Bills!L624,"AAAAAD/+P/Y=")</f>
        <v>#VALUE!</v>
      </c>
      <c r="IN170" t="e">
        <f>AND(Bills!M624,"AAAAAD/+P/c=")</f>
        <v>#VALUE!</v>
      </c>
      <c r="IO170" t="e">
        <f>AND(Bills!N624,"AAAAAD/+P/g=")</f>
        <v>#VALUE!</v>
      </c>
      <c r="IP170" t="e">
        <f>AND(Bills!O624,"AAAAAD/+P/k=")</f>
        <v>#VALUE!</v>
      </c>
      <c r="IQ170" t="e">
        <f>AND(Bills!P624,"AAAAAD/+P/o=")</f>
        <v>#VALUE!</v>
      </c>
      <c r="IR170" t="e">
        <f>AND(Bills!Q624,"AAAAAD/+P/s=")</f>
        <v>#VALUE!</v>
      </c>
      <c r="IS170" t="e">
        <f>AND(Bills!R624,"AAAAAD/+P/w=")</f>
        <v>#VALUE!</v>
      </c>
      <c r="IT170" t="e">
        <f>AND(Bills!#REF!,"AAAAAD/+P/0=")</f>
        <v>#REF!</v>
      </c>
      <c r="IU170" t="e">
        <f>AND(Bills!S624,"AAAAAD/+P/4=")</f>
        <v>#VALUE!</v>
      </c>
      <c r="IV170" t="e">
        <f>AND(Bills!T624,"AAAAAD/+P/8=")</f>
        <v>#VALUE!</v>
      </c>
    </row>
    <row r="171" spans="1:256">
      <c r="A171" t="e">
        <f>AND(Bills!U624,"AAAAAH087wA=")</f>
        <v>#VALUE!</v>
      </c>
      <c r="B171" t="e">
        <f>AND(Bills!#REF!,"AAAAAH087wE=")</f>
        <v>#REF!</v>
      </c>
      <c r="C171" t="e">
        <f>AND(Bills!#REF!,"AAAAAH087wI=")</f>
        <v>#REF!</v>
      </c>
      <c r="D171" t="e">
        <f>AND(Bills!W624,"AAAAAH087wM=")</f>
        <v>#VALUE!</v>
      </c>
      <c r="E171" t="e">
        <f>AND(Bills!X624,"AAAAAH087wQ=")</f>
        <v>#VALUE!</v>
      </c>
      <c r="F171" t="e">
        <f>AND(Bills!#REF!,"AAAAAH087wU=")</f>
        <v>#REF!</v>
      </c>
      <c r="G171" t="e">
        <f>AND(Bills!#REF!,"AAAAAH087wY=")</f>
        <v>#REF!</v>
      </c>
      <c r="H171" t="e">
        <f>AND(Bills!#REF!,"AAAAAH087wc=")</f>
        <v>#REF!</v>
      </c>
      <c r="I171" t="e">
        <f>AND(Bills!#REF!,"AAAAAH087wg=")</f>
        <v>#REF!</v>
      </c>
      <c r="J171" t="e">
        <f>AND(Bills!#REF!,"AAAAAH087wk=")</f>
        <v>#REF!</v>
      </c>
      <c r="K171" t="e">
        <f>AND(Bills!#REF!,"AAAAAH087wo=")</f>
        <v>#REF!</v>
      </c>
      <c r="L171" t="e">
        <f>AND(Bills!#REF!,"AAAAAH087ws=")</f>
        <v>#REF!</v>
      </c>
      <c r="M171" t="e">
        <f>AND(Bills!#REF!,"AAAAAH087ww=")</f>
        <v>#REF!</v>
      </c>
      <c r="N171" t="e">
        <f>AND(Bills!#REF!,"AAAAAH087w0=")</f>
        <v>#REF!</v>
      </c>
      <c r="O171" t="e">
        <f>AND(Bills!Y624,"AAAAAH087w4=")</f>
        <v>#VALUE!</v>
      </c>
      <c r="P171" t="e">
        <f>AND(Bills!Z624,"AAAAAH087w8=")</f>
        <v>#VALUE!</v>
      </c>
      <c r="Q171" t="e">
        <f>AND(Bills!#REF!,"AAAAAH087xA=")</f>
        <v>#REF!</v>
      </c>
      <c r="R171" t="e">
        <f>AND(Bills!#REF!,"AAAAAH087xE=")</f>
        <v>#REF!</v>
      </c>
      <c r="S171" t="e">
        <f>AND(Bills!#REF!,"AAAAAH087xI=")</f>
        <v>#REF!</v>
      </c>
      <c r="T171" t="e">
        <f>AND(Bills!AA624,"AAAAAH087xM=")</f>
        <v>#VALUE!</v>
      </c>
      <c r="U171" t="e">
        <f>AND(Bills!AB624,"AAAAAH087xQ=")</f>
        <v>#VALUE!</v>
      </c>
      <c r="V171" t="e">
        <f>AND(Bills!#REF!,"AAAAAH087xU=")</f>
        <v>#REF!</v>
      </c>
      <c r="W171">
        <f>IF(Bills!625:625,"AAAAAH087xY=",0)</f>
        <v>0</v>
      </c>
      <c r="X171" t="e">
        <f>AND(Bills!B625,"AAAAAH087xc=")</f>
        <v>#VALUE!</v>
      </c>
      <c r="Y171" t="e">
        <f>AND(Bills!#REF!,"AAAAAH087xg=")</f>
        <v>#REF!</v>
      </c>
      <c r="Z171" t="e">
        <f>AND(Bills!C625,"AAAAAH087xk=")</f>
        <v>#VALUE!</v>
      </c>
      <c r="AA171" t="e">
        <f>AND(Bills!#REF!,"AAAAAH087xo=")</f>
        <v>#REF!</v>
      </c>
      <c r="AB171" t="e">
        <f>AND(Bills!#REF!,"AAAAAH087xs=")</f>
        <v>#REF!</v>
      </c>
      <c r="AC171" t="e">
        <f>AND(Bills!#REF!,"AAAAAH087xw=")</f>
        <v>#REF!</v>
      </c>
      <c r="AD171" t="e">
        <f>AND(Bills!#REF!,"AAAAAH087x0=")</f>
        <v>#REF!</v>
      </c>
      <c r="AE171" t="e">
        <f>AND(Bills!#REF!,"AAAAAH087x4=")</f>
        <v>#REF!</v>
      </c>
      <c r="AF171" t="e">
        <f>AND(Bills!D625,"AAAAAH087x8=")</f>
        <v>#VALUE!</v>
      </c>
      <c r="AG171" t="e">
        <f>AND(Bills!#REF!,"AAAAAH087yA=")</f>
        <v>#REF!</v>
      </c>
      <c r="AH171" t="e">
        <f>AND(Bills!E625,"AAAAAH087yE=")</f>
        <v>#VALUE!</v>
      </c>
      <c r="AI171" t="e">
        <f>AND(Bills!F625,"AAAAAH087yI=")</f>
        <v>#VALUE!</v>
      </c>
      <c r="AJ171" t="e">
        <f>AND(Bills!G625,"AAAAAH087yM=")</f>
        <v>#VALUE!</v>
      </c>
      <c r="AK171" t="e">
        <f>AND(Bills!H625,"AAAAAH087yQ=")</f>
        <v>#VALUE!</v>
      </c>
      <c r="AL171" t="e">
        <f>AND(Bills!I625,"AAAAAH087yU=")</f>
        <v>#VALUE!</v>
      </c>
      <c r="AM171" t="e">
        <f>AND(Bills!J625,"AAAAAH087yY=")</f>
        <v>#VALUE!</v>
      </c>
      <c r="AN171" t="e">
        <f>AND(Bills!#REF!,"AAAAAH087yc=")</f>
        <v>#REF!</v>
      </c>
      <c r="AO171" t="e">
        <f>AND(Bills!K625,"AAAAAH087yg=")</f>
        <v>#VALUE!</v>
      </c>
      <c r="AP171" t="e">
        <f>AND(Bills!L625,"AAAAAH087yk=")</f>
        <v>#VALUE!</v>
      </c>
      <c r="AQ171" t="e">
        <f>AND(Bills!M625,"AAAAAH087yo=")</f>
        <v>#VALUE!</v>
      </c>
      <c r="AR171" t="e">
        <f>AND(Bills!N625,"AAAAAH087ys=")</f>
        <v>#VALUE!</v>
      </c>
      <c r="AS171" t="e">
        <f>AND(Bills!O625,"AAAAAH087yw=")</f>
        <v>#VALUE!</v>
      </c>
      <c r="AT171" t="e">
        <f>AND(Bills!P625,"AAAAAH087y0=")</f>
        <v>#VALUE!</v>
      </c>
      <c r="AU171" t="e">
        <f>AND(Bills!Q625,"AAAAAH087y4=")</f>
        <v>#VALUE!</v>
      </c>
      <c r="AV171" t="e">
        <f>AND(Bills!R625,"AAAAAH087y8=")</f>
        <v>#VALUE!</v>
      </c>
      <c r="AW171" t="e">
        <f>AND(Bills!#REF!,"AAAAAH087zA=")</f>
        <v>#REF!</v>
      </c>
      <c r="AX171" t="e">
        <f>AND(Bills!S625,"AAAAAH087zE=")</f>
        <v>#VALUE!</v>
      </c>
      <c r="AY171" t="e">
        <f>AND(Bills!T625,"AAAAAH087zI=")</f>
        <v>#VALUE!</v>
      </c>
      <c r="AZ171" t="e">
        <f>AND(Bills!U625,"AAAAAH087zM=")</f>
        <v>#VALUE!</v>
      </c>
      <c r="BA171" t="e">
        <f>AND(Bills!#REF!,"AAAAAH087zQ=")</f>
        <v>#REF!</v>
      </c>
      <c r="BB171" t="e">
        <f>AND(Bills!#REF!,"AAAAAH087zU=")</f>
        <v>#REF!</v>
      </c>
      <c r="BC171" t="e">
        <f>AND(Bills!W625,"AAAAAH087zY=")</f>
        <v>#VALUE!</v>
      </c>
      <c r="BD171" t="e">
        <f>AND(Bills!X625,"AAAAAH087zc=")</f>
        <v>#VALUE!</v>
      </c>
      <c r="BE171" t="e">
        <f>AND(Bills!#REF!,"AAAAAH087zg=")</f>
        <v>#REF!</v>
      </c>
      <c r="BF171" t="e">
        <f>AND(Bills!#REF!,"AAAAAH087zk=")</f>
        <v>#REF!</v>
      </c>
      <c r="BG171" t="e">
        <f>AND(Bills!#REF!,"AAAAAH087zo=")</f>
        <v>#REF!</v>
      </c>
      <c r="BH171" t="e">
        <f>AND(Bills!#REF!,"AAAAAH087zs=")</f>
        <v>#REF!</v>
      </c>
      <c r="BI171" t="e">
        <f>AND(Bills!#REF!,"AAAAAH087zw=")</f>
        <v>#REF!</v>
      </c>
      <c r="BJ171" t="e">
        <f>AND(Bills!#REF!,"AAAAAH087z0=")</f>
        <v>#REF!</v>
      </c>
      <c r="BK171" t="e">
        <f>AND(Bills!#REF!,"AAAAAH087z4=")</f>
        <v>#REF!</v>
      </c>
      <c r="BL171" t="e">
        <f>AND(Bills!#REF!,"AAAAAH087z8=")</f>
        <v>#REF!</v>
      </c>
      <c r="BM171" t="e">
        <f>AND(Bills!#REF!,"AAAAAH0870A=")</f>
        <v>#REF!</v>
      </c>
      <c r="BN171" t="e">
        <f>AND(Bills!Y625,"AAAAAH0870E=")</f>
        <v>#VALUE!</v>
      </c>
      <c r="BO171" t="e">
        <f>AND(Bills!Z625,"AAAAAH0870I=")</f>
        <v>#VALUE!</v>
      </c>
      <c r="BP171" t="e">
        <f>AND(Bills!#REF!,"AAAAAH0870M=")</f>
        <v>#REF!</v>
      </c>
      <c r="BQ171" t="e">
        <f>AND(Bills!#REF!,"AAAAAH0870Q=")</f>
        <v>#REF!</v>
      </c>
      <c r="BR171" t="e">
        <f>AND(Bills!#REF!,"AAAAAH0870U=")</f>
        <v>#REF!</v>
      </c>
      <c r="BS171" t="e">
        <f>AND(Bills!AA625,"AAAAAH0870Y=")</f>
        <v>#VALUE!</v>
      </c>
      <c r="BT171" t="e">
        <f>AND(Bills!AB625,"AAAAAH0870c=")</f>
        <v>#VALUE!</v>
      </c>
      <c r="BU171" t="e">
        <f>AND(Bills!#REF!,"AAAAAH0870g=")</f>
        <v>#REF!</v>
      </c>
      <c r="BV171">
        <f>IF(Bills!626:626,"AAAAAH0870k=",0)</f>
        <v>0</v>
      </c>
      <c r="BW171" t="e">
        <f>AND(Bills!B626,"AAAAAH0870o=")</f>
        <v>#VALUE!</v>
      </c>
      <c r="BX171" t="e">
        <f>AND(Bills!#REF!,"AAAAAH0870s=")</f>
        <v>#REF!</v>
      </c>
      <c r="BY171" t="e">
        <f>AND(Bills!C626,"AAAAAH0870w=")</f>
        <v>#VALUE!</v>
      </c>
      <c r="BZ171" t="e">
        <f>AND(Bills!#REF!,"AAAAAH08700=")</f>
        <v>#REF!</v>
      </c>
      <c r="CA171" t="e">
        <f>AND(Bills!#REF!,"AAAAAH08704=")</f>
        <v>#REF!</v>
      </c>
      <c r="CB171" t="e">
        <f>AND(Bills!#REF!,"AAAAAH08708=")</f>
        <v>#REF!</v>
      </c>
      <c r="CC171" t="e">
        <f>AND(Bills!#REF!,"AAAAAH0871A=")</f>
        <v>#REF!</v>
      </c>
      <c r="CD171" t="e">
        <f>AND(Bills!#REF!,"AAAAAH0871E=")</f>
        <v>#REF!</v>
      </c>
      <c r="CE171" t="e">
        <f>AND(Bills!D626,"AAAAAH0871I=")</f>
        <v>#VALUE!</v>
      </c>
      <c r="CF171" t="e">
        <f>AND(Bills!#REF!,"AAAAAH0871M=")</f>
        <v>#REF!</v>
      </c>
      <c r="CG171" t="e">
        <f>AND(Bills!E626,"AAAAAH0871Q=")</f>
        <v>#VALUE!</v>
      </c>
      <c r="CH171" t="e">
        <f>AND(Bills!F626,"AAAAAH0871U=")</f>
        <v>#VALUE!</v>
      </c>
      <c r="CI171" t="e">
        <f>AND(Bills!G626,"AAAAAH0871Y=")</f>
        <v>#VALUE!</v>
      </c>
      <c r="CJ171" t="e">
        <f>AND(Bills!H626,"AAAAAH0871c=")</f>
        <v>#VALUE!</v>
      </c>
      <c r="CK171" t="e">
        <f>AND(Bills!I626,"AAAAAH0871g=")</f>
        <v>#VALUE!</v>
      </c>
      <c r="CL171" t="e">
        <f>AND(Bills!J626,"AAAAAH0871k=")</f>
        <v>#VALUE!</v>
      </c>
      <c r="CM171" t="e">
        <f>AND(Bills!#REF!,"AAAAAH0871o=")</f>
        <v>#REF!</v>
      </c>
      <c r="CN171" t="e">
        <f>AND(Bills!K626,"AAAAAH0871s=")</f>
        <v>#VALUE!</v>
      </c>
      <c r="CO171" t="e">
        <f>AND(Bills!L626,"AAAAAH0871w=")</f>
        <v>#VALUE!</v>
      </c>
      <c r="CP171" t="e">
        <f>AND(Bills!M626,"AAAAAH08710=")</f>
        <v>#VALUE!</v>
      </c>
      <c r="CQ171" t="e">
        <f>AND(Bills!N626,"AAAAAH08714=")</f>
        <v>#VALUE!</v>
      </c>
      <c r="CR171" t="e">
        <f>AND(Bills!O626,"AAAAAH08718=")</f>
        <v>#VALUE!</v>
      </c>
      <c r="CS171" t="e">
        <f>AND(Bills!P626,"AAAAAH0872A=")</f>
        <v>#VALUE!</v>
      </c>
      <c r="CT171" t="e">
        <f>AND(Bills!Q626,"AAAAAH0872E=")</f>
        <v>#VALUE!</v>
      </c>
      <c r="CU171" t="e">
        <f>AND(Bills!R626,"AAAAAH0872I=")</f>
        <v>#VALUE!</v>
      </c>
      <c r="CV171" t="e">
        <f>AND(Bills!#REF!,"AAAAAH0872M=")</f>
        <v>#REF!</v>
      </c>
      <c r="CW171" t="e">
        <f>AND(Bills!S626,"AAAAAH0872Q=")</f>
        <v>#VALUE!</v>
      </c>
      <c r="CX171" t="e">
        <f>AND(Bills!T626,"AAAAAH0872U=")</f>
        <v>#VALUE!</v>
      </c>
      <c r="CY171" t="e">
        <f>AND(Bills!U626,"AAAAAH0872Y=")</f>
        <v>#VALUE!</v>
      </c>
      <c r="CZ171" t="e">
        <f>AND(Bills!#REF!,"AAAAAH0872c=")</f>
        <v>#REF!</v>
      </c>
      <c r="DA171" t="e">
        <f>AND(Bills!#REF!,"AAAAAH0872g=")</f>
        <v>#REF!</v>
      </c>
      <c r="DB171" t="e">
        <f>AND(Bills!W626,"AAAAAH0872k=")</f>
        <v>#VALUE!</v>
      </c>
      <c r="DC171" t="e">
        <f>AND(Bills!X626,"AAAAAH0872o=")</f>
        <v>#VALUE!</v>
      </c>
      <c r="DD171" t="e">
        <f>AND(Bills!#REF!,"AAAAAH0872s=")</f>
        <v>#REF!</v>
      </c>
      <c r="DE171" t="e">
        <f>AND(Bills!#REF!,"AAAAAH0872w=")</f>
        <v>#REF!</v>
      </c>
      <c r="DF171" t="e">
        <f>AND(Bills!#REF!,"AAAAAH08720=")</f>
        <v>#REF!</v>
      </c>
      <c r="DG171" t="e">
        <f>AND(Bills!#REF!,"AAAAAH08724=")</f>
        <v>#REF!</v>
      </c>
      <c r="DH171" t="e">
        <f>AND(Bills!#REF!,"AAAAAH08728=")</f>
        <v>#REF!</v>
      </c>
      <c r="DI171" t="e">
        <f>AND(Bills!#REF!,"AAAAAH0873A=")</f>
        <v>#REF!</v>
      </c>
      <c r="DJ171" t="e">
        <f>AND(Bills!#REF!,"AAAAAH0873E=")</f>
        <v>#REF!</v>
      </c>
      <c r="DK171" t="e">
        <f>AND(Bills!#REF!,"AAAAAH0873I=")</f>
        <v>#REF!</v>
      </c>
      <c r="DL171" t="e">
        <f>AND(Bills!#REF!,"AAAAAH0873M=")</f>
        <v>#REF!</v>
      </c>
      <c r="DM171" t="e">
        <f>AND(Bills!Y626,"AAAAAH0873Q=")</f>
        <v>#VALUE!</v>
      </c>
      <c r="DN171" t="e">
        <f>AND(Bills!Z626,"AAAAAH0873U=")</f>
        <v>#VALUE!</v>
      </c>
      <c r="DO171" t="e">
        <f>AND(Bills!#REF!,"AAAAAH0873Y=")</f>
        <v>#REF!</v>
      </c>
      <c r="DP171" t="e">
        <f>AND(Bills!#REF!,"AAAAAH0873c=")</f>
        <v>#REF!</v>
      </c>
      <c r="DQ171" t="e">
        <f>AND(Bills!#REF!,"AAAAAH0873g=")</f>
        <v>#REF!</v>
      </c>
      <c r="DR171" t="e">
        <f>AND(Bills!AA626,"AAAAAH0873k=")</f>
        <v>#VALUE!</v>
      </c>
      <c r="DS171" t="e">
        <f>AND(Bills!AB626,"AAAAAH0873o=")</f>
        <v>#VALUE!</v>
      </c>
      <c r="DT171" t="e">
        <f>AND(Bills!#REF!,"AAAAAH0873s=")</f>
        <v>#REF!</v>
      </c>
      <c r="DU171">
        <f>IF(Bills!627:627,"AAAAAH0873w=",0)</f>
        <v>0</v>
      </c>
      <c r="DV171" t="e">
        <f>AND(Bills!B627,"AAAAAH08730=")</f>
        <v>#VALUE!</v>
      </c>
      <c r="DW171" t="e">
        <f>AND(Bills!#REF!,"AAAAAH08734=")</f>
        <v>#REF!</v>
      </c>
      <c r="DX171" t="e">
        <f>AND(Bills!C627,"AAAAAH08738=")</f>
        <v>#VALUE!</v>
      </c>
      <c r="DY171" t="e">
        <f>AND(Bills!#REF!,"AAAAAH0874A=")</f>
        <v>#REF!</v>
      </c>
      <c r="DZ171" t="e">
        <f>AND(Bills!#REF!,"AAAAAH0874E=")</f>
        <v>#REF!</v>
      </c>
      <c r="EA171" t="e">
        <f>AND(Bills!#REF!,"AAAAAH0874I=")</f>
        <v>#REF!</v>
      </c>
      <c r="EB171" t="e">
        <f>AND(Bills!#REF!,"AAAAAH0874M=")</f>
        <v>#REF!</v>
      </c>
      <c r="EC171" t="e">
        <f>AND(Bills!#REF!,"AAAAAH0874Q=")</f>
        <v>#REF!</v>
      </c>
      <c r="ED171" t="e">
        <f>AND(Bills!D627,"AAAAAH0874U=")</f>
        <v>#VALUE!</v>
      </c>
      <c r="EE171" t="e">
        <f>AND(Bills!#REF!,"AAAAAH0874Y=")</f>
        <v>#REF!</v>
      </c>
      <c r="EF171" t="e">
        <f>AND(Bills!E627,"AAAAAH0874c=")</f>
        <v>#VALUE!</v>
      </c>
      <c r="EG171" t="e">
        <f>AND(Bills!F627,"AAAAAH0874g=")</f>
        <v>#VALUE!</v>
      </c>
      <c r="EH171" t="e">
        <f>AND(Bills!G627,"AAAAAH0874k=")</f>
        <v>#VALUE!</v>
      </c>
      <c r="EI171" t="e">
        <f>AND(Bills!H627,"AAAAAH0874o=")</f>
        <v>#VALUE!</v>
      </c>
      <c r="EJ171" t="e">
        <f>AND(Bills!I627,"AAAAAH0874s=")</f>
        <v>#VALUE!</v>
      </c>
      <c r="EK171" t="e">
        <f>AND(Bills!J627,"AAAAAH0874w=")</f>
        <v>#VALUE!</v>
      </c>
      <c r="EL171" t="e">
        <f>AND(Bills!#REF!,"AAAAAH08740=")</f>
        <v>#REF!</v>
      </c>
      <c r="EM171" t="e">
        <f>AND(Bills!K627,"AAAAAH08744=")</f>
        <v>#VALUE!</v>
      </c>
      <c r="EN171" t="e">
        <f>AND(Bills!L627,"AAAAAH08748=")</f>
        <v>#VALUE!</v>
      </c>
      <c r="EO171" t="e">
        <f>AND(Bills!M627,"AAAAAH0875A=")</f>
        <v>#VALUE!</v>
      </c>
      <c r="EP171" t="e">
        <f>AND(Bills!N627,"AAAAAH0875E=")</f>
        <v>#VALUE!</v>
      </c>
      <c r="EQ171" t="e">
        <f>AND(Bills!O627,"AAAAAH0875I=")</f>
        <v>#VALUE!</v>
      </c>
      <c r="ER171" t="e">
        <f>AND(Bills!P627,"AAAAAH0875M=")</f>
        <v>#VALUE!</v>
      </c>
      <c r="ES171" t="e">
        <f>AND(Bills!Q627,"AAAAAH0875Q=")</f>
        <v>#VALUE!</v>
      </c>
      <c r="ET171" t="e">
        <f>AND(Bills!R627,"AAAAAH0875U=")</f>
        <v>#VALUE!</v>
      </c>
      <c r="EU171" t="e">
        <f>AND(Bills!#REF!,"AAAAAH0875Y=")</f>
        <v>#REF!</v>
      </c>
      <c r="EV171" t="e">
        <f>AND(Bills!S627,"AAAAAH0875c=")</f>
        <v>#VALUE!</v>
      </c>
      <c r="EW171" t="e">
        <f>AND(Bills!T627,"AAAAAH0875g=")</f>
        <v>#VALUE!</v>
      </c>
      <c r="EX171" t="e">
        <f>AND(Bills!U627,"AAAAAH0875k=")</f>
        <v>#VALUE!</v>
      </c>
      <c r="EY171" t="e">
        <f>AND(Bills!#REF!,"AAAAAH0875o=")</f>
        <v>#REF!</v>
      </c>
      <c r="EZ171" t="e">
        <f>AND(Bills!#REF!,"AAAAAH0875s=")</f>
        <v>#REF!</v>
      </c>
      <c r="FA171" t="e">
        <f>AND(Bills!W627,"AAAAAH0875w=")</f>
        <v>#VALUE!</v>
      </c>
      <c r="FB171" t="e">
        <f>AND(Bills!X627,"AAAAAH08750=")</f>
        <v>#VALUE!</v>
      </c>
      <c r="FC171" t="e">
        <f>AND(Bills!#REF!,"AAAAAH08754=")</f>
        <v>#REF!</v>
      </c>
      <c r="FD171" t="e">
        <f>AND(Bills!#REF!,"AAAAAH08758=")</f>
        <v>#REF!</v>
      </c>
      <c r="FE171" t="e">
        <f>AND(Bills!#REF!,"AAAAAH0876A=")</f>
        <v>#REF!</v>
      </c>
      <c r="FF171" t="e">
        <f>AND(Bills!#REF!,"AAAAAH0876E=")</f>
        <v>#REF!</v>
      </c>
      <c r="FG171" t="e">
        <f>AND(Bills!#REF!,"AAAAAH0876I=")</f>
        <v>#REF!</v>
      </c>
      <c r="FH171" t="e">
        <f>AND(Bills!#REF!,"AAAAAH0876M=")</f>
        <v>#REF!</v>
      </c>
      <c r="FI171" t="e">
        <f>AND(Bills!#REF!,"AAAAAH0876Q=")</f>
        <v>#REF!</v>
      </c>
      <c r="FJ171" t="e">
        <f>AND(Bills!#REF!,"AAAAAH0876U=")</f>
        <v>#REF!</v>
      </c>
      <c r="FK171" t="e">
        <f>AND(Bills!#REF!,"AAAAAH0876Y=")</f>
        <v>#REF!</v>
      </c>
      <c r="FL171" t="e">
        <f>AND(Bills!Y627,"AAAAAH0876c=")</f>
        <v>#VALUE!</v>
      </c>
      <c r="FM171" t="e">
        <f>AND(Bills!Z627,"AAAAAH0876g=")</f>
        <v>#VALUE!</v>
      </c>
      <c r="FN171" t="e">
        <f>AND(Bills!#REF!,"AAAAAH0876k=")</f>
        <v>#REF!</v>
      </c>
      <c r="FO171" t="e">
        <f>AND(Bills!#REF!,"AAAAAH0876o=")</f>
        <v>#REF!</v>
      </c>
      <c r="FP171" t="e">
        <f>AND(Bills!#REF!,"AAAAAH0876s=")</f>
        <v>#REF!</v>
      </c>
      <c r="FQ171" t="e">
        <f>AND(Bills!AA627,"AAAAAH0876w=")</f>
        <v>#VALUE!</v>
      </c>
      <c r="FR171" t="e">
        <f>AND(Bills!AB627,"AAAAAH08760=")</f>
        <v>#VALUE!</v>
      </c>
      <c r="FS171" t="e">
        <f>AND(Bills!#REF!,"AAAAAH08764=")</f>
        <v>#REF!</v>
      </c>
      <c r="FT171">
        <f>IF(Bills!628:628,"AAAAAH08768=",0)</f>
        <v>0</v>
      </c>
      <c r="FU171" t="e">
        <f>AND(Bills!B628,"AAAAAH0877A=")</f>
        <v>#VALUE!</v>
      </c>
      <c r="FV171" t="e">
        <f>AND(Bills!#REF!,"AAAAAH0877E=")</f>
        <v>#REF!</v>
      </c>
      <c r="FW171" t="e">
        <f>AND(Bills!C628,"AAAAAH0877I=")</f>
        <v>#VALUE!</v>
      </c>
      <c r="FX171" t="e">
        <f>AND(Bills!#REF!,"AAAAAH0877M=")</f>
        <v>#REF!</v>
      </c>
      <c r="FY171" t="e">
        <f>AND(Bills!#REF!,"AAAAAH0877Q=")</f>
        <v>#REF!</v>
      </c>
      <c r="FZ171" t="e">
        <f>AND(Bills!#REF!,"AAAAAH0877U=")</f>
        <v>#REF!</v>
      </c>
      <c r="GA171" t="e">
        <f>AND(Bills!#REF!,"AAAAAH0877Y=")</f>
        <v>#REF!</v>
      </c>
      <c r="GB171" t="e">
        <f>AND(Bills!#REF!,"AAAAAH0877c=")</f>
        <v>#REF!</v>
      </c>
      <c r="GC171" t="e">
        <f>AND(Bills!D628,"AAAAAH0877g=")</f>
        <v>#VALUE!</v>
      </c>
      <c r="GD171" t="e">
        <f>AND(Bills!#REF!,"AAAAAH0877k=")</f>
        <v>#REF!</v>
      </c>
      <c r="GE171" t="e">
        <f>AND(Bills!E628,"AAAAAH0877o=")</f>
        <v>#VALUE!</v>
      </c>
      <c r="GF171" t="e">
        <f>AND(Bills!F628,"AAAAAH0877s=")</f>
        <v>#VALUE!</v>
      </c>
      <c r="GG171" t="e">
        <f>AND(Bills!G628,"AAAAAH0877w=")</f>
        <v>#VALUE!</v>
      </c>
      <c r="GH171" t="e">
        <f>AND(Bills!H628,"AAAAAH08770=")</f>
        <v>#VALUE!</v>
      </c>
      <c r="GI171" t="e">
        <f>AND(Bills!I628,"AAAAAH08774=")</f>
        <v>#VALUE!</v>
      </c>
      <c r="GJ171" t="e">
        <f>AND(Bills!J628,"AAAAAH08778=")</f>
        <v>#VALUE!</v>
      </c>
      <c r="GK171" t="e">
        <f>AND(Bills!#REF!,"AAAAAH0878A=")</f>
        <v>#REF!</v>
      </c>
      <c r="GL171" t="e">
        <f>AND(Bills!K628,"AAAAAH0878E=")</f>
        <v>#VALUE!</v>
      </c>
      <c r="GM171" t="e">
        <f>AND(Bills!L628,"AAAAAH0878I=")</f>
        <v>#VALUE!</v>
      </c>
      <c r="GN171" t="e">
        <f>AND(Bills!M628,"AAAAAH0878M=")</f>
        <v>#VALUE!</v>
      </c>
      <c r="GO171" t="e">
        <f>AND(Bills!N628,"AAAAAH0878Q=")</f>
        <v>#VALUE!</v>
      </c>
      <c r="GP171" t="e">
        <f>AND(Bills!O628,"AAAAAH0878U=")</f>
        <v>#VALUE!</v>
      </c>
      <c r="GQ171" t="e">
        <f>AND(Bills!P628,"AAAAAH0878Y=")</f>
        <v>#VALUE!</v>
      </c>
      <c r="GR171" t="e">
        <f>AND(Bills!Q628,"AAAAAH0878c=")</f>
        <v>#VALUE!</v>
      </c>
      <c r="GS171" t="e">
        <f>AND(Bills!R628,"AAAAAH0878g=")</f>
        <v>#VALUE!</v>
      </c>
      <c r="GT171" t="e">
        <f>AND(Bills!#REF!,"AAAAAH0878k=")</f>
        <v>#REF!</v>
      </c>
      <c r="GU171" t="e">
        <f>AND(Bills!S628,"AAAAAH0878o=")</f>
        <v>#VALUE!</v>
      </c>
      <c r="GV171" t="e">
        <f>AND(Bills!T628,"AAAAAH0878s=")</f>
        <v>#VALUE!</v>
      </c>
      <c r="GW171" t="e">
        <f>AND(Bills!U628,"AAAAAH0878w=")</f>
        <v>#VALUE!</v>
      </c>
      <c r="GX171" t="e">
        <f>AND(Bills!#REF!,"AAAAAH08780=")</f>
        <v>#REF!</v>
      </c>
      <c r="GY171" t="e">
        <f>AND(Bills!#REF!,"AAAAAH08784=")</f>
        <v>#REF!</v>
      </c>
      <c r="GZ171" t="e">
        <f>AND(Bills!W628,"AAAAAH08788=")</f>
        <v>#VALUE!</v>
      </c>
      <c r="HA171" t="e">
        <f>AND(Bills!X628,"AAAAAH0879A=")</f>
        <v>#VALUE!</v>
      </c>
      <c r="HB171" t="e">
        <f>AND(Bills!#REF!,"AAAAAH0879E=")</f>
        <v>#REF!</v>
      </c>
      <c r="HC171" t="e">
        <f>AND(Bills!#REF!,"AAAAAH0879I=")</f>
        <v>#REF!</v>
      </c>
      <c r="HD171" t="e">
        <f>AND(Bills!#REF!,"AAAAAH0879M=")</f>
        <v>#REF!</v>
      </c>
      <c r="HE171" t="e">
        <f>AND(Bills!#REF!,"AAAAAH0879Q=")</f>
        <v>#REF!</v>
      </c>
      <c r="HF171" t="e">
        <f>AND(Bills!#REF!,"AAAAAH0879U=")</f>
        <v>#REF!</v>
      </c>
      <c r="HG171" t="e">
        <f>AND(Bills!#REF!,"AAAAAH0879Y=")</f>
        <v>#REF!</v>
      </c>
      <c r="HH171" t="e">
        <f>AND(Bills!#REF!,"AAAAAH0879c=")</f>
        <v>#REF!</v>
      </c>
      <c r="HI171" t="e">
        <f>AND(Bills!#REF!,"AAAAAH0879g=")</f>
        <v>#REF!</v>
      </c>
      <c r="HJ171" t="e">
        <f>AND(Bills!#REF!,"AAAAAH0879k=")</f>
        <v>#REF!</v>
      </c>
      <c r="HK171" t="e">
        <f>AND(Bills!Y628,"AAAAAH0879o=")</f>
        <v>#VALUE!</v>
      </c>
      <c r="HL171" t="e">
        <f>AND(Bills!Z628,"AAAAAH0879s=")</f>
        <v>#VALUE!</v>
      </c>
      <c r="HM171" t="e">
        <f>AND(Bills!#REF!,"AAAAAH0879w=")</f>
        <v>#REF!</v>
      </c>
      <c r="HN171" t="e">
        <f>AND(Bills!#REF!,"AAAAAH08790=")</f>
        <v>#REF!</v>
      </c>
      <c r="HO171" t="e">
        <f>AND(Bills!#REF!,"AAAAAH08794=")</f>
        <v>#REF!</v>
      </c>
      <c r="HP171" t="e">
        <f>AND(Bills!AA628,"AAAAAH08798=")</f>
        <v>#VALUE!</v>
      </c>
      <c r="HQ171" t="e">
        <f>AND(Bills!AB628,"AAAAAH087+A=")</f>
        <v>#VALUE!</v>
      </c>
      <c r="HR171" t="e">
        <f>AND(Bills!#REF!,"AAAAAH087+E=")</f>
        <v>#REF!</v>
      </c>
      <c r="HS171">
        <f>IF(Bills!629:629,"AAAAAH087+I=",0)</f>
        <v>0</v>
      </c>
      <c r="HT171" t="e">
        <f>AND(Bills!B629,"AAAAAH087+M=")</f>
        <v>#VALUE!</v>
      </c>
      <c r="HU171" t="e">
        <f>AND(Bills!#REF!,"AAAAAH087+Q=")</f>
        <v>#REF!</v>
      </c>
      <c r="HV171" t="e">
        <f>AND(Bills!C629,"AAAAAH087+U=")</f>
        <v>#VALUE!</v>
      </c>
      <c r="HW171" t="e">
        <f>AND(Bills!#REF!,"AAAAAH087+Y=")</f>
        <v>#REF!</v>
      </c>
      <c r="HX171" t="e">
        <f>AND(Bills!#REF!,"AAAAAH087+c=")</f>
        <v>#REF!</v>
      </c>
      <c r="HY171" t="e">
        <f>AND(Bills!#REF!,"AAAAAH087+g=")</f>
        <v>#REF!</v>
      </c>
      <c r="HZ171" t="e">
        <f>AND(Bills!#REF!,"AAAAAH087+k=")</f>
        <v>#REF!</v>
      </c>
      <c r="IA171" t="e">
        <f>AND(Bills!#REF!,"AAAAAH087+o=")</f>
        <v>#REF!</v>
      </c>
      <c r="IB171" t="e">
        <f>AND(Bills!D629,"AAAAAH087+s=")</f>
        <v>#VALUE!</v>
      </c>
      <c r="IC171" t="e">
        <f>AND(Bills!#REF!,"AAAAAH087+w=")</f>
        <v>#REF!</v>
      </c>
      <c r="ID171" t="e">
        <f>AND(Bills!E629,"AAAAAH087+0=")</f>
        <v>#VALUE!</v>
      </c>
      <c r="IE171" t="e">
        <f>AND(Bills!F629,"AAAAAH087+4=")</f>
        <v>#VALUE!</v>
      </c>
      <c r="IF171" t="e">
        <f>AND(Bills!G629,"AAAAAH087+8=")</f>
        <v>#VALUE!</v>
      </c>
      <c r="IG171" t="e">
        <f>AND(Bills!H629,"AAAAAH087/A=")</f>
        <v>#VALUE!</v>
      </c>
      <c r="IH171" t="e">
        <f>AND(Bills!I629,"AAAAAH087/E=")</f>
        <v>#VALUE!</v>
      </c>
      <c r="II171" t="e">
        <f>AND(Bills!J629,"AAAAAH087/I=")</f>
        <v>#VALUE!</v>
      </c>
      <c r="IJ171" t="e">
        <f>AND(Bills!#REF!,"AAAAAH087/M=")</f>
        <v>#REF!</v>
      </c>
      <c r="IK171" t="e">
        <f>AND(Bills!K629,"AAAAAH087/Q=")</f>
        <v>#VALUE!</v>
      </c>
      <c r="IL171" t="e">
        <f>AND(Bills!L629,"AAAAAH087/U=")</f>
        <v>#VALUE!</v>
      </c>
      <c r="IM171" t="e">
        <f>AND(Bills!M629,"AAAAAH087/Y=")</f>
        <v>#VALUE!</v>
      </c>
      <c r="IN171" t="e">
        <f>AND(Bills!N629,"AAAAAH087/c=")</f>
        <v>#VALUE!</v>
      </c>
      <c r="IO171" t="e">
        <f>AND(Bills!O629,"AAAAAH087/g=")</f>
        <v>#VALUE!</v>
      </c>
      <c r="IP171" t="e">
        <f>AND(Bills!P629,"AAAAAH087/k=")</f>
        <v>#VALUE!</v>
      </c>
      <c r="IQ171" t="e">
        <f>AND(Bills!Q629,"AAAAAH087/o=")</f>
        <v>#VALUE!</v>
      </c>
      <c r="IR171" t="e">
        <f>AND(Bills!R629,"AAAAAH087/s=")</f>
        <v>#VALUE!</v>
      </c>
      <c r="IS171" t="e">
        <f>AND(Bills!#REF!,"AAAAAH087/w=")</f>
        <v>#REF!</v>
      </c>
      <c r="IT171" t="e">
        <f>AND(Bills!S629,"AAAAAH087/0=")</f>
        <v>#VALUE!</v>
      </c>
      <c r="IU171" t="e">
        <f>AND(Bills!T629,"AAAAAH087/4=")</f>
        <v>#VALUE!</v>
      </c>
      <c r="IV171" t="e">
        <f>AND(Bills!U629,"AAAAAH087/8=")</f>
        <v>#VALUE!</v>
      </c>
    </row>
    <row r="172" spans="1:256">
      <c r="A172" t="e">
        <f>AND(Bills!#REF!,"AAAAAGf7/wA=")</f>
        <v>#REF!</v>
      </c>
      <c r="B172" t="e">
        <f>AND(Bills!#REF!,"AAAAAGf7/wE=")</f>
        <v>#REF!</v>
      </c>
      <c r="C172" t="e">
        <f>AND(Bills!W629,"AAAAAGf7/wI=")</f>
        <v>#VALUE!</v>
      </c>
      <c r="D172" t="e">
        <f>AND(Bills!X629,"AAAAAGf7/wM=")</f>
        <v>#VALUE!</v>
      </c>
      <c r="E172" t="e">
        <f>AND(Bills!#REF!,"AAAAAGf7/wQ=")</f>
        <v>#REF!</v>
      </c>
      <c r="F172" t="e">
        <f>AND(Bills!#REF!,"AAAAAGf7/wU=")</f>
        <v>#REF!</v>
      </c>
      <c r="G172" t="e">
        <f>AND(Bills!#REF!,"AAAAAGf7/wY=")</f>
        <v>#REF!</v>
      </c>
      <c r="H172" t="e">
        <f>AND(Bills!#REF!,"AAAAAGf7/wc=")</f>
        <v>#REF!</v>
      </c>
      <c r="I172" t="e">
        <f>AND(Bills!#REF!,"AAAAAGf7/wg=")</f>
        <v>#REF!</v>
      </c>
      <c r="J172" t="e">
        <f>AND(Bills!#REF!,"AAAAAGf7/wk=")</f>
        <v>#REF!</v>
      </c>
      <c r="K172" t="e">
        <f>AND(Bills!#REF!,"AAAAAGf7/wo=")</f>
        <v>#REF!</v>
      </c>
      <c r="L172" t="e">
        <f>AND(Bills!#REF!,"AAAAAGf7/ws=")</f>
        <v>#REF!</v>
      </c>
      <c r="M172" t="e">
        <f>AND(Bills!#REF!,"AAAAAGf7/ww=")</f>
        <v>#REF!</v>
      </c>
      <c r="N172" t="e">
        <f>AND(Bills!Y629,"AAAAAGf7/w0=")</f>
        <v>#VALUE!</v>
      </c>
      <c r="O172" t="e">
        <f>AND(Bills!Z629,"AAAAAGf7/w4=")</f>
        <v>#VALUE!</v>
      </c>
      <c r="P172" t="e">
        <f>AND(Bills!#REF!,"AAAAAGf7/w8=")</f>
        <v>#REF!</v>
      </c>
      <c r="Q172" t="e">
        <f>AND(Bills!#REF!,"AAAAAGf7/xA=")</f>
        <v>#REF!</v>
      </c>
      <c r="R172" t="e">
        <f>AND(Bills!#REF!,"AAAAAGf7/xE=")</f>
        <v>#REF!</v>
      </c>
      <c r="S172" t="e">
        <f>AND(Bills!AA629,"AAAAAGf7/xI=")</f>
        <v>#VALUE!</v>
      </c>
      <c r="T172" t="e">
        <f>AND(Bills!AB629,"AAAAAGf7/xM=")</f>
        <v>#VALUE!</v>
      </c>
      <c r="U172" t="e">
        <f>AND(Bills!#REF!,"AAAAAGf7/xQ=")</f>
        <v>#REF!</v>
      </c>
      <c r="V172">
        <f>IF(Bills!630:630,"AAAAAGf7/xU=",0)</f>
        <v>0</v>
      </c>
      <c r="W172" t="e">
        <f>AND(Bills!B630,"AAAAAGf7/xY=")</f>
        <v>#VALUE!</v>
      </c>
      <c r="X172" t="e">
        <f>AND(Bills!#REF!,"AAAAAGf7/xc=")</f>
        <v>#REF!</v>
      </c>
      <c r="Y172" t="e">
        <f>AND(Bills!C630,"AAAAAGf7/xg=")</f>
        <v>#VALUE!</v>
      </c>
      <c r="Z172" t="e">
        <f>AND(Bills!#REF!,"AAAAAGf7/xk=")</f>
        <v>#REF!</v>
      </c>
      <c r="AA172" t="e">
        <f>AND(Bills!#REF!,"AAAAAGf7/xo=")</f>
        <v>#REF!</v>
      </c>
      <c r="AB172" t="e">
        <f>AND(Bills!#REF!,"AAAAAGf7/xs=")</f>
        <v>#REF!</v>
      </c>
      <c r="AC172" t="e">
        <f>AND(Bills!#REF!,"AAAAAGf7/xw=")</f>
        <v>#REF!</v>
      </c>
      <c r="AD172" t="e">
        <f>AND(Bills!#REF!,"AAAAAGf7/x0=")</f>
        <v>#REF!</v>
      </c>
      <c r="AE172" t="e">
        <f>AND(Bills!D630,"AAAAAGf7/x4=")</f>
        <v>#VALUE!</v>
      </c>
      <c r="AF172" t="e">
        <f>AND(Bills!#REF!,"AAAAAGf7/x8=")</f>
        <v>#REF!</v>
      </c>
      <c r="AG172" t="e">
        <f>AND(Bills!E630,"AAAAAGf7/yA=")</f>
        <v>#VALUE!</v>
      </c>
      <c r="AH172" t="e">
        <f>AND(Bills!F630,"AAAAAGf7/yE=")</f>
        <v>#VALUE!</v>
      </c>
      <c r="AI172" t="e">
        <f>AND(Bills!G630,"AAAAAGf7/yI=")</f>
        <v>#VALUE!</v>
      </c>
      <c r="AJ172" t="e">
        <f>AND(Bills!H630,"AAAAAGf7/yM=")</f>
        <v>#VALUE!</v>
      </c>
      <c r="AK172" t="e">
        <f>AND(Bills!I630,"AAAAAGf7/yQ=")</f>
        <v>#VALUE!</v>
      </c>
      <c r="AL172" t="e">
        <f>AND(Bills!J630,"AAAAAGf7/yU=")</f>
        <v>#VALUE!</v>
      </c>
      <c r="AM172" t="e">
        <f>AND(Bills!#REF!,"AAAAAGf7/yY=")</f>
        <v>#REF!</v>
      </c>
      <c r="AN172" t="e">
        <f>AND(Bills!K630,"AAAAAGf7/yc=")</f>
        <v>#VALUE!</v>
      </c>
      <c r="AO172" t="e">
        <f>AND(Bills!L630,"AAAAAGf7/yg=")</f>
        <v>#VALUE!</v>
      </c>
      <c r="AP172" t="e">
        <f>AND(Bills!M630,"AAAAAGf7/yk=")</f>
        <v>#VALUE!</v>
      </c>
      <c r="AQ172" t="e">
        <f>AND(Bills!N630,"AAAAAGf7/yo=")</f>
        <v>#VALUE!</v>
      </c>
      <c r="AR172" t="e">
        <f>AND(Bills!O630,"AAAAAGf7/ys=")</f>
        <v>#VALUE!</v>
      </c>
      <c r="AS172" t="e">
        <f>AND(Bills!P630,"AAAAAGf7/yw=")</f>
        <v>#VALUE!</v>
      </c>
      <c r="AT172" t="e">
        <f>AND(Bills!Q630,"AAAAAGf7/y0=")</f>
        <v>#VALUE!</v>
      </c>
      <c r="AU172" t="e">
        <f>AND(Bills!R630,"AAAAAGf7/y4=")</f>
        <v>#VALUE!</v>
      </c>
      <c r="AV172" t="e">
        <f>AND(Bills!#REF!,"AAAAAGf7/y8=")</f>
        <v>#REF!</v>
      </c>
      <c r="AW172" t="e">
        <f>AND(Bills!S630,"AAAAAGf7/zA=")</f>
        <v>#VALUE!</v>
      </c>
      <c r="AX172" t="e">
        <f>AND(Bills!T630,"AAAAAGf7/zE=")</f>
        <v>#VALUE!</v>
      </c>
      <c r="AY172" t="e">
        <f>AND(Bills!U630,"AAAAAGf7/zI=")</f>
        <v>#VALUE!</v>
      </c>
      <c r="AZ172" t="e">
        <f>AND(Bills!#REF!,"AAAAAGf7/zM=")</f>
        <v>#REF!</v>
      </c>
      <c r="BA172" t="e">
        <f>AND(Bills!#REF!,"AAAAAGf7/zQ=")</f>
        <v>#REF!</v>
      </c>
      <c r="BB172" t="e">
        <f>AND(Bills!W630,"AAAAAGf7/zU=")</f>
        <v>#VALUE!</v>
      </c>
      <c r="BC172" t="e">
        <f>AND(Bills!X630,"AAAAAGf7/zY=")</f>
        <v>#VALUE!</v>
      </c>
      <c r="BD172" t="e">
        <f>AND(Bills!#REF!,"AAAAAGf7/zc=")</f>
        <v>#REF!</v>
      </c>
      <c r="BE172" t="e">
        <f>AND(Bills!#REF!,"AAAAAGf7/zg=")</f>
        <v>#REF!</v>
      </c>
      <c r="BF172" t="e">
        <f>AND(Bills!#REF!,"AAAAAGf7/zk=")</f>
        <v>#REF!</v>
      </c>
      <c r="BG172" t="e">
        <f>AND(Bills!#REF!,"AAAAAGf7/zo=")</f>
        <v>#REF!</v>
      </c>
      <c r="BH172" t="e">
        <f>AND(Bills!#REF!,"AAAAAGf7/zs=")</f>
        <v>#REF!</v>
      </c>
      <c r="BI172" t="e">
        <f>AND(Bills!#REF!,"AAAAAGf7/zw=")</f>
        <v>#REF!</v>
      </c>
      <c r="BJ172" t="e">
        <f>AND(Bills!#REF!,"AAAAAGf7/z0=")</f>
        <v>#REF!</v>
      </c>
      <c r="BK172" t="e">
        <f>AND(Bills!#REF!,"AAAAAGf7/z4=")</f>
        <v>#REF!</v>
      </c>
      <c r="BL172" t="e">
        <f>AND(Bills!#REF!,"AAAAAGf7/z8=")</f>
        <v>#REF!</v>
      </c>
      <c r="BM172" t="e">
        <f>AND(Bills!Y630,"AAAAAGf7/0A=")</f>
        <v>#VALUE!</v>
      </c>
      <c r="BN172" t="e">
        <f>AND(Bills!Z630,"AAAAAGf7/0E=")</f>
        <v>#VALUE!</v>
      </c>
      <c r="BO172" t="e">
        <f>AND(Bills!#REF!,"AAAAAGf7/0I=")</f>
        <v>#REF!</v>
      </c>
      <c r="BP172" t="e">
        <f>AND(Bills!#REF!,"AAAAAGf7/0M=")</f>
        <v>#REF!</v>
      </c>
      <c r="BQ172" t="e">
        <f>AND(Bills!#REF!,"AAAAAGf7/0Q=")</f>
        <v>#REF!</v>
      </c>
      <c r="BR172" t="e">
        <f>AND(Bills!AA630,"AAAAAGf7/0U=")</f>
        <v>#VALUE!</v>
      </c>
      <c r="BS172" t="e">
        <f>AND(Bills!AB630,"AAAAAGf7/0Y=")</f>
        <v>#VALUE!</v>
      </c>
      <c r="BT172" t="e">
        <f>AND(Bills!#REF!,"AAAAAGf7/0c=")</f>
        <v>#REF!</v>
      </c>
      <c r="BU172">
        <f>IF(Bills!631:631,"AAAAAGf7/0g=",0)</f>
        <v>0</v>
      </c>
      <c r="BV172" t="e">
        <f>AND(Bills!B631,"AAAAAGf7/0k=")</f>
        <v>#VALUE!</v>
      </c>
      <c r="BW172" t="e">
        <f>AND(Bills!#REF!,"AAAAAGf7/0o=")</f>
        <v>#REF!</v>
      </c>
      <c r="BX172" t="e">
        <f>AND(Bills!C631,"AAAAAGf7/0s=")</f>
        <v>#VALUE!</v>
      </c>
      <c r="BY172" t="e">
        <f>AND(Bills!#REF!,"AAAAAGf7/0w=")</f>
        <v>#REF!</v>
      </c>
      <c r="BZ172" t="e">
        <f>AND(Bills!#REF!,"AAAAAGf7/00=")</f>
        <v>#REF!</v>
      </c>
      <c r="CA172" t="e">
        <f>AND(Bills!#REF!,"AAAAAGf7/04=")</f>
        <v>#REF!</v>
      </c>
      <c r="CB172" t="e">
        <f>AND(Bills!#REF!,"AAAAAGf7/08=")</f>
        <v>#REF!</v>
      </c>
      <c r="CC172" t="e">
        <f>AND(Bills!#REF!,"AAAAAGf7/1A=")</f>
        <v>#REF!</v>
      </c>
      <c r="CD172" t="e">
        <f>AND(Bills!D631,"AAAAAGf7/1E=")</f>
        <v>#VALUE!</v>
      </c>
      <c r="CE172" t="e">
        <f>AND(Bills!#REF!,"AAAAAGf7/1I=")</f>
        <v>#REF!</v>
      </c>
      <c r="CF172" t="e">
        <f>AND(Bills!E631,"AAAAAGf7/1M=")</f>
        <v>#VALUE!</v>
      </c>
      <c r="CG172" t="e">
        <f>AND(Bills!F631,"AAAAAGf7/1Q=")</f>
        <v>#VALUE!</v>
      </c>
      <c r="CH172" t="e">
        <f>AND(Bills!G631,"AAAAAGf7/1U=")</f>
        <v>#VALUE!</v>
      </c>
      <c r="CI172" t="e">
        <f>AND(Bills!H631,"AAAAAGf7/1Y=")</f>
        <v>#VALUE!</v>
      </c>
      <c r="CJ172" t="e">
        <f>AND(Bills!I631,"AAAAAGf7/1c=")</f>
        <v>#VALUE!</v>
      </c>
      <c r="CK172" t="e">
        <f>AND(Bills!J631,"AAAAAGf7/1g=")</f>
        <v>#VALUE!</v>
      </c>
      <c r="CL172" t="e">
        <f>AND(Bills!#REF!,"AAAAAGf7/1k=")</f>
        <v>#REF!</v>
      </c>
      <c r="CM172" t="e">
        <f>AND(Bills!K631,"AAAAAGf7/1o=")</f>
        <v>#VALUE!</v>
      </c>
      <c r="CN172" t="e">
        <f>AND(Bills!L631,"AAAAAGf7/1s=")</f>
        <v>#VALUE!</v>
      </c>
      <c r="CO172" t="e">
        <f>AND(Bills!M631,"AAAAAGf7/1w=")</f>
        <v>#VALUE!</v>
      </c>
      <c r="CP172" t="e">
        <f>AND(Bills!N631,"AAAAAGf7/10=")</f>
        <v>#VALUE!</v>
      </c>
      <c r="CQ172" t="e">
        <f>AND(Bills!O631,"AAAAAGf7/14=")</f>
        <v>#VALUE!</v>
      </c>
      <c r="CR172" t="e">
        <f>AND(Bills!P631,"AAAAAGf7/18=")</f>
        <v>#VALUE!</v>
      </c>
      <c r="CS172" t="e">
        <f>AND(Bills!Q631,"AAAAAGf7/2A=")</f>
        <v>#VALUE!</v>
      </c>
      <c r="CT172" t="e">
        <f>AND(Bills!R631,"AAAAAGf7/2E=")</f>
        <v>#VALUE!</v>
      </c>
      <c r="CU172" t="e">
        <f>AND(Bills!#REF!,"AAAAAGf7/2I=")</f>
        <v>#REF!</v>
      </c>
      <c r="CV172" t="e">
        <f>AND(Bills!S631,"AAAAAGf7/2M=")</f>
        <v>#VALUE!</v>
      </c>
      <c r="CW172" t="e">
        <f>AND(Bills!T631,"AAAAAGf7/2Q=")</f>
        <v>#VALUE!</v>
      </c>
      <c r="CX172" t="e">
        <f>AND(Bills!U631,"AAAAAGf7/2U=")</f>
        <v>#VALUE!</v>
      </c>
      <c r="CY172" t="e">
        <f>AND(Bills!#REF!,"AAAAAGf7/2Y=")</f>
        <v>#REF!</v>
      </c>
      <c r="CZ172" t="e">
        <f>AND(Bills!#REF!,"AAAAAGf7/2c=")</f>
        <v>#REF!</v>
      </c>
      <c r="DA172" t="e">
        <f>AND(Bills!W631,"AAAAAGf7/2g=")</f>
        <v>#VALUE!</v>
      </c>
      <c r="DB172" t="e">
        <f>AND(Bills!X631,"AAAAAGf7/2k=")</f>
        <v>#VALUE!</v>
      </c>
      <c r="DC172" t="e">
        <f>AND(Bills!#REF!,"AAAAAGf7/2o=")</f>
        <v>#REF!</v>
      </c>
      <c r="DD172" t="e">
        <f>AND(Bills!#REF!,"AAAAAGf7/2s=")</f>
        <v>#REF!</v>
      </c>
      <c r="DE172" t="e">
        <f>AND(Bills!#REF!,"AAAAAGf7/2w=")</f>
        <v>#REF!</v>
      </c>
      <c r="DF172" t="e">
        <f>AND(Bills!#REF!,"AAAAAGf7/20=")</f>
        <v>#REF!</v>
      </c>
      <c r="DG172" t="e">
        <f>AND(Bills!#REF!,"AAAAAGf7/24=")</f>
        <v>#REF!</v>
      </c>
      <c r="DH172" t="e">
        <f>AND(Bills!#REF!,"AAAAAGf7/28=")</f>
        <v>#REF!</v>
      </c>
      <c r="DI172" t="e">
        <f>AND(Bills!#REF!,"AAAAAGf7/3A=")</f>
        <v>#REF!</v>
      </c>
      <c r="DJ172" t="e">
        <f>AND(Bills!#REF!,"AAAAAGf7/3E=")</f>
        <v>#REF!</v>
      </c>
      <c r="DK172" t="e">
        <f>AND(Bills!#REF!,"AAAAAGf7/3I=")</f>
        <v>#REF!</v>
      </c>
      <c r="DL172" t="e">
        <f>AND(Bills!Y631,"AAAAAGf7/3M=")</f>
        <v>#VALUE!</v>
      </c>
      <c r="DM172" t="e">
        <f>AND(Bills!Z631,"AAAAAGf7/3Q=")</f>
        <v>#VALUE!</v>
      </c>
      <c r="DN172" t="e">
        <f>AND(Bills!#REF!,"AAAAAGf7/3U=")</f>
        <v>#REF!</v>
      </c>
      <c r="DO172" t="e">
        <f>AND(Bills!#REF!,"AAAAAGf7/3Y=")</f>
        <v>#REF!</v>
      </c>
      <c r="DP172" t="e">
        <f>AND(Bills!#REF!,"AAAAAGf7/3c=")</f>
        <v>#REF!</v>
      </c>
      <c r="DQ172" t="e">
        <f>AND(Bills!AA631,"AAAAAGf7/3g=")</f>
        <v>#VALUE!</v>
      </c>
      <c r="DR172" t="e">
        <f>AND(Bills!AB631,"AAAAAGf7/3k=")</f>
        <v>#VALUE!</v>
      </c>
      <c r="DS172" t="e">
        <f>AND(Bills!#REF!,"AAAAAGf7/3o=")</f>
        <v>#REF!</v>
      </c>
      <c r="DT172">
        <f>IF(Bills!632:632,"AAAAAGf7/3s=",0)</f>
        <v>0</v>
      </c>
      <c r="DU172" t="e">
        <f>AND(Bills!B632,"AAAAAGf7/3w=")</f>
        <v>#VALUE!</v>
      </c>
      <c r="DV172" t="e">
        <f>AND(Bills!#REF!,"AAAAAGf7/30=")</f>
        <v>#REF!</v>
      </c>
      <c r="DW172" t="e">
        <f>AND(Bills!C632,"AAAAAGf7/34=")</f>
        <v>#VALUE!</v>
      </c>
      <c r="DX172" t="e">
        <f>AND(Bills!#REF!,"AAAAAGf7/38=")</f>
        <v>#REF!</v>
      </c>
      <c r="DY172" t="e">
        <f>AND(Bills!#REF!,"AAAAAGf7/4A=")</f>
        <v>#REF!</v>
      </c>
      <c r="DZ172" t="e">
        <f>AND(Bills!#REF!,"AAAAAGf7/4E=")</f>
        <v>#REF!</v>
      </c>
      <c r="EA172" t="e">
        <f>AND(Bills!#REF!,"AAAAAGf7/4I=")</f>
        <v>#REF!</v>
      </c>
      <c r="EB172" t="e">
        <f>AND(Bills!#REF!,"AAAAAGf7/4M=")</f>
        <v>#REF!</v>
      </c>
      <c r="EC172" t="e">
        <f>AND(Bills!D632,"AAAAAGf7/4Q=")</f>
        <v>#VALUE!</v>
      </c>
      <c r="ED172" t="e">
        <f>AND(Bills!#REF!,"AAAAAGf7/4U=")</f>
        <v>#REF!</v>
      </c>
      <c r="EE172" t="e">
        <f>AND(Bills!E632,"AAAAAGf7/4Y=")</f>
        <v>#VALUE!</v>
      </c>
      <c r="EF172" t="e">
        <f>AND(Bills!F632,"AAAAAGf7/4c=")</f>
        <v>#VALUE!</v>
      </c>
      <c r="EG172" t="e">
        <f>AND(Bills!G632,"AAAAAGf7/4g=")</f>
        <v>#VALUE!</v>
      </c>
      <c r="EH172" t="e">
        <f>AND(Bills!H632,"AAAAAGf7/4k=")</f>
        <v>#VALUE!</v>
      </c>
      <c r="EI172" t="e">
        <f>AND(Bills!I632,"AAAAAGf7/4o=")</f>
        <v>#VALUE!</v>
      </c>
      <c r="EJ172" t="e">
        <f>AND(Bills!J632,"AAAAAGf7/4s=")</f>
        <v>#VALUE!</v>
      </c>
      <c r="EK172" t="e">
        <f>AND(Bills!#REF!,"AAAAAGf7/4w=")</f>
        <v>#REF!</v>
      </c>
      <c r="EL172" t="e">
        <f>AND(Bills!K632,"AAAAAGf7/40=")</f>
        <v>#VALUE!</v>
      </c>
      <c r="EM172" t="e">
        <f>AND(Bills!L632,"AAAAAGf7/44=")</f>
        <v>#VALUE!</v>
      </c>
      <c r="EN172" t="e">
        <f>AND(Bills!M632,"AAAAAGf7/48=")</f>
        <v>#VALUE!</v>
      </c>
      <c r="EO172" t="e">
        <f>AND(Bills!N632,"AAAAAGf7/5A=")</f>
        <v>#VALUE!</v>
      </c>
      <c r="EP172" t="e">
        <f>AND(Bills!O632,"AAAAAGf7/5E=")</f>
        <v>#VALUE!</v>
      </c>
      <c r="EQ172" t="e">
        <f>AND(Bills!P632,"AAAAAGf7/5I=")</f>
        <v>#VALUE!</v>
      </c>
      <c r="ER172" t="e">
        <f>AND(Bills!Q632,"AAAAAGf7/5M=")</f>
        <v>#VALUE!</v>
      </c>
      <c r="ES172" t="e">
        <f>AND(Bills!R632,"AAAAAGf7/5Q=")</f>
        <v>#VALUE!</v>
      </c>
      <c r="ET172" t="e">
        <f>AND(Bills!#REF!,"AAAAAGf7/5U=")</f>
        <v>#REF!</v>
      </c>
      <c r="EU172" t="e">
        <f>AND(Bills!S632,"AAAAAGf7/5Y=")</f>
        <v>#VALUE!</v>
      </c>
      <c r="EV172" t="e">
        <f>AND(Bills!T632,"AAAAAGf7/5c=")</f>
        <v>#VALUE!</v>
      </c>
      <c r="EW172" t="e">
        <f>AND(Bills!U632,"AAAAAGf7/5g=")</f>
        <v>#VALUE!</v>
      </c>
      <c r="EX172" t="e">
        <f>AND(Bills!#REF!,"AAAAAGf7/5k=")</f>
        <v>#REF!</v>
      </c>
      <c r="EY172" t="e">
        <f>AND(Bills!#REF!,"AAAAAGf7/5o=")</f>
        <v>#REF!</v>
      </c>
      <c r="EZ172" t="e">
        <f>AND(Bills!W632,"AAAAAGf7/5s=")</f>
        <v>#VALUE!</v>
      </c>
      <c r="FA172" t="e">
        <f>AND(Bills!X632,"AAAAAGf7/5w=")</f>
        <v>#VALUE!</v>
      </c>
      <c r="FB172" t="e">
        <f>AND(Bills!#REF!,"AAAAAGf7/50=")</f>
        <v>#REF!</v>
      </c>
      <c r="FC172" t="e">
        <f>AND(Bills!#REF!,"AAAAAGf7/54=")</f>
        <v>#REF!</v>
      </c>
      <c r="FD172" t="e">
        <f>AND(Bills!#REF!,"AAAAAGf7/58=")</f>
        <v>#REF!</v>
      </c>
      <c r="FE172" t="e">
        <f>AND(Bills!#REF!,"AAAAAGf7/6A=")</f>
        <v>#REF!</v>
      </c>
      <c r="FF172" t="e">
        <f>AND(Bills!#REF!,"AAAAAGf7/6E=")</f>
        <v>#REF!</v>
      </c>
      <c r="FG172" t="e">
        <f>AND(Bills!#REF!,"AAAAAGf7/6I=")</f>
        <v>#REF!</v>
      </c>
      <c r="FH172" t="e">
        <f>AND(Bills!#REF!,"AAAAAGf7/6M=")</f>
        <v>#REF!</v>
      </c>
      <c r="FI172" t="e">
        <f>AND(Bills!#REF!,"AAAAAGf7/6Q=")</f>
        <v>#REF!</v>
      </c>
      <c r="FJ172" t="e">
        <f>AND(Bills!#REF!,"AAAAAGf7/6U=")</f>
        <v>#REF!</v>
      </c>
      <c r="FK172" t="e">
        <f>AND(Bills!Y632,"AAAAAGf7/6Y=")</f>
        <v>#VALUE!</v>
      </c>
      <c r="FL172" t="e">
        <f>AND(Bills!Z632,"AAAAAGf7/6c=")</f>
        <v>#VALUE!</v>
      </c>
      <c r="FM172" t="e">
        <f>AND(Bills!#REF!,"AAAAAGf7/6g=")</f>
        <v>#REF!</v>
      </c>
      <c r="FN172" t="e">
        <f>AND(Bills!#REF!,"AAAAAGf7/6k=")</f>
        <v>#REF!</v>
      </c>
      <c r="FO172" t="e">
        <f>AND(Bills!#REF!,"AAAAAGf7/6o=")</f>
        <v>#REF!</v>
      </c>
      <c r="FP172" t="e">
        <f>AND(Bills!AA632,"AAAAAGf7/6s=")</f>
        <v>#VALUE!</v>
      </c>
      <c r="FQ172" t="e">
        <f>AND(Bills!AB632,"AAAAAGf7/6w=")</f>
        <v>#VALUE!</v>
      </c>
      <c r="FR172" t="e">
        <f>AND(Bills!#REF!,"AAAAAGf7/60=")</f>
        <v>#REF!</v>
      </c>
      <c r="FS172">
        <f>IF(Bills!633:633,"AAAAAGf7/64=",0)</f>
        <v>0</v>
      </c>
      <c r="FT172" t="e">
        <f>AND(Bills!B633,"AAAAAGf7/68=")</f>
        <v>#VALUE!</v>
      </c>
      <c r="FU172" t="e">
        <f>AND(Bills!#REF!,"AAAAAGf7/7A=")</f>
        <v>#REF!</v>
      </c>
      <c r="FV172" t="e">
        <f>AND(Bills!C633,"AAAAAGf7/7E=")</f>
        <v>#VALUE!</v>
      </c>
      <c r="FW172" t="e">
        <f>AND(Bills!#REF!,"AAAAAGf7/7I=")</f>
        <v>#REF!</v>
      </c>
      <c r="FX172" t="e">
        <f>AND(Bills!#REF!,"AAAAAGf7/7M=")</f>
        <v>#REF!</v>
      </c>
      <c r="FY172" t="e">
        <f>AND(Bills!#REF!,"AAAAAGf7/7Q=")</f>
        <v>#REF!</v>
      </c>
      <c r="FZ172" t="e">
        <f>AND(Bills!#REF!,"AAAAAGf7/7U=")</f>
        <v>#REF!</v>
      </c>
      <c r="GA172" t="e">
        <f>AND(Bills!#REF!,"AAAAAGf7/7Y=")</f>
        <v>#REF!</v>
      </c>
      <c r="GB172" t="e">
        <f>AND(Bills!D633,"AAAAAGf7/7c=")</f>
        <v>#VALUE!</v>
      </c>
      <c r="GC172" t="e">
        <f>AND(Bills!#REF!,"AAAAAGf7/7g=")</f>
        <v>#REF!</v>
      </c>
      <c r="GD172" t="e">
        <f>AND(Bills!E633,"AAAAAGf7/7k=")</f>
        <v>#VALUE!</v>
      </c>
      <c r="GE172" t="e">
        <f>AND(Bills!F633,"AAAAAGf7/7o=")</f>
        <v>#VALUE!</v>
      </c>
      <c r="GF172" t="e">
        <f>AND(Bills!G633,"AAAAAGf7/7s=")</f>
        <v>#VALUE!</v>
      </c>
      <c r="GG172" t="e">
        <f>AND(Bills!H633,"AAAAAGf7/7w=")</f>
        <v>#VALUE!</v>
      </c>
      <c r="GH172" t="e">
        <f>AND(Bills!I633,"AAAAAGf7/70=")</f>
        <v>#VALUE!</v>
      </c>
      <c r="GI172" t="e">
        <f>AND(Bills!J633,"AAAAAGf7/74=")</f>
        <v>#VALUE!</v>
      </c>
      <c r="GJ172" t="e">
        <f>AND(Bills!#REF!,"AAAAAGf7/78=")</f>
        <v>#REF!</v>
      </c>
      <c r="GK172" t="e">
        <f>AND(Bills!K633,"AAAAAGf7/8A=")</f>
        <v>#VALUE!</v>
      </c>
      <c r="GL172" t="e">
        <f>AND(Bills!L633,"AAAAAGf7/8E=")</f>
        <v>#VALUE!</v>
      </c>
      <c r="GM172" t="e">
        <f>AND(Bills!M633,"AAAAAGf7/8I=")</f>
        <v>#VALUE!</v>
      </c>
      <c r="GN172" t="e">
        <f>AND(Bills!N633,"AAAAAGf7/8M=")</f>
        <v>#VALUE!</v>
      </c>
      <c r="GO172" t="e">
        <f>AND(Bills!O633,"AAAAAGf7/8Q=")</f>
        <v>#VALUE!</v>
      </c>
      <c r="GP172" t="e">
        <f>AND(Bills!P633,"AAAAAGf7/8U=")</f>
        <v>#VALUE!</v>
      </c>
      <c r="GQ172" t="e">
        <f>AND(Bills!Q633,"AAAAAGf7/8Y=")</f>
        <v>#VALUE!</v>
      </c>
      <c r="GR172" t="e">
        <f>AND(Bills!R633,"AAAAAGf7/8c=")</f>
        <v>#VALUE!</v>
      </c>
      <c r="GS172" t="e">
        <f>AND(Bills!#REF!,"AAAAAGf7/8g=")</f>
        <v>#REF!</v>
      </c>
      <c r="GT172" t="e">
        <f>AND(Bills!S633,"AAAAAGf7/8k=")</f>
        <v>#VALUE!</v>
      </c>
      <c r="GU172" t="e">
        <f>AND(Bills!T633,"AAAAAGf7/8o=")</f>
        <v>#VALUE!</v>
      </c>
      <c r="GV172" t="e">
        <f>AND(Bills!U633,"AAAAAGf7/8s=")</f>
        <v>#VALUE!</v>
      </c>
      <c r="GW172" t="e">
        <f>AND(Bills!#REF!,"AAAAAGf7/8w=")</f>
        <v>#REF!</v>
      </c>
      <c r="GX172" t="e">
        <f>AND(Bills!#REF!,"AAAAAGf7/80=")</f>
        <v>#REF!</v>
      </c>
      <c r="GY172" t="e">
        <f>AND(Bills!W633,"AAAAAGf7/84=")</f>
        <v>#VALUE!</v>
      </c>
      <c r="GZ172" t="e">
        <f>AND(Bills!X633,"AAAAAGf7/88=")</f>
        <v>#VALUE!</v>
      </c>
      <c r="HA172" t="e">
        <f>AND(Bills!#REF!,"AAAAAGf7/9A=")</f>
        <v>#REF!</v>
      </c>
      <c r="HB172" t="e">
        <f>AND(Bills!#REF!,"AAAAAGf7/9E=")</f>
        <v>#REF!</v>
      </c>
      <c r="HC172" t="e">
        <f>AND(Bills!#REF!,"AAAAAGf7/9I=")</f>
        <v>#REF!</v>
      </c>
      <c r="HD172" t="e">
        <f>AND(Bills!#REF!,"AAAAAGf7/9M=")</f>
        <v>#REF!</v>
      </c>
      <c r="HE172" t="e">
        <f>AND(Bills!#REF!,"AAAAAGf7/9Q=")</f>
        <v>#REF!</v>
      </c>
      <c r="HF172" t="e">
        <f>AND(Bills!#REF!,"AAAAAGf7/9U=")</f>
        <v>#REF!</v>
      </c>
      <c r="HG172" t="e">
        <f>AND(Bills!#REF!,"AAAAAGf7/9Y=")</f>
        <v>#REF!</v>
      </c>
      <c r="HH172" t="e">
        <f>AND(Bills!#REF!,"AAAAAGf7/9c=")</f>
        <v>#REF!</v>
      </c>
      <c r="HI172" t="e">
        <f>AND(Bills!#REF!,"AAAAAGf7/9g=")</f>
        <v>#REF!</v>
      </c>
      <c r="HJ172" t="e">
        <f>AND(Bills!Y633,"AAAAAGf7/9k=")</f>
        <v>#VALUE!</v>
      </c>
      <c r="HK172" t="e">
        <f>AND(Bills!Z633,"AAAAAGf7/9o=")</f>
        <v>#VALUE!</v>
      </c>
      <c r="HL172" t="e">
        <f>AND(Bills!#REF!,"AAAAAGf7/9s=")</f>
        <v>#REF!</v>
      </c>
      <c r="HM172" t="e">
        <f>AND(Bills!#REF!,"AAAAAGf7/9w=")</f>
        <v>#REF!</v>
      </c>
      <c r="HN172" t="e">
        <f>AND(Bills!#REF!,"AAAAAGf7/90=")</f>
        <v>#REF!</v>
      </c>
      <c r="HO172" t="e">
        <f>AND(Bills!AA633,"AAAAAGf7/94=")</f>
        <v>#VALUE!</v>
      </c>
      <c r="HP172" t="e">
        <f>AND(Bills!AB633,"AAAAAGf7/98=")</f>
        <v>#VALUE!</v>
      </c>
      <c r="HQ172" t="e">
        <f>AND(Bills!#REF!,"AAAAAGf7/+A=")</f>
        <v>#REF!</v>
      </c>
      <c r="HR172">
        <f>IF(Bills!634:634,"AAAAAGf7/+E=",0)</f>
        <v>0</v>
      </c>
      <c r="HS172" t="e">
        <f>AND(Bills!B634,"AAAAAGf7/+I=")</f>
        <v>#VALUE!</v>
      </c>
      <c r="HT172" t="e">
        <f>AND(Bills!#REF!,"AAAAAGf7/+M=")</f>
        <v>#REF!</v>
      </c>
      <c r="HU172" t="e">
        <f>AND(Bills!C634,"AAAAAGf7/+Q=")</f>
        <v>#VALUE!</v>
      </c>
      <c r="HV172" t="e">
        <f>AND(Bills!#REF!,"AAAAAGf7/+U=")</f>
        <v>#REF!</v>
      </c>
      <c r="HW172" t="e">
        <f>AND(Bills!#REF!,"AAAAAGf7/+Y=")</f>
        <v>#REF!</v>
      </c>
      <c r="HX172" t="e">
        <f>AND(Bills!#REF!,"AAAAAGf7/+c=")</f>
        <v>#REF!</v>
      </c>
      <c r="HY172" t="e">
        <f>AND(Bills!#REF!,"AAAAAGf7/+g=")</f>
        <v>#REF!</v>
      </c>
      <c r="HZ172" t="e">
        <f>AND(Bills!#REF!,"AAAAAGf7/+k=")</f>
        <v>#REF!</v>
      </c>
      <c r="IA172" t="e">
        <f>AND(Bills!D634,"AAAAAGf7/+o=")</f>
        <v>#VALUE!</v>
      </c>
      <c r="IB172" t="e">
        <f>AND(Bills!#REF!,"AAAAAGf7/+s=")</f>
        <v>#REF!</v>
      </c>
      <c r="IC172" t="e">
        <f>AND(Bills!E634,"AAAAAGf7/+w=")</f>
        <v>#VALUE!</v>
      </c>
      <c r="ID172" t="e">
        <f>AND(Bills!F634,"AAAAAGf7/+0=")</f>
        <v>#VALUE!</v>
      </c>
      <c r="IE172" t="e">
        <f>AND(Bills!G634,"AAAAAGf7/+4=")</f>
        <v>#VALUE!</v>
      </c>
      <c r="IF172" t="e">
        <f>AND(Bills!H634,"AAAAAGf7/+8=")</f>
        <v>#VALUE!</v>
      </c>
      <c r="IG172" t="e">
        <f>AND(Bills!I634,"AAAAAGf7//A=")</f>
        <v>#VALUE!</v>
      </c>
      <c r="IH172" t="e">
        <f>AND(Bills!J634,"AAAAAGf7//E=")</f>
        <v>#VALUE!</v>
      </c>
      <c r="II172" t="e">
        <f>AND(Bills!#REF!,"AAAAAGf7//I=")</f>
        <v>#REF!</v>
      </c>
      <c r="IJ172" t="e">
        <f>AND(Bills!K634,"AAAAAGf7//M=")</f>
        <v>#VALUE!</v>
      </c>
      <c r="IK172" t="e">
        <f>AND(Bills!L634,"AAAAAGf7//Q=")</f>
        <v>#VALUE!</v>
      </c>
      <c r="IL172" t="e">
        <f>AND(Bills!M634,"AAAAAGf7//U=")</f>
        <v>#VALUE!</v>
      </c>
      <c r="IM172" t="e">
        <f>AND(Bills!N634,"AAAAAGf7//Y=")</f>
        <v>#VALUE!</v>
      </c>
      <c r="IN172" t="e">
        <f>AND(Bills!O634,"AAAAAGf7//c=")</f>
        <v>#VALUE!</v>
      </c>
      <c r="IO172" t="e">
        <f>AND(Bills!P634,"AAAAAGf7//g=")</f>
        <v>#VALUE!</v>
      </c>
      <c r="IP172" t="e">
        <f>AND(Bills!Q634,"AAAAAGf7//k=")</f>
        <v>#VALUE!</v>
      </c>
      <c r="IQ172" t="e">
        <f>AND(Bills!R634,"AAAAAGf7//o=")</f>
        <v>#VALUE!</v>
      </c>
      <c r="IR172" t="e">
        <f>AND(Bills!#REF!,"AAAAAGf7//s=")</f>
        <v>#REF!</v>
      </c>
      <c r="IS172" t="e">
        <f>AND(Bills!S634,"AAAAAGf7//w=")</f>
        <v>#VALUE!</v>
      </c>
      <c r="IT172" t="e">
        <f>AND(Bills!T634,"AAAAAGf7//0=")</f>
        <v>#VALUE!</v>
      </c>
      <c r="IU172" t="e">
        <f>AND(Bills!U634,"AAAAAGf7//4=")</f>
        <v>#VALUE!</v>
      </c>
      <c r="IV172" t="e">
        <f>AND(Bills!#REF!,"AAAAAGf7//8=")</f>
        <v>#REF!</v>
      </c>
    </row>
    <row r="173" spans="1:256">
      <c r="A173" t="e">
        <f>AND(Bills!#REF!,"AAAAAH9fOwA=")</f>
        <v>#REF!</v>
      </c>
      <c r="B173" t="e">
        <f>AND(Bills!W634,"AAAAAH9fOwE=")</f>
        <v>#VALUE!</v>
      </c>
      <c r="C173" t="e">
        <f>AND(Bills!X634,"AAAAAH9fOwI=")</f>
        <v>#VALUE!</v>
      </c>
      <c r="D173" t="e">
        <f>AND(Bills!#REF!,"AAAAAH9fOwM=")</f>
        <v>#REF!</v>
      </c>
      <c r="E173" t="e">
        <f>AND(Bills!#REF!,"AAAAAH9fOwQ=")</f>
        <v>#REF!</v>
      </c>
      <c r="F173" t="e">
        <f>AND(Bills!#REF!,"AAAAAH9fOwU=")</f>
        <v>#REF!</v>
      </c>
      <c r="G173" t="e">
        <f>AND(Bills!#REF!,"AAAAAH9fOwY=")</f>
        <v>#REF!</v>
      </c>
      <c r="H173" t="e">
        <f>AND(Bills!#REF!,"AAAAAH9fOwc=")</f>
        <v>#REF!</v>
      </c>
      <c r="I173" t="e">
        <f>AND(Bills!#REF!,"AAAAAH9fOwg=")</f>
        <v>#REF!</v>
      </c>
      <c r="J173" t="e">
        <f>AND(Bills!#REF!,"AAAAAH9fOwk=")</f>
        <v>#REF!</v>
      </c>
      <c r="K173" t="e">
        <f>AND(Bills!#REF!,"AAAAAH9fOwo=")</f>
        <v>#REF!</v>
      </c>
      <c r="L173" t="e">
        <f>AND(Bills!#REF!,"AAAAAH9fOws=")</f>
        <v>#REF!</v>
      </c>
      <c r="M173" t="e">
        <f>AND(Bills!Y634,"AAAAAH9fOww=")</f>
        <v>#VALUE!</v>
      </c>
      <c r="N173" t="e">
        <f>AND(Bills!Z634,"AAAAAH9fOw0=")</f>
        <v>#VALUE!</v>
      </c>
      <c r="O173" t="e">
        <f>AND(Bills!#REF!,"AAAAAH9fOw4=")</f>
        <v>#REF!</v>
      </c>
      <c r="P173" t="e">
        <f>AND(Bills!#REF!,"AAAAAH9fOw8=")</f>
        <v>#REF!</v>
      </c>
      <c r="Q173" t="e">
        <f>AND(Bills!#REF!,"AAAAAH9fOxA=")</f>
        <v>#REF!</v>
      </c>
      <c r="R173" t="e">
        <f>AND(Bills!AA634,"AAAAAH9fOxE=")</f>
        <v>#VALUE!</v>
      </c>
      <c r="S173" t="e">
        <f>AND(Bills!AB634,"AAAAAH9fOxI=")</f>
        <v>#VALUE!</v>
      </c>
      <c r="T173" t="e">
        <f>AND(Bills!#REF!,"AAAAAH9fOxM=")</f>
        <v>#REF!</v>
      </c>
      <c r="U173">
        <f>IF(Bills!635:635,"AAAAAH9fOxQ=",0)</f>
        <v>0</v>
      </c>
      <c r="V173" t="e">
        <f>AND(Bills!B635,"AAAAAH9fOxU=")</f>
        <v>#VALUE!</v>
      </c>
      <c r="W173" t="e">
        <f>AND(Bills!#REF!,"AAAAAH9fOxY=")</f>
        <v>#REF!</v>
      </c>
      <c r="X173" t="e">
        <f>AND(Bills!C635,"AAAAAH9fOxc=")</f>
        <v>#VALUE!</v>
      </c>
      <c r="Y173" t="e">
        <f>AND(Bills!#REF!,"AAAAAH9fOxg=")</f>
        <v>#REF!</v>
      </c>
      <c r="Z173" t="e">
        <f>AND(Bills!#REF!,"AAAAAH9fOxk=")</f>
        <v>#REF!</v>
      </c>
      <c r="AA173" t="e">
        <f>AND(Bills!#REF!,"AAAAAH9fOxo=")</f>
        <v>#REF!</v>
      </c>
      <c r="AB173" t="e">
        <f>AND(Bills!#REF!,"AAAAAH9fOxs=")</f>
        <v>#REF!</v>
      </c>
      <c r="AC173" t="e">
        <f>AND(Bills!#REF!,"AAAAAH9fOxw=")</f>
        <v>#REF!</v>
      </c>
      <c r="AD173" t="e">
        <f>AND(Bills!D635,"AAAAAH9fOx0=")</f>
        <v>#VALUE!</v>
      </c>
      <c r="AE173" t="e">
        <f>AND(Bills!#REF!,"AAAAAH9fOx4=")</f>
        <v>#REF!</v>
      </c>
      <c r="AF173" t="e">
        <f>AND(Bills!E635,"AAAAAH9fOx8=")</f>
        <v>#VALUE!</v>
      </c>
      <c r="AG173" t="e">
        <f>AND(Bills!F635,"AAAAAH9fOyA=")</f>
        <v>#VALUE!</v>
      </c>
      <c r="AH173" t="e">
        <f>AND(Bills!G635,"AAAAAH9fOyE=")</f>
        <v>#VALUE!</v>
      </c>
      <c r="AI173" t="e">
        <f>AND(Bills!H635,"AAAAAH9fOyI=")</f>
        <v>#VALUE!</v>
      </c>
      <c r="AJ173" t="e">
        <f>AND(Bills!I635,"AAAAAH9fOyM=")</f>
        <v>#VALUE!</v>
      </c>
      <c r="AK173" t="e">
        <f>AND(Bills!J635,"AAAAAH9fOyQ=")</f>
        <v>#VALUE!</v>
      </c>
      <c r="AL173" t="e">
        <f>AND(Bills!#REF!,"AAAAAH9fOyU=")</f>
        <v>#REF!</v>
      </c>
      <c r="AM173" t="e">
        <f>AND(Bills!K635,"AAAAAH9fOyY=")</f>
        <v>#VALUE!</v>
      </c>
      <c r="AN173" t="e">
        <f>AND(Bills!L635,"AAAAAH9fOyc=")</f>
        <v>#VALUE!</v>
      </c>
      <c r="AO173" t="e">
        <f>AND(Bills!M635,"AAAAAH9fOyg=")</f>
        <v>#VALUE!</v>
      </c>
      <c r="AP173" t="e">
        <f>AND(Bills!N635,"AAAAAH9fOyk=")</f>
        <v>#VALUE!</v>
      </c>
      <c r="AQ173" t="e">
        <f>AND(Bills!O635,"AAAAAH9fOyo=")</f>
        <v>#VALUE!</v>
      </c>
      <c r="AR173" t="e">
        <f>AND(Bills!P635,"AAAAAH9fOys=")</f>
        <v>#VALUE!</v>
      </c>
      <c r="AS173" t="e">
        <f>AND(Bills!Q635,"AAAAAH9fOyw=")</f>
        <v>#VALUE!</v>
      </c>
      <c r="AT173" t="e">
        <f>AND(Bills!R635,"AAAAAH9fOy0=")</f>
        <v>#VALUE!</v>
      </c>
      <c r="AU173" t="e">
        <f>AND(Bills!#REF!,"AAAAAH9fOy4=")</f>
        <v>#REF!</v>
      </c>
      <c r="AV173" t="e">
        <f>AND(Bills!S635,"AAAAAH9fOy8=")</f>
        <v>#VALUE!</v>
      </c>
      <c r="AW173" t="e">
        <f>AND(Bills!T635,"AAAAAH9fOzA=")</f>
        <v>#VALUE!</v>
      </c>
      <c r="AX173" t="e">
        <f>AND(Bills!U635,"AAAAAH9fOzE=")</f>
        <v>#VALUE!</v>
      </c>
      <c r="AY173" t="e">
        <f>AND(Bills!#REF!,"AAAAAH9fOzI=")</f>
        <v>#REF!</v>
      </c>
      <c r="AZ173" t="e">
        <f>AND(Bills!#REF!,"AAAAAH9fOzM=")</f>
        <v>#REF!</v>
      </c>
      <c r="BA173" t="e">
        <f>AND(Bills!W635,"AAAAAH9fOzQ=")</f>
        <v>#VALUE!</v>
      </c>
      <c r="BB173" t="e">
        <f>AND(Bills!X635,"AAAAAH9fOzU=")</f>
        <v>#VALUE!</v>
      </c>
      <c r="BC173" t="e">
        <f>AND(Bills!#REF!,"AAAAAH9fOzY=")</f>
        <v>#REF!</v>
      </c>
      <c r="BD173" t="e">
        <f>AND(Bills!#REF!,"AAAAAH9fOzc=")</f>
        <v>#REF!</v>
      </c>
      <c r="BE173" t="e">
        <f>AND(Bills!#REF!,"AAAAAH9fOzg=")</f>
        <v>#REF!</v>
      </c>
      <c r="BF173" t="e">
        <f>AND(Bills!#REF!,"AAAAAH9fOzk=")</f>
        <v>#REF!</v>
      </c>
      <c r="BG173" t="e">
        <f>AND(Bills!#REF!,"AAAAAH9fOzo=")</f>
        <v>#REF!</v>
      </c>
      <c r="BH173" t="e">
        <f>AND(Bills!#REF!,"AAAAAH9fOzs=")</f>
        <v>#REF!</v>
      </c>
      <c r="BI173" t="e">
        <f>AND(Bills!#REF!,"AAAAAH9fOzw=")</f>
        <v>#REF!</v>
      </c>
      <c r="BJ173" t="e">
        <f>AND(Bills!#REF!,"AAAAAH9fOz0=")</f>
        <v>#REF!</v>
      </c>
      <c r="BK173" t="e">
        <f>AND(Bills!#REF!,"AAAAAH9fOz4=")</f>
        <v>#REF!</v>
      </c>
      <c r="BL173" t="e">
        <f>AND(Bills!Y635,"AAAAAH9fOz8=")</f>
        <v>#VALUE!</v>
      </c>
      <c r="BM173" t="e">
        <f>AND(Bills!Z635,"AAAAAH9fO0A=")</f>
        <v>#VALUE!</v>
      </c>
      <c r="BN173" t="e">
        <f>AND(Bills!#REF!,"AAAAAH9fO0E=")</f>
        <v>#REF!</v>
      </c>
      <c r="BO173" t="e">
        <f>AND(Bills!#REF!,"AAAAAH9fO0I=")</f>
        <v>#REF!</v>
      </c>
      <c r="BP173" t="e">
        <f>AND(Bills!#REF!,"AAAAAH9fO0M=")</f>
        <v>#REF!</v>
      </c>
      <c r="BQ173" t="e">
        <f>AND(Bills!AA635,"AAAAAH9fO0Q=")</f>
        <v>#VALUE!</v>
      </c>
      <c r="BR173" t="e">
        <f>AND(Bills!AB635,"AAAAAH9fO0U=")</f>
        <v>#VALUE!</v>
      </c>
      <c r="BS173" t="e">
        <f>AND(Bills!#REF!,"AAAAAH9fO0Y=")</f>
        <v>#REF!</v>
      </c>
      <c r="BT173">
        <f>IF(Bills!636:636,"AAAAAH9fO0c=",0)</f>
        <v>0</v>
      </c>
      <c r="BU173" t="e">
        <f>AND(Bills!B636,"AAAAAH9fO0g=")</f>
        <v>#VALUE!</v>
      </c>
      <c r="BV173" t="e">
        <f>AND(Bills!#REF!,"AAAAAH9fO0k=")</f>
        <v>#REF!</v>
      </c>
      <c r="BW173" t="e">
        <f>AND(Bills!C636,"AAAAAH9fO0o=")</f>
        <v>#VALUE!</v>
      </c>
      <c r="BX173" t="e">
        <f>AND(Bills!#REF!,"AAAAAH9fO0s=")</f>
        <v>#REF!</v>
      </c>
      <c r="BY173" t="e">
        <f>AND(Bills!#REF!,"AAAAAH9fO0w=")</f>
        <v>#REF!</v>
      </c>
      <c r="BZ173" t="e">
        <f>AND(Bills!#REF!,"AAAAAH9fO00=")</f>
        <v>#REF!</v>
      </c>
      <c r="CA173" t="e">
        <f>AND(Bills!#REF!,"AAAAAH9fO04=")</f>
        <v>#REF!</v>
      </c>
      <c r="CB173" t="e">
        <f>AND(Bills!#REF!,"AAAAAH9fO08=")</f>
        <v>#REF!</v>
      </c>
      <c r="CC173" t="e">
        <f>AND(Bills!D636,"AAAAAH9fO1A=")</f>
        <v>#VALUE!</v>
      </c>
      <c r="CD173" t="e">
        <f>AND(Bills!#REF!,"AAAAAH9fO1E=")</f>
        <v>#REF!</v>
      </c>
      <c r="CE173" t="e">
        <f>AND(Bills!E636,"AAAAAH9fO1I=")</f>
        <v>#VALUE!</v>
      </c>
      <c r="CF173" t="e">
        <f>AND(Bills!F636,"AAAAAH9fO1M=")</f>
        <v>#VALUE!</v>
      </c>
      <c r="CG173" t="e">
        <f>AND(Bills!G636,"AAAAAH9fO1Q=")</f>
        <v>#VALUE!</v>
      </c>
      <c r="CH173" t="e">
        <f>AND(Bills!H636,"AAAAAH9fO1U=")</f>
        <v>#VALUE!</v>
      </c>
      <c r="CI173" t="e">
        <f>AND(Bills!I636,"AAAAAH9fO1Y=")</f>
        <v>#VALUE!</v>
      </c>
      <c r="CJ173" t="e">
        <f>AND(Bills!J636,"AAAAAH9fO1c=")</f>
        <v>#VALUE!</v>
      </c>
      <c r="CK173" t="e">
        <f>AND(Bills!#REF!,"AAAAAH9fO1g=")</f>
        <v>#REF!</v>
      </c>
      <c r="CL173" t="e">
        <f>AND(Bills!K636,"AAAAAH9fO1k=")</f>
        <v>#VALUE!</v>
      </c>
      <c r="CM173" t="e">
        <f>AND(Bills!L636,"AAAAAH9fO1o=")</f>
        <v>#VALUE!</v>
      </c>
      <c r="CN173" t="e">
        <f>AND(Bills!M636,"AAAAAH9fO1s=")</f>
        <v>#VALUE!</v>
      </c>
      <c r="CO173" t="e">
        <f>AND(Bills!N636,"AAAAAH9fO1w=")</f>
        <v>#VALUE!</v>
      </c>
      <c r="CP173" t="e">
        <f>AND(Bills!O636,"AAAAAH9fO10=")</f>
        <v>#VALUE!</v>
      </c>
      <c r="CQ173" t="e">
        <f>AND(Bills!P636,"AAAAAH9fO14=")</f>
        <v>#VALUE!</v>
      </c>
      <c r="CR173" t="e">
        <f>AND(Bills!Q636,"AAAAAH9fO18=")</f>
        <v>#VALUE!</v>
      </c>
      <c r="CS173" t="e">
        <f>AND(Bills!R636,"AAAAAH9fO2A=")</f>
        <v>#VALUE!</v>
      </c>
      <c r="CT173" t="e">
        <f>AND(Bills!#REF!,"AAAAAH9fO2E=")</f>
        <v>#REF!</v>
      </c>
      <c r="CU173" t="e">
        <f>AND(Bills!S636,"AAAAAH9fO2I=")</f>
        <v>#VALUE!</v>
      </c>
      <c r="CV173" t="e">
        <f>AND(Bills!T636,"AAAAAH9fO2M=")</f>
        <v>#VALUE!</v>
      </c>
      <c r="CW173" t="e">
        <f>AND(Bills!U636,"AAAAAH9fO2Q=")</f>
        <v>#VALUE!</v>
      </c>
      <c r="CX173" t="e">
        <f>AND(Bills!#REF!,"AAAAAH9fO2U=")</f>
        <v>#REF!</v>
      </c>
      <c r="CY173" t="e">
        <f>AND(Bills!#REF!,"AAAAAH9fO2Y=")</f>
        <v>#REF!</v>
      </c>
      <c r="CZ173" t="e">
        <f>AND(Bills!W636,"AAAAAH9fO2c=")</f>
        <v>#VALUE!</v>
      </c>
      <c r="DA173" t="e">
        <f>AND(Bills!X636,"AAAAAH9fO2g=")</f>
        <v>#VALUE!</v>
      </c>
      <c r="DB173" t="e">
        <f>AND(Bills!#REF!,"AAAAAH9fO2k=")</f>
        <v>#REF!</v>
      </c>
      <c r="DC173" t="e">
        <f>AND(Bills!#REF!,"AAAAAH9fO2o=")</f>
        <v>#REF!</v>
      </c>
      <c r="DD173" t="e">
        <f>AND(Bills!#REF!,"AAAAAH9fO2s=")</f>
        <v>#REF!</v>
      </c>
      <c r="DE173" t="e">
        <f>AND(Bills!#REF!,"AAAAAH9fO2w=")</f>
        <v>#REF!</v>
      </c>
      <c r="DF173" t="e">
        <f>AND(Bills!#REF!,"AAAAAH9fO20=")</f>
        <v>#REF!</v>
      </c>
      <c r="DG173" t="e">
        <f>AND(Bills!#REF!,"AAAAAH9fO24=")</f>
        <v>#REF!</v>
      </c>
      <c r="DH173" t="e">
        <f>AND(Bills!#REF!,"AAAAAH9fO28=")</f>
        <v>#REF!</v>
      </c>
      <c r="DI173" t="e">
        <f>AND(Bills!#REF!,"AAAAAH9fO3A=")</f>
        <v>#REF!</v>
      </c>
      <c r="DJ173" t="e">
        <f>AND(Bills!#REF!,"AAAAAH9fO3E=")</f>
        <v>#REF!</v>
      </c>
      <c r="DK173" t="e">
        <f>AND(Bills!Y636,"AAAAAH9fO3I=")</f>
        <v>#VALUE!</v>
      </c>
      <c r="DL173" t="e">
        <f>AND(Bills!Z636,"AAAAAH9fO3M=")</f>
        <v>#VALUE!</v>
      </c>
      <c r="DM173" t="e">
        <f>AND(Bills!#REF!,"AAAAAH9fO3Q=")</f>
        <v>#REF!</v>
      </c>
      <c r="DN173" t="e">
        <f>AND(Bills!#REF!,"AAAAAH9fO3U=")</f>
        <v>#REF!</v>
      </c>
      <c r="DO173" t="e">
        <f>AND(Bills!#REF!,"AAAAAH9fO3Y=")</f>
        <v>#REF!</v>
      </c>
      <c r="DP173" t="e">
        <f>AND(Bills!AA636,"AAAAAH9fO3c=")</f>
        <v>#VALUE!</v>
      </c>
      <c r="DQ173" t="e">
        <f>AND(Bills!AB636,"AAAAAH9fO3g=")</f>
        <v>#VALUE!</v>
      </c>
      <c r="DR173" t="e">
        <f>AND(Bills!#REF!,"AAAAAH9fO3k=")</f>
        <v>#REF!</v>
      </c>
      <c r="DS173">
        <f>IF(Bills!637:637,"AAAAAH9fO3o=",0)</f>
        <v>0</v>
      </c>
      <c r="DT173" t="e">
        <f>AND(Bills!B637,"AAAAAH9fO3s=")</f>
        <v>#VALUE!</v>
      </c>
      <c r="DU173" t="e">
        <f>AND(Bills!#REF!,"AAAAAH9fO3w=")</f>
        <v>#REF!</v>
      </c>
      <c r="DV173" t="e">
        <f>AND(Bills!C637,"AAAAAH9fO30=")</f>
        <v>#VALUE!</v>
      </c>
      <c r="DW173" t="e">
        <f>AND(Bills!#REF!,"AAAAAH9fO34=")</f>
        <v>#REF!</v>
      </c>
      <c r="DX173" t="e">
        <f>AND(Bills!#REF!,"AAAAAH9fO38=")</f>
        <v>#REF!</v>
      </c>
      <c r="DY173" t="e">
        <f>AND(Bills!#REF!,"AAAAAH9fO4A=")</f>
        <v>#REF!</v>
      </c>
      <c r="DZ173" t="e">
        <f>AND(Bills!#REF!,"AAAAAH9fO4E=")</f>
        <v>#REF!</v>
      </c>
      <c r="EA173" t="e">
        <f>AND(Bills!#REF!,"AAAAAH9fO4I=")</f>
        <v>#REF!</v>
      </c>
      <c r="EB173" t="e">
        <f>AND(Bills!D637,"AAAAAH9fO4M=")</f>
        <v>#VALUE!</v>
      </c>
      <c r="EC173" t="e">
        <f>AND(Bills!#REF!,"AAAAAH9fO4Q=")</f>
        <v>#REF!</v>
      </c>
      <c r="ED173" t="e">
        <f>AND(Bills!E637,"AAAAAH9fO4U=")</f>
        <v>#VALUE!</v>
      </c>
      <c r="EE173" t="e">
        <f>AND(Bills!F637,"AAAAAH9fO4Y=")</f>
        <v>#VALUE!</v>
      </c>
      <c r="EF173" t="e">
        <f>AND(Bills!G637,"AAAAAH9fO4c=")</f>
        <v>#VALUE!</v>
      </c>
      <c r="EG173" t="e">
        <f>AND(Bills!H637,"AAAAAH9fO4g=")</f>
        <v>#VALUE!</v>
      </c>
      <c r="EH173" t="e">
        <f>AND(Bills!I637,"AAAAAH9fO4k=")</f>
        <v>#VALUE!</v>
      </c>
      <c r="EI173" t="e">
        <f>AND(Bills!J637,"AAAAAH9fO4o=")</f>
        <v>#VALUE!</v>
      </c>
      <c r="EJ173" t="e">
        <f>AND(Bills!#REF!,"AAAAAH9fO4s=")</f>
        <v>#REF!</v>
      </c>
      <c r="EK173" t="e">
        <f>AND(Bills!K637,"AAAAAH9fO4w=")</f>
        <v>#VALUE!</v>
      </c>
      <c r="EL173" t="e">
        <f>AND(Bills!L637,"AAAAAH9fO40=")</f>
        <v>#VALUE!</v>
      </c>
      <c r="EM173" t="e">
        <f>AND(Bills!M637,"AAAAAH9fO44=")</f>
        <v>#VALUE!</v>
      </c>
      <c r="EN173" t="e">
        <f>AND(Bills!N637,"AAAAAH9fO48=")</f>
        <v>#VALUE!</v>
      </c>
      <c r="EO173" t="e">
        <f>AND(Bills!O637,"AAAAAH9fO5A=")</f>
        <v>#VALUE!</v>
      </c>
      <c r="EP173" t="e">
        <f>AND(Bills!P637,"AAAAAH9fO5E=")</f>
        <v>#VALUE!</v>
      </c>
      <c r="EQ173" t="e">
        <f>AND(Bills!Q637,"AAAAAH9fO5I=")</f>
        <v>#VALUE!</v>
      </c>
      <c r="ER173" t="e">
        <f>AND(Bills!R637,"AAAAAH9fO5M=")</f>
        <v>#VALUE!</v>
      </c>
      <c r="ES173" t="e">
        <f>AND(Bills!#REF!,"AAAAAH9fO5Q=")</f>
        <v>#REF!</v>
      </c>
      <c r="ET173" t="e">
        <f>AND(Bills!S637,"AAAAAH9fO5U=")</f>
        <v>#VALUE!</v>
      </c>
      <c r="EU173" t="e">
        <f>AND(Bills!T637,"AAAAAH9fO5Y=")</f>
        <v>#VALUE!</v>
      </c>
      <c r="EV173" t="e">
        <f>AND(Bills!U637,"AAAAAH9fO5c=")</f>
        <v>#VALUE!</v>
      </c>
      <c r="EW173" t="e">
        <f>AND(Bills!#REF!,"AAAAAH9fO5g=")</f>
        <v>#REF!</v>
      </c>
      <c r="EX173" t="e">
        <f>AND(Bills!#REF!,"AAAAAH9fO5k=")</f>
        <v>#REF!</v>
      </c>
      <c r="EY173" t="e">
        <f>AND(Bills!W637,"AAAAAH9fO5o=")</f>
        <v>#VALUE!</v>
      </c>
      <c r="EZ173" t="e">
        <f>AND(Bills!X637,"AAAAAH9fO5s=")</f>
        <v>#VALUE!</v>
      </c>
      <c r="FA173" t="e">
        <f>AND(Bills!#REF!,"AAAAAH9fO5w=")</f>
        <v>#REF!</v>
      </c>
      <c r="FB173" t="e">
        <f>AND(Bills!#REF!,"AAAAAH9fO50=")</f>
        <v>#REF!</v>
      </c>
      <c r="FC173" t="e">
        <f>AND(Bills!#REF!,"AAAAAH9fO54=")</f>
        <v>#REF!</v>
      </c>
      <c r="FD173" t="e">
        <f>AND(Bills!#REF!,"AAAAAH9fO58=")</f>
        <v>#REF!</v>
      </c>
      <c r="FE173" t="e">
        <f>AND(Bills!#REF!,"AAAAAH9fO6A=")</f>
        <v>#REF!</v>
      </c>
      <c r="FF173" t="e">
        <f>AND(Bills!#REF!,"AAAAAH9fO6E=")</f>
        <v>#REF!</v>
      </c>
      <c r="FG173" t="e">
        <f>AND(Bills!#REF!,"AAAAAH9fO6I=")</f>
        <v>#REF!</v>
      </c>
      <c r="FH173" t="e">
        <f>AND(Bills!#REF!,"AAAAAH9fO6M=")</f>
        <v>#REF!</v>
      </c>
      <c r="FI173" t="e">
        <f>AND(Bills!#REF!,"AAAAAH9fO6Q=")</f>
        <v>#REF!</v>
      </c>
      <c r="FJ173" t="e">
        <f>AND(Bills!Y637,"AAAAAH9fO6U=")</f>
        <v>#VALUE!</v>
      </c>
      <c r="FK173" t="e">
        <f>AND(Bills!Z637,"AAAAAH9fO6Y=")</f>
        <v>#VALUE!</v>
      </c>
      <c r="FL173" t="e">
        <f>AND(Bills!#REF!,"AAAAAH9fO6c=")</f>
        <v>#REF!</v>
      </c>
      <c r="FM173" t="e">
        <f>AND(Bills!#REF!,"AAAAAH9fO6g=")</f>
        <v>#REF!</v>
      </c>
      <c r="FN173" t="e">
        <f>AND(Bills!#REF!,"AAAAAH9fO6k=")</f>
        <v>#REF!</v>
      </c>
      <c r="FO173" t="e">
        <f>AND(Bills!AA637,"AAAAAH9fO6o=")</f>
        <v>#VALUE!</v>
      </c>
      <c r="FP173" t="e">
        <f>AND(Bills!AB637,"AAAAAH9fO6s=")</f>
        <v>#VALUE!</v>
      </c>
      <c r="FQ173" t="e">
        <f>AND(Bills!#REF!,"AAAAAH9fO6w=")</f>
        <v>#REF!</v>
      </c>
      <c r="FR173">
        <f>IF(Bills!638:638,"AAAAAH9fO60=",0)</f>
        <v>0</v>
      </c>
      <c r="FS173" t="e">
        <f>AND(Bills!B638,"AAAAAH9fO64=")</f>
        <v>#VALUE!</v>
      </c>
      <c r="FT173" t="e">
        <f>AND(Bills!#REF!,"AAAAAH9fO68=")</f>
        <v>#REF!</v>
      </c>
      <c r="FU173" t="e">
        <f>AND(Bills!C638,"AAAAAH9fO7A=")</f>
        <v>#VALUE!</v>
      </c>
      <c r="FV173" t="e">
        <f>AND(Bills!#REF!,"AAAAAH9fO7E=")</f>
        <v>#REF!</v>
      </c>
      <c r="FW173" t="e">
        <f>AND(Bills!#REF!,"AAAAAH9fO7I=")</f>
        <v>#REF!</v>
      </c>
      <c r="FX173" t="e">
        <f>AND(Bills!#REF!,"AAAAAH9fO7M=")</f>
        <v>#REF!</v>
      </c>
      <c r="FY173" t="e">
        <f>AND(Bills!#REF!,"AAAAAH9fO7Q=")</f>
        <v>#REF!</v>
      </c>
      <c r="FZ173" t="e">
        <f>AND(Bills!#REF!,"AAAAAH9fO7U=")</f>
        <v>#REF!</v>
      </c>
      <c r="GA173" t="e">
        <f>AND(Bills!D638,"AAAAAH9fO7Y=")</f>
        <v>#VALUE!</v>
      </c>
      <c r="GB173" t="e">
        <f>AND(Bills!#REF!,"AAAAAH9fO7c=")</f>
        <v>#REF!</v>
      </c>
      <c r="GC173" t="e">
        <f>AND(Bills!E638,"AAAAAH9fO7g=")</f>
        <v>#VALUE!</v>
      </c>
      <c r="GD173" t="e">
        <f>AND(Bills!F638,"AAAAAH9fO7k=")</f>
        <v>#VALUE!</v>
      </c>
      <c r="GE173" t="e">
        <f>AND(Bills!G638,"AAAAAH9fO7o=")</f>
        <v>#VALUE!</v>
      </c>
      <c r="GF173" t="e">
        <f>AND(Bills!H638,"AAAAAH9fO7s=")</f>
        <v>#VALUE!</v>
      </c>
      <c r="GG173" t="e">
        <f>AND(Bills!I638,"AAAAAH9fO7w=")</f>
        <v>#VALUE!</v>
      </c>
      <c r="GH173" t="e">
        <f>AND(Bills!J638,"AAAAAH9fO70=")</f>
        <v>#VALUE!</v>
      </c>
      <c r="GI173" t="e">
        <f>AND(Bills!#REF!,"AAAAAH9fO74=")</f>
        <v>#REF!</v>
      </c>
      <c r="GJ173" t="e">
        <f>AND(Bills!K638,"AAAAAH9fO78=")</f>
        <v>#VALUE!</v>
      </c>
      <c r="GK173" t="e">
        <f>AND(Bills!L638,"AAAAAH9fO8A=")</f>
        <v>#VALUE!</v>
      </c>
      <c r="GL173" t="e">
        <f>AND(Bills!M638,"AAAAAH9fO8E=")</f>
        <v>#VALUE!</v>
      </c>
      <c r="GM173" t="e">
        <f>AND(Bills!N638,"AAAAAH9fO8I=")</f>
        <v>#VALUE!</v>
      </c>
      <c r="GN173" t="e">
        <f>AND(Bills!O638,"AAAAAH9fO8M=")</f>
        <v>#VALUE!</v>
      </c>
      <c r="GO173" t="e">
        <f>AND(Bills!P638,"AAAAAH9fO8Q=")</f>
        <v>#VALUE!</v>
      </c>
      <c r="GP173" t="e">
        <f>AND(Bills!Q638,"AAAAAH9fO8U=")</f>
        <v>#VALUE!</v>
      </c>
      <c r="GQ173" t="e">
        <f>AND(Bills!R638,"AAAAAH9fO8Y=")</f>
        <v>#VALUE!</v>
      </c>
      <c r="GR173" t="e">
        <f>AND(Bills!#REF!,"AAAAAH9fO8c=")</f>
        <v>#REF!</v>
      </c>
      <c r="GS173" t="e">
        <f>AND(Bills!S638,"AAAAAH9fO8g=")</f>
        <v>#VALUE!</v>
      </c>
      <c r="GT173" t="e">
        <f>AND(Bills!T638,"AAAAAH9fO8k=")</f>
        <v>#VALUE!</v>
      </c>
      <c r="GU173" t="e">
        <f>AND(Bills!U638,"AAAAAH9fO8o=")</f>
        <v>#VALUE!</v>
      </c>
      <c r="GV173" t="e">
        <f>AND(Bills!#REF!,"AAAAAH9fO8s=")</f>
        <v>#REF!</v>
      </c>
      <c r="GW173" t="e">
        <f>AND(Bills!#REF!,"AAAAAH9fO8w=")</f>
        <v>#REF!</v>
      </c>
      <c r="GX173" t="e">
        <f>AND(Bills!W638,"AAAAAH9fO80=")</f>
        <v>#VALUE!</v>
      </c>
      <c r="GY173" t="e">
        <f>AND(Bills!X638,"AAAAAH9fO84=")</f>
        <v>#VALUE!</v>
      </c>
      <c r="GZ173" t="e">
        <f>AND(Bills!#REF!,"AAAAAH9fO88=")</f>
        <v>#REF!</v>
      </c>
      <c r="HA173" t="e">
        <f>AND(Bills!#REF!,"AAAAAH9fO9A=")</f>
        <v>#REF!</v>
      </c>
      <c r="HB173" t="e">
        <f>AND(Bills!#REF!,"AAAAAH9fO9E=")</f>
        <v>#REF!</v>
      </c>
      <c r="HC173" t="e">
        <f>AND(Bills!#REF!,"AAAAAH9fO9I=")</f>
        <v>#REF!</v>
      </c>
      <c r="HD173" t="e">
        <f>AND(Bills!#REF!,"AAAAAH9fO9M=")</f>
        <v>#REF!</v>
      </c>
      <c r="HE173" t="e">
        <f>AND(Bills!#REF!,"AAAAAH9fO9Q=")</f>
        <v>#REF!</v>
      </c>
      <c r="HF173" t="e">
        <f>AND(Bills!#REF!,"AAAAAH9fO9U=")</f>
        <v>#REF!</v>
      </c>
      <c r="HG173" t="e">
        <f>AND(Bills!#REF!,"AAAAAH9fO9Y=")</f>
        <v>#REF!</v>
      </c>
      <c r="HH173" t="e">
        <f>AND(Bills!#REF!,"AAAAAH9fO9c=")</f>
        <v>#REF!</v>
      </c>
      <c r="HI173" t="e">
        <f>AND(Bills!Y638,"AAAAAH9fO9g=")</f>
        <v>#VALUE!</v>
      </c>
      <c r="HJ173" t="e">
        <f>AND(Bills!Z638,"AAAAAH9fO9k=")</f>
        <v>#VALUE!</v>
      </c>
      <c r="HK173" t="e">
        <f>AND(Bills!#REF!,"AAAAAH9fO9o=")</f>
        <v>#REF!</v>
      </c>
      <c r="HL173" t="e">
        <f>AND(Bills!#REF!,"AAAAAH9fO9s=")</f>
        <v>#REF!</v>
      </c>
      <c r="HM173" t="e">
        <f>AND(Bills!#REF!,"AAAAAH9fO9w=")</f>
        <v>#REF!</v>
      </c>
      <c r="HN173" t="e">
        <f>AND(Bills!AA638,"AAAAAH9fO90=")</f>
        <v>#VALUE!</v>
      </c>
      <c r="HO173" t="e">
        <f>AND(Bills!AB638,"AAAAAH9fO94=")</f>
        <v>#VALUE!</v>
      </c>
      <c r="HP173" t="e">
        <f>AND(Bills!#REF!,"AAAAAH9fO98=")</f>
        <v>#REF!</v>
      </c>
      <c r="HQ173">
        <f>IF(Bills!639:639,"AAAAAH9fO+A=",0)</f>
        <v>0</v>
      </c>
      <c r="HR173" t="e">
        <f>AND(Bills!B639,"AAAAAH9fO+E=")</f>
        <v>#VALUE!</v>
      </c>
      <c r="HS173" t="e">
        <f>AND(Bills!#REF!,"AAAAAH9fO+I=")</f>
        <v>#REF!</v>
      </c>
      <c r="HT173" t="e">
        <f>AND(Bills!C639,"AAAAAH9fO+M=")</f>
        <v>#VALUE!</v>
      </c>
      <c r="HU173" t="e">
        <f>AND(Bills!#REF!,"AAAAAH9fO+Q=")</f>
        <v>#REF!</v>
      </c>
      <c r="HV173" t="e">
        <f>AND(Bills!#REF!,"AAAAAH9fO+U=")</f>
        <v>#REF!</v>
      </c>
      <c r="HW173" t="e">
        <f>AND(Bills!#REF!,"AAAAAH9fO+Y=")</f>
        <v>#REF!</v>
      </c>
      <c r="HX173" t="e">
        <f>AND(Bills!#REF!,"AAAAAH9fO+c=")</f>
        <v>#REF!</v>
      </c>
      <c r="HY173" t="e">
        <f>AND(Bills!#REF!,"AAAAAH9fO+g=")</f>
        <v>#REF!</v>
      </c>
      <c r="HZ173" t="e">
        <f>AND(Bills!D639,"AAAAAH9fO+k=")</f>
        <v>#VALUE!</v>
      </c>
      <c r="IA173" t="e">
        <f>AND(Bills!#REF!,"AAAAAH9fO+o=")</f>
        <v>#REF!</v>
      </c>
      <c r="IB173" t="e">
        <f>AND(Bills!E639,"AAAAAH9fO+s=")</f>
        <v>#VALUE!</v>
      </c>
      <c r="IC173" t="e">
        <f>AND(Bills!F639,"AAAAAH9fO+w=")</f>
        <v>#VALUE!</v>
      </c>
      <c r="ID173" t="e">
        <f>AND(Bills!G639,"AAAAAH9fO+0=")</f>
        <v>#VALUE!</v>
      </c>
      <c r="IE173" t="e">
        <f>AND(Bills!H639,"AAAAAH9fO+4=")</f>
        <v>#VALUE!</v>
      </c>
      <c r="IF173" t="e">
        <f>AND(Bills!I639,"AAAAAH9fO+8=")</f>
        <v>#VALUE!</v>
      </c>
      <c r="IG173" t="e">
        <f>AND(Bills!J639,"AAAAAH9fO/A=")</f>
        <v>#VALUE!</v>
      </c>
      <c r="IH173" t="e">
        <f>AND(Bills!#REF!,"AAAAAH9fO/E=")</f>
        <v>#REF!</v>
      </c>
      <c r="II173" t="e">
        <f>AND(Bills!K639,"AAAAAH9fO/I=")</f>
        <v>#VALUE!</v>
      </c>
      <c r="IJ173" t="e">
        <f>AND(Bills!L639,"AAAAAH9fO/M=")</f>
        <v>#VALUE!</v>
      </c>
      <c r="IK173" t="e">
        <f>AND(Bills!M639,"AAAAAH9fO/Q=")</f>
        <v>#VALUE!</v>
      </c>
      <c r="IL173" t="e">
        <f>AND(Bills!N639,"AAAAAH9fO/U=")</f>
        <v>#VALUE!</v>
      </c>
      <c r="IM173" t="e">
        <f>AND(Bills!O639,"AAAAAH9fO/Y=")</f>
        <v>#VALUE!</v>
      </c>
      <c r="IN173" t="e">
        <f>AND(Bills!P639,"AAAAAH9fO/c=")</f>
        <v>#VALUE!</v>
      </c>
      <c r="IO173" t="e">
        <f>AND(Bills!Q639,"AAAAAH9fO/g=")</f>
        <v>#VALUE!</v>
      </c>
      <c r="IP173" t="e">
        <f>AND(Bills!R639,"AAAAAH9fO/k=")</f>
        <v>#VALUE!</v>
      </c>
      <c r="IQ173" t="e">
        <f>AND(Bills!#REF!,"AAAAAH9fO/o=")</f>
        <v>#REF!</v>
      </c>
      <c r="IR173" t="e">
        <f>AND(Bills!S639,"AAAAAH9fO/s=")</f>
        <v>#VALUE!</v>
      </c>
      <c r="IS173" t="e">
        <f>AND(Bills!T639,"AAAAAH9fO/w=")</f>
        <v>#VALUE!</v>
      </c>
      <c r="IT173" t="e">
        <f>AND(Bills!U639,"AAAAAH9fO/0=")</f>
        <v>#VALUE!</v>
      </c>
      <c r="IU173" t="e">
        <f>AND(Bills!#REF!,"AAAAAH9fO/4=")</f>
        <v>#REF!</v>
      </c>
      <c r="IV173" t="e">
        <f>AND(Bills!#REF!,"AAAAAH9fO/8=")</f>
        <v>#REF!</v>
      </c>
    </row>
    <row r="174" spans="1:256">
      <c r="A174" t="e">
        <f>AND(Bills!W639,"AAAAAE+1nwA=")</f>
        <v>#VALUE!</v>
      </c>
      <c r="B174" t="e">
        <f>AND(Bills!X639,"AAAAAE+1nwE=")</f>
        <v>#VALUE!</v>
      </c>
      <c r="C174" t="e">
        <f>AND(Bills!#REF!,"AAAAAE+1nwI=")</f>
        <v>#REF!</v>
      </c>
      <c r="D174" t="e">
        <f>AND(Bills!#REF!,"AAAAAE+1nwM=")</f>
        <v>#REF!</v>
      </c>
      <c r="E174" t="e">
        <f>AND(Bills!#REF!,"AAAAAE+1nwQ=")</f>
        <v>#REF!</v>
      </c>
      <c r="F174" t="e">
        <f>AND(Bills!#REF!,"AAAAAE+1nwU=")</f>
        <v>#REF!</v>
      </c>
      <c r="G174" t="e">
        <f>AND(Bills!#REF!,"AAAAAE+1nwY=")</f>
        <v>#REF!</v>
      </c>
      <c r="H174" t="e">
        <f>AND(Bills!#REF!,"AAAAAE+1nwc=")</f>
        <v>#REF!</v>
      </c>
      <c r="I174" t="e">
        <f>AND(Bills!#REF!,"AAAAAE+1nwg=")</f>
        <v>#REF!</v>
      </c>
      <c r="J174" t="e">
        <f>AND(Bills!#REF!,"AAAAAE+1nwk=")</f>
        <v>#REF!</v>
      </c>
      <c r="K174" t="e">
        <f>AND(Bills!#REF!,"AAAAAE+1nwo=")</f>
        <v>#REF!</v>
      </c>
      <c r="L174" t="e">
        <f>AND(Bills!Y639,"AAAAAE+1nws=")</f>
        <v>#VALUE!</v>
      </c>
      <c r="M174" t="e">
        <f>AND(Bills!Z639,"AAAAAE+1nww=")</f>
        <v>#VALUE!</v>
      </c>
      <c r="N174" t="e">
        <f>AND(Bills!#REF!,"AAAAAE+1nw0=")</f>
        <v>#REF!</v>
      </c>
      <c r="O174" t="e">
        <f>AND(Bills!#REF!,"AAAAAE+1nw4=")</f>
        <v>#REF!</v>
      </c>
      <c r="P174" t="e">
        <f>AND(Bills!#REF!,"AAAAAE+1nw8=")</f>
        <v>#REF!</v>
      </c>
      <c r="Q174" t="e">
        <f>AND(Bills!AA639,"AAAAAE+1nxA=")</f>
        <v>#VALUE!</v>
      </c>
      <c r="R174" t="e">
        <f>AND(Bills!AB639,"AAAAAE+1nxE=")</f>
        <v>#VALUE!</v>
      </c>
      <c r="S174" t="e">
        <f>AND(Bills!#REF!,"AAAAAE+1nxI=")</f>
        <v>#REF!</v>
      </c>
      <c r="T174">
        <f>IF(Bills!640:640,"AAAAAE+1nxM=",0)</f>
        <v>0</v>
      </c>
      <c r="U174" t="e">
        <f>AND(Bills!B640,"AAAAAE+1nxQ=")</f>
        <v>#VALUE!</v>
      </c>
      <c r="V174" t="e">
        <f>AND(Bills!#REF!,"AAAAAE+1nxU=")</f>
        <v>#REF!</v>
      </c>
      <c r="W174" t="e">
        <f>AND(Bills!C640,"AAAAAE+1nxY=")</f>
        <v>#VALUE!</v>
      </c>
      <c r="X174" t="e">
        <f>AND(Bills!#REF!,"AAAAAE+1nxc=")</f>
        <v>#REF!</v>
      </c>
      <c r="Y174" t="e">
        <f>AND(Bills!#REF!,"AAAAAE+1nxg=")</f>
        <v>#REF!</v>
      </c>
      <c r="Z174" t="e">
        <f>AND(Bills!#REF!,"AAAAAE+1nxk=")</f>
        <v>#REF!</v>
      </c>
      <c r="AA174" t="e">
        <f>AND(Bills!#REF!,"AAAAAE+1nxo=")</f>
        <v>#REF!</v>
      </c>
      <c r="AB174" t="e">
        <f>AND(Bills!#REF!,"AAAAAE+1nxs=")</f>
        <v>#REF!</v>
      </c>
      <c r="AC174" t="e">
        <f>AND(Bills!D640,"AAAAAE+1nxw=")</f>
        <v>#VALUE!</v>
      </c>
      <c r="AD174" t="e">
        <f>AND(Bills!#REF!,"AAAAAE+1nx0=")</f>
        <v>#REF!</v>
      </c>
      <c r="AE174" t="e">
        <f>AND(Bills!E640,"AAAAAE+1nx4=")</f>
        <v>#VALUE!</v>
      </c>
      <c r="AF174" t="e">
        <f>AND(Bills!F640,"AAAAAE+1nx8=")</f>
        <v>#VALUE!</v>
      </c>
      <c r="AG174" t="e">
        <f>AND(Bills!G640,"AAAAAE+1nyA=")</f>
        <v>#VALUE!</v>
      </c>
      <c r="AH174" t="e">
        <f>AND(Bills!H640,"AAAAAE+1nyE=")</f>
        <v>#VALUE!</v>
      </c>
      <c r="AI174" t="e">
        <f>AND(Bills!I640,"AAAAAE+1nyI=")</f>
        <v>#VALUE!</v>
      </c>
      <c r="AJ174" t="e">
        <f>AND(Bills!J640,"AAAAAE+1nyM=")</f>
        <v>#VALUE!</v>
      </c>
      <c r="AK174" t="e">
        <f>AND(Bills!#REF!,"AAAAAE+1nyQ=")</f>
        <v>#REF!</v>
      </c>
      <c r="AL174" t="e">
        <f>AND(Bills!K640,"AAAAAE+1nyU=")</f>
        <v>#VALUE!</v>
      </c>
      <c r="AM174" t="e">
        <f>AND(Bills!L640,"AAAAAE+1nyY=")</f>
        <v>#VALUE!</v>
      </c>
      <c r="AN174" t="e">
        <f>AND(Bills!M640,"AAAAAE+1nyc=")</f>
        <v>#VALUE!</v>
      </c>
      <c r="AO174" t="e">
        <f>AND(Bills!N640,"AAAAAE+1nyg=")</f>
        <v>#VALUE!</v>
      </c>
      <c r="AP174" t="e">
        <f>AND(Bills!O640,"AAAAAE+1nyk=")</f>
        <v>#VALUE!</v>
      </c>
      <c r="AQ174" t="e">
        <f>AND(Bills!P640,"AAAAAE+1nyo=")</f>
        <v>#VALUE!</v>
      </c>
      <c r="AR174" t="e">
        <f>AND(Bills!Q640,"AAAAAE+1nys=")</f>
        <v>#VALUE!</v>
      </c>
      <c r="AS174" t="e">
        <f>AND(Bills!R640,"AAAAAE+1nyw=")</f>
        <v>#VALUE!</v>
      </c>
      <c r="AT174" t="e">
        <f>AND(Bills!#REF!,"AAAAAE+1ny0=")</f>
        <v>#REF!</v>
      </c>
      <c r="AU174" t="e">
        <f>AND(Bills!S640,"AAAAAE+1ny4=")</f>
        <v>#VALUE!</v>
      </c>
      <c r="AV174" t="e">
        <f>AND(Bills!T640,"AAAAAE+1ny8=")</f>
        <v>#VALUE!</v>
      </c>
      <c r="AW174" t="e">
        <f>AND(Bills!U640,"AAAAAE+1nzA=")</f>
        <v>#VALUE!</v>
      </c>
      <c r="AX174" t="e">
        <f>AND(Bills!#REF!,"AAAAAE+1nzE=")</f>
        <v>#REF!</v>
      </c>
      <c r="AY174" t="e">
        <f>AND(Bills!#REF!,"AAAAAE+1nzI=")</f>
        <v>#REF!</v>
      </c>
      <c r="AZ174" t="e">
        <f>AND(Bills!W640,"AAAAAE+1nzM=")</f>
        <v>#VALUE!</v>
      </c>
      <c r="BA174" t="e">
        <f>AND(Bills!X640,"AAAAAE+1nzQ=")</f>
        <v>#VALUE!</v>
      </c>
      <c r="BB174" t="e">
        <f>AND(Bills!#REF!,"AAAAAE+1nzU=")</f>
        <v>#REF!</v>
      </c>
      <c r="BC174" t="e">
        <f>AND(Bills!#REF!,"AAAAAE+1nzY=")</f>
        <v>#REF!</v>
      </c>
      <c r="BD174" t="e">
        <f>AND(Bills!#REF!,"AAAAAE+1nzc=")</f>
        <v>#REF!</v>
      </c>
      <c r="BE174" t="e">
        <f>AND(Bills!#REF!,"AAAAAE+1nzg=")</f>
        <v>#REF!</v>
      </c>
      <c r="BF174" t="e">
        <f>AND(Bills!#REF!,"AAAAAE+1nzk=")</f>
        <v>#REF!</v>
      </c>
      <c r="BG174" t="e">
        <f>AND(Bills!#REF!,"AAAAAE+1nzo=")</f>
        <v>#REF!</v>
      </c>
      <c r="BH174" t="e">
        <f>AND(Bills!#REF!,"AAAAAE+1nzs=")</f>
        <v>#REF!</v>
      </c>
      <c r="BI174" t="e">
        <f>AND(Bills!#REF!,"AAAAAE+1nzw=")</f>
        <v>#REF!</v>
      </c>
      <c r="BJ174" t="e">
        <f>AND(Bills!#REF!,"AAAAAE+1nz0=")</f>
        <v>#REF!</v>
      </c>
      <c r="BK174" t="e">
        <f>AND(Bills!Y640,"AAAAAE+1nz4=")</f>
        <v>#VALUE!</v>
      </c>
      <c r="BL174" t="e">
        <f>AND(Bills!Z640,"AAAAAE+1nz8=")</f>
        <v>#VALUE!</v>
      </c>
      <c r="BM174" t="e">
        <f>AND(Bills!#REF!,"AAAAAE+1n0A=")</f>
        <v>#REF!</v>
      </c>
      <c r="BN174" t="e">
        <f>AND(Bills!#REF!,"AAAAAE+1n0E=")</f>
        <v>#REF!</v>
      </c>
      <c r="BO174" t="e">
        <f>AND(Bills!#REF!,"AAAAAE+1n0I=")</f>
        <v>#REF!</v>
      </c>
      <c r="BP174" t="e">
        <f>AND(Bills!AA640,"AAAAAE+1n0M=")</f>
        <v>#VALUE!</v>
      </c>
      <c r="BQ174" t="e">
        <f>AND(Bills!AB640,"AAAAAE+1n0Q=")</f>
        <v>#VALUE!</v>
      </c>
      <c r="BR174" t="e">
        <f>AND(Bills!#REF!,"AAAAAE+1n0U=")</f>
        <v>#REF!</v>
      </c>
      <c r="BS174">
        <f>IF(Bills!641:641,"AAAAAE+1n0Y=",0)</f>
        <v>0</v>
      </c>
      <c r="BT174" t="e">
        <f>AND(Bills!B641,"AAAAAE+1n0c=")</f>
        <v>#VALUE!</v>
      </c>
      <c r="BU174" t="e">
        <f>AND(Bills!#REF!,"AAAAAE+1n0g=")</f>
        <v>#REF!</v>
      </c>
      <c r="BV174" t="e">
        <f>AND(Bills!C641,"AAAAAE+1n0k=")</f>
        <v>#VALUE!</v>
      </c>
      <c r="BW174" t="e">
        <f>AND(Bills!#REF!,"AAAAAE+1n0o=")</f>
        <v>#REF!</v>
      </c>
      <c r="BX174" t="e">
        <f>AND(Bills!#REF!,"AAAAAE+1n0s=")</f>
        <v>#REF!</v>
      </c>
      <c r="BY174" t="e">
        <f>AND(Bills!#REF!,"AAAAAE+1n0w=")</f>
        <v>#REF!</v>
      </c>
      <c r="BZ174" t="e">
        <f>AND(Bills!#REF!,"AAAAAE+1n00=")</f>
        <v>#REF!</v>
      </c>
      <c r="CA174" t="e">
        <f>AND(Bills!#REF!,"AAAAAE+1n04=")</f>
        <v>#REF!</v>
      </c>
      <c r="CB174" t="e">
        <f>AND(Bills!D641,"AAAAAE+1n08=")</f>
        <v>#VALUE!</v>
      </c>
      <c r="CC174" t="e">
        <f>AND(Bills!#REF!,"AAAAAE+1n1A=")</f>
        <v>#REF!</v>
      </c>
      <c r="CD174" t="e">
        <f>AND(Bills!E641,"AAAAAE+1n1E=")</f>
        <v>#VALUE!</v>
      </c>
      <c r="CE174" t="e">
        <f>AND(Bills!F641,"AAAAAE+1n1I=")</f>
        <v>#VALUE!</v>
      </c>
      <c r="CF174" t="e">
        <f>AND(Bills!G641,"AAAAAE+1n1M=")</f>
        <v>#VALUE!</v>
      </c>
      <c r="CG174" t="e">
        <f>AND(Bills!H641,"AAAAAE+1n1Q=")</f>
        <v>#VALUE!</v>
      </c>
      <c r="CH174" t="e">
        <f>AND(Bills!I641,"AAAAAE+1n1U=")</f>
        <v>#VALUE!</v>
      </c>
      <c r="CI174" t="e">
        <f>AND(Bills!J641,"AAAAAE+1n1Y=")</f>
        <v>#VALUE!</v>
      </c>
      <c r="CJ174" t="e">
        <f>AND(Bills!#REF!,"AAAAAE+1n1c=")</f>
        <v>#REF!</v>
      </c>
      <c r="CK174" t="e">
        <f>AND(Bills!K641,"AAAAAE+1n1g=")</f>
        <v>#VALUE!</v>
      </c>
      <c r="CL174" t="e">
        <f>AND(Bills!L641,"AAAAAE+1n1k=")</f>
        <v>#VALUE!</v>
      </c>
      <c r="CM174" t="e">
        <f>AND(Bills!M641,"AAAAAE+1n1o=")</f>
        <v>#VALUE!</v>
      </c>
      <c r="CN174" t="e">
        <f>AND(Bills!N641,"AAAAAE+1n1s=")</f>
        <v>#VALUE!</v>
      </c>
      <c r="CO174" t="e">
        <f>AND(Bills!O641,"AAAAAE+1n1w=")</f>
        <v>#VALUE!</v>
      </c>
      <c r="CP174" t="e">
        <f>AND(Bills!P641,"AAAAAE+1n10=")</f>
        <v>#VALUE!</v>
      </c>
      <c r="CQ174" t="e">
        <f>AND(Bills!Q641,"AAAAAE+1n14=")</f>
        <v>#VALUE!</v>
      </c>
      <c r="CR174" t="e">
        <f>AND(Bills!R641,"AAAAAE+1n18=")</f>
        <v>#VALUE!</v>
      </c>
      <c r="CS174" t="e">
        <f>AND(Bills!#REF!,"AAAAAE+1n2A=")</f>
        <v>#REF!</v>
      </c>
      <c r="CT174" t="e">
        <f>AND(Bills!S641,"AAAAAE+1n2E=")</f>
        <v>#VALUE!</v>
      </c>
      <c r="CU174" t="e">
        <f>AND(Bills!T641,"AAAAAE+1n2I=")</f>
        <v>#VALUE!</v>
      </c>
      <c r="CV174" t="e">
        <f>AND(Bills!U641,"AAAAAE+1n2M=")</f>
        <v>#VALUE!</v>
      </c>
      <c r="CW174" t="e">
        <f>AND(Bills!#REF!,"AAAAAE+1n2Q=")</f>
        <v>#REF!</v>
      </c>
      <c r="CX174" t="e">
        <f>AND(Bills!#REF!,"AAAAAE+1n2U=")</f>
        <v>#REF!</v>
      </c>
      <c r="CY174" t="e">
        <f>AND(Bills!W641,"AAAAAE+1n2Y=")</f>
        <v>#VALUE!</v>
      </c>
      <c r="CZ174" t="e">
        <f>AND(Bills!X641,"AAAAAE+1n2c=")</f>
        <v>#VALUE!</v>
      </c>
      <c r="DA174" t="e">
        <f>AND(Bills!#REF!,"AAAAAE+1n2g=")</f>
        <v>#REF!</v>
      </c>
      <c r="DB174" t="e">
        <f>AND(Bills!#REF!,"AAAAAE+1n2k=")</f>
        <v>#REF!</v>
      </c>
      <c r="DC174" t="e">
        <f>AND(Bills!#REF!,"AAAAAE+1n2o=")</f>
        <v>#REF!</v>
      </c>
      <c r="DD174" t="e">
        <f>AND(Bills!#REF!,"AAAAAE+1n2s=")</f>
        <v>#REF!</v>
      </c>
      <c r="DE174" t="e">
        <f>AND(Bills!#REF!,"AAAAAE+1n2w=")</f>
        <v>#REF!</v>
      </c>
      <c r="DF174" t="e">
        <f>AND(Bills!#REF!,"AAAAAE+1n20=")</f>
        <v>#REF!</v>
      </c>
      <c r="DG174" t="e">
        <f>AND(Bills!#REF!,"AAAAAE+1n24=")</f>
        <v>#REF!</v>
      </c>
      <c r="DH174" t="e">
        <f>AND(Bills!#REF!,"AAAAAE+1n28=")</f>
        <v>#REF!</v>
      </c>
      <c r="DI174" t="e">
        <f>AND(Bills!#REF!,"AAAAAE+1n3A=")</f>
        <v>#REF!</v>
      </c>
      <c r="DJ174" t="e">
        <f>AND(Bills!Y641,"AAAAAE+1n3E=")</f>
        <v>#VALUE!</v>
      </c>
      <c r="DK174" t="e">
        <f>AND(Bills!Z641,"AAAAAE+1n3I=")</f>
        <v>#VALUE!</v>
      </c>
      <c r="DL174" t="e">
        <f>AND(Bills!#REF!,"AAAAAE+1n3M=")</f>
        <v>#REF!</v>
      </c>
      <c r="DM174" t="e">
        <f>AND(Bills!#REF!,"AAAAAE+1n3Q=")</f>
        <v>#REF!</v>
      </c>
      <c r="DN174" t="e">
        <f>AND(Bills!#REF!,"AAAAAE+1n3U=")</f>
        <v>#REF!</v>
      </c>
      <c r="DO174" t="e">
        <f>AND(Bills!AA641,"AAAAAE+1n3Y=")</f>
        <v>#VALUE!</v>
      </c>
      <c r="DP174" t="e">
        <f>AND(Bills!AB641,"AAAAAE+1n3c=")</f>
        <v>#VALUE!</v>
      </c>
      <c r="DQ174" t="e">
        <f>AND(Bills!#REF!,"AAAAAE+1n3g=")</f>
        <v>#REF!</v>
      </c>
      <c r="DR174">
        <f>IF(Bills!642:642,"AAAAAE+1n3k=",0)</f>
        <v>0</v>
      </c>
      <c r="DS174" t="e">
        <f>AND(Bills!B642,"AAAAAE+1n3o=")</f>
        <v>#VALUE!</v>
      </c>
      <c r="DT174" t="e">
        <f>AND(Bills!#REF!,"AAAAAE+1n3s=")</f>
        <v>#REF!</v>
      </c>
      <c r="DU174" t="e">
        <f>AND(Bills!C642,"AAAAAE+1n3w=")</f>
        <v>#VALUE!</v>
      </c>
      <c r="DV174" t="e">
        <f>AND(Bills!#REF!,"AAAAAE+1n30=")</f>
        <v>#REF!</v>
      </c>
      <c r="DW174" t="e">
        <f>AND(Bills!#REF!,"AAAAAE+1n34=")</f>
        <v>#REF!</v>
      </c>
      <c r="DX174" t="e">
        <f>AND(Bills!#REF!,"AAAAAE+1n38=")</f>
        <v>#REF!</v>
      </c>
      <c r="DY174" t="e">
        <f>AND(Bills!#REF!,"AAAAAE+1n4A=")</f>
        <v>#REF!</v>
      </c>
      <c r="DZ174" t="e">
        <f>AND(Bills!#REF!,"AAAAAE+1n4E=")</f>
        <v>#REF!</v>
      </c>
      <c r="EA174" t="e">
        <f>AND(Bills!D642,"AAAAAE+1n4I=")</f>
        <v>#VALUE!</v>
      </c>
      <c r="EB174" t="e">
        <f>AND(Bills!#REF!,"AAAAAE+1n4M=")</f>
        <v>#REF!</v>
      </c>
      <c r="EC174" t="e">
        <f>AND(Bills!E642,"AAAAAE+1n4Q=")</f>
        <v>#VALUE!</v>
      </c>
      <c r="ED174" t="e">
        <f>AND(Bills!F642,"AAAAAE+1n4U=")</f>
        <v>#VALUE!</v>
      </c>
      <c r="EE174" t="e">
        <f>AND(Bills!G642,"AAAAAE+1n4Y=")</f>
        <v>#VALUE!</v>
      </c>
      <c r="EF174" t="e">
        <f>AND(Bills!H642,"AAAAAE+1n4c=")</f>
        <v>#VALUE!</v>
      </c>
      <c r="EG174" t="e">
        <f>AND(Bills!I642,"AAAAAE+1n4g=")</f>
        <v>#VALUE!</v>
      </c>
      <c r="EH174" t="e">
        <f>AND(Bills!J642,"AAAAAE+1n4k=")</f>
        <v>#VALUE!</v>
      </c>
      <c r="EI174" t="e">
        <f>AND(Bills!#REF!,"AAAAAE+1n4o=")</f>
        <v>#REF!</v>
      </c>
      <c r="EJ174" t="e">
        <f>AND(Bills!K642,"AAAAAE+1n4s=")</f>
        <v>#VALUE!</v>
      </c>
      <c r="EK174" t="e">
        <f>AND(Bills!L642,"AAAAAE+1n4w=")</f>
        <v>#VALUE!</v>
      </c>
      <c r="EL174" t="e">
        <f>AND(Bills!M642,"AAAAAE+1n40=")</f>
        <v>#VALUE!</v>
      </c>
      <c r="EM174" t="e">
        <f>AND(Bills!N642,"AAAAAE+1n44=")</f>
        <v>#VALUE!</v>
      </c>
      <c r="EN174" t="e">
        <f>AND(Bills!O642,"AAAAAE+1n48=")</f>
        <v>#VALUE!</v>
      </c>
      <c r="EO174" t="e">
        <f>AND(Bills!P642,"AAAAAE+1n5A=")</f>
        <v>#VALUE!</v>
      </c>
      <c r="EP174" t="e">
        <f>AND(Bills!Q642,"AAAAAE+1n5E=")</f>
        <v>#VALUE!</v>
      </c>
      <c r="EQ174" t="e">
        <f>AND(Bills!R642,"AAAAAE+1n5I=")</f>
        <v>#VALUE!</v>
      </c>
      <c r="ER174" t="e">
        <f>AND(Bills!#REF!,"AAAAAE+1n5M=")</f>
        <v>#REF!</v>
      </c>
      <c r="ES174" t="e">
        <f>AND(Bills!S642,"AAAAAE+1n5Q=")</f>
        <v>#VALUE!</v>
      </c>
      <c r="ET174" t="e">
        <f>AND(Bills!T642,"AAAAAE+1n5U=")</f>
        <v>#VALUE!</v>
      </c>
      <c r="EU174" t="e">
        <f>AND(Bills!U642,"AAAAAE+1n5Y=")</f>
        <v>#VALUE!</v>
      </c>
      <c r="EV174" t="e">
        <f>AND(Bills!#REF!,"AAAAAE+1n5c=")</f>
        <v>#REF!</v>
      </c>
      <c r="EW174" t="e">
        <f>AND(Bills!#REF!,"AAAAAE+1n5g=")</f>
        <v>#REF!</v>
      </c>
      <c r="EX174" t="e">
        <f>AND(Bills!W642,"AAAAAE+1n5k=")</f>
        <v>#VALUE!</v>
      </c>
      <c r="EY174" t="e">
        <f>AND(Bills!X642,"AAAAAE+1n5o=")</f>
        <v>#VALUE!</v>
      </c>
      <c r="EZ174" t="e">
        <f>AND(Bills!#REF!,"AAAAAE+1n5s=")</f>
        <v>#REF!</v>
      </c>
      <c r="FA174" t="e">
        <f>AND(Bills!#REF!,"AAAAAE+1n5w=")</f>
        <v>#REF!</v>
      </c>
      <c r="FB174" t="e">
        <f>AND(Bills!#REF!,"AAAAAE+1n50=")</f>
        <v>#REF!</v>
      </c>
      <c r="FC174" t="e">
        <f>AND(Bills!#REF!,"AAAAAE+1n54=")</f>
        <v>#REF!</v>
      </c>
      <c r="FD174" t="e">
        <f>AND(Bills!#REF!,"AAAAAE+1n58=")</f>
        <v>#REF!</v>
      </c>
      <c r="FE174" t="e">
        <f>AND(Bills!#REF!,"AAAAAE+1n6A=")</f>
        <v>#REF!</v>
      </c>
      <c r="FF174" t="e">
        <f>AND(Bills!#REF!,"AAAAAE+1n6E=")</f>
        <v>#REF!</v>
      </c>
      <c r="FG174" t="e">
        <f>AND(Bills!#REF!,"AAAAAE+1n6I=")</f>
        <v>#REF!</v>
      </c>
      <c r="FH174" t="e">
        <f>AND(Bills!#REF!,"AAAAAE+1n6M=")</f>
        <v>#REF!</v>
      </c>
      <c r="FI174" t="e">
        <f>AND(Bills!Y642,"AAAAAE+1n6Q=")</f>
        <v>#VALUE!</v>
      </c>
      <c r="FJ174" t="e">
        <f>AND(Bills!Z642,"AAAAAE+1n6U=")</f>
        <v>#VALUE!</v>
      </c>
      <c r="FK174" t="e">
        <f>AND(Bills!#REF!,"AAAAAE+1n6Y=")</f>
        <v>#REF!</v>
      </c>
      <c r="FL174" t="e">
        <f>AND(Bills!#REF!,"AAAAAE+1n6c=")</f>
        <v>#REF!</v>
      </c>
      <c r="FM174" t="e">
        <f>AND(Bills!#REF!,"AAAAAE+1n6g=")</f>
        <v>#REF!</v>
      </c>
      <c r="FN174" t="e">
        <f>AND(Bills!AA642,"AAAAAE+1n6k=")</f>
        <v>#VALUE!</v>
      </c>
      <c r="FO174" t="e">
        <f>AND(Bills!AB642,"AAAAAE+1n6o=")</f>
        <v>#VALUE!</v>
      </c>
      <c r="FP174" t="e">
        <f>AND(Bills!#REF!,"AAAAAE+1n6s=")</f>
        <v>#REF!</v>
      </c>
      <c r="FQ174">
        <f>IF(Bills!643:643,"AAAAAE+1n6w=",0)</f>
        <v>0</v>
      </c>
      <c r="FR174" t="e">
        <f>AND(Bills!B643,"AAAAAE+1n60=")</f>
        <v>#VALUE!</v>
      </c>
      <c r="FS174" t="e">
        <f>AND(Bills!#REF!,"AAAAAE+1n64=")</f>
        <v>#REF!</v>
      </c>
      <c r="FT174" t="e">
        <f>AND(Bills!C643,"AAAAAE+1n68=")</f>
        <v>#VALUE!</v>
      </c>
      <c r="FU174" t="e">
        <f>AND(Bills!#REF!,"AAAAAE+1n7A=")</f>
        <v>#REF!</v>
      </c>
      <c r="FV174" t="e">
        <f>AND(Bills!#REF!,"AAAAAE+1n7E=")</f>
        <v>#REF!</v>
      </c>
      <c r="FW174" t="e">
        <f>AND(Bills!#REF!,"AAAAAE+1n7I=")</f>
        <v>#REF!</v>
      </c>
      <c r="FX174" t="e">
        <f>AND(Bills!#REF!,"AAAAAE+1n7M=")</f>
        <v>#REF!</v>
      </c>
      <c r="FY174" t="e">
        <f>AND(Bills!#REF!,"AAAAAE+1n7Q=")</f>
        <v>#REF!</v>
      </c>
      <c r="FZ174" t="e">
        <f>AND(Bills!D643,"AAAAAE+1n7U=")</f>
        <v>#VALUE!</v>
      </c>
      <c r="GA174" t="e">
        <f>AND(Bills!#REF!,"AAAAAE+1n7Y=")</f>
        <v>#REF!</v>
      </c>
      <c r="GB174" t="e">
        <f>AND(Bills!E643,"AAAAAE+1n7c=")</f>
        <v>#VALUE!</v>
      </c>
      <c r="GC174" t="e">
        <f>AND(Bills!F643,"AAAAAE+1n7g=")</f>
        <v>#VALUE!</v>
      </c>
      <c r="GD174" t="e">
        <f>AND(Bills!G643,"AAAAAE+1n7k=")</f>
        <v>#VALUE!</v>
      </c>
      <c r="GE174" t="e">
        <f>AND(Bills!H643,"AAAAAE+1n7o=")</f>
        <v>#VALUE!</v>
      </c>
      <c r="GF174" t="e">
        <f>AND(Bills!I643,"AAAAAE+1n7s=")</f>
        <v>#VALUE!</v>
      </c>
      <c r="GG174" t="e">
        <f>AND(Bills!J643,"AAAAAE+1n7w=")</f>
        <v>#VALUE!</v>
      </c>
      <c r="GH174" t="e">
        <f>AND(Bills!#REF!,"AAAAAE+1n70=")</f>
        <v>#REF!</v>
      </c>
      <c r="GI174" t="e">
        <f>AND(Bills!K643,"AAAAAE+1n74=")</f>
        <v>#VALUE!</v>
      </c>
      <c r="GJ174" t="e">
        <f>AND(Bills!L643,"AAAAAE+1n78=")</f>
        <v>#VALUE!</v>
      </c>
      <c r="GK174" t="e">
        <f>AND(Bills!M643,"AAAAAE+1n8A=")</f>
        <v>#VALUE!</v>
      </c>
      <c r="GL174" t="e">
        <f>AND(Bills!N643,"AAAAAE+1n8E=")</f>
        <v>#VALUE!</v>
      </c>
      <c r="GM174" t="e">
        <f>AND(Bills!O643,"AAAAAE+1n8I=")</f>
        <v>#VALUE!</v>
      </c>
      <c r="GN174" t="e">
        <f>AND(Bills!P643,"AAAAAE+1n8M=")</f>
        <v>#VALUE!</v>
      </c>
      <c r="GO174" t="e">
        <f>AND(Bills!Q643,"AAAAAE+1n8Q=")</f>
        <v>#VALUE!</v>
      </c>
      <c r="GP174" t="e">
        <f>AND(Bills!R643,"AAAAAE+1n8U=")</f>
        <v>#VALUE!</v>
      </c>
      <c r="GQ174" t="e">
        <f>AND(Bills!#REF!,"AAAAAE+1n8Y=")</f>
        <v>#REF!</v>
      </c>
      <c r="GR174" t="e">
        <f>AND(Bills!S643,"AAAAAE+1n8c=")</f>
        <v>#VALUE!</v>
      </c>
      <c r="GS174" t="e">
        <f>AND(Bills!T643,"AAAAAE+1n8g=")</f>
        <v>#VALUE!</v>
      </c>
      <c r="GT174" t="e">
        <f>AND(Bills!U643,"AAAAAE+1n8k=")</f>
        <v>#VALUE!</v>
      </c>
      <c r="GU174" t="e">
        <f>AND(Bills!#REF!,"AAAAAE+1n8o=")</f>
        <v>#REF!</v>
      </c>
      <c r="GV174" t="e">
        <f>AND(Bills!#REF!,"AAAAAE+1n8s=")</f>
        <v>#REF!</v>
      </c>
      <c r="GW174" t="e">
        <f>AND(Bills!W643,"AAAAAE+1n8w=")</f>
        <v>#VALUE!</v>
      </c>
      <c r="GX174" t="e">
        <f>AND(Bills!X643,"AAAAAE+1n80=")</f>
        <v>#VALUE!</v>
      </c>
      <c r="GY174" t="e">
        <f>AND(Bills!#REF!,"AAAAAE+1n84=")</f>
        <v>#REF!</v>
      </c>
      <c r="GZ174" t="e">
        <f>AND(Bills!#REF!,"AAAAAE+1n88=")</f>
        <v>#REF!</v>
      </c>
      <c r="HA174" t="e">
        <f>AND(Bills!#REF!,"AAAAAE+1n9A=")</f>
        <v>#REF!</v>
      </c>
      <c r="HB174" t="e">
        <f>AND(Bills!#REF!,"AAAAAE+1n9E=")</f>
        <v>#REF!</v>
      </c>
      <c r="HC174" t="e">
        <f>AND(Bills!#REF!,"AAAAAE+1n9I=")</f>
        <v>#REF!</v>
      </c>
      <c r="HD174" t="e">
        <f>AND(Bills!#REF!,"AAAAAE+1n9M=")</f>
        <v>#REF!</v>
      </c>
      <c r="HE174" t="e">
        <f>AND(Bills!#REF!,"AAAAAE+1n9Q=")</f>
        <v>#REF!</v>
      </c>
      <c r="HF174" t="e">
        <f>AND(Bills!#REF!,"AAAAAE+1n9U=")</f>
        <v>#REF!</v>
      </c>
      <c r="HG174" t="e">
        <f>AND(Bills!#REF!,"AAAAAE+1n9Y=")</f>
        <v>#REF!</v>
      </c>
      <c r="HH174" t="e">
        <f>AND(Bills!Y643,"AAAAAE+1n9c=")</f>
        <v>#VALUE!</v>
      </c>
      <c r="HI174" t="e">
        <f>AND(Bills!Z643,"AAAAAE+1n9g=")</f>
        <v>#VALUE!</v>
      </c>
      <c r="HJ174" t="e">
        <f>AND(Bills!#REF!,"AAAAAE+1n9k=")</f>
        <v>#REF!</v>
      </c>
      <c r="HK174" t="e">
        <f>AND(Bills!#REF!,"AAAAAE+1n9o=")</f>
        <v>#REF!</v>
      </c>
      <c r="HL174" t="e">
        <f>AND(Bills!#REF!,"AAAAAE+1n9s=")</f>
        <v>#REF!</v>
      </c>
      <c r="HM174" t="e">
        <f>AND(Bills!AA643,"AAAAAE+1n9w=")</f>
        <v>#VALUE!</v>
      </c>
      <c r="HN174" t="e">
        <f>AND(Bills!AB643,"AAAAAE+1n90=")</f>
        <v>#VALUE!</v>
      </c>
      <c r="HO174" t="e">
        <f>AND(Bills!#REF!,"AAAAAE+1n94=")</f>
        <v>#REF!</v>
      </c>
      <c r="HP174">
        <f>IF(Bills!644:644,"AAAAAE+1n98=",0)</f>
        <v>0</v>
      </c>
      <c r="HQ174" t="e">
        <f>AND(Bills!B644,"AAAAAE+1n+A=")</f>
        <v>#VALUE!</v>
      </c>
      <c r="HR174" t="e">
        <f>AND(Bills!#REF!,"AAAAAE+1n+E=")</f>
        <v>#REF!</v>
      </c>
      <c r="HS174" t="e">
        <f>AND(Bills!C644,"AAAAAE+1n+I=")</f>
        <v>#VALUE!</v>
      </c>
      <c r="HT174" t="e">
        <f>AND(Bills!#REF!,"AAAAAE+1n+M=")</f>
        <v>#REF!</v>
      </c>
      <c r="HU174" t="e">
        <f>AND(Bills!#REF!,"AAAAAE+1n+Q=")</f>
        <v>#REF!</v>
      </c>
      <c r="HV174" t="e">
        <f>AND(Bills!#REF!,"AAAAAE+1n+U=")</f>
        <v>#REF!</v>
      </c>
      <c r="HW174" t="e">
        <f>AND(Bills!#REF!,"AAAAAE+1n+Y=")</f>
        <v>#REF!</v>
      </c>
      <c r="HX174" t="e">
        <f>AND(Bills!#REF!,"AAAAAE+1n+c=")</f>
        <v>#REF!</v>
      </c>
      <c r="HY174" t="e">
        <f>AND(Bills!D644,"AAAAAE+1n+g=")</f>
        <v>#VALUE!</v>
      </c>
      <c r="HZ174" t="e">
        <f>AND(Bills!#REF!,"AAAAAE+1n+k=")</f>
        <v>#REF!</v>
      </c>
      <c r="IA174" t="e">
        <f>AND(Bills!E644,"AAAAAE+1n+o=")</f>
        <v>#VALUE!</v>
      </c>
      <c r="IB174" t="e">
        <f>AND(Bills!F644,"AAAAAE+1n+s=")</f>
        <v>#VALUE!</v>
      </c>
      <c r="IC174" t="e">
        <f>AND(Bills!G644,"AAAAAE+1n+w=")</f>
        <v>#VALUE!</v>
      </c>
      <c r="ID174" t="e">
        <f>AND(Bills!H644,"AAAAAE+1n+0=")</f>
        <v>#VALUE!</v>
      </c>
      <c r="IE174" t="e">
        <f>AND(Bills!I644,"AAAAAE+1n+4=")</f>
        <v>#VALUE!</v>
      </c>
      <c r="IF174" t="e">
        <f>AND(Bills!J644,"AAAAAE+1n+8=")</f>
        <v>#VALUE!</v>
      </c>
      <c r="IG174" t="e">
        <f>AND(Bills!#REF!,"AAAAAE+1n/A=")</f>
        <v>#REF!</v>
      </c>
      <c r="IH174" t="e">
        <f>AND(Bills!K644,"AAAAAE+1n/E=")</f>
        <v>#VALUE!</v>
      </c>
      <c r="II174" t="e">
        <f>AND(Bills!L644,"AAAAAE+1n/I=")</f>
        <v>#VALUE!</v>
      </c>
      <c r="IJ174" t="e">
        <f>AND(Bills!M644,"AAAAAE+1n/M=")</f>
        <v>#VALUE!</v>
      </c>
      <c r="IK174" t="e">
        <f>AND(Bills!N644,"AAAAAE+1n/Q=")</f>
        <v>#VALUE!</v>
      </c>
      <c r="IL174" t="e">
        <f>AND(Bills!O644,"AAAAAE+1n/U=")</f>
        <v>#VALUE!</v>
      </c>
      <c r="IM174" t="e">
        <f>AND(Bills!P644,"AAAAAE+1n/Y=")</f>
        <v>#VALUE!</v>
      </c>
      <c r="IN174" t="e">
        <f>AND(Bills!Q644,"AAAAAE+1n/c=")</f>
        <v>#VALUE!</v>
      </c>
      <c r="IO174" t="e">
        <f>AND(Bills!R644,"AAAAAE+1n/g=")</f>
        <v>#VALUE!</v>
      </c>
      <c r="IP174" t="e">
        <f>AND(Bills!#REF!,"AAAAAE+1n/k=")</f>
        <v>#REF!</v>
      </c>
      <c r="IQ174" t="e">
        <f>AND(Bills!S644,"AAAAAE+1n/o=")</f>
        <v>#VALUE!</v>
      </c>
      <c r="IR174" t="e">
        <f>AND(Bills!T644,"AAAAAE+1n/s=")</f>
        <v>#VALUE!</v>
      </c>
      <c r="IS174" t="e">
        <f>AND(Bills!U644,"AAAAAE+1n/w=")</f>
        <v>#VALUE!</v>
      </c>
      <c r="IT174" t="e">
        <f>AND(Bills!#REF!,"AAAAAE+1n/0=")</f>
        <v>#REF!</v>
      </c>
      <c r="IU174" t="e">
        <f>AND(Bills!#REF!,"AAAAAE+1n/4=")</f>
        <v>#REF!</v>
      </c>
      <c r="IV174" t="e">
        <f>AND(Bills!W644,"AAAAAE+1n/8=")</f>
        <v>#VALUE!</v>
      </c>
    </row>
    <row r="175" spans="1:256">
      <c r="A175" t="e">
        <f>AND(Bills!X644,"AAAAAD/zdQA=")</f>
        <v>#VALUE!</v>
      </c>
      <c r="B175" t="e">
        <f>AND(Bills!#REF!,"AAAAAD/zdQE=")</f>
        <v>#REF!</v>
      </c>
      <c r="C175" t="e">
        <f>AND(Bills!#REF!,"AAAAAD/zdQI=")</f>
        <v>#REF!</v>
      </c>
      <c r="D175" t="e">
        <f>AND(Bills!#REF!,"AAAAAD/zdQM=")</f>
        <v>#REF!</v>
      </c>
      <c r="E175" t="e">
        <f>AND(Bills!#REF!,"AAAAAD/zdQQ=")</f>
        <v>#REF!</v>
      </c>
      <c r="F175" t="e">
        <f>AND(Bills!#REF!,"AAAAAD/zdQU=")</f>
        <v>#REF!</v>
      </c>
      <c r="G175" t="e">
        <f>AND(Bills!#REF!,"AAAAAD/zdQY=")</f>
        <v>#REF!</v>
      </c>
      <c r="H175" t="e">
        <f>AND(Bills!#REF!,"AAAAAD/zdQc=")</f>
        <v>#REF!</v>
      </c>
      <c r="I175" t="e">
        <f>AND(Bills!#REF!,"AAAAAD/zdQg=")</f>
        <v>#REF!</v>
      </c>
      <c r="J175" t="e">
        <f>AND(Bills!#REF!,"AAAAAD/zdQk=")</f>
        <v>#REF!</v>
      </c>
      <c r="K175" t="e">
        <f>AND(Bills!Y644,"AAAAAD/zdQo=")</f>
        <v>#VALUE!</v>
      </c>
      <c r="L175" t="e">
        <f>AND(Bills!Z644,"AAAAAD/zdQs=")</f>
        <v>#VALUE!</v>
      </c>
      <c r="M175" t="e">
        <f>AND(Bills!#REF!,"AAAAAD/zdQw=")</f>
        <v>#REF!</v>
      </c>
      <c r="N175" t="e">
        <f>AND(Bills!#REF!,"AAAAAD/zdQ0=")</f>
        <v>#REF!</v>
      </c>
      <c r="O175" t="e">
        <f>AND(Bills!#REF!,"AAAAAD/zdQ4=")</f>
        <v>#REF!</v>
      </c>
      <c r="P175" t="e">
        <f>AND(Bills!AA644,"AAAAAD/zdQ8=")</f>
        <v>#VALUE!</v>
      </c>
      <c r="Q175" t="e">
        <f>AND(Bills!AB644,"AAAAAD/zdRA=")</f>
        <v>#VALUE!</v>
      </c>
      <c r="R175" t="e">
        <f>AND(Bills!#REF!,"AAAAAD/zdRE=")</f>
        <v>#REF!</v>
      </c>
      <c r="S175">
        <f>IF(Bills!645:645,"AAAAAD/zdRI=",0)</f>
        <v>0</v>
      </c>
      <c r="T175" t="e">
        <f>AND(Bills!B645,"AAAAAD/zdRM=")</f>
        <v>#VALUE!</v>
      </c>
      <c r="U175" t="e">
        <f>AND(Bills!#REF!,"AAAAAD/zdRQ=")</f>
        <v>#REF!</v>
      </c>
      <c r="V175" t="e">
        <f>AND(Bills!C645,"AAAAAD/zdRU=")</f>
        <v>#VALUE!</v>
      </c>
      <c r="W175" t="e">
        <f>AND(Bills!#REF!,"AAAAAD/zdRY=")</f>
        <v>#REF!</v>
      </c>
      <c r="X175" t="e">
        <f>AND(Bills!#REF!,"AAAAAD/zdRc=")</f>
        <v>#REF!</v>
      </c>
      <c r="Y175" t="e">
        <f>AND(Bills!#REF!,"AAAAAD/zdRg=")</f>
        <v>#REF!</v>
      </c>
      <c r="Z175" t="e">
        <f>AND(Bills!#REF!,"AAAAAD/zdRk=")</f>
        <v>#REF!</v>
      </c>
      <c r="AA175" t="e">
        <f>AND(Bills!#REF!,"AAAAAD/zdRo=")</f>
        <v>#REF!</v>
      </c>
      <c r="AB175" t="e">
        <f>AND(Bills!D645,"AAAAAD/zdRs=")</f>
        <v>#VALUE!</v>
      </c>
      <c r="AC175" t="e">
        <f>AND(Bills!#REF!,"AAAAAD/zdRw=")</f>
        <v>#REF!</v>
      </c>
      <c r="AD175" t="e">
        <f>AND(Bills!E645,"AAAAAD/zdR0=")</f>
        <v>#VALUE!</v>
      </c>
      <c r="AE175" t="e">
        <f>AND(Bills!F645,"AAAAAD/zdR4=")</f>
        <v>#VALUE!</v>
      </c>
      <c r="AF175" t="e">
        <f>AND(Bills!G645,"AAAAAD/zdR8=")</f>
        <v>#VALUE!</v>
      </c>
      <c r="AG175" t="e">
        <f>AND(Bills!H645,"AAAAAD/zdSA=")</f>
        <v>#VALUE!</v>
      </c>
      <c r="AH175" t="e">
        <f>AND(Bills!I645,"AAAAAD/zdSE=")</f>
        <v>#VALUE!</v>
      </c>
      <c r="AI175" t="e">
        <f>AND(Bills!J645,"AAAAAD/zdSI=")</f>
        <v>#VALUE!</v>
      </c>
      <c r="AJ175" t="e">
        <f>AND(Bills!#REF!,"AAAAAD/zdSM=")</f>
        <v>#REF!</v>
      </c>
      <c r="AK175" t="e">
        <f>AND(Bills!K645,"AAAAAD/zdSQ=")</f>
        <v>#VALUE!</v>
      </c>
      <c r="AL175" t="e">
        <f>AND(Bills!L645,"AAAAAD/zdSU=")</f>
        <v>#VALUE!</v>
      </c>
      <c r="AM175" t="e">
        <f>AND(Bills!M645,"AAAAAD/zdSY=")</f>
        <v>#VALUE!</v>
      </c>
      <c r="AN175" t="e">
        <f>AND(Bills!N645,"AAAAAD/zdSc=")</f>
        <v>#VALUE!</v>
      </c>
      <c r="AO175" t="e">
        <f>AND(Bills!O645,"AAAAAD/zdSg=")</f>
        <v>#VALUE!</v>
      </c>
      <c r="AP175" t="e">
        <f>AND(Bills!P645,"AAAAAD/zdSk=")</f>
        <v>#VALUE!</v>
      </c>
      <c r="AQ175" t="e">
        <f>AND(Bills!Q645,"AAAAAD/zdSo=")</f>
        <v>#VALUE!</v>
      </c>
      <c r="AR175" t="e">
        <f>AND(Bills!R645,"AAAAAD/zdSs=")</f>
        <v>#VALUE!</v>
      </c>
      <c r="AS175" t="e">
        <f>AND(Bills!#REF!,"AAAAAD/zdSw=")</f>
        <v>#REF!</v>
      </c>
      <c r="AT175" t="e">
        <f>AND(Bills!S645,"AAAAAD/zdS0=")</f>
        <v>#VALUE!</v>
      </c>
      <c r="AU175" t="e">
        <f>AND(Bills!T645,"AAAAAD/zdS4=")</f>
        <v>#VALUE!</v>
      </c>
      <c r="AV175" t="e">
        <f>AND(Bills!U645,"AAAAAD/zdS8=")</f>
        <v>#VALUE!</v>
      </c>
      <c r="AW175" t="e">
        <f>AND(Bills!#REF!,"AAAAAD/zdTA=")</f>
        <v>#REF!</v>
      </c>
      <c r="AX175" t="e">
        <f>AND(Bills!#REF!,"AAAAAD/zdTE=")</f>
        <v>#REF!</v>
      </c>
      <c r="AY175" t="e">
        <f>AND(Bills!W645,"AAAAAD/zdTI=")</f>
        <v>#VALUE!</v>
      </c>
      <c r="AZ175" t="e">
        <f>AND(Bills!X645,"AAAAAD/zdTM=")</f>
        <v>#VALUE!</v>
      </c>
      <c r="BA175" t="e">
        <f>AND(Bills!#REF!,"AAAAAD/zdTQ=")</f>
        <v>#REF!</v>
      </c>
      <c r="BB175" t="e">
        <f>AND(Bills!#REF!,"AAAAAD/zdTU=")</f>
        <v>#REF!</v>
      </c>
      <c r="BC175" t="e">
        <f>AND(Bills!#REF!,"AAAAAD/zdTY=")</f>
        <v>#REF!</v>
      </c>
      <c r="BD175" t="e">
        <f>AND(Bills!#REF!,"AAAAAD/zdTc=")</f>
        <v>#REF!</v>
      </c>
      <c r="BE175" t="e">
        <f>AND(Bills!#REF!,"AAAAAD/zdTg=")</f>
        <v>#REF!</v>
      </c>
      <c r="BF175" t="e">
        <f>AND(Bills!#REF!,"AAAAAD/zdTk=")</f>
        <v>#REF!</v>
      </c>
      <c r="BG175" t="e">
        <f>AND(Bills!#REF!,"AAAAAD/zdTo=")</f>
        <v>#REF!</v>
      </c>
      <c r="BH175" t="e">
        <f>AND(Bills!#REF!,"AAAAAD/zdTs=")</f>
        <v>#REF!</v>
      </c>
      <c r="BI175" t="e">
        <f>AND(Bills!#REF!,"AAAAAD/zdTw=")</f>
        <v>#REF!</v>
      </c>
      <c r="BJ175" t="e">
        <f>AND(Bills!Y645,"AAAAAD/zdT0=")</f>
        <v>#VALUE!</v>
      </c>
      <c r="BK175" t="e">
        <f>AND(Bills!Z645,"AAAAAD/zdT4=")</f>
        <v>#VALUE!</v>
      </c>
      <c r="BL175" t="e">
        <f>AND(Bills!#REF!,"AAAAAD/zdT8=")</f>
        <v>#REF!</v>
      </c>
      <c r="BM175" t="e">
        <f>AND(Bills!#REF!,"AAAAAD/zdUA=")</f>
        <v>#REF!</v>
      </c>
      <c r="BN175" t="e">
        <f>AND(Bills!#REF!,"AAAAAD/zdUE=")</f>
        <v>#REF!</v>
      </c>
      <c r="BO175" t="e">
        <f>AND(Bills!AA645,"AAAAAD/zdUI=")</f>
        <v>#VALUE!</v>
      </c>
      <c r="BP175" t="e">
        <f>AND(Bills!AB645,"AAAAAD/zdUM=")</f>
        <v>#VALUE!</v>
      </c>
      <c r="BQ175" t="e">
        <f>AND(Bills!#REF!,"AAAAAD/zdUQ=")</f>
        <v>#REF!</v>
      </c>
      <c r="BR175">
        <f>IF(Bills!646:646,"AAAAAD/zdUU=",0)</f>
        <v>0</v>
      </c>
      <c r="BS175" t="e">
        <f>AND(Bills!B646,"AAAAAD/zdUY=")</f>
        <v>#VALUE!</v>
      </c>
      <c r="BT175" t="e">
        <f>AND(Bills!#REF!,"AAAAAD/zdUc=")</f>
        <v>#REF!</v>
      </c>
      <c r="BU175" t="e">
        <f>AND(Bills!C646,"AAAAAD/zdUg=")</f>
        <v>#VALUE!</v>
      </c>
      <c r="BV175" t="e">
        <f>AND(Bills!#REF!,"AAAAAD/zdUk=")</f>
        <v>#REF!</v>
      </c>
      <c r="BW175" t="e">
        <f>AND(Bills!#REF!,"AAAAAD/zdUo=")</f>
        <v>#REF!</v>
      </c>
      <c r="BX175" t="e">
        <f>AND(Bills!#REF!,"AAAAAD/zdUs=")</f>
        <v>#REF!</v>
      </c>
      <c r="BY175" t="e">
        <f>AND(Bills!#REF!,"AAAAAD/zdUw=")</f>
        <v>#REF!</v>
      </c>
      <c r="BZ175" t="e">
        <f>AND(Bills!#REF!,"AAAAAD/zdU0=")</f>
        <v>#REF!</v>
      </c>
      <c r="CA175" t="e">
        <f>AND(Bills!D646,"AAAAAD/zdU4=")</f>
        <v>#VALUE!</v>
      </c>
      <c r="CB175" t="e">
        <f>AND(Bills!#REF!,"AAAAAD/zdU8=")</f>
        <v>#REF!</v>
      </c>
      <c r="CC175" t="e">
        <f>AND(Bills!E646,"AAAAAD/zdVA=")</f>
        <v>#VALUE!</v>
      </c>
      <c r="CD175" t="e">
        <f>AND(Bills!F646,"AAAAAD/zdVE=")</f>
        <v>#VALUE!</v>
      </c>
      <c r="CE175" t="e">
        <f>AND(Bills!G646,"AAAAAD/zdVI=")</f>
        <v>#VALUE!</v>
      </c>
      <c r="CF175" t="e">
        <f>AND(Bills!H646,"AAAAAD/zdVM=")</f>
        <v>#VALUE!</v>
      </c>
      <c r="CG175" t="e">
        <f>AND(Bills!I646,"AAAAAD/zdVQ=")</f>
        <v>#VALUE!</v>
      </c>
      <c r="CH175" t="e">
        <f>AND(Bills!J646,"AAAAAD/zdVU=")</f>
        <v>#VALUE!</v>
      </c>
      <c r="CI175" t="e">
        <f>AND(Bills!#REF!,"AAAAAD/zdVY=")</f>
        <v>#REF!</v>
      </c>
      <c r="CJ175" t="e">
        <f>AND(Bills!K646,"AAAAAD/zdVc=")</f>
        <v>#VALUE!</v>
      </c>
      <c r="CK175" t="e">
        <f>AND(Bills!L646,"AAAAAD/zdVg=")</f>
        <v>#VALUE!</v>
      </c>
      <c r="CL175" t="e">
        <f>AND(Bills!M646,"AAAAAD/zdVk=")</f>
        <v>#VALUE!</v>
      </c>
      <c r="CM175" t="e">
        <f>AND(Bills!N646,"AAAAAD/zdVo=")</f>
        <v>#VALUE!</v>
      </c>
      <c r="CN175" t="e">
        <f>AND(Bills!O646,"AAAAAD/zdVs=")</f>
        <v>#VALUE!</v>
      </c>
      <c r="CO175" t="e">
        <f>AND(Bills!P646,"AAAAAD/zdVw=")</f>
        <v>#VALUE!</v>
      </c>
      <c r="CP175" t="e">
        <f>AND(Bills!Q646,"AAAAAD/zdV0=")</f>
        <v>#VALUE!</v>
      </c>
      <c r="CQ175" t="e">
        <f>AND(Bills!R646,"AAAAAD/zdV4=")</f>
        <v>#VALUE!</v>
      </c>
      <c r="CR175" t="e">
        <f>AND(Bills!#REF!,"AAAAAD/zdV8=")</f>
        <v>#REF!</v>
      </c>
      <c r="CS175" t="e">
        <f>AND(Bills!S646,"AAAAAD/zdWA=")</f>
        <v>#VALUE!</v>
      </c>
      <c r="CT175" t="e">
        <f>AND(Bills!T646,"AAAAAD/zdWE=")</f>
        <v>#VALUE!</v>
      </c>
      <c r="CU175" t="e">
        <f>AND(Bills!U646,"AAAAAD/zdWI=")</f>
        <v>#VALUE!</v>
      </c>
      <c r="CV175" t="e">
        <f>AND(Bills!#REF!,"AAAAAD/zdWM=")</f>
        <v>#REF!</v>
      </c>
      <c r="CW175" t="e">
        <f>AND(Bills!#REF!,"AAAAAD/zdWQ=")</f>
        <v>#REF!</v>
      </c>
      <c r="CX175" t="e">
        <f>AND(Bills!W646,"AAAAAD/zdWU=")</f>
        <v>#VALUE!</v>
      </c>
      <c r="CY175" t="e">
        <f>AND(Bills!X646,"AAAAAD/zdWY=")</f>
        <v>#VALUE!</v>
      </c>
      <c r="CZ175" t="e">
        <f>AND(Bills!#REF!,"AAAAAD/zdWc=")</f>
        <v>#REF!</v>
      </c>
      <c r="DA175" t="e">
        <f>AND(Bills!#REF!,"AAAAAD/zdWg=")</f>
        <v>#REF!</v>
      </c>
      <c r="DB175" t="e">
        <f>AND(Bills!#REF!,"AAAAAD/zdWk=")</f>
        <v>#REF!</v>
      </c>
      <c r="DC175" t="e">
        <f>AND(Bills!#REF!,"AAAAAD/zdWo=")</f>
        <v>#REF!</v>
      </c>
      <c r="DD175" t="e">
        <f>AND(Bills!#REF!,"AAAAAD/zdWs=")</f>
        <v>#REF!</v>
      </c>
      <c r="DE175" t="e">
        <f>AND(Bills!#REF!,"AAAAAD/zdWw=")</f>
        <v>#REF!</v>
      </c>
      <c r="DF175" t="e">
        <f>AND(Bills!#REF!,"AAAAAD/zdW0=")</f>
        <v>#REF!</v>
      </c>
      <c r="DG175" t="e">
        <f>AND(Bills!#REF!,"AAAAAD/zdW4=")</f>
        <v>#REF!</v>
      </c>
      <c r="DH175" t="e">
        <f>AND(Bills!#REF!,"AAAAAD/zdW8=")</f>
        <v>#REF!</v>
      </c>
      <c r="DI175" t="e">
        <f>AND(Bills!Y646,"AAAAAD/zdXA=")</f>
        <v>#VALUE!</v>
      </c>
      <c r="DJ175" t="e">
        <f>AND(Bills!Z646,"AAAAAD/zdXE=")</f>
        <v>#VALUE!</v>
      </c>
      <c r="DK175" t="e">
        <f>AND(Bills!#REF!,"AAAAAD/zdXI=")</f>
        <v>#REF!</v>
      </c>
      <c r="DL175" t="e">
        <f>AND(Bills!#REF!,"AAAAAD/zdXM=")</f>
        <v>#REF!</v>
      </c>
      <c r="DM175" t="e">
        <f>AND(Bills!#REF!,"AAAAAD/zdXQ=")</f>
        <v>#REF!</v>
      </c>
      <c r="DN175" t="e">
        <f>AND(Bills!AA646,"AAAAAD/zdXU=")</f>
        <v>#VALUE!</v>
      </c>
      <c r="DO175" t="e">
        <f>AND(Bills!AB646,"AAAAAD/zdXY=")</f>
        <v>#VALUE!</v>
      </c>
      <c r="DP175" t="e">
        <f>AND(Bills!#REF!,"AAAAAD/zdXc=")</f>
        <v>#REF!</v>
      </c>
      <c r="DQ175">
        <f>IF(Bills!647:647,"AAAAAD/zdXg=",0)</f>
        <v>0</v>
      </c>
      <c r="DR175" t="e">
        <f>AND(Bills!B647,"AAAAAD/zdXk=")</f>
        <v>#VALUE!</v>
      </c>
      <c r="DS175" t="e">
        <f>AND(Bills!#REF!,"AAAAAD/zdXo=")</f>
        <v>#REF!</v>
      </c>
      <c r="DT175" t="e">
        <f>AND(Bills!C647,"AAAAAD/zdXs=")</f>
        <v>#VALUE!</v>
      </c>
      <c r="DU175" t="e">
        <f>AND(Bills!#REF!,"AAAAAD/zdXw=")</f>
        <v>#REF!</v>
      </c>
      <c r="DV175" t="e">
        <f>AND(Bills!#REF!,"AAAAAD/zdX0=")</f>
        <v>#REF!</v>
      </c>
      <c r="DW175" t="e">
        <f>AND(Bills!#REF!,"AAAAAD/zdX4=")</f>
        <v>#REF!</v>
      </c>
      <c r="DX175" t="e">
        <f>AND(Bills!#REF!,"AAAAAD/zdX8=")</f>
        <v>#REF!</v>
      </c>
      <c r="DY175" t="e">
        <f>AND(Bills!#REF!,"AAAAAD/zdYA=")</f>
        <v>#REF!</v>
      </c>
      <c r="DZ175" t="e">
        <f>AND(Bills!D647,"AAAAAD/zdYE=")</f>
        <v>#VALUE!</v>
      </c>
      <c r="EA175" t="e">
        <f>AND(Bills!#REF!,"AAAAAD/zdYI=")</f>
        <v>#REF!</v>
      </c>
      <c r="EB175" t="e">
        <f>AND(Bills!E647,"AAAAAD/zdYM=")</f>
        <v>#VALUE!</v>
      </c>
      <c r="EC175" t="e">
        <f>AND(Bills!F647,"AAAAAD/zdYQ=")</f>
        <v>#VALUE!</v>
      </c>
      <c r="ED175" t="e">
        <f>AND(Bills!G647,"AAAAAD/zdYU=")</f>
        <v>#VALUE!</v>
      </c>
      <c r="EE175" t="e">
        <f>AND(Bills!H647,"AAAAAD/zdYY=")</f>
        <v>#VALUE!</v>
      </c>
      <c r="EF175" t="e">
        <f>AND(Bills!I647,"AAAAAD/zdYc=")</f>
        <v>#VALUE!</v>
      </c>
      <c r="EG175" t="e">
        <f>AND(Bills!J647,"AAAAAD/zdYg=")</f>
        <v>#VALUE!</v>
      </c>
      <c r="EH175" t="e">
        <f>AND(Bills!#REF!,"AAAAAD/zdYk=")</f>
        <v>#REF!</v>
      </c>
      <c r="EI175" t="e">
        <f>AND(Bills!K647,"AAAAAD/zdYo=")</f>
        <v>#VALUE!</v>
      </c>
      <c r="EJ175" t="e">
        <f>AND(Bills!L647,"AAAAAD/zdYs=")</f>
        <v>#VALUE!</v>
      </c>
      <c r="EK175" t="e">
        <f>AND(Bills!M647,"AAAAAD/zdYw=")</f>
        <v>#VALUE!</v>
      </c>
      <c r="EL175" t="e">
        <f>AND(Bills!N647,"AAAAAD/zdY0=")</f>
        <v>#VALUE!</v>
      </c>
      <c r="EM175" t="e">
        <f>AND(Bills!O647,"AAAAAD/zdY4=")</f>
        <v>#VALUE!</v>
      </c>
      <c r="EN175" t="e">
        <f>AND(Bills!P647,"AAAAAD/zdY8=")</f>
        <v>#VALUE!</v>
      </c>
      <c r="EO175" t="e">
        <f>AND(Bills!Q647,"AAAAAD/zdZA=")</f>
        <v>#VALUE!</v>
      </c>
      <c r="EP175" t="e">
        <f>AND(Bills!R647,"AAAAAD/zdZE=")</f>
        <v>#VALUE!</v>
      </c>
      <c r="EQ175" t="e">
        <f>AND(Bills!#REF!,"AAAAAD/zdZI=")</f>
        <v>#REF!</v>
      </c>
      <c r="ER175" t="e">
        <f>AND(Bills!S647,"AAAAAD/zdZM=")</f>
        <v>#VALUE!</v>
      </c>
      <c r="ES175" t="e">
        <f>AND(Bills!T647,"AAAAAD/zdZQ=")</f>
        <v>#VALUE!</v>
      </c>
      <c r="ET175" t="e">
        <f>AND(Bills!U647,"AAAAAD/zdZU=")</f>
        <v>#VALUE!</v>
      </c>
      <c r="EU175" t="e">
        <f>AND(Bills!#REF!,"AAAAAD/zdZY=")</f>
        <v>#REF!</v>
      </c>
      <c r="EV175" t="e">
        <f>AND(Bills!#REF!,"AAAAAD/zdZc=")</f>
        <v>#REF!</v>
      </c>
      <c r="EW175" t="e">
        <f>AND(Bills!W647,"AAAAAD/zdZg=")</f>
        <v>#VALUE!</v>
      </c>
      <c r="EX175" t="e">
        <f>AND(Bills!X647,"AAAAAD/zdZk=")</f>
        <v>#VALUE!</v>
      </c>
      <c r="EY175" t="e">
        <f>AND(Bills!#REF!,"AAAAAD/zdZo=")</f>
        <v>#REF!</v>
      </c>
      <c r="EZ175" t="e">
        <f>AND(Bills!#REF!,"AAAAAD/zdZs=")</f>
        <v>#REF!</v>
      </c>
      <c r="FA175" t="e">
        <f>AND(Bills!#REF!,"AAAAAD/zdZw=")</f>
        <v>#REF!</v>
      </c>
      <c r="FB175" t="e">
        <f>AND(Bills!#REF!,"AAAAAD/zdZ0=")</f>
        <v>#REF!</v>
      </c>
      <c r="FC175" t="e">
        <f>AND(Bills!#REF!,"AAAAAD/zdZ4=")</f>
        <v>#REF!</v>
      </c>
      <c r="FD175" t="e">
        <f>AND(Bills!#REF!,"AAAAAD/zdZ8=")</f>
        <v>#REF!</v>
      </c>
      <c r="FE175" t="e">
        <f>AND(Bills!#REF!,"AAAAAD/zdaA=")</f>
        <v>#REF!</v>
      </c>
      <c r="FF175" t="e">
        <f>AND(Bills!#REF!,"AAAAAD/zdaE=")</f>
        <v>#REF!</v>
      </c>
      <c r="FG175" t="e">
        <f>AND(Bills!#REF!,"AAAAAD/zdaI=")</f>
        <v>#REF!</v>
      </c>
      <c r="FH175" t="e">
        <f>AND(Bills!Y647,"AAAAAD/zdaM=")</f>
        <v>#VALUE!</v>
      </c>
      <c r="FI175" t="e">
        <f>AND(Bills!Z647,"AAAAAD/zdaQ=")</f>
        <v>#VALUE!</v>
      </c>
      <c r="FJ175" t="e">
        <f>AND(Bills!#REF!,"AAAAAD/zdaU=")</f>
        <v>#REF!</v>
      </c>
      <c r="FK175" t="e">
        <f>AND(Bills!#REF!,"AAAAAD/zdaY=")</f>
        <v>#REF!</v>
      </c>
      <c r="FL175" t="e">
        <f>AND(Bills!#REF!,"AAAAAD/zdac=")</f>
        <v>#REF!</v>
      </c>
      <c r="FM175" t="e">
        <f>AND(Bills!AA647,"AAAAAD/zdag=")</f>
        <v>#VALUE!</v>
      </c>
      <c r="FN175" t="e">
        <f>AND(Bills!AB647,"AAAAAD/zdak=")</f>
        <v>#VALUE!</v>
      </c>
      <c r="FO175" t="e">
        <f>AND(Bills!#REF!,"AAAAAD/zdao=")</f>
        <v>#REF!</v>
      </c>
      <c r="FP175">
        <f>IF(Bills!648:648,"AAAAAD/zdas=",0)</f>
        <v>0</v>
      </c>
      <c r="FQ175" t="e">
        <f>AND(Bills!B648,"AAAAAD/zdaw=")</f>
        <v>#VALUE!</v>
      </c>
      <c r="FR175" t="e">
        <f>AND(Bills!#REF!,"AAAAAD/zda0=")</f>
        <v>#REF!</v>
      </c>
      <c r="FS175" t="e">
        <f>AND(Bills!C648,"AAAAAD/zda4=")</f>
        <v>#VALUE!</v>
      </c>
      <c r="FT175" t="e">
        <f>AND(Bills!#REF!,"AAAAAD/zda8=")</f>
        <v>#REF!</v>
      </c>
      <c r="FU175" t="e">
        <f>AND(Bills!#REF!,"AAAAAD/zdbA=")</f>
        <v>#REF!</v>
      </c>
      <c r="FV175" t="e">
        <f>AND(Bills!#REF!,"AAAAAD/zdbE=")</f>
        <v>#REF!</v>
      </c>
      <c r="FW175" t="e">
        <f>AND(Bills!#REF!,"AAAAAD/zdbI=")</f>
        <v>#REF!</v>
      </c>
      <c r="FX175" t="e">
        <f>AND(Bills!#REF!,"AAAAAD/zdbM=")</f>
        <v>#REF!</v>
      </c>
      <c r="FY175" t="e">
        <f>AND(Bills!D648,"AAAAAD/zdbQ=")</f>
        <v>#VALUE!</v>
      </c>
      <c r="FZ175" t="e">
        <f>AND(Bills!#REF!,"AAAAAD/zdbU=")</f>
        <v>#REF!</v>
      </c>
      <c r="GA175" t="e">
        <f>AND(Bills!E648,"AAAAAD/zdbY=")</f>
        <v>#VALUE!</v>
      </c>
      <c r="GB175" t="e">
        <f>AND(Bills!F648,"AAAAAD/zdbc=")</f>
        <v>#VALUE!</v>
      </c>
      <c r="GC175" t="e">
        <f>AND(Bills!G648,"AAAAAD/zdbg=")</f>
        <v>#VALUE!</v>
      </c>
      <c r="GD175" t="e">
        <f>AND(Bills!H648,"AAAAAD/zdbk=")</f>
        <v>#VALUE!</v>
      </c>
      <c r="GE175" t="e">
        <f>AND(Bills!I648,"AAAAAD/zdbo=")</f>
        <v>#VALUE!</v>
      </c>
      <c r="GF175" t="e">
        <f>AND(Bills!J648,"AAAAAD/zdbs=")</f>
        <v>#VALUE!</v>
      </c>
      <c r="GG175" t="e">
        <f>AND(Bills!#REF!,"AAAAAD/zdbw=")</f>
        <v>#REF!</v>
      </c>
      <c r="GH175" t="e">
        <f>AND(Bills!K648,"AAAAAD/zdb0=")</f>
        <v>#VALUE!</v>
      </c>
      <c r="GI175" t="e">
        <f>AND(Bills!L648,"AAAAAD/zdb4=")</f>
        <v>#VALUE!</v>
      </c>
      <c r="GJ175" t="e">
        <f>AND(Bills!M648,"AAAAAD/zdb8=")</f>
        <v>#VALUE!</v>
      </c>
      <c r="GK175" t="e">
        <f>AND(Bills!N648,"AAAAAD/zdcA=")</f>
        <v>#VALUE!</v>
      </c>
      <c r="GL175" t="e">
        <f>AND(Bills!O648,"AAAAAD/zdcE=")</f>
        <v>#VALUE!</v>
      </c>
      <c r="GM175" t="e">
        <f>AND(Bills!P648,"AAAAAD/zdcI=")</f>
        <v>#VALUE!</v>
      </c>
      <c r="GN175" t="e">
        <f>AND(Bills!Q648,"AAAAAD/zdcM=")</f>
        <v>#VALUE!</v>
      </c>
      <c r="GO175" t="e">
        <f>AND(Bills!R648,"AAAAAD/zdcQ=")</f>
        <v>#VALUE!</v>
      </c>
      <c r="GP175" t="e">
        <f>AND(Bills!#REF!,"AAAAAD/zdcU=")</f>
        <v>#REF!</v>
      </c>
      <c r="GQ175" t="e">
        <f>AND(Bills!S648,"AAAAAD/zdcY=")</f>
        <v>#VALUE!</v>
      </c>
      <c r="GR175" t="e">
        <f>AND(Bills!T648,"AAAAAD/zdcc=")</f>
        <v>#VALUE!</v>
      </c>
      <c r="GS175" t="e">
        <f>AND(Bills!U648,"AAAAAD/zdcg=")</f>
        <v>#VALUE!</v>
      </c>
      <c r="GT175" t="e">
        <f>AND(Bills!#REF!,"AAAAAD/zdck=")</f>
        <v>#REF!</v>
      </c>
      <c r="GU175" t="e">
        <f>AND(Bills!#REF!,"AAAAAD/zdco=")</f>
        <v>#REF!</v>
      </c>
      <c r="GV175" t="e">
        <f>AND(Bills!W648,"AAAAAD/zdcs=")</f>
        <v>#VALUE!</v>
      </c>
      <c r="GW175" t="e">
        <f>AND(Bills!X648,"AAAAAD/zdcw=")</f>
        <v>#VALUE!</v>
      </c>
      <c r="GX175" t="e">
        <f>AND(Bills!#REF!,"AAAAAD/zdc0=")</f>
        <v>#REF!</v>
      </c>
      <c r="GY175" t="e">
        <f>AND(Bills!#REF!,"AAAAAD/zdc4=")</f>
        <v>#REF!</v>
      </c>
      <c r="GZ175" t="e">
        <f>AND(Bills!#REF!,"AAAAAD/zdc8=")</f>
        <v>#REF!</v>
      </c>
      <c r="HA175" t="e">
        <f>AND(Bills!#REF!,"AAAAAD/zddA=")</f>
        <v>#REF!</v>
      </c>
      <c r="HB175" t="e">
        <f>AND(Bills!#REF!,"AAAAAD/zddE=")</f>
        <v>#REF!</v>
      </c>
      <c r="HC175" t="e">
        <f>AND(Bills!#REF!,"AAAAAD/zddI=")</f>
        <v>#REF!</v>
      </c>
      <c r="HD175" t="e">
        <f>AND(Bills!#REF!,"AAAAAD/zddM=")</f>
        <v>#REF!</v>
      </c>
      <c r="HE175" t="e">
        <f>AND(Bills!#REF!,"AAAAAD/zddQ=")</f>
        <v>#REF!</v>
      </c>
      <c r="HF175" t="e">
        <f>AND(Bills!#REF!,"AAAAAD/zddU=")</f>
        <v>#REF!</v>
      </c>
      <c r="HG175" t="e">
        <f>AND(Bills!Y648,"AAAAAD/zddY=")</f>
        <v>#VALUE!</v>
      </c>
      <c r="HH175" t="e">
        <f>AND(Bills!Z648,"AAAAAD/zddc=")</f>
        <v>#VALUE!</v>
      </c>
      <c r="HI175" t="e">
        <f>AND(Bills!#REF!,"AAAAAD/zddg=")</f>
        <v>#REF!</v>
      </c>
      <c r="HJ175" t="e">
        <f>AND(Bills!#REF!,"AAAAAD/zddk=")</f>
        <v>#REF!</v>
      </c>
      <c r="HK175" t="e">
        <f>AND(Bills!#REF!,"AAAAAD/zddo=")</f>
        <v>#REF!</v>
      </c>
      <c r="HL175" t="e">
        <f>AND(Bills!AA648,"AAAAAD/zdds=")</f>
        <v>#VALUE!</v>
      </c>
      <c r="HM175" t="e">
        <f>AND(Bills!AB648,"AAAAAD/zddw=")</f>
        <v>#VALUE!</v>
      </c>
      <c r="HN175" t="e">
        <f>AND(Bills!#REF!,"AAAAAD/zdd0=")</f>
        <v>#REF!</v>
      </c>
      <c r="HO175">
        <f>IF(Bills!649:649,"AAAAAD/zdd4=",0)</f>
        <v>0</v>
      </c>
      <c r="HP175" t="e">
        <f>AND(Bills!B649,"AAAAAD/zdd8=")</f>
        <v>#VALUE!</v>
      </c>
      <c r="HQ175" t="e">
        <f>AND(Bills!#REF!,"AAAAAD/zdeA=")</f>
        <v>#REF!</v>
      </c>
      <c r="HR175" t="e">
        <f>AND(Bills!C649,"AAAAAD/zdeE=")</f>
        <v>#VALUE!</v>
      </c>
      <c r="HS175" t="e">
        <f>AND(Bills!#REF!,"AAAAAD/zdeI=")</f>
        <v>#REF!</v>
      </c>
      <c r="HT175" t="e">
        <f>AND(Bills!#REF!,"AAAAAD/zdeM=")</f>
        <v>#REF!</v>
      </c>
      <c r="HU175" t="e">
        <f>AND(Bills!#REF!,"AAAAAD/zdeQ=")</f>
        <v>#REF!</v>
      </c>
      <c r="HV175" t="e">
        <f>AND(Bills!#REF!,"AAAAAD/zdeU=")</f>
        <v>#REF!</v>
      </c>
      <c r="HW175" t="e">
        <f>AND(Bills!#REF!,"AAAAAD/zdeY=")</f>
        <v>#REF!</v>
      </c>
      <c r="HX175" t="e">
        <f>AND(Bills!D649,"AAAAAD/zdec=")</f>
        <v>#VALUE!</v>
      </c>
      <c r="HY175" t="e">
        <f>AND(Bills!#REF!,"AAAAAD/zdeg=")</f>
        <v>#REF!</v>
      </c>
      <c r="HZ175" t="e">
        <f>AND(Bills!E649,"AAAAAD/zdek=")</f>
        <v>#VALUE!</v>
      </c>
      <c r="IA175" t="e">
        <f>AND(Bills!F649,"AAAAAD/zdeo=")</f>
        <v>#VALUE!</v>
      </c>
      <c r="IB175" t="e">
        <f>AND(Bills!G649,"AAAAAD/zdes=")</f>
        <v>#VALUE!</v>
      </c>
      <c r="IC175" t="e">
        <f>AND(Bills!H649,"AAAAAD/zdew=")</f>
        <v>#VALUE!</v>
      </c>
      <c r="ID175" t="e">
        <f>AND(Bills!I649,"AAAAAD/zde0=")</f>
        <v>#VALUE!</v>
      </c>
      <c r="IE175" t="e">
        <f>AND(Bills!J649,"AAAAAD/zde4=")</f>
        <v>#VALUE!</v>
      </c>
      <c r="IF175" t="e">
        <f>AND(Bills!#REF!,"AAAAAD/zde8=")</f>
        <v>#REF!</v>
      </c>
      <c r="IG175" t="e">
        <f>AND(Bills!K649,"AAAAAD/zdfA=")</f>
        <v>#VALUE!</v>
      </c>
      <c r="IH175" t="e">
        <f>AND(Bills!L649,"AAAAAD/zdfE=")</f>
        <v>#VALUE!</v>
      </c>
      <c r="II175" t="e">
        <f>AND(Bills!M649,"AAAAAD/zdfI=")</f>
        <v>#VALUE!</v>
      </c>
      <c r="IJ175" t="e">
        <f>AND(Bills!N649,"AAAAAD/zdfM=")</f>
        <v>#VALUE!</v>
      </c>
      <c r="IK175" t="e">
        <f>AND(Bills!O649,"AAAAAD/zdfQ=")</f>
        <v>#VALUE!</v>
      </c>
      <c r="IL175" t="e">
        <f>AND(Bills!P649,"AAAAAD/zdfU=")</f>
        <v>#VALUE!</v>
      </c>
      <c r="IM175" t="e">
        <f>AND(Bills!Q649,"AAAAAD/zdfY=")</f>
        <v>#VALUE!</v>
      </c>
      <c r="IN175" t="e">
        <f>AND(Bills!R649,"AAAAAD/zdfc=")</f>
        <v>#VALUE!</v>
      </c>
      <c r="IO175" t="e">
        <f>AND(Bills!#REF!,"AAAAAD/zdfg=")</f>
        <v>#REF!</v>
      </c>
      <c r="IP175" t="e">
        <f>AND(Bills!S649,"AAAAAD/zdfk=")</f>
        <v>#VALUE!</v>
      </c>
      <c r="IQ175" t="e">
        <f>AND(Bills!T649,"AAAAAD/zdfo=")</f>
        <v>#VALUE!</v>
      </c>
      <c r="IR175" t="e">
        <f>AND(Bills!U649,"AAAAAD/zdfs=")</f>
        <v>#VALUE!</v>
      </c>
      <c r="IS175" t="e">
        <f>AND(Bills!#REF!,"AAAAAD/zdfw=")</f>
        <v>#REF!</v>
      </c>
      <c r="IT175" t="e">
        <f>AND(Bills!#REF!,"AAAAAD/zdf0=")</f>
        <v>#REF!</v>
      </c>
      <c r="IU175" t="e">
        <f>AND(Bills!W649,"AAAAAD/zdf4=")</f>
        <v>#VALUE!</v>
      </c>
      <c r="IV175" t="e">
        <f>AND(Bills!X649,"AAAAAD/zdf8=")</f>
        <v>#VALUE!</v>
      </c>
    </row>
    <row r="176" spans="1:256">
      <c r="A176" t="e">
        <f>AND(Bills!#REF!,"AAAAAD9/8wA=")</f>
        <v>#REF!</v>
      </c>
      <c r="B176" t="e">
        <f>AND(Bills!#REF!,"AAAAAD9/8wE=")</f>
        <v>#REF!</v>
      </c>
      <c r="C176" t="e">
        <f>AND(Bills!#REF!,"AAAAAD9/8wI=")</f>
        <v>#REF!</v>
      </c>
      <c r="D176" t="e">
        <f>AND(Bills!#REF!,"AAAAAD9/8wM=")</f>
        <v>#REF!</v>
      </c>
      <c r="E176" t="e">
        <f>AND(Bills!#REF!,"AAAAAD9/8wQ=")</f>
        <v>#REF!</v>
      </c>
      <c r="F176" t="e">
        <f>AND(Bills!#REF!,"AAAAAD9/8wU=")</f>
        <v>#REF!</v>
      </c>
      <c r="G176" t="e">
        <f>AND(Bills!#REF!,"AAAAAD9/8wY=")</f>
        <v>#REF!</v>
      </c>
      <c r="H176" t="e">
        <f>AND(Bills!#REF!,"AAAAAD9/8wc=")</f>
        <v>#REF!</v>
      </c>
      <c r="I176" t="e">
        <f>AND(Bills!#REF!,"AAAAAD9/8wg=")</f>
        <v>#REF!</v>
      </c>
      <c r="J176" t="e">
        <f>AND(Bills!Y649,"AAAAAD9/8wk=")</f>
        <v>#VALUE!</v>
      </c>
      <c r="K176" t="e">
        <f>AND(Bills!Z649,"AAAAAD9/8wo=")</f>
        <v>#VALUE!</v>
      </c>
      <c r="L176" t="e">
        <f>AND(Bills!#REF!,"AAAAAD9/8ws=")</f>
        <v>#REF!</v>
      </c>
      <c r="M176" t="e">
        <f>AND(Bills!#REF!,"AAAAAD9/8ww=")</f>
        <v>#REF!</v>
      </c>
      <c r="N176" t="e">
        <f>AND(Bills!#REF!,"AAAAAD9/8w0=")</f>
        <v>#REF!</v>
      </c>
      <c r="O176" t="e">
        <f>AND(Bills!AA649,"AAAAAD9/8w4=")</f>
        <v>#VALUE!</v>
      </c>
      <c r="P176" t="e">
        <f>AND(Bills!AB649,"AAAAAD9/8w8=")</f>
        <v>#VALUE!</v>
      </c>
      <c r="Q176" t="e">
        <f>AND(Bills!#REF!,"AAAAAD9/8xA=")</f>
        <v>#REF!</v>
      </c>
      <c r="R176">
        <f>IF(Bills!650:650,"AAAAAD9/8xE=",0)</f>
        <v>0</v>
      </c>
      <c r="S176" t="e">
        <f>AND(Bills!B650,"AAAAAD9/8xI=")</f>
        <v>#VALUE!</v>
      </c>
      <c r="T176" t="e">
        <f>AND(Bills!#REF!,"AAAAAD9/8xM=")</f>
        <v>#REF!</v>
      </c>
      <c r="U176" t="e">
        <f>AND(Bills!C650,"AAAAAD9/8xQ=")</f>
        <v>#VALUE!</v>
      </c>
      <c r="V176" t="e">
        <f>AND(Bills!#REF!,"AAAAAD9/8xU=")</f>
        <v>#REF!</v>
      </c>
      <c r="W176" t="e">
        <f>AND(Bills!#REF!,"AAAAAD9/8xY=")</f>
        <v>#REF!</v>
      </c>
      <c r="X176" t="e">
        <f>AND(Bills!#REF!,"AAAAAD9/8xc=")</f>
        <v>#REF!</v>
      </c>
      <c r="Y176" t="e">
        <f>AND(Bills!#REF!,"AAAAAD9/8xg=")</f>
        <v>#REF!</v>
      </c>
      <c r="Z176" t="e">
        <f>AND(Bills!#REF!,"AAAAAD9/8xk=")</f>
        <v>#REF!</v>
      </c>
      <c r="AA176" t="e">
        <f>AND(Bills!D650,"AAAAAD9/8xo=")</f>
        <v>#VALUE!</v>
      </c>
      <c r="AB176" t="e">
        <f>AND(Bills!#REF!,"AAAAAD9/8xs=")</f>
        <v>#REF!</v>
      </c>
      <c r="AC176" t="e">
        <f>AND(Bills!E650,"AAAAAD9/8xw=")</f>
        <v>#VALUE!</v>
      </c>
      <c r="AD176" t="e">
        <f>AND(Bills!F650,"AAAAAD9/8x0=")</f>
        <v>#VALUE!</v>
      </c>
      <c r="AE176" t="e">
        <f>AND(Bills!G650,"AAAAAD9/8x4=")</f>
        <v>#VALUE!</v>
      </c>
      <c r="AF176" t="e">
        <f>AND(Bills!H650,"AAAAAD9/8x8=")</f>
        <v>#VALUE!</v>
      </c>
      <c r="AG176" t="e">
        <f>AND(Bills!I650,"AAAAAD9/8yA=")</f>
        <v>#VALUE!</v>
      </c>
      <c r="AH176" t="e">
        <f>AND(Bills!J650,"AAAAAD9/8yE=")</f>
        <v>#VALUE!</v>
      </c>
      <c r="AI176" t="e">
        <f>AND(Bills!#REF!,"AAAAAD9/8yI=")</f>
        <v>#REF!</v>
      </c>
      <c r="AJ176" t="e">
        <f>AND(Bills!K650,"AAAAAD9/8yM=")</f>
        <v>#VALUE!</v>
      </c>
      <c r="AK176" t="e">
        <f>AND(Bills!L650,"AAAAAD9/8yQ=")</f>
        <v>#VALUE!</v>
      </c>
      <c r="AL176" t="e">
        <f>AND(Bills!M650,"AAAAAD9/8yU=")</f>
        <v>#VALUE!</v>
      </c>
      <c r="AM176" t="e">
        <f>AND(Bills!N650,"AAAAAD9/8yY=")</f>
        <v>#VALUE!</v>
      </c>
      <c r="AN176" t="e">
        <f>AND(Bills!O650,"AAAAAD9/8yc=")</f>
        <v>#VALUE!</v>
      </c>
      <c r="AO176" t="e">
        <f>AND(Bills!P650,"AAAAAD9/8yg=")</f>
        <v>#VALUE!</v>
      </c>
      <c r="AP176" t="e">
        <f>AND(Bills!Q650,"AAAAAD9/8yk=")</f>
        <v>#VALUE!</v>
      </c>
      <c r="AQ176" t="e">
        <f>AND(Bills!R650,"AAAAAD9/8yo=")</f>
        <v>#VALUE!</v>
      </c>
      <c r="AR176" t="e">
        <f>AND(Bills!#REF!,"AAAAAD9/8ys=")</f>
        <v>#REF!</v>
      </c>
      <c r="AS176" t="e">
        <f>AND(Bills!S650,"AAAAAD9/8yw=")</f>
        <v>#VALUE!</v>
      </c>
      <c r="AT176" t="e">
        <f>AND(Bills!T650,"AAAAAD9/8y0=")</f>
        <v>#VALUE!</v>
      </c>
      <c r="AU176" t="e">
        <f>AND(Bills!U650,"AAAAAD9/8y4=")</f>
        <v>#VALUE!</v>
      </c>
      <c r="AV176" t="e">
        <f>AND(Bills!#REF!,"AAAAAD9/8y8=")</f>
        <v>#REF!</v>
      </c>
      <c r="AW176" t="e">
        <f>AND(Bills!#REF!,"AAAAAD9/8zA=")</f>
        <v>#REF!</v>
      </c>
      <c r="AX176" t="e">
        <f>AND(Bills!W650,"AAAAAD9/8zE=")</f>
        <v>#VALUE!</v>
      </c>
      <c r="AY176" t="e">
        <f>AND(Bills!X650,"AAAAAD9/8zI=")</f>
        <v>#VALUE!</v>
      </c>
      <c r="AZ176" t="e">
        <f>AND(Bills!#REF!,"AAAAAD9/8zM=")</f>
        <v>#REF!</v>
      </c>
      <c r="BA176" t="e">
        <f>AND(Bills!#REF!,"AAAAAD9/8zQ=")</f>
        <v>#REF!</v>
      </c>
      <c r="BB176" t="e">
        <f>AND(Bills!#REF!,"AAAAAD9/8zU=")</f>
        <v>#REF!</v>
      </c>
      <c r="BC176" t="e">
        <f>AND(Bills!#REF!,"AAAAAD9/8zY=")</f>
        <v>#REF!</v>
      </c>
      <c r="BD176" t="e">
        <f>AND(Bills!#REF!,"AAAAAD9/8zc=")</f>
        <v>#REF!</v>
      </c>
      <c r="BE176" t="e">
        <f>AND(Bills!#REF!,"AAAAAD9/8zg=")</f>
        <v>#REF!</v>
      </c>
      <c r="BF176" t="e">
        <f>AND(Bills!#REF!,"AAAAAD9/8zk=")</f>
        <v>#REF!</v>
      </c>
      <c r="BG176" t="e">
        <f>AND(Bills!#REF!,"AAAAAD9/8zo=")</f>
        <v>#REF!</v>
      </c>
      <c r="BH176" t="e">
        <f>AND(Bills!#REF!,"AAAAAD9/8zs=")</f>
        <v>#REF!</v>
      </c>
      <c r="BI176" t="e">
        <f>AND(Bills!Y650,"AAAAAD9/8zw=")</f>
        <v>#VALUE!</v>
      </c>
      <c r="BJ176" t="e">
        <f>AND(Bills!Z650,"AAAAAD9/8z0=")</f>
        <v>#VALUE!</v>
      </c>
      <c r="BK176" t="e">
        <f>AND(Bills!#REF!,"AAAAAD9/8z4=")</f>
        <v>#REF!</v>
      </c>
      <c r="BL176" t="e">
        <f>AND(Bills!#REF!,"AAAAAD9/8z8=")</f>
        <v>#REF!</v>
      </c>
      <c r="BM176" t="e">
        <f>AND(Bills!#REF!,"AAAAAD9/80A=")</f>
        <v>#REF!</v>
      </c>
      <c r="BN176" t="e">
        <f>AND(Bills!AA650,"AAAAAD9/80E=")</f>
        <v>#VALUE!</v>
      </c>
      <c r="BO176" t="e">
        <f>AND(Bills!AB650,"AAAAAD9/80I=")</f>
        <v>#VALUE!</v>
      </c>
      <c r="BP176" t="e">
        <f>AND(Bills!#REF!,"AAAAAD9/80M=")</f>
        <v>#REF!</v>
      </c>
      <c r="BQ176">
        <f>IF(Bills!651:651,"AAAAAD9/80Q=",0)</f>
        <v>0</v>
      </c>
      <c r="BR176" t="e">
        <f>AND(Bills!B651,"AAAAAD9/80U=")</f>
        <v>#VALUE!</v>
      </c>
      <c r="BS176" t="e">
        <f>AND(Bills!#REF!,"AAAAAD9/80Y=")</f>
        <v>#REF!</v>
      </c>
      <c r="BT176" t="e">
        <f>AND(Bills!C651,"AAAAAD9/80c=")</f>
        <v>#VALUE!</v>
      </c>
      <c r="BU176" t="e">
        <f>AND(Bills!#REF!,"AAAAAD9/80g=")</f>
        <v>#REF!</v>
      </c>
      <c r="BV176" t="e">
        <f>AND(Bills!#REF!,"AAAAAD9/80k=")</f>
        <v>#REF!</v>
      </c>
      <c r="BW176" t="e">
        <f>AND(Bills!#REF!,"AAAAAD9/80o=")</f>
        <v>#REF!</v>
      </c>
      <c r="BX176" t="e">
        <f>AND(Bills!#REF!,"AAAAAD9/80s=")</f>
        <v>#REF!</v>
      </c>
      <c r="BY176" t="e">
        <f>AND(Bills!#REF!,"AAAAAD9/80w=")</f>
        <v>#REF!</v>
      </c>
      <c r="BZ176" t="e">
        <f>AND(Bills!D651,"AAAAAD9/800=")</f>
        <v>#VALUE!</v>
      </c>
      <c r="CA176" t="e">
        <f>AND(Bills!#REF!,"AAAAAD9/804=")</f>
        <v>#REF!</v>
      </c>
      <c r="CB176" t="e">
        <f>AND(Bills!E651,"AAAAAD9/808=")</f>
        <v>#VALUE!</v>
      </c>
      <c r="CC176" t="e">
        <f>AND(Bills!F651,"AAAAAD9/81A=")</f>
        <v>#VALUE!</v>
      </c>
      <c r="CD176" t="e">
        <f>AND(Bills!G651,"AAAAAD9/81E=")</f>
        <v>#VALUE!</v>
      </c>
      <c r="CE176" t="e">
        <f>AND(Bills!H651,"AAAAAD9/81I=")</f>
        <v>#VALUE!</v>
      </c>
      <c r="CF176" t="e">
        <f>AND(Bills!I651,"AAAAAD9/81M=")</f>
        <v>#VALUE!</v>
      </c>
      <c r="CG176" t="e">
        <f>AND(Bills!J651,"AAAAAD9/81Q=")</f>
        <v>#VALUE!</v>
      </c>
      <c r="CH176" t="e">
        <f>AND(Bills!#REF!,"AAAAAD9/81U=")</f>
        <v>#REF!</v>
      </c>
      <c r="CI176" t="e">
        <f>AND(Bills!K651,"AAAAAD9/81Y=")</f>
        <v>#VALUE!</v>
      </c>
      <c r="CJ176" t="e">
        <f>AND(Bills!L651,"AAAAAD9/81c=")</f>
        <v>#VALUE!</v>
      </c>
      <c r="CK176" t="e">
        <f>AND(Bills!M651,"AAAAAD9/81g=")</f>
        <v>#VALUE!</v>
      </c>
      <c r="CL176" t="e">
        <f>AND(Bills!N651,"AAAAAD9/81k=")</f>
        <v>#VALUE!</v>
      </c>
      <c r="CM176" t="e">
        <f>AND(Bills!O651,"AAAAAD9/81o=")</f>
        <v>#VALUE!</v>
      </c>
      <c r="CN176" t="e">
        <f>AND(Bills!P651,"AAAAAD9/81s=")</f>
        <v>#VALUE!</v>
      </c>
      <c r="CO176" t="e">
        <f>AND(Bills!Q651,"AAAAAD9/81w=")</f>
        <v>#VALUE!</v>
      </c>
      <c r="CP176" t="e">
        <f>AND(Bills!R651,"AAAAAD9/810=")</f>
        <v>#VALUE!</v>
      </c>
      <c r="CQ176" t="e">
        <f>AND(Bills!#REF!,"AAAAAD9/814=")</f>
        <v>#REF!</v>
      </c>
      <c r="CR176" t="e">
        <f>AND(Bills!S651,"AAAAAD9/818=")</f>
        <v>#VALUE!</v>
      </c>
      <c r="CS176" t="e">
        <f>AND(Bills!T651,"AAAAAD9/82A=")</f>
        <v>#VALUE!</v>
      </c>
      <c r="CT176" t="e">
        <f>AND(Bills!U651,"AAAAAD9/82E=")</f>
        <v>#VALUE!</v>
      </c>
      <c r="CU176" t="e">
        <f>AND(Bills!#REF!,"AAAAAD9/82I=")</f>
        <v>#REF!</v>
      </c>
      <c r="CV176" t="e">
        <f>AND(Bills!#REF!,"AAAAAD9/82M=")</f>
        <v>#REF!</v>
      </c>
      <c r="CW176" t="e">
        <f>AND(Bills!W651,"AAAAAD9/82Q=")</f>
        <v>#VALUE!</v>
      </c>
      <c r="CX176" t="e">
        <f>AND(Bills!X651,"AAAAAD9/82U=")</f>
        <v>#VALUE!</v>
      </c>
      <c r="CY176" t="e">
        <f>AND(Bills!#REF!,"AAAAAD9/82Y=")</f>
        <v>#REF!</v>
      </c>
      <c r="CZ176" t="e">
        <f>AND(Bills!#REF!,"AAAAAD9/82c=")</f>
        <v>#REF!</v>
      </c>
      <c r="DA176" t="e">
        <f>AND(Bills!#REF!,"AAAAAD9/82g=")</f>
        <v>#REF!</v>
      </c>
      <c r="DB176" t="e">
        <f>AND(Bills!#REF!,"AAAAAD9/82k=")</f>
        <v>#REF!</v>
      </c>
      <c r="DC176" t="e">
        <f>AND(Bills!#REF!,"AAAAAD9/82o=")</f>
        <v>#REF!</v>
      </c>
      <c r="DD176" t="e">
        <f>AND(Bills!#REF!,"AAAAAD9/82s=")</f>
        <v>#REF!</v>
      </c>
      <c r="DE176" t="e">
        <f>AND(Bills!#REF!,"AAAAAD9/82w=")</f>
        <v>#REF!</v>
      </c>
      <c r="DF176" t="e">
        <f>AND(Bills!#REF!,"AAAAAD9/820=")</f>
        <v>#REF!</v>
      </c>
      <c r="DG176" t="e">
        <f>AND(Bills!#REF!,"AAAAAD9/824=")</f>
        <v>#REF!</v>
      </c>
      <c r="DH176" t="e">
        <f>AND(Bills!Y651,"AAAAAD9/828=")</f>
        <v>#VALUE!</v>
      </c>
      <c r="DI176" t="e">
        <f>AND(Bills!Z651,"AAAAAD9/83A=")</f>
        <v>#VALUE!</v>
      </c>
      <c r="DJ176" t="e">
        <f>AND(Bills!#REF!,"AAAAAD9/83E=")</f>
        <v>#REF!</v>
      </c>
      <c r="DK176" t="e">
        <f>AND(Bills!#REF!,"AAAAAD9/83I=")</f>
        <v>#REF!</v>
      </c>
      <c r="DL176" t="e">
        <f>AND(Bills!#REF!,"AAAAAD9/83M=")</f>
        <v>#REF!</v>
      </c>
      <c r="DM176" t="e">
        <f>AND(Bills!AA651,"AAAAAD9/83Q=")</f>
        <v>#VALUE!</v>
      </c>
      <c r="DN176" t="e">
        <f>AND(Bills!AB651,"AAAAAD9/83U=")</f>
        <v>#VALUE!</v>
      </c>
      <c r="DO176" t="e">
        <f>AND(Bills!#REF!,"AAAAAD9/83Y=")</f>
        <v>#REF!</v>
      </c>
      <c r="DP176">
        <f>IF(Bills!652:652,"AAAAAD9/83c=",0)</f>
        <v>0</v>
      </c>
      <c r="DQ176" t="e">
        <f>AND(Bills!B652,"AAAAAD9/83g=")</f>
        <v>#VALUE!</v>
      </c>
      <c r="DR176" t="e">
        <f>AND(Bills!#REF!,"AAAAAD9/83k=")</f>
        <v>#REF!</v>
      </c>
      <c r="DS176" t="e">
        <f>AND(Bills!C652,"AAAAAD9/83o=")</f>
        <v>#VALUE!</v>
      </c>
      <c r="DT176" t="e">
        <f>AND(Bills!#REF!,"AAAAAD9/83s=")</f>
        <v>#REF!</v>
      </c>
      <c r="DU176" t="e">
        <f>AND(Bills!#REF!,"AAAAAD9/83w=")</f>
        <v>#REF!</v>
      </c>
      <c r="DV176" t="e">
        <f>AND(Bills!#REF!,"AAAAAD9/830=")</f>
        <v>#REF!</v>
      </c>
      <c r="DW176" t="e">
        <f>AND(Bills!#REF!,"AAAAAD9/834=")</f>
        <v>#REF!</v>
      </c>
      <c r="DX176" t="e">
        <f>AND(Bills!#REF!,"AAAAAD9/838=")</f>
        <v>#REF!</v>
      </c>
      <c r="DY176" t="e">
        <f>AND(Bills!D652,"AAAAAD9/84A=")</f>
        <v>#VALUE!</v>
      </c>
      <c r="DZ176" t="e">
        <f>AND(Bills!#REF!,"AAAAAD9/84E=")</f>
        <v>#REF!</v>
      </c>
      <c r="EA176" t="e">
        <f>AND(Bills!E652,"AAAAAD9/84I=")</f>
        <v>#VALUE!</v>
      </c>
      <c r="EB176" t="e">
        <f>AND(Bills!F652,"AAAAAD9/84M=")</f>
        <v>#VALUE!</v>
      </c>
      <c r="EC176" t="e">
        <f>AND(Bills!G652,"AAAAAD9/84Q=")</f>
        <v>#VALUE!</v>
      </c>
      <c r="ED176" t="e">
        <f>AND(Bills!H652,"AAAAAD9/84U=")</f>
        <v>#VALUE!</v>
      </c>
      <c r="EE176" t="e">
        <f>AND(Bills!I652,"AAAAAD9/84Y=")</f>
        <v>#VALUE!</v>
      </c>
      <c r="EF176" t="e">
        <f>AND(Bills!J652,"AAAAAD9/84c=")</f>
        <v>#VALUE!</v>
      </c>
      <c r="EG176" t="e">
        <f>AND(Bills!#REF!,"AAAAAD9/84g=")</f>
        <v>#REF!</v>
      </c>
      <c r="EH176" t="e">
        <f>AND(Bills!K652,"AAAAAD9/84k=")</f>
        <v>#VALUE!</v>
      </c>
      <c r="EI176" t="e">
        <f>AND(Bills!L652,"AAAAAD9/84o=")</f>
        <v>#VALUE!</v>
      </c>
      <c r="EJ176" t="e">
        <f>AND(Bills!M652,"AAAAAD9/84s=")</f>
        <v>#VALUE!</v>
      </c>
      <c r="EK176" t="e">
        <f>AND(Bills!N652,"AAAAAD9/84w=")</f>
        <v>#VALUE!</v>
      </c>
      <c r="EL176" t="e">
        <f>AND(Bills!O652,"AAAAAD9/840=")</f>
        <v>#VALUE!</v>
      </c>
      <c r="EM176" t="e">
        <f>AND(Bills!P652,"AAAAAD9/844=")</f>
        <v>#VALUE!</v>
      </c>
      <c r="EN176" t="e">
        <f>AND(Bills!Q652,"AAAAAD9/848=")</f>
        <v>#VALUE!</v>
      </c>
      <c r="EO176" t="e">
        <f>AND(Bills!R652,"AAAAAD9/85A=")</f>
        <v>#VALUE!</v>
      </c>
      <c r="EP176" t="e">
        <f>AND(Bills!#REF!,"AAAAAD9/85E=")</f>
        <v>#REF!</v>
      </c>
      <c r="EQ176" t="e">
        <f>AND(Bills!S652,"AAAAAD9/85I=")</f>
        <v>#VALUE!</v>
      </c>
      <c r="ER176" t="e">
        <f>AND(Bills!T652,"AAAAAD9/85M=")</f>
        <v>#VALUE!</v>
      </c>
      <c r="ES176" t="e">
        <f>AND(Bills!U652,"AAAAAD9/85Q=")</f>
        <v>#VALUE!</v>
      </c>
      <c r="ET176" t="e">
        <f>AND(Bills!#REF!,"AAAAAD9/85U=")</f>
        <v>#REF!</v>
      </c>
      <c r="EU176" t="e">
        <f>AND(Bills!#REF!,"AAAAAD9/85Y=")</f>
        <v>#REF!</v>
      </c>
      <c r="EV176" t="e">
        <f>AND(Bills!W652,"AAAAAD9/85c=")</f>
        <v>#VALUE!</v>
      </c>
      <c r="EW176" t="e">
        <f>AND(Bills!X652,"AAAAAD9/85g=")</f>
        <v>#VALUE!</v>
      </c>
      <c r="EX176" t="e">
        <f>AND(Bills!#REF!,"AAAAAD9/85k=")</f>
        <v>#REF!</v>
      </c>
      <c r="EY176" t="e">
        <f>AND(Bills!#REF!,"AAAAAD9/85o=")</f>
        <v>#REF!</v>
      </c>
      <c r="EZ176" t="e">
        <f>AND(Bills!#REF!,"AAAAAD9/85s=")</f>
        <v>#REF!</v>
      </c>
      <c r="FA176" t="e">
        <f>AND(Bills!#REF!,"AAAAAD9/85w=")</f>
        <v>#REF!</v>
      </c>
      <c r="FB176" t="e">
        <f>AND(Bills!#REF!,"AAAAAD9/850=")</f>
        <v>#REF!</v>
      </c>
      <c r="FC176" t="e">
        <f>AND(Bills!#REF!,"AAAAAD9/854=")</f>
        <v>#REF!</v>
      </c>
      <c r="FD176" t="e">
        <f>AND(Bills!#REF!,"AAAAAD9/858=")</f>
        <v>#REF!</v>
      </c>
      <c r="FE176" t="e">
        <f>AND(Bills!#REF!,"AAAAAD9/86A=")</f>
        <v>#REF!</v>
      </c>
      <c r="FF176" t="e">
        <f>AND(Bills!#REF!,"AAAAAD9/86E=")</f>
        <v>#REF!</v>
      </c>
      <c r="FG176" t="e">
        <f>AND(Bills!Y652,"AAAAAD9/86I=")</f>
        <v>#VALUE!</v>
      </c>
      <c r="FH176" t="e">
        <f>AND(Bills!Z652,"AAAAAD9/86M=")</f>
        <v>#VALUE!</v>
      </c>
      <c r="FI176" t="e">
        <f>AND(Bills!#REF!,"AAAAAD9/86Q=")</f>
        <v>#REF!</v>
      </c>
      <c r="FJ176" t="e">
        <f>AND(Bills!#REF!,"AAAAAD9/86U=")</f>
        <v>#REF!</v>
      </c>
      <c r="FK176" t="e">
        <f>AND(Bills!#REF!,"AAAAAD9/86Y=")</f>
        <v>#REF!</v>
      </c>
      <c r="FL176" t="e">
        <f>AND(Bills!AA652,"AAAAAD9/86c=")</f>
        <v>#VALUE!</v>
      </c>
      <c r="FM176" t="e">
        <f>AND(Bills!AB652,"AAAAAD9/86g=")</f>
        <v>#VALUE!</v>
      </c>
      <c r="FN176" t="e">
        <f>AND(Bills!#REF!,"AAAAAD9/86k=")</f>
        <v>#REF!</v>
      </c>
      <c r="FO176">
        <f>IF(Bills!653:653,"AAAAAD9/86o=",0)</f>
        <v>0</v>
      </c>
      <c r="FP176" t="e">
        <f>AND(Bills!B653,"AAAAAD9/86s=")</f>
        <v>#VALUE!</v>
      </c>
      <c r="FQ176" t="e">
        <f>AND(Bills!#REF!,"AAAAAD9/86w=")</f>
        <v>#REF!</v>
      </c>
      <c r="FR176" t="e">
        <f>AND(Bills!C653,"AAAAAD9/860=")</f>
        <v>#VALUE!</v>
      </c>
      <c r="FS176" t="e">
        <f>AND(Bills!#REF!,"AAAAAD9/864=")</f>
        <v>#REF!</v>
      </c>
      <c r="FT176" t="e">
        <f>AND(Bills!#REF!,"AAAAAD9/868=")</f>
        <v>#REF!</v>
      </c>
      <c r="FU176" t="e">
        <f>AND(Bills!#REF!,"AAAAAD9/87A=")</f>
        <v>#REF!</v>
      </c>
      <c r="FV176" t="e">
        <f>AND(Bills!#REF!,"AAAAAD9/87E=")</f>
        <v>#REF!</v>
      </c>
      <c r="FW176" t="e">
        <f>AND(Bills!#REF!,"AAAAAD9/87I=")</f>
        <v>#REF!</v>
      </c>
      <c r="FX176" t="e">
        <f>AND(Bills!D653,"AAAAAD9/87M=")</f>
        <v>#VALUE!</v>
      </c>
      <c r="FY176" t="e">
        <f>AND(Bills!#REF!,"AAAAAD9/87Q=")</f>
        <v>#REF!</v>
      </c>
      <c r="FZ176" t="e">
        <f>AND(Bills!E653,"AAAAAD9/87U=")</f>
        <v>#VALUE!</v>
      </c>
      <c r="GA176" t="e">
        <f>AND(Bills!F653,"AAAAAD9/87Y=")</f>
        <v>#VALUE!</v>
      </c>
      <c r="GB176" t="e">
        <f>AND(Bills!G653,"AAAAAD9/87c=")</f>
        <v>#VALUE!</v>
      </c>
      <c r="GC176" t="e">
        <f>AND(Bills!H653,"AAAAAD9/87g=")</f>
        <v>#VALUE!</v>
      </c>
      <c r="GD176" t="e">
        <f>AND(Bills!I653,"AAAAAD9/87k=")</f>
        <v>#VALUE!</v>
      </c>
      <c r="GE176" t="e">
        <f>AND(Bills!J653,"AAAAAD9/87o=")</f>
        <v>#VALUE!</v>
      </c>
      <c r="GF176" t="e">
        <f>AND(Bills!#REF!,"AAAAAD9/87s=")</f>
        <v>#REF!</v>
      </c>
      <c r="GG176" t="e">
        <f>AND(Bills!K653,"AAAAAD9/87w=")</f>
        <v>#VALUE!</v>
      </c>
      <c r="GH176" t="e">
        <f>AND(Bills!L653,"AAAAAD9/870=")</f>
        <v>#VALUE!</v>
      </c>
      <c r="GI176" t="e">
        <f>AND(Bills!M653,"AAAAAD9/874=")</f>
        <v>#VALUE!</v>
      </c>
      <c r="GJ176" t="e">
        <f>AND(Bills!N653,"AAAAAD9/878=")</f>
        <v>#VALUE!</v>
      </c>
      <c r="GK176" t="e">
        <f>AND(Bills!O653,"AAAAAD9/88A=")</f>
        <v>#VALUE!</v>
      </c>
      <c r="GL176" t="e">
        <f>AND(Bills!P653,"AAAAAD9/88E=")</f>
        <v>#VALUE!</v>
      </c>
      <c r="GM176" t="e">
        <f>AND(Bills!Q653,"AAAAAD9/88I=")</f>
        <v>#VALUE!</v>
      </c>
      <c r="GN176" t="e">
        <f>AND(Bills!R653,"AAAAAD9/88M=")</f>
        <v>#VALUE!</v>
      </c>
      <c r="GO176" t="e">
        <f>AND(Bills!#REF!,"AAAAAD9/88Q=")</f>
        <v>#REF!</v>
      </c>
      <c r="GP176" t="e">
        <f>AND(Bills!S653,"AAAAAD9/88U=")</f>
        <v>#VALUE!</v>
      </c>
      <c r="GQ176" t="e">
        <f>AND(Bills!T653,"AAAAAD9/88Y=")</f>
        <v>#VALUE!</v>
      </c>
      <c r="GR176" t="e">
        <f>AND(Bills!U653,"AAAAAD9/88c=")</f>
        <v>#VALUE!</v>
      </c>
      <c r="GS176" t="e">
        <f>AND(Bills!#REF!,"AAAAAD9/88g=")</f>
        <v>#REF!</v>
      </c>
      <c r="GT176" t="e">
        <f>AND(Bills!#REF!,"AAAAAD9/88k=")</f>
        <v>#REF!</v>
      </c>
      <c r="GU176" t="e">
        <f>AND(Bills!W653,"AAAAAD9/88o=")</f>
        <v>#VALUE!</v>
      </c>
      <c r="GV176" t="e">
        <f>AND(Bills!X653,"AAAAAD9/88s=")</f>
        <v>#VALUE!</v>
      </c>
      <c r="GW176" t="e">
        <f>AND(Bills!#REF!,"AAAAAD9/88w=")</f>
        <v>#REF!</v>
      </c>
      <c r="GX176" t="e">
        <f>AND(Bills!#REF!,"AAAAAD9/880=")</f>
        <v>#REF!</v>
      </c>
      <c r="GY176" t="e">
        <f>AND(Bills!#REF!,"AAAAAD9/884=")</f>
        <v>#REF!</v>
      </c>
      <c r="GZ176" t="e">
        <f>AND(Bills!#REF!,"AAAAAD9/888=")</f>
        <v>#REF!</v>
      </c>
      <c r="HA176" t="e">
        <f>AND(Bills!#REF!,"AAAAAD9/89A=")</f>
        <v>#REF!</v>
      </c>
      <c r="HB176" t="e">
        <f>AND(Bills!#REF!,"AAAAAD9/89E=")</f>
        <v>#REF!</v>
      </c>
      <c r="HC176" t="e">
        <f>AND(Bills!#REF!,"AAAAAD9/89I=")</f>
        <v>#REF!</v>
      </c>
      <c r="HD176" t="e">
        <f>AND(Bills!#REF!,"AAAAAD9/89M=")</f>
        <v>#REF!</v>
      </c>
      <c r="HE176" t="e">
        <f>AND(Bills!#REF!,"AAAAAD9/89Q=")</f>
        <v>#REF!</v>
      </c>
      <c r="HF176" t="e">
        <f>AND(Bills!Y653,"AAAAAD9/89U=")</f>
        <v>#VALUE!</v>
      </c>
      <c r="HG176" t="e">
        <f>AND(Bills!Z653,"AAAAAD9/89Y=")</f>
        <v>#VALUE!</v>
      </c>
      <c r="HH176" t="e">
        <f>AND(Bills!#REF!,"AAAAAD9/89c=")</f>
        <v>#REF!</v>
      </c>
      <c r="HI176" t="e">
        <f>AND(Bills!#REF!,"AAAAAD9/89g=")</f>
        <v>#REF!</v>
      </c>
      <c r="HJ176" t="e">
        <f>AND(Bills!#REF!,"AAAAAD9/89k=")</f>
        <v>#REF!</v>
      </c>
      <c r="HK176" t="e">
        <f>AND(Bills!AA653,"AAAAAD9/89o=")</f>
        <v>#VALUE!</v>
      </c>
      <c r="HL176" t="e">
        <f>AND(Bills!AB653,"AAAAAD9/89s=")</f>
        <v>#VALUE!</v>
      </c>
      <c r="HM176" t="e">
        <f>AND(Bills!#REF!,"AAAAAD9/89w=")</f>
        <v>#REF!</v>
      </c>
      <c r="HN176">
        <f>IF(Bills!654:654,"AAAAAD9/890=",0)</f>
        <v>0</v>
      </c>
      <c r="HO176" t="e">
        <f>AND(Bills!B654,"AAAAAD9/894=")</f>
        <v>#VALUE!</v>
      </c>
      <c r="HP176" t="e">
        <f>AND(Bills!#REF!,"AAAAAD9/898=")</f>
        <v>#REF!</v>
      </c>
      <c r="HQ176" t="e">
        <f>AND(Bills!C654,"AAAAAD9/8+A=")</f>
        <v>#VALUE!</v>
      </c>
      <c r="HR176" t="e">
        <f>AND(Bills!#REF!,"AAAAAD9/8+E=")</f>
        <v>#REF!</v>
      </c>
      <c r="HS176" t="e">
        <f>AND(Bills!#REF!,"AAAAAD9/8+I=")</f>
        <v>#REF!</v>
      </c>
      <c r="HT176" t="e">
        <f>AND(Bills!#REF!,"AAAAAD9/8+M=")</f>
        <v>#REF!</v>
      </c>
      <c r="HU176" t="e">
        <f>AND(Bills!#REF!,"AAAAAD9/8+Q=")</f>
        <v>#REF!</v>
      </c>
      <c r="HV176" t="e">
        <f>AND(Bills!#REF!,"AAAAAD9/8+U=")</f>
        <v>#REF!</v>
      </c>
      <c r="HW176" t="e">
        <f>AND(Bills!D654,"AAAAAD9/8+Y=")</f>
        <v>#VALUE!</v>
      </c>
      <c r="HX176" t="e">
        <f>AND(Bills!#REF!,"AAAAAD9/8+c=")</f>
        <v>#REF!</v>
      </c>
      <c r="HY176" t="e">
        <f>AND(Bills!E654,"AAAAAD9/8+g=")</f>
        <v>#VALUE!</v>
      </c>
      <c r="HZ176" t="e">
        <f>AND(Bills!F654,"AAAAAD9/8+k=")</f>
        <v>#VALUE!</v>
      </c>
      <c r="IA176" t="e">
        <f>AND(Bills!G654,"AAAAAD9/8+o=")</f>
        <v>#VALUE!</v>
      </c>
      <c r="IB176" t="e">
        <f>AND(Bills!H654,"AAAAAD9/8+s=")</f>
        <v>#VALUE!</v>
      </c>
      <c r="IC176" t="e">
        <f>AND(Bills!I654,"AAAAAD9/8+w=")</f>
        <v>#VALUE!</v>
      </c>
      <c r="ID176" t="e">
        <f>AND(Bills!J654,"AAAAAD9/8+0=")</f>
        <v>#VALUE!</v>
      </c>
      <c r="IE176" t="e">
        <f>AND(Bills!#REF!,"AAAAAD9/8+4=")</f>
        <v>#REF!</v>
      </c>
      <c r="IF176" t="e">
        <f>AND(Bills!K654,"AAAAAD9/8+8=")</f>
        <v>#VALUE!</v>
      </c>
      <c r="IG176" t="e">
        <f>AND(Bills!L654,"AAAAAD9/8/A=")</f>
        <v>#VALUE!</v>
      </c>
      <c r="IH176" t="e">
        <f>AND(Bills!M654,"AAAAAD9/8/E=")</f>
        <v>#VALUE!</v>
      </c>
      <c r="II176" t="e">
        <f>AND(Bills!N654,"AAAAAD9/8/I=")</f>
        <v>#VALUE!</v>
      </c>
      <c r="IJ176" t="e">
        <f>AND(Bills!O654,"AAAAAD9/8/M=")</f>
        <v>#VALUE!</v>
      </c>
      <c r="IK176" t="e">
        <f>AND(Bills!P654,"AAAAAD9/8/Q=")</f>
        <v>#VALUE!</v>
      </c>
      <c r="IL176" t="e">
        <f>AND(Bills!Q654,"AAAAAD9/8/U=")</f>
        <v>#VALUE!</v>
      </c>
      <c r="IM176" t="e">
        <f>AND(Bills!R654,"AAAAAD9/8/Y=")</f>
        <v>#VALUE!</v>
      </c>
      <c r="IN176" t="e">
        <f>AND(Bills!#REF!,"AAAAAD9/8/c=")</f>
        <v>#REF!</v>
      </c>
      <c r="IO176" t="e">
        <f>AND(Bills!S654,"AAAAAD9/8/g=")</f>
        <v>#VALUE!</v>
      </c>
      <c r="IP176" t="e">
        <f>AND(Bills!T654,"AAAAAD9/8/k=")</f>
        <v>#VALUE!</v>
      </c>
      <c r="IQ176" t="e">
        <f>AND(Bills!U654,"AAAAAD9/8/o=")</f>
        <v>#VALUE!</v>
      </c>
      <c r="IR176" t="e">
        <f>AND(Bills!#REF!,"AAAAAD9/8/s=")</f>
        <v>#REF!</v>
      </c>
      <c r="IS176" t="e">
        <f>AND(Bills!#REF!,"AAAAAD9/8/w=")</f>
        <v>#REF!</v>
      </c>
      <c r="IT176" t="e">
        <f>AND(Bills!W654,"AAAAAD9/8/0=")</f>
        <v>#VALUE!</v>
      </c>
      <c r="IU176" t="e">
        <f>AND(Bills!X654,"AAAAAD9/8/4=")</f>
        <v>#VALUE!</v>
      </c>
      <c r="IV176" t="e">
        <f>AND(Bills!#REF!,"AAAAAD9/8/8=")</f>
        <v>#REF!</v>
      </c>
    </row>
    <row r="177" spans="1:256">
      <c r="A177" t="e">
        <f>AND(Bills!#REF!,"AAAAAH7/uQA=")</f>
        <v>#REF!</v>
      </c>
      <c r="B177" t="e">
        <f>AND(Bills!#REF!,"AAAAAH7/uQE=")</f>
        <v>#REF!</v>
      </c>
      <c r="C177" t="e">
        <f>AND(Bills!#REF!,"AAAAAH7/uQI=")</f>
        <v>#REF!</v>
      </c>
      <c r="D177" t="e">
        <f>AND(Bills!#REF!,"AAAAAH7/uQM=")</f>
        <v>#REF!</v>
      </c>
      <c r="E177" t="e">
        <f>AND(Bills!#REF!,"AAAAAH7/uQQ=")</f>
        <v>#REF!</v>
      </c>
      <c r="F177" t="e">
        <f>AND(Bills!#REF!,"AAAAAH7/uQU=")</f>
        <v>#REF!</v>
      </c>
      <c r="G177" t="e">
        <f>AND(Bills!#REF!,"AAAAAH7/uQY=")</f>
        <v>#REF!</v>
      </c>
      <c r="H177" t="e">
        <f>AND(Bills!#REF!,"AAAAAH7/uQc=")</f>
        <v>#REF!</v>
      </c>
      <c r="I177" t="e">
        <f>AND(Bills!Y654,"AAAAAH7/uQg=")</f>
        <v>#VALUE!</v>
      </c>
      <c r="J177" t="e">
        <f>AND(Bills!Z654,"AAAAAH7/uQk=")</f>
        <v>#VALUE!</v>
      </c>
      <c r="K177" t="e">
        <f>AND(Bills!#REF!,"AAAAAH7/uQo=")</f>
        <v>#REF!</v>
      </c>
      <c r="L177" t="e">
        <f>AND(Bills!#REF!,"AAAAAH7/uQs=")</f>
        <v>#REF!</v>
      </c>
      <c r="M177" t="e">
        <f>AND(Bills!#REF!,"AAAAAH7/uQw=")</f>
        <v>#REF!</v>
      </c>
      <c r="N177" t="e">
        <f>AND(Bills!AA654,"AAAAAH7/uQ0=")</f>
        <v>#VALUE!</v>
      </c>
      <c r="O177" t="e">
        <f>AND(Bills!AB654,"AAAAAH7/uQ4=")</f>
        <v>#VALUE!</v>
      </c>
      <c r="P177" t="e">
        <f>AND(Bills!#REF!,"AAAAAH7/uQ8=")</f>
        <v>#REF!</v>
      </c>
      <c r="Q177">
        <f>IF(Bills!655:655,"AAAAAH7/uRA=",0)</f>
        <v>0</v>
      </c>
      <c r="R177" t="e">
        <f>AND(Bills!B655,"AAAAAH7/uRE=")</f>
        <v>#VALUE!</v>
      </c>
      <c r="S177" t="e">
        <f>AND(Bills!#REF!,"AAAAAH7/uRI=")</f>
        <v>#REF!</v>
      </c>
      <c r="T177" t="e">
        <f>AND(Bills!C655,"AAAAAH7/uRM=")</f>
        <v>#VALUE!</v>
      </c>
      <c r="U177" t="e">
        <f>AND(Bills!#REF!,"AAAAAH7/uRQ=")</f>
        <v>#REF!</v>
      </c>
      <c r="V177" t="e">
        <f>AND(Bills!#REF!,"AAAAAH7/uRU=")</f>
        <v>#REF!</v>
      </c>
      <c r="W177" t="e">
        <f>AND(Bills!#REF!,"AAAAAH7/uRY=")</f>
        <v>#REF!</v>
      </c>
      <c r="X177" t="e">
        <f>AND(Bills!#REF!,"AAAAAH7/uRc=")</f>
        <v>#REF!</v>
      </c>
      <c r="Y177" t="e">
        <f>AND(Bills!#REF!,"AAAAAH7/uRg=")</f>
        <v>#REF!</v>
      </c>
      <c r="Z177" t="e">
        <f>AND(Bills!D655,"AAAAAH7/uRk=")</f>
        <v>#VALUE!</v>
      </c>
      <c r="AA177" t="e">
        <f>AND(Bills!#REF!,"AAAAAH7/uRo=")</f>
        <v>#REF!</v>
      </c>
      <c r="AB177" t="e">
        <f>AND(Bills!E655,"AAAAAH7/uRs=")</f>
        <v>#VALUE!</v>
      </c>
      <c r="AC177" t="e">
        <f>AND(Bills!F655,"AAAAAH7/uRw=")</f>
        <v>#VALUE!</v>
      </c>
      <c r="AD177" t="e">
        <f>AND(Bills!G655,"AAAAAH7/uR0=")</f>
        <v>#VALUE!</v>
      </c>
      <c r="AE177" t="e">
        <f>AND(Bills!H655,"AAAAAH7/uR4=")</f>
        <v>#VALUE!</v>
      </c>
      <c r="AF177" t="e">
        <f>AND(Bills!I655,"AAAAAH7/uR8=")</f>
        <v>#VALUE!</v>
      </c>
      <c r="AG177" t="e">
        <f>AND(Bills!J655,"AAAAAH7/uSA=")</f>
        <v>#VALUE!</v>
      </c>
      <c r="AH177" t="e">
        <f>AND(Bills!#REF!,"AAAAAH7/uSE=")</f>
        <v>#REF!</v>
      </c>
      <c r="AI177" t="e">
        <f>AND(Bills!K655,"AAAAAH7/uSI=")</f>
        <v>#VALUE!</v>
      </c>
      <c r="AJ177" t="e">
        <f>AND(Bills!L655,"AAAAAH7/uSM=")</f>
        <v>#VALUE!</v>
      </c>
      <c r="AK177" t="e">
        <f>AND(Bills!M655,"AAAAAH7/uSQ=")</f>
        <v>#VALUE!</v>
      </c>
      <c r="AL177" t="e">
        <f>AND(Bills!N655,"AAAAAH7/uSU=")</f>
        <v>#VALUE!</v>
      </c>
      <c r="AM177" t="e">
        <f>AND(Bills!O655,"AAAAAH7/uSY=")</f>
        <v>#VALUE!</v>
      </c>
      <c r="AN177" t="e">
        <f>AND(Bills!P655,"AAAAAH7/uSc=")</f>
        <v>#VALUE!</v>
      </c>
      <c r="AO177" t="e">
        <f>AND(Bills!Q655,"AAAAAH7/uSg=")</f>
        <v>#VALUE!</v>
      </c>
      <c r="AP177" t="e">
        <f>AND(Bills!R655,"AAAAAH7/uSk=")</f>
        <v>#VALUE!</v>
      </c>
      <c r="AQ177" t="e">
        <f>AND(Bills!#REF!,"AAAAAH7/uSo=")</f>
        <v>#REF!</v>
      </c>
      <c r="AR177" t="e">
        <f>AND(Bills!S655,"AAAAAH7/uSs=")</f>
        <v>#VALUE!</v>
      </c>
      <c r="AS177" t="e">
        <f>AND(Bills!T655,"AAAAAH7/uSw=")</f>
        <v>#VALUE!</v>
      </c>
      <c r="AT177" t="e">
        <f>AND(Bills!U655,"AAAAAH7/uS0=")</f>
        <v>#VALUE!</v>
      </c>
      <c r="AU177" t="e">
        <f>AND(Bills!#REF!,"AAAAAH7/uS4=")</f>
        <v>#REF!</v>
      </c>
      <c r="AV177" t="e">
        <f>AND(Bills!#REF!,"AAAAAH7/uS8=")</f>
        <v>#REF!</v>
      </c>
      <c r="AW177" t="e">
        <f>AND(Bills!W655,"AAAAAH7/uTA=")</f>
        <v>#VALUE!</v>
      </c>
      <c r="AX177" t="e">
        <f>AND(Bills!X655,"AAAAAH7/uTE=")</f>
        <v>#VALUE!</v>
      </c>
      <c r="AY177" t="e">
        <f>AND(Bills!#REF!,"AAAAAH7/uTI=")</f>
        <v>#REF!</v>
      </c>
      <c r="AZ177" t="e">
        <f>AND(Bills!#REF!,"AAAAAH7/uTM=")</f>
        <v>#REF!</v>
      </c>
      <c r="BA177" t="e">
        <f>AND(Bills!#REF!,"AAAAAH7/uTQ=")</f>
        <v>#REF!</v>
      </c>
      <c r="BB177" t="e">
        <f>AND(Bills!#REF!,"AAAAAH7/uTU=")</f>
        <v>#REF!</v>
      </c>
      <c r="BC177" t="e">
        <f>AND(Bills!#REF!,"AAAAAH7/uTY=")</f>
        <v>#REF!</v>
      </c>
      <c r="BD177" t="e">
        <f>AND(Bills!#REF!,"AAAAAH7/uTc=")</f>
        <v>#REF!</v>
      </c>
      <c r="BE177" t="e">
        <f>AND(Bills!#REF!,"AAAAAH7/uTg=")</f>
        <v>#REF!</v>
      </c>
      <c r="BF177" t="e">
        <f>AND(Bills!#REF!,"AAAAAH7/uTk=")</f>
        <v>#REF!</v>
      </c>
      <c r="BG177" t="e">
        <f>AND(Bills!#REF!,"AAAAAH7/uTo=")</f>
        <v>#REF!</v>
      </c>
      <c r="BH177" t="e">
        <f>AND(Bills!Y655,"AAAAAH7/uTs=")</f>
        <v>#VALUE!</v>
      </c>
      <c r="BI177" t="e">
        <f>AND(Bills!Z655,"AAAAAH7/uTw=")</f>
        <v>#VALUE!</v>
      </c>
      <c r="BJ177" t="e">
        <f>AND(Bills!#REF!,"AAAAAH7/uT0=")</f>
        <v>#REF!</v>
      </c>
      <c r="BK177" t="e">
        <f>AND(Bills!#REF!,"AAAAAH7/uT4=")</f>
        <v>#REF!</v>
      </c>
      <c r="BL177" t="e">
        <f>AND(Bills!#REF!,"AAAAAH7/uT8=")</f>
        <v>#REF!</v>
      </c>
      <c r="BM177" t="e">
        <f>AND(Bills!AA655,"AAAAAH7/uUA=")</f>
        <v>#VALUE!</v>
      </c>
      <c r="BN177" t="e">
        <f>AND(Bills!AB655,"AAAAAH7/uUE=")</f>
        <v>#VALUE!</v>
      </c>
      <c r="BO177" t="e">
        <f>AND(Bills!#REF!,"AAAAAH7/uUI=")</f>
        <v>#REF!</v>
      </c>
      <c r="BP177">
        <f>IF(Bills!656:656,"AAAAAH7/uUM=",0)</f>
        <v>0</v>
      </c>
      <c r="BQ177" t="e">
        <f>AND(Bills!B656,"AAAAAH7/uUQ=")</f>
        <v>#VALUE!</v>
      </c>
      <c r="BR177" t="e">
        <f>AND(Bills!#REF!,"AAAAAH7/uUU=")</f>
        <v>#REF!</v>
      </c>
      <c r="BS177" t="e">
        <f>AND(Bills!C656,"AAAAAH7/uUY=")</f>
        <v>#VALUE!</v>
      </c>
      <c r="BT177" t="e">
        <f>AND(Bills!#REF!,"AAAAAH7/uUc=")</f>
        <v>#REF!</v>
      </c>
      <c r="BU177" t="e">
        <f>AND(Bills!#REF!,"AAAAAH7/uUg=")</f>
        <v>#REF!</v>
      </c>
      <c r="BV177" t="e">
        <f>AND(Bills!#REF!,"AAAAAH7/uUk=")</f>
        <v>#REF!</v>
      </c>
      <c r="BW177" t="e">
        <f>AND(Bills!#REF!,"AAAAAH7/uUo=")</f>
        <v>#REF!</v>
      </c>
      <c r="BX177" t="e">
        <f>AND(Bills!#REF!,"AAAAAH7/uUs=")</f>
        <v>#REF!</v>
      </c>
      <c r="BY177" t="e">
        <f>AND(Bills!D656,"AAAAAH7/uUw=")</f>
        <v>#VALUE!</v>
      </c>
      <c r="BZ177" t="e">
        <f>AND(Bills!#REF!,"AAAAAH7/uU0=")</f>
        <v>#REF!</v>
      </c>
      <c r="CA177" t="e">
        <f>AND(Bills!E656,"AAAAAH7/uU4=")</f>
        <v>#VALUE!</v>
      </c>
      <c r="CB177" t="e">
        <f>AND(Bills!F656,"AAAAAH7/uU8=")</f>
        <v>#VALUE!</v>
      </c>
      <c r="CC177" t="e">
        <f>AND(Bills!G656,"AAAAAH7/uVA=")</f>
        <v>#VALUE!</v>
      </c>
      <c r="CD177" t="e">
        <f>AND(Bills!H656,"AAAAAH7/uVE=")</f>
        <v>#VALUE!</v>
      </c>
      <c r="CE177" t="e">
        <f>AND(Bills!I656,"AAAAAH7/uVI=")</f>
        <v>#VALUE!</v>
      </c>
      <c r="CF177" t="e">
        <f>AND(Bills!J656,"AAAAAH7/uVM=")</f>
        <v>#VALUE!</v>
      </c>
      <c r="CG177" t="e">
        <f>AND(Bills!#REF!,"AAAAAH7/uVQ=")</f>
        <v>#REF!</v>
      </c>
      <c r="CH177" t="e">
        <f>AND(Bills!K656,"AAAAAH7/uVU=")</f>
        <v>#VALUE!</v>
      </c>
      <c r="CI177" t="e">
        <f>AND(Bills!L656,"AAAAAH7/uVY=")</f>
        <v>#VALUE!</v>
      </c>
      <c r="CJ177" t="e">
        <f>AND(Bills!M656,"AAAAAH7/uVc=")</f>
        <v>#VALUE!</v>
      </c>
      <c r="CK177" t="e">
        <f>AND(Bills!N656,"AAAAAH7/uVg=")</f>
        <v>#VALUE!</v>
      </c>
      <c r="CL177" t="e">
        <f>AND(Bills!O656,"AAAAAH7/uVk=")</f>
        <v>#VALUE!</v>
      </c>
      <c r="CM177" t="e">
        <f>AND(Bills!P656,"AAAAAH7/uVo=")</f>
        <v>#VALUE!</v>
      </c>
      <c r="CN177" t="e">
        <f>AND(Bills!Q656,"AAAAAH7/uVs=")</f>
        <v>#VALUE!</v>
      </c>
      <c r="CO177" t="e">
        <f>AND(Bills!R656,"AAAAAH7/uVw=")</f>
        <v>#VALUE!</v>
      </c>
      <c r="CP177" t="e">
        <f>AND(Bills!#REF!,"AAAAAH7/uV0=")</f>
        <v>#REF!</v>
      </c>
      <c r="CQ177" t="e">
        <f>AND(Bills!S656,"AAAAAH7/uV4=")</f>
        <v>#VALUE!</v>
      </c>
      <c r="CR177" t="e">
        <f>AND(Bills!T656,"AAAAAH7/uV8=")</f>
        <v>#VALUE!</v>
      </c>
      <c r="CS177" t="e">
        <f>AND(Bills!U656,"AAAAAH7/uWA=")</f>
        <v>#VALUE!</v>
      </c>
      <c r="CT177" t="e">
        <f>AND(Bills!#REF!,"AAAAAH7/uWE=")</f>
        <v>#REF!</v>
      </c>
      <c r="CU177" t="e">
        <f>AND(Bills!#REF!,"AAAAAH7/uWI=")</f>
        <v>#REF!</v>
      </c>
      <c r="CV177" t="e">
        <f>AND(Bills!W656,"AAAAAH7/uWM=")</f>
        <v>#VALUE!</v>
      </c>
      <c r="CW177" t="e">
        <f>AND(Bills!X656,"AAAAAH7/uWQ=")</f>
        <v>#VALUE!</v>
      </c>
      <c r="CX177" t="e">
        <f>AND(Bills!#REF!,"AAAAAH7/uWU=")</f>
        <v>#REF!</v>
      </c>
      <c r="CY177" t="e">
        <f>AND(Bills!#REF!,"AAAAAH7/uWY=")</f>
        <v>#REF!</v>
      </c>
      <c r="CZ177" t="e">
        <f>AND(Bills!#REF!,"AAAAAH7/uWc=")</f>
        <v>#REF!</v>
      </c>
      <c r="DA177" t="e">
        <f>AND(Bills!#REF!,"AAAAAH7/uWg=")</f>
        <v>#REF!</v>
      </c>
      <c r="DB177" t="e">
        <f>AND(Bills!#REF!,"AAAAAH7/uWk=")</f>
        <v>#REF!</v>
      </c>
      <c r="DC177" t="e">
        <f>AND(Bills!#REF!,"AAAAAH7/uWo=")</f>
        <v>#REF!</v>
      </c>
      <c r="DD177" t="e">
        <f>AND(Bills!#REF!,"AAAAAH7/uWs=")</f>
        <v>#REF!</v>
      </c>
      <c r="DE177" t="e">
        <f>AND(Bills!#REF!,"AAAAAH7/uWw=")</f>
        <v>#REF!</v>
      </c>
      <c r="DF177" t="e">
        <f>AND(Bills!#REF!,"AAAAAH7/uW0=")</f>
        <v>#REF!</v>
      </c>
      <c r="DG177" t="e">
        <f>AND(Bills!Y656,"AAAAAH7/uW4=")</f>
        <v>#VALUE!</v>
      </c>
      <c r="DH177" t="e">
        <f>AND(Bills!Z656,"AAAAAH7/uW8=")</f>
        <v>#VALUE!</v>
      </c>
      <c r="DI177" t="e">
        <f>AND(Bills!#REF!,"AAAAAH7/uXA=")</f>
        <v>#REF!</v>
      </c>
      <c r="DJ177" t="e">
        <f>AND(Bills!#REF!,"AAAAAH7/uXE=")</f>
        <v>#REF!</v>
      </c>
      <c r="DK177" t="e">
        <f>AND(Bills!#REF!,"AAAAAH7/uXI=")</f>
        <v>#REF!</v>
      </c>
      <c r="DL177" t="e">
        <f>AND(Bills!AA656,"AAAAAH7/uXM=")</f>
        <v>#VALUE!</v>
      </c>
      <c r="DM177" t="e">
        <f>AND(Bills!AB656,"AAAAAH7/uXQ=")</f>
        <v>#VALUE!</v>
      </c>
      <c r="DN177" t="e">
        <f>AND(Bills!#REF!,"AAAAAH7/uXU=")</f>
        <v>#REF!</v>
      </c>
      <c r="DO177">
        <f>IF(Bills!657:657,"AAAAAH7/uXY=",0)</f>
        <v>0</v>
      </c>
      <c r="DP177" t="e">
        <f>AND(Bills!B657,"AAAAAH7/uXc=")</f>
        <v>#VALUE!</v>
      </c>
      <c r="DQ177" t="e">
        <f>AND(Bills!#REF!,"AAAAAH7/uXg=")</f>
        <v>#REF!</v>
      </c>
      <c r="DR177" t="e">
        <f>AND(Bills!C657,"AAAAAH7/uXk=")</f>
        <v>#VALUE!</v>
      </c>
      <c r="DS177" t="e">
        <f>AND(Bills!#REF!,"AAAAAH7/uXo=")</f>
        <v>#REF!</v>
      </c>
      <c r="DT177" t="e">
        <f>AND(Bills!#REF!,"AAAAAH7/uXs=")</f>
        <v>#REF!</v>
      </c>
      <c r="DU177" t="e">
        <f>AND(Bills!#REF!,"AAAAAH7/uXw=")</f>
        <v>#REF!</v>
      </c>
      <c r="DV177" t="e">
        <f>AND(Bills!#REF!,"AAAAAH7/uX0=")</f>
        <v>#REF!</v>
      </c>
      <c r="DW177" t="e">
        <f>AND(Bills!#REF!,"AAAAAH7/uX4=")</f>
        <v>#REF!</v>
      </c>
      <c r="DX177" t="e">
        <f>AND(Bills!D657,"AAAAAH7/uX8=")</f>
        <v>#VALUE!</v>
      </c>
      <c r="DY177" t="e">
        <f>AND(Bills!#REF!,"AAAAAH7/uYA=")</f>
        <v>#REF!</v>
      </c>
      <c r="DZ177" t="e">
        <f>AND(Bills!E657,"AAAAAH7/uYE=")</f>
        <v>#VALUE!</v>
      </c>
      <c r="EA177" t="e">
        <f>AND(Bills!F657,"AAAAAH7/uYI=")</f>
        <v>#VALUE!</v>
      </c>
      <c r="EB177" t="e">
        <f>AND(Bills!G657,"AAAAAH7/uYM=")</f>
        <v>#VALUE!</v>
      </c>
      <c r="EC177" t="e">
        <f>AND(Bills!H657,"AAAAAH7/uYQ=")</f>
        <v>#VALUE!</v>
      </c>
      <c r="ED177" t="e">
        <f>AND(Bills!I657,"AAAAAH7/uYU=")</f>
        <v>#VALUE!</v>
      </c>
      <c r="EE177" t="e">
        <f>AND(Bills!J657,"AAAAAH7/uYY=")</f>
        <v>#VALUE!</v>
      </c>
      <c r="EF177" t="e">
        <f>AND(Bills!#REF!,"AAAAAH7/uYc=")</f>
        <v>#REF!</v>
      </c>
      <c r="EG177" t="e">
        <f>AND(Bills!K657,"AAAAAH7/uYg=")</f>
        <v>#VALUE!</v>
      </c>
      <c r="EH177" t="e">
        <f>AND(Bills!L657,"AAAAAH7/uYk=")</f>
        <v>#VALUE!</v>
      </c>
      <c r="EI177" t="e">
        <f>AND(Bills!M657,"AAAAAH7/uYo=")</f>
        <v>#VALUE!</v>
      </c>
      <c r="EJ177" t="e">
        <f>AND(Bills!N657,"AAAAAH7/uYs=")</f>
        <v>#VALUE!</v>
      </c>
      <c r="EK177" t="e">
        <f>AND(Bills!O657,"AAAAAH7/uYw=")</f>
        <v>#VALUE!</v>
      </c>
      <c r="EL177" t="e">
        <f>AND(Bills!P657,"AAAAAH7/uY0=")</f>
        <v>#VALUE!</v>
      </c>
      <c r="EM177" t="e">
        <f>AND(Bills!Q657,"AAAAAH7/uY4=")</f>
        <v>#VALUE!</v>
      </c>
      <c r="EN177" t="e">
        <f>AND(Bills!R657,"AAAAAH7/uY8=")</f>
        <v>#VALUE!</v>
      </c>
      <c r="EO177" t="e">
        <f>AND(Bills!#REF!,"AAAAAH7/uZA=")</f>
        <v>#REF!</v>
      </c>
      <c r="EP177" t="e">
        <f>AND(Bills!S657,"AAAAAH7/uZE=")</f>
        <v>#VALUE!</v>
      </c>
      <c r="EQ177" t="e">
        <f>AND(Bills!T657,"AAAAAH7/uZI=")</f>
        <v>#VALUE!</v>
      </c>
      <c r="ER177" t="e">
        <f>AND(Bills!U657,"AAAAAH7/uZM=")</f>
        <v>#VALUE!</v>
      </c>
      <c r="ES177" t="e">
        <f>AND(Bills!#REF!,"AAAAAH7/uZQ=")</f>
        <v>#REF!</v>
      </c>
      <c r="ET177" t="e">
        <f>AND(Bills!#REF!,"AAAAAH7/uZU=")</f>
        <v>#REF!</v>
      </c>
      <c r="EU177" t="e">
        <f>AND(Bills!W657,"AAAAAH7/uZY=")</f>
        <v>#VALUE!</v>
      </c>
      <c r="EV177" t="e">
        <f>AND(Bills!X657,"AAAAAH7/uZc=")</f>
        <v>#VALUE!</v>
      </c>
      <c r="EW177" t="e">
        <f>AND(Bills!#REF!,"AAAAAH7/uZg=")</f>
        <v>#REF!</v>
      </c>
      <c r="EX177" t="e">
        <f>AND(Bills!#REF!,"AAAAAH7/uZk=")</f>
        <v>#REF!</v>
      </c>
      <c r="EY177" t="e">
        <f>AND(Bills!#REF!,"AAAAAH7/uZo=")</f>
        <v>#REF!</v>
      </c>
      <c r="EZ177" t="e">
        <f>AND(Bills!#REF!,"AAAAAH7/uZs=")</f>
        <v>#REF!</v>
      </c>
      <c r="FA177" t="e">
        <f>AND(Bills!#REF!,"AAAAAH7/uZw=")</f>
        <v>#REF!</v>
      </c>
      <c r="FB177" t="e">
        <f>AND(Bills!#REF!,"AAAAAH7/uZ0=")</f>
        <v>#REF!</v>
      </c>
      <c r="FC177" t="e">
        <f>AND(Bills!#REF!,"AAAAAH7/uZ4=")</f>
        <v>#REF!</v>
      </c>
      <c r="FD177" t="e">
        <f>AND(Bills!#REF!,"AAAAAH7/uZ8=")</f>
        <v>#REF!</v>
      </c>
      <c r="FE177" t="e">
        <f>AND(Bills!#REF!,"AAAAAH7/uaA=")</f>
        <v>#REF!</v>
      </c>
      <c r="FF177" t="e">
        <f>AND(Bills!Y657,"AAAAAH7/uaE=")</f>
        <v>#VALUE!</v>
      </c>
      <c r="FG177" t="e">
        <f>AND(Bills!Z657,"AAAAAH7/uaI=")</f>
        <v>#VALUE!</v>
      </c>
      <c r="FH177" t="e">
        <f>AND(Bills!#REF!,"AAAAAH7/uaM=")</f>
        <v>#REF!</v>
      </c>
      <c r="FI177" t="e">
        <f>AND(Bills!#REF!,"AAAAAH7/uaQ=")</f>
        <v>#REF!</v>
      </c>
      <c r="FJ177" t="e">
        <f>AND(Bills!#REF!,"AAAAAH7/uaU=")</f>
        <v>#REF!</v>
      </c>
      <c r="FK177" t="e">
        <f>AND(Bills!AA657,"AAAAAH7/uaY=")</f>
        <v>#VALUE!</v>
      </c>
      <c r="FL177" t="e">
        <f>AND(Bills!AB657,"AAAAAH7/uac=")</f>
        <v>#VALUE!</v>
      </c>
      <c r="FM177" t="e">
        <f>AND(Bills!#REF!,"AAAAAH7/uag=")</f>
        <v>#REF!</v>
      </c>
      <c r="FN177">
        <f>IF(Bills!658:658,"AAAAAH7/uak=",0)</f>
        <v>0</v>
      </c>
      <c r="FO177" t="e">
        <f>AND(Bills!B658,"AAAAAH7/uao=")</f>
        <v>#VALUE!</v>
      </c>
      <c r="FP177" t="e">
        <f>AND(Bills!#REF!,"AAAAAH7/uas=")</f>
        <v>#REF!</v>
      </c>
      <c r="FQ177" t="e">
        <f>AND(Bills!C658,"AAAAAH7/uaw=")</f>
        <v>#VALUE!</v>
      </c>
      <c r="FR177" t="e">
        <f>AND(Bills!#REF!,"AAAAAH7/ua0=")</f>
        <v>#REF!</v>
      </c>
      <c r="FS177" t="e">
        <f>AND(Bills!#REF!,"AAAAAH7/ua4=")</f>
        <v>#REF!</v>
      </c>
      <c r="FT177" t="e">
        <f>AND(Bills!#REF!,"AAAAAH7/ua8=")</f>
        <v>#REF!</v>
      </c>
      <c r="FU177" t="e">
        <f>AND(Bills!#REF!,"AAAAAH7/ubA=")</f>
        <v>#REF!</v>
      </c>
      <c r="FV177" t="e">
        <f>AND(Bills!#REF!,"AAAAAH7/ubE=")</f>
        <v>#REF!</v>
      </c>
      <c r="FW177" t="e">
        <f>AND(Bills!D658,"AAAAAH7/ubI=")</f>
        <v>#VALUE!</v>
      </c>
      <c r="FX177" t="e">
        <f>AND(Bills!#REF!,"AAAAAH7/ubM=")</f>
        <v>#REF!</v>
      </c>
      <c r="FY177" t="e">
        <f>AND(Bills!E658,"AAAAAH7/ubQ=")</f>
        <v>#VALUE!</v>
      </c>
      <c r="FZ177" t="e">
        <f>AND(Bills!F658,"AAAAAH7/ubU=")</f>
        <v>#VALUE!</v>
      </c>
      <c r="GA177" t="e">
        <f>AND(Bills!G658,"AAAAAH7/ubY=")</f>
        <v>#VALUE!</v>
      </c>
      <c r="GB177" t="e">
        <f>AND(Bills!H658,"AAAAAH7/ubc=")</f>
        <v>#VALUE!</v>
      </c>
      <c r="GC177" t="e">
        <f>AND(Bills!I658,"AAAAAH7/ubg=")</f>
        <v>#VALUE!</v>
      </c>
      <c r="GD177" t="e">
        <f>AND(Bills!J658,"AAAAAH7/ubk=")</f>
        <v>#VALUE!</v>
      </c>
      <c r="GE177" t="e">
        <f>AND(Bills!#REF!,"AAAAAH7/ubo=")</f>
        <v>#REF!</v>
      </c>
      <c r="GF177" t="e">
        <f>AND(Bills!K658,"AAAAAH7/ubs=")</f>
        <v>#VALUE!</v>
      </c>
      <c r="GG177" t="e">
        <f>AND(Bills!L658,"AAAAAH7/ubw=")</f>
        <v>#VALUE!</v>
      </c>
      <c r="GH177" t="e">
        <f>AND(Bills!M658,"AAAAAH7/ub0=")</f>
        <v>#VALUE!</v>
      </c>
      <c r="GI177" t="e">
        <f>AND(Bills!N658,"AAAAAH7/ub4=")</f>
        <v>#VALUE!</v>
      </c>
      <c r="GJ177" t="e">
        <f>AND(Bills!O658,"AAAAAH7/ub8=")</f>
        <v>#VALUE!</v>
      </c>
      <c r="GK177" t="e">
        <f>AND(Bills!P658,"AAAAAH7/ucA=")</f>
        <v>#VALUE!</v>
      </c>
      <c r="GL177" t="e">
        <f>AND(Bills!Q658,"AAAAAH7/ucE=")</f>
        <v>#VALUE!</v>
      </c>
      <c r="GM177" t="e">
        <f>AND(Bills!R658,"AAAAAH7/ucI=")</f>
        <v>#VALUE!</v>
      </c>
      <c r="GN177" t="e">
        <f>AND(Bills!#REF!,"AAAAAH7/ucM=")</f>
        <v>#REF!</v>
      </c>
      <c r="GO177" t="e">
        <f>AND(Bills!S658,"AAAAAH7/ucQ=")</f>
        <v>#VALUE!</v>
      </c>
      <c r="GP177" t="e">
        <f>AND(Bills!T658,"AAAAAH7/ucU=")</f>
        <v>#VALUE!</v>
      </c>
      <c r="GQ177" t="e">
        <f>AND(Bills!U658,"AAAAAH7/ucY=")</f>
        <v>#VALUE!</v>
      </c>
      <c r="GR177" t="e">
        <f>AND(Bills!#REF!,"AAAAAH7/ucc=")</f>
        <v>#REF!</v>
      </c>
      <c r="GS177" t="e">
        <f>AND(Bills!#REF!,"AAAAAH7/ucg=")</f>
        <v>#REF!</v>
      </c>
      <c r="GT177" t="e">
        <f>AND(Bills!W658,"AAAAAH7/uck=")</f>
        <v>#VALUE!</v>
      </c>
      <c r="GU177" t="e">
        <f>AND(Bills!X658,"AAAAAH7/uco=")</f>
        <v>#VALUE!</v>
      </c>
      <c r="GV177" t="e">
        <f>AND(Bills!#REF!,"AAAAAH7/ucs=")</f>
        <v>#REF!</v>
      </c>
      <c r="GW177" t="e">
        <f>AND(Bills!#REF!,"AAAAAH7/ucw=")</f>
        <v>#REF!</v>
      </c>
      <c r="GX177" t="e">
        <f>AND(Bills!#REF!,"AAAAAH7/uc0=")</f>
        <v>#REF!</v>
      </c>
      <c r="GY177" t="e">
        <f>AND(Bills!#REF!,"AAAAAH7/uc4=")</f>
        <v>#REF!</v>
      </c>
      <c r="GZ177" t="e">
        <f>AND(Bills!#REF!,"AAAAAH7/uc8=")</f>
        <v>#REF!</v>
      </c>
      <c r="HA177" t="e">
        <f>AND(Bills!#REF!,"AAAAAH7/udA=")</f>
        <v>#REF!</v>
      </c>
      <c r="HB177" t="e">
        <f>AND(Bills!#REF!,"AAAAAH7/udE=")</f>
        <v>#REF!</v>
      </c>
      <c r="HC177" t="e">
        <f>AND(Bills!#REF!,"AAAAAH7/udI=")</f>
        <v>#REF!</v>
      </c>
      <c r="HD177" t="e">
        <f>AND(Bills!#REF!,"AAAAAH7/udM=")</f>
        <v>#REF!</v>
      </c>
      <c r="HE177" t="e">
        <f>AND(Bills!Y658,"AAAAAH7/udQ=")</f>
        <v>#VALUE!</v>
      </c>
      <c r="HF177" t="e">
        <f>AND(Bills!Z658,"AAAAAH7/udU=")</f>
        <v>#VALUE!</v>
      </c>
      <c r="HG177" t="e">
        <f>AND(Bills!#REF!,"AAAAAH7/udY=")</f>
        <v>#REF!</v>
      </c>
      <c r="HH177" t="e">
        <f>AND(Bills!#REF!,"AAAAAH7/udc=")</f>
        <v>#REF!</v>
      </c>
      <c r="HI177" t="e">
        <f>AND(Bills!#REF!,"AAAAAH7/udg=")</f>
        <v>#REF!</v>
      </c>
      <c r="HJ177" t="e">
        <f>AND(Bills!AA658,"AAAAAH7/udk=")</f>
        <v>#VALUE!</v>
      </c>
      <c r="HK177" t="e">
        <f>AND(Bills!AB658,"AAAAAH7/udo=")</f>
        <v>#VALUE!</v>
      </c>
      <c r="HL177" t="e">
        <f>AND(Bills!#REF!,"AAAAAH7/uds=")</f>
        <v>#REF!</v>
      </c>
      <c r="HM177">
        <f>IF(Bills!659:659,"AAAAAH7/udw=",0)</f>
        <v>0</v>
      </c>
      <c r="HN177" t="e">
        <f>AND(Bills!B659,"AAAAAH7/ud0=")</f>
        <v>#VALUE!</v>
      </c>
      <c r="HO177" t="e">
        <f>AND(Bills!#REF!,"AAAAAH7/ud4=")</f>
        <v>#REF!</v>
      </c>
      <c r="HP177" t="e">
        <f>AND(Bills!C659,"AAAAAH7/ud8=")</f>
        <v>#VALUE!</v>
      </c>
      <c r="HQ177" t="e">
        <f>AND(Bills!#REF!,"AAAAAH7/ueA=")</f>
        <v>#REF!</v>
      </c>
      <c r="HR177" t="e">
        <f>AND(Bills!#REF!,"AAAAAH7/ueE=")</f>
        <v>#REF!</v>
      </c>
      <c r="HS177" t="e">
        <f>AND(Bills!#REF!,"AAAAAH7/ueI=")</f>
        <v>#REF!</v>
      </c>
      <c r="HT177" t="e">
        <f>AND(Bills!#REF!,"AAAAAH7/ueM=")</f>
        <v>#REF!</v>
      </c>
      <c r="HU177" t="e">
        <f>AND(Bills!#REF!,"AAAAAH7/ueQ=")</f>
        <v>#REF!</v>
      </c>
      <c r="HV177" t="e">
        <f>AND(Bills!D659,"AAAAAH7/ueU=")</f>
        <v>#VALUE!</v>
      </c>
      <c r="HW177" t="e">
        <f>AND(Bills!#REF!,"AAAAAH7/ueY=")</f>
        <v>#REF!</v>
      </c>
      <c r="HX177" t="e">
        <f>AND(Bills!E659,"AAAAAH7/uec=")</f>
        <v>#VALUE!</v>
      </c>
      <c r="HY177" t="e">
        <f>AND(Bills!F659,"AAAAAH7/ueg=")</f>
        <v>#VALUE!</v>
      </c>
      <c r="HZ177" t="e">
        <f>AND(Bills!G659,"AAAAAH7/uek=")</f>
        <v>#VALUE!</v>
      </c>
      <c r="IA177" t="e">
        <f>AND(Bills!H659,"AAAAAH7/ueo=")</f>
        <v>#VALUE!</v>
      </c>
      <c r="IB177" t="e">
        <f>AND(Bills!I659,"AAAAAH7/ues=")</f>
        <v>#VALUE!</v>
      </c>
      <c r="IC177" t="e">
        <f>AND(Bills!J659,"AAAAAH7/uew=")</f>
        <v>#VALUE!</v>
      </c>
      <c r="ID177" t="e">
        <f>AND(Bills!#REF!,"AAAAAH7/ue0=")</f>
        <v>#REF!</v>
      </c>
      <c r="IE177" t="e">
        <f>AND(Bills!K659,"AAAAAH7/ue4=")</f>
        <v>#VALUE!</v>
      </c>
      <c r="IF177" t="e">
        <f>AND(Bills!L659,"AAAAAH7/ue8=")</f>
        <v>#VALUE!</v>
      </c>
      <c r="IG177" t="e">
        <f>AND(Bills!M659,"AAAAAH7/ufA=")</f>
        <v>#VALUE!</v>
      </c>
      <c r="IH177" t="e">
        <f>AND(Bills!N659,"AAAAAH7/ufE=")</f>
        <v>#VALUE!</v>
      </c>
      <c r="II177" t="e">
        <f>AND(Bills!O659,"AAAAAH7/ufI=")</f>
        <v>#VALUE!</v>
      </c>
      <c r="IJ177" t="e">
        <f>AND(Bills!P659,"AAAAAH7/ufM=")</f>
        <v>#VALUE!</v>
      </c>
      <c r="IK177" t="e">
        <f>AND(Bills!Q659,"AAAAAH7/ufQ=")</f>
        <v>#VALUE!</v>
      </c>
      <c r="IL177" t="e">
        <f>AND(Bills!R659,"AAAAAH7/ufU=")</f>
        <v>#VALUE!</v>
      </c>
      <c r="IM177" t="e">
        <f>AND(Bills!#REF!,"AAAAAH7/ufY=")</f>
        <v>#REF!</v>
      </c>
      <c r="IN177" t="e">
        <f>AND(Bills!S659,"AAAAAH7/ufc=")</f>
        <v>#VALUE!</v>
      </c>
      <c r="IO177" t="e">
        <f>AND(Bills!T659,"AAAAAH7/ufg=")</f>
        <v>#VALUE!</v>
      </c>
      <c r="IP177" t="e">
        <f>AND(Bills!U659,"AAAAAH7/ufk=")</f>
        <v>#VALUE!</v>
      </c>
      <c r="IQ177" t="e">
        <f>AND(Bills!#REF!,"AAAAAH7/ufo=")</f>
        <v>#REF!</v>
      </c>
      <c r="IR177" t="e">
        <f>AND(Bills!#REF!,"AAAAAH7/ufs=")</f>
        <v>#REF!</v>
      </c>
      <c r="IS177" t="e">
        <f>AND(Bills!W659,"AAAAAH7/ufw=")</f>
        <v>#VALUE!</v>
      </c>
      <c r="IT177" t="e">
        <f>AND(Bills!X659,"AAAAAH7/uf0=")</f>
        <v>#VALUE!</v>
      </c>
      <c r="IU177" t="e">
        <f>AND(Bills!#REF!,"AAAAAH7/uf4=")</f>
        <v>#REF!</v>
      </c>
      <c r="IV177" t="e">
        <f>AND(Bills!#REF!,"AAAAAH7/uf8=")</f>
        <v>#REF!</v>
      </c>
    </row>
    <row r="178" spans="1:256">
      <c r="A178" t="e">
        <f>AND(Bills!#REF!,"AAAAADvn/wA=")</f>
        <v>#REF!</v>
      </c>
      <c r="B178" t="e">
        <f>AND(Bills!#REF!,"AAAAADvn/wE=")</f>
        <v>#REF!</v>
      </c>
      <c r="C178" t="e">
        <f>AND(Bills!#REF!,"AAAAADvn/wI=")</f>
        <v>#REF!</v>
      </c>
      <c r="D178" t="e">
        <f>AND(Bills!#REF!,"AAAAADvn/wM=")</f>
        <v>#REF!</v>
      </c>
      <c r="E178" t="e">
        <f>AND(Bills!#REF!,"AAAAADvn/wQ=")</f>
        <v>#REF!</v>
      </c>
      <c r="F178" t="e">
        <f>AND(Bills!#REF!,"AAAAADvn/wU=")</f>
        <v>#REF!</v>
      </c>
      <c r="G178" t="e">
        <f>AND(Bills!#REF!,"AAAAADvn/wY=")</f>
        <v>#REF!</v>
      </c>
      <c r="H178" t="e">
        <f>AND(Bills!Y659,"AAAAADvn/wc=")</f>
        <v>#VALUE!</v>
      </c>
      <c r="I178" t="e">
        <f>AND(Bills!Z659,"AAAAADvn/wg=")</f>
        <v>#VALUE!</v>
      </c>
      <c r="J178" t="e">
        <f>AND(Bills!#REF!,"AAAAADvn/wk=")</f>
        <v>#REF!</v>
      </c>
      <c r="K178" t="e">
        <f>AND(Bills!#REF!,"AAAAADvn/wo=")</f>
        <v>#REF!</v>
      </c>
      <c r="L178" t="e">
        <f>AND(Bills!#REF!,"AAAAADvn/ws=")</f>
        <v>#REF!</v>
      </c>
      <c r="M178" t="e">
        <f>AND(Bills!AA659,"AAAAADvn/ww=")</f>
        <v>#VALUE!</v>
      </c>
      <c r="N178" t="e">
        <f>AND(Bills!AB659,"AAAAADvn/w0=")</f>
        <v>#VALUE!</v>
      </c>
      <c r="O178" t="e">
        <f>AND(Bills!#REF!,"AAAAADvn/w4=")</f>
        <v>#REF!</v>
      </c>
      <c r="P178">
        <f>IF(Bills!660:660,"AAAAADvn/w8=",0)</f>
        <v>0</v>
      </c>
      <c r="Q178" t="e">
        <f>AND(Bills!B660,"AAAAADvn/xA=")</f>
        <v>#VALUE!</v>
      </c>
      <c r="R178" t="e">
        <f>AND(Bills!#REF!,"AAAAADvn/xE=")</f>
        <v>#REF!</v>
      </c>
      <c r="S178" t="e">
        <f>AND(Bills!C660,"AAAAADvn/xI=")</f>
        <v>#VALUE!</v>
      </c>
      <c r="T178" t="e">
        <f>AND(Bills!#REF!,"AAAAADvn/xM=")</f>
        <v>#REF!</v>
      </c>
      <c r="U178" t="e">
        <f>AND(Bills!#REF!,"AAAAADvn/xQ=")</f>
        <v>#REF!</v>
      </c>
      <c r="V178" t="e">
        <f>AND(Bills!#REF!,"AAAAADvn/xU=")</f>
        <v>#REF!</v>
      </c>
      <c r="W178" t="e">
        <f>AND(Bills!#REF!,"AAAAADvn/xY=")</f>
        <v>#REF!</v>
      </c>
      <c r="X178" t="e">
        <f>AND(Bills!#REF!,"AAAAADvn/xc=")</f>
        <v>#REF!</v>
      </c>
      <c r="Y178" t="e">
        <f>AND(Bills!D660,"AAAAADvn/xg=")</f>
        <v>#VALUE!</v>
      </c>
      <c r="Z178" t="e">
        <f>AND(Bills!#REF!,"AAAAADvn/xk=")</f>
        <v>#REF!</v>
      </c>
      <c r="AA178" t="e">
        <f>AND(Bills!E660,"AAAAADvn/xo=")</f>
        <v>#VALUE!</v>
      </c>
      <c r="AB178" t="e">
        <f>AND(Bills!F660,"AAAAADvn/xs=")</f>
        <v>#VALUE!</v>
      </c>
      <c r="AC178" t="e">
        <f>AND(Bills!G660,"AAAAADvn/xw=")</f>
        <v>#VALUE!</v>
      </c>
      <c r="AD178" t="e">
        <f>AND(Bills!H660,"AAAAADvn/x0=")</f>
        <v>#VALUE!</v>
      </c>
      <c r="AE178" t="e">
        <f>AND(Bills!I660,"AAAAADvn/x4=")</f>
        <v>#VALUE!</v>
      </c>
      <c r="AF178" t="e">
        <f>AND(Bills!J660,"AAAAADvn/x8=")</f>
        <v>#VALUE!</v>
      </c>
      <c r="AG178" t="e">
        <f>AND(Bills!#REF!,"AAAAADvn/yA=")</f>
        <v>#REF!</v>
      </c>
      <c r="AH178" t="e">
        <f>AND(Bills!K660,"AAAAADvn/yE=")</f>
        <v>#VALUE!</v>
      </c>
      <c r="AI178" t="e">
        <f>AND(Bills!L660,"AAAAADvn/yI=")</f>
        <v>#VALUE!</v>
      </c>
      <c r="AJ178" t="e">
        <f>AND(Bills!M660,"AAAAADvn/yM=")</f>
        <v>#VALUE!</v>
      </c>
      <c r="AK178" t="e">
        <f>AND(Bills!N660,"AAAAADvn/yQ=")</f>
        <v>#VALUE!</v>
      </c>
      <c r="AL178" t="e">
        <f>AND(Bills!O660,"AAAAADvn/yU=")</f>
        <v>#VALUE!</v>
      </c>
      <c r="AM178" t="e">
        <f>AND(Bills!P660,"AAAAADvn/yY=")</f>
        <v>#VALUE!</v>
      </c>
      <c r="AN178" t="e">
        <f>AND(Bills!Q660,"AAAAADvn/yc=")</f>
        <v>#VALUE!</v>
      </c>
      <c r="AO178" t="e">
        <f>AND(Bills!R660,"AAAAADvn/yg=")</f>
        <v>#VALUE!</v>
      </c>
      <c r="AP178" t="e">
        <f>AND(Bills!#REF!,"AAAAADvn/yk=")</f>
        <v>#REF!</v>
      </c>
      <c r="AQ178" t="e">
        <f>AND(Bills!S660,"AAAAADvn/yo=")</f>
        <v>#VALUE!</v>
      </c>
      <c r="AR178" t="e">
        <f>AND(Bills!T660,"AAAAADvn/ys=")</f>
        <v>#VALUE!</v>
      </c>
      <c r="AS178" t="e">
        <f>AND(Bills!U660,"AAAAADvn/yw=")</f>
        <v>#VALUE!</v>
      </c>
      <c r="AT178" t="e">
        <f>AND(Bills!#REF!,"AAAAADvn/y0=")</f>
        <v>#REF!</v>
      </c>
      <c r="AU178" t="e">
        <f>AND(Bills!#REF!,"AAAAADvn/y4=")</f>
        <v>#REF!</v>
      </c>
      <c r="AV178" t="e">
        <f>AND(Bills!W660,"AAAAADvn/y8=")</f>
        <v>#VALUE!</v>
      </c>
      <c r="AW178" t="e">
        <f>AND(Bills!X660,"AAAAADvn/zA=")</f>
        <v>#VALUE!</v>
      </c>
      <c r="AX178" t="e">
        <f>AND(Bills!#REF!,"AAAAADvn/zE=")</f>
        <v>#REF!</v>
      </c>
      <c r="AY178" t="e">
        <f>AND(Bills!#REF!,"AAAAADvn/zI=")</f>
        <v>#REF!</v>
      </c>
      <c r="AZ178" t="e">
        <f>AND(Bills!#REF!,"AAAAADvn/zM=")</f>
        <v>#REF!</v>
      </c>
      <c r="BA178" t="e">
        <f>AND(Bills!#REF!,"AAAAADvn/zQ=")</f>
        <v>#REF!</v>
      </c>
      <c r="BB178" t="e">
        <f>AND(Bills!#REF!,"AAAAADvn/zU=")</f>
        <v>#REF!</v>
      </c>
      <c r="BC178" t="e">
        <f>AND(Bills!#REF!,"AAAAADvn/zY=")</f>
        <v>#REF!</v>
      </c>
      <c r="BD178" t="e">
        <f>AND(Bills!#REF!,"AAAAADvn/zc=")</f>
        <v>#REF!</v>
      </c>
      <c r="BE178" t="e">
        <f>AND(Bills!#REF!,"AAAAADvn/zg=")</f>
        <v>#REF!</v>
      </c>
      <c r="BF178" t="e">
        <f>AND(Bills!#REF!,"AAAAADvn/zk=")</f>
        <v>#REF!</v>
      </c>
      <c r="BG178" t="e">
        <f>AND(Bills!Y660,"AAAAADvn/zo=")</f>
        <v>#VALUE!</v>
      </c>
      <c r="BH178" t="e">
        <f>AND(Bills!Z660,"AAAAADvn/zs=")</f>
        <v>#VALUE!</v>
      </c>
      <c r="BI178" t="e">
        <f>AND(Bills!#REF!,"AAAAADvn/zw=")</f>
        <v>#REF!</v>
      </c>
      <c r="BJ178" t="e">
        <f>AND(Bills!#REF!,"AAAAADvn/z0=")</f>
        <v>#REF!</v>
      </c>
      <c r="BK178" t="e">
        <f>AND(Bills!#REF!,"AAAAADvn/z4=")</f>
        <v>#REF!</v>
      </c>
      <c r="BL178" t="e">
        <f>AND(Bills!AA660,"AAAAADvn/z8=")</f>
        <v>#VALUE!</v>
      </c>
      <c r="BM178" t="e">
        <f>AND(Bills!AB660,"AAAAADvn/0A=")</f>
        <v>#VALUE!</v>
      </c>
      <c r="BN178" t="e">
        <f>AND(Bills!#REF!,"AAAAADvn/0E=")</f>
        <v>#REF!</v>
      </c>
      <c r="BO178">
        <f>IF(Bills!661:661,"AAAAADvn/0I=",0)</f>
        <v>0</v>
      </c>
      <c r="BP178" t="e">
        <f>AND(Bills!B661,"AAAAADvn/0M=")</f>
        <v>#VALUE!</v>
      </c>
      <c r="BQ178" t="e">
        <f>AND(Bills!#REF!,"AAAAADvn/0Q=")</f>
        <v>#REF!</v>
      </c>
      <c r="BR178" t="e">
        <f>AND(Bills!C661,"AAAAADvn/0U=")</f>
        <v>#VALUE!</v>
      </c>
      <c r="BS178" t="e">
        <f>AND(Bills!#REF!,"AAAAADvn/0Y=")</f>
        <v>#REF!</v>
      </c>
      <c r="BT178" t="e">
        <f>AND(Bills!#REF!,"AAAAADvn/0c=")</f>
        <v>#REF!</v>
      </c>
      <c r="BU178" t="e">
        <f>AND(Bills!#REF!,"AAAAADvn/0g=")</f>
        <v>#REF!</v>
      </c>
      <c r="BV178" t="e">
        <f>AND(Bills!#REF!,"AAAAADvn/0k=")</f>
        <v>#REF!</v>
      </c>
      <c r="BW178" t="e">
        <f>AND(Bills!#REF!,"AAAAADvn/0o=")</f>
        <v>#REF!</v>
      </c>
      <c r="BX178" t="e">
        <f>AND(Bills!D661,"AAAAADvn/0s=")</f>
        <v>#VALUE!</v>
      </c>
      <c r="BY178" t="e">
        <f>AND(Bills!#REF!,"AAAAADvn/0w=")</f>
        <v>#REF!</v>
      </c>
      <c r="BZ178" t="e">
        <f>AND(Bills!E661,"AAAAADvn/00=")</f>
        <v>#VALUE!</v>
      </c>
      <c r="CA178" t="e">
        <f>AND(Bills!F661,"AAAAADvn/04=")</f>
        <v>#VALUE!</v>
      </c>
      <c r="CB178" t="e">
        <f>AND(Bills!G661,"AAAAADvn/08=")</f>
        <v>#VALUE!</v>
      </c>
      <c r="CC178" t="e">
        <f>AND(Bills!H661,"AAAAADvn/1A=")</f>
        <v>#VALUE!</v>
      </c>
      <c r="CD178" t="e">
        <f>AND(Bills!I661,"AAAAADvn/1E=")</f>
        <v>#VALUE!</v>
      </c>
      <c r="CE178" t="e">
        <f>AND(Bills!J661,"AAAAADvn/1I=")</f>
        <v>#VALUE!</v>
      </c>
      <c r="CF178" t="e">
        <f>AND(Bills!#REF!,"AAAAADvn/1M=")</f>
        <v>#REF!</v>
      </c>
      <c r="CG178" t="e">
        <f>AND(Bills!K661,"AAAAADvn/1Q=")</f>
        <v>#VALUE!</v>
      </c>
      <c r="CH178" t="e">
        <f>AND(Bills!L661,"AAAAADvn/1U=")</f>
        <v>#VALUE!</v>
      </c>
      <c r="CI178" t="e">
        <f>AND(Bills!M661,"AAAAADvn/1Y=")</f>
        <v>#VALUE!</v>
      </c>
      <c r="CJ178" t="e">
        <f>AND(Bills!N661,"AAAAADvn/1c=")</f>
        <v>#VALUE!</v>
      </c>
      <c r="CK178" t="e">
        <f>AND(Bills!O661,"AAAAADvn/1g=")</f>
        <v>#VALUE!</v>
      </c>
      <c r="CL178" t="e">
        <f>AND(Bills!P661,"AAAAADvn/1k=")</f>
        <v>#VALUE!</v>
      </c>
      <c r="CM178" t="e">
        <f>AND(Bills!Q661,"AAAAADvn/1o=")</f>
        <v>#VALUE!</v>
      </c>
      <c r="CN178" t="e">
        <f>AND(Bills!R661,"AAAAADvn/1s=")</f>
        <v>#VALUE!</v>
      </c>
      <c r="CO178" t="e">
        <f>AND(Bills!#REF!,"AAAAADvn/1w=")</f>
        <v>#REF!</v>
      </c>
      <c r="CP178" t="e">
        <f>AND(Bills!S661,"AAAAADvn/10=")</f>
        <v>#VALUE!</v>
      </c>
      <c r="CQ178" t="e">
        <f>AND(Bills!T661,"AAAAADvn/14=")</f>
        <v>#VALUE!</v>
      </c>
      <c r="CR178" t="e">
        <f>AND(Bills!U661,"AAAAADvn/18=")</f>
        <v>#VALUE!</v>
      </c>
      <c r="CS178" t="e">
        <f>AND(Bills!#REF!,"AAAAADvn/2A=")</f>
        <v>#REF!</v>
      </c>
      <c r="CT178" t="e">
        <f>AND(Bills!#REF!,"AAAAADvn/2E=")</f>
        <v>#REF!</v>
      </c>
      <c r="CU178" t="e">
        <f>AND(Bills!W661,"AAAAADvn/2I=")</f>
        <v>#VALUE!</v>
      </c>
      <c r="CV178" t="e">
        <f>AND(Bills!X661,"AAAAADvn/2M=")</f>
        <v>#VALUE!</v>
      </c>
      <c r="CW178" t="e">
        <f>AND(Bills!#REF!,"AAAAADvn/2Q=")</f>
        <v>#REF!</v>
      </c>
      <c r="CX178" t="e">
        <f>AND(Bills!#REF!,"AAAAADvn/2U=")</f>
        <v>#REF!</v>
      </c>
      <c r="CY178" t="e">
        <f>AND(Bills!#REF!,"AAAAADvn/2Y=")</f>
        <v>#REF!</v>
      </c>
      <c r="CZ178" t="e">
        <f>AND(Bills!#REF!,"AAAAADvn/2c=")</f>
        <v>#REF!</v>
      </c>
      <c r="DA178" t="e">
        <f>AND(Bills!#REF!,"AAAAADvn/2g=")</f>
        <v>#REF!</v>
      </c>
      <c r="DB178" t="e">
        <f>AND(Bills!#REF!,"AAAAADvn/2k=")</f>
        <v>#REF!</v>
      </c>
      <c r="DC178" t="e">
        <f>AND(Bills!#REF!,"AAAAADvn/2o=")</f>
        <v>#REF!</v>
      </c>
      <c r="DD178" t="e">
        <f>AND(Bills!#REF!,"AAAAADvn/2s=")</f>
        <v>#REF!</v>
      </c>
      <c r="DE178" t="e">
        <f>AND(Bills!#REF!,"AAAAADvn/2w=")</f>
        <v>#REF!</v>
      </c>
      <c r="DF178" t="e">
        <f>AND(Bills!Y661,"AAAAADvn/20=")</f>
        <v>#VALUE!</v>
      </c>
      <c r="DG178" t="e">
        <f>AND(Bills!Z661,"AAAAADvn/24=")</f>
        <v>#VALUE!</v>
      </c>
      <c r="DH178" t="e">
        <f>AND(Bills!#REF!,"AAAAADvn/28=")</f>
        <v>#REF!</v>
      </c>
      <c r="DI178" t="e">
        <f>AND(Bills!#REF!,"AAAAADvn/3A=")</f>
        <v>#REF!</v>
      </c>
      <c r="DJ178" t="e">
        <f>AND(Bills!#REF!,"AAAAADvn/3E=")</f>
        <v>#REF!</v>
      </c>
      <c r="DK178" t="e">
        <f>AND(Bills!AA661,"AAAAADvn/3I=")</f>
        <v>#VALUE!</v>
      </c>
      <c r="DL178" t="e">
        <f>AND(Bills!AB661,"AAAAADvn/3M=")</f>
        <v>#VALUE!</v>
      </c>
      <c r="DM178" t="e">
        <f>AND(Bills!#REF!,"AAAAADvn/3Q=")</f>
        <v>#REF!</v>
      </c>
      <c r="DN178">
        <f>IF(Bills!662:662,"AAAAADvn/3U=",0)</f>
        <v>0</v>
      </c>
      <c r="DO178" t="e">
        <f>AND(Bills!B662,"AAAAADvn/3Y=")</f>
        <v>#VALUE!</v>
      </c>
      <c r="DP178" t="e">
        <f>AND(Bills!#REF!,"AAAAADvn/3c=")</f>
        <v>#REF!</v>
      </c>
      <c r="DQ178" t="e">
        <f>AND(Bills!C662,"AAAAADvn/3g=")</f>
        <v>#VALUE!</v>
      </c>
      <c r="DR178" t="e">
        <f>AND(Bills!#REF!,"AAAAADvn/3k=")</f>
        <v>#REF!</v>
      </c>
      <c r="DS178" t="e">
        <f>AND(Bills!#REF!,"AAAAADvn/3o=")</f>
        <v>#REF!</v>
      </c>
      <c r="DT178" t="e">
        <f>AND(Bills!#REF!,"AAAAADvn/3s=")</f>
        <v>#REF!</v>
      </c>
      <c r="DU178" t="e">
        <f>AND(Bills!#REF!,"AAAAADvn/3w=")</f>
        <v>#REF!</v>
      </c>
      <c r="DV178" t="e">
        <f>AND(Bills!#REF!,"AAAAADvn/30=")</f>
        <v>#REF!</v>
      </c>
      <c r="DW178" t="e">
        <f>AND(Bills!D662,"AAAAADvn/34=")</f>
        <v>#VALUE!</v>
      </c>
      <c r="DX178" t="e">
        <f>AND(Bills!#REF!,"AAAAADvn/38=")</f>
        <v>#REF!</v>
      </c>
      <c r="DY178" t="e">
        <f>AND(Bills!E662,"AAAAADvn/4A=")</f>
        <v>#VALUE!</v>
      </c>
      <c r="DZ178" t="e">
        <f>AND(Bills!F662,"AAAAADvn/4E=")</f>
        <v>#VALUE!</v>
      </c>
      <c r="EA178" t="e">
        <f>AND(Bills!G662,"AAAAADvn/4I=")</f>
        <v>#VALUE!</v>
      </c>
      <c r="EB178" t="e">
        <f>AND(Bills!H662,"AAAAADvn/4M=")</f>
        <v>#VALUE!</v>
      </c>
      <c r="EC178" t="e">
        <f>AND(Bills!I662,"AAAAADvn/4Q=")</f>
        <v>#VALUE!</v>
      </c>
      <c r="ED178" t="e">
        <f>AND(Bills!J662,"AAAAADvn/4U=")</f>
        <v>#VALUE!</v>
      </c>
      <c r="EE178" t="e">
        <f>AND(Bills!#REF!,"AAAAADvn/4Y=")</f>
        <v>#REF!</v>
      </c>
      <c r="EF178" t="e">
        <f>AND(Bills!K662,"AAAAADvn/4c=")</f>
        <v>#VALUE!</v>
      </c>
      <c r="EG178" t="e">
        <f>AND(Bills!L662,"AAAAADvn/4g=")</f>
        <v>#VALUE!</v>
      </c>
      <c r="EH178" t="e">
        <f>AND(Bills!M662,"AAAAADvn/4k=")</f>
        <v>#VALUE!</v>
      </c>
      <c r="EI178" t="e">
        <f>AND(Bills!N662,"AAAAADvn/4o=")</f>
        <v>#VALUE!</v>
      </c>
      <c r="EJ178" t="e">
        <f>AND(Bills!O662,"AAAAADvn/4s=")</f>
        <v>#VALUE!</v>
      </c>
      <c r="EK178" t="e">
        <f>AND(Bills!P662,"AAAAADvn/4w=")</f>
        <v>#VALUE!</v>
      </c>
      <c r="EL178" t="e">
        <f>AND(Bills!Q662,"AAAAADvn/40=")</f>
        <v>#VALUE!</v>
      </c>
      <c r="EM178" t="e">
        <f>AND(Bills!R662,"AAAAADvn/44=")</f>
        <v>#VALUE!</v>
      </c>
      <c r="EN178" t="e">
        <f>AND(Bills!#REF!,"AAAAADvn/48=")</f>
        <v>#REF!</v>
      </c>
      <c r="EO178" t="e">
        <f>AND(Bills!S662,"AAAAADvn/5A=")</f>
        <v>#VALUE!</v>
      </c>
      <c r="EP178" t="e">
        <f>AND(Bills!T662,"AAAAADvn/5E=")</f>
        <v>#VALUE!</v>
      </c>
      <c r="EQ178" t="e">
        <f>AND(Bills!U662,"AAAAADvn/5I=")</f>
        <v>#VALUE!</v>
      </c>
      <c r="ER178" t="e">
        <f>AND(Bills!#REF!,"AAAAADvn/5M=")</f>
        <v>#REF!</v>
      </c>
      <c r="ES178" t="e">
        <f>AND(Bills!#REF!,"AAAAADvn/5Q=")</f>
        <v>#REF!</v>
      </c>
      <c r="ET178" t="e">
        <f>AND(Bills!W662,"AAAAADvn/5U=")</f>
        <v>#VALUE!</v>
      </c>
      <c r="EU178" t="e">
        <f>AND(Bills!X662,"AAAAADvn/5Y=")</f>
        <v>#VALUE!</v>
      </c>
      <c r="EV178" t="e">
        <f>AND(Bills!#REF!,"AAAAADvn/5c=")</f>
        <v>#REF!</v>
      </c>
      <c r="EW178" t="e">
        <f>AND(Bills!#REF!,"AAAAADvn/5g=")</f>
        <v>#REF!</v>
      </c>
      <c r="EX178" t="e">
        <f>AND(Bills!#REF!,"AAAAADvn/5k=")</f>
        <v>#REF!</v>
      </c>
      <c r="EY178" t="e">
        <f>AND(Bills!#REF!,"AAAAADvn/5o=")</f>
        <v>#REF!</v>
      </c>
      <c r="EZ178" t="e">
        <f>AND(Bills!#REF!,"AAAAADvn/5s=")</f>
        <v>#REF!</v>
      </c>
      <c r="FA178" t="e">
        <f>AND(Bills!#REF!,"AAAAADvn/5w=")</f>
        <v>#REF!</v>
      </c>
      <c r="FB178" t="e">
        <f>AND(Bills!#REF!,"AAAAADvn/50=")</f>
        <v>#REF!</v>
      </c>
      <c r="FC178" t="e">
        <f>AND(Bills!#REF!,"AAAAADvn/54=")</f>
        <v>#REF!</v>
      </c>
      <c r="FD178" t="e">
        <f>AND(Bills!#REF!,"AAAAADvn/58=")</f>
        <v>#REF!</v>
      </c>
      <c r="FE178" t="e">
        <f>AND(Bills!Y662,"AAAAADvn/6A=")</f>
        <v>#VALUE!</v>
      </c>
      <c r="FF178" t="e">
        <f>AND(Bills!Z662,"AAAAADvn/6E=")</f>
        <v>#VALUE!</v>
      </c>
      <c r="FG178" t="e">
        <f>AND(Bills!#REF!,"AAAAADvn/6I=")</f>
        <v>#REF!</v>
      </c>
      <c r="FH178" t="e">
        <f>AND(Bills!#REF!,"AAAAADvn/6M=")</f>
        <v>#REF!</v>
      </c>
      <c r="FI178" t="e">
        <f>AND(Bills!#REF!,"AAAAADvn/6Q=")</f>
        <v>#REF!</v>
      </c>
      <c r="FJ178" t="e">
        <f>AND(Bills!AA662,"AAAAADvn/6U=")</f>
        <v>#VALUE!</v>
      </c>
      <c r="FK178" t="e">
        <f>AND(Bills!AB662,"AAAAADvn/6Y=")</f>
        <v>#VALUE!</v>
      </c>
      <c r="FL178" t="e">
        <f>AND(Bills!#REF!,"AAAAADvn/6c=")</f>
        <v>#REF!</v>
      </c>
      <c r="FM178">
        <f>IF(Bills!663:663,"AAAAADvn/6g=",0)</f>
        <v>0</v>
      </c>
      <c r="FN178" t="e">
        <f>AND(Bills!B663,"AAAAADvn/6k=")</f>
        <v>#VALUE!</v>
      </c>
      <c r="FO178" t="e">
        <f>AND(Bills!#REF!,"AAAAADvn/6o=")</f>
        <v>#REF!</v>
      </c>
      <c r="FP178" t="e">
        <f>AND(Bills!C663,"AAAAADvn/6s=")</f>
        <v>#VALUE!</v>
      </c>
      <c r="FQ178" t="e">
        <f>AND(Bills!#REF!,"AAAAADvn/6w=")</f>
        <v>#REF!</v>
      </c>
      <c r="FR178" t="e">
        <f>AND(Bills!#REF!,"AAAAADvn/60=")</f>
        <v>#REF!</v>
      </c>
      <c r="FS178" t="e">
        <f>AND(Bills!#REF!,"AAAAADvn/64=")</f>
        <v>#REF!</v>
      </c>
      <c r="FT178" t="e">
        <f>AND(Bills!#REF!,"AAAAADvn/68=")</f>
        <v>#REF!</v>
      </c>
      <c r="FU178" t="e">
        <f>AND(Bills!#REF!,"AAAAADvn/7A=")</f>
        <v>#REF!</v>
      </c>
      <c r="FV178" t="e">
        <f>AND(Bills!D663,"AAAAADvn/7E=")</f>
        <v>#VALUE!</v>
      </c>
      <c r="FW178" t="e">
        <f>AND(Bills!#REF!,"AAAAADvn/7I=")</f>
        <v>#REF!</v>
      </c>
      <c r="FX178" t="e">
        <f>AND(Bills!E663,"AAAAADvn/7M=")</f>
        <v>#VALUE!</v>
      </c>
      <c r="FY178" t="e">
        <f>AND(Bills!F663,"AAAAADvn/7Q=")</f>
        <v>#VALUE!</v>
      </c>
      <c r="FZ178" t="e">
        <f>AND(Bills!G663,"AAAAADvn/7U=")</f>
        <v>#VALUE!</v>
      </c>
      <c r="GA178" t="e">
        <f>AND(Bills!H663,"AAAAADvn/7Y=")</f>
        <v>#VALUE!</v>
      </c>
      <c r="GB178" t="e">
        <f>AND(Bills!I663,"AAAAADvn/7c=")</f>
        <v>#VALUE!</v>
      </c>
      <c r="GC178" t="e">
        <f>AND(Bills!J663,"AAAAADvn/7g=")</f>
        <v>#VALUE!</v>
      </c>
      <c r="GD178" t="e">
        <f>AND(Bills!#REF!,"AAAAADvn/7k=")</f>
        <v>#REF!</v>
      </c>
      <c r="GE178" t="e">
        <f>AND(Bills!K663,"AAAAADvn/7o=")</f>
        <v>#VALUE!</v>
      </c>
      <c r="GF178" t="e">
        <f>AND(Bills!L663,"AAAAADvn/7s=")</f>
        <v>#VALUE!</v>
      </c>
      <c r="GG178" t="e">
        <f>AND(Bills!M663,"AAAAADvn/7w=")</f>
        <v>#VALUE!</v>
      </c>
      <c r="GH178" t="e">
        <f>AND(Bills!N663,"AAAAADvn/70=")</f>
        <v>#VALUE!</v>
      </c>
      <c r="GI178" t="e">
        <f>AND(Bills!O663,"AAAAADvn/74=")</f>
        <v>#VALUE!</v>
      </c>
      <c r="GJ178" t="e">
        <f>AND(Bills!P663,"AAAAADvn/78=")</f>
        <v>#VALUE!</v>
      </c>
      <c r="GK178" t="e">
        <f>AND(Bills!Q663,"AAAAADvn/8A=")</f>
        <v>#VALUE!</v>
      </c>
      <c r="GL178" t="e">
        <f>AND(Bills!R663,"AAAAADvn/8E=")</f>
        <v>#VALUE!</v>
      </c>
      <c r="GM178" t="e">
        <f>AND(Bills!#REF!,"AAAAADvn/8I=")</f>
        <v>#REF!</v>
      </c>
      <c r="GN178" t="e">
        <f>AND(Bills!S663,"AAAAADvn/8M=")</f>
        <v>#VALUE!</v>
      </c>
      <c r="GO178" t="e">
        <f>AND(Bills!T663,"AAAAADvn/8Q=")</f>
        <v>#VALUE!</v>
      </c>
      <c r="GP178" t="e">
        <f>AND(Bills!U663,"AAAAADvn/8U=")</f>
        <v>#VALUE!</v>
      </c>
      <c r="GQ178" t="e">
        <f>AND(Bills!#REF!,"AAAAADvn/8Y=")</f>
        <v>#REF!</v>
      </c>
      <c r="GR178" t="e">
        <f>AND(Bills!#REF!,"AAAAADvn/8c=")</f>
        <v>#REF!</v>
      </c>
      <c r="GS178" t="e">
        <f>AND(Bills!W663,"AAAAADvn/8g=")</f>
        <v>#VALUE!</v>
      </c>
      <c r="GT178" t="e">
        <f>AND(Bills!X663,"AAAAADvn/8k=")</f>
        <v>#VALUE!</v>
      </c>
      <c r="GU178" t="e">
        <f>AND(Bills!#REF!,"AAAAADvn/8o=")</f>
        <v>#REF!</v>
      </c>
      <c r="GV178" t="e">
        <f>AND(Bills!#REF!,"AAAAADvn/8s=")</f>
        <v>#REF!</v>
      </c>
      <c r="GW178" t="e">
        <f>AND(Bills!#REF!,"AAAAADvn/8w=")</f>
        <v>#REF!</v>
      </c>
      <c r="GX178" t="e">
        <f>AND(Bills!#REF!,"AAAAADvn/80=")</f>
        <v>#REF!</v>
      </c>
      <c r="GY178" t="e">
        <f>AND(Bills!#REF!,"AAAAADvn/84=")</f>
        <v>#REF!</v>
      </c>
      <c r="GZ178" t="e">
        <f>AND(Bills!#REF!,"AAAAADvn/88=")</f>
        <v>#REF!</v>
      </c>
      <c r="HA178" t="e">
        <f>AND(Bills!#REF!,"AAAAADvn/9A=")</f>
        <v>#REF!</v>
      </c>
      <c r="HB178" t="e">
        <f>AND(Bills!#REF!,"AAAAADvn/9E=")</f>
        <v>#REF!</v>
      </c>
      <c r="HC178" t="e">
        <f>AND(Bills!#REF!,"AAAAADvn/9I=")</f>
        <v>#REF!</v>
      </c>
      <c r="HD178" t="e">
        <f>AND(Bills!Y663,"AAAAADvn/9M=")</f>
        <v>#VALUE!</v>
      </c>
      <c r="HE178" t="e">
        <f>AND(Bills!Z663,"AAAAADvn/9Q=")</f>
        <v>#VALUE!</v>
      </c>
      <c r="HF178" t="e">
        <f>AND(Bills!#REF!,"AAAAADvn/9U=")</f>
        <v>#REF!</v>
      </c>
      <c r="HG178" t="e">
        <f>AND(Bills!#REF!,"AAAAADvn/9Y=")</f>
        <v>#REF!</v>
      </c>
      <c r="HH178" t="e">
        <f>AND(Bills!#REF!,"AAAAADvn/9c=")</f>
        <v>#REF!</v>
      </c>
      <c r="HI178" t="e">
        <f>AND(Bills!AA663,"AAAAADvn/9g=")</f>
        <v>#VALUE!</v>
      </c>
      <c r="HJ178" t="e">
        <f>AND(Bills!AB663,"AAAAADvn/9k=")</f>
        <v>#VALUE!</v>
      </c>
      <c r="HK178" t="e">
        <f>AND(Bills!#REF!,"AAAAADvn/9o=")</f>
        <v>#REF!</v>
      </c>
      <c r="HL178">
        <f>IF(Bills!664:664,"AAAAADvn/9s=",0)</f>
        <v>0</v>
      </c>
      <c r="HM178" t="e">
        <f>AND(Bills!B664,"AAAAADvn/9w=")</f>
        <v>#VALUE!</v>
      </c>
      <c r="HN178" t="e">
        <f>AND(Bills!#REF!,"AAAAADvn/90=")</f>
        <v>#REF!</v>
      </c>
      <c r="HO178" t="e">
        <f>AND(Bills!C664,"AAAAADvn/94=")</f>
        <v>#VALUE!</v>
      </c>
      <c r="HP178" t="e">
        <f>AND(Bills!#REF!,"AAAAADvn/98=")</f>
        <v>#REF!</v>
      </c>
      <c r="HQ178" t="e">
        <f>AND(Bills!#REF!,"AAAAADvn/+A=")</f>
        <v>#REF!</v>
      </c>
      <c r="HR178" t="e">
        <f>AND(Bills!#REF!,"AAAAADvn/+E=")</f>
        <v>#REF!</v>
      </c>
      <c r="HS178" t="e">
        <f>AND(Bills!#REF!,"AAAAADvn/+I=")</f>
        <v>#REF!</v>
      </c>
      <c r="HT178" t="e">
        <f>AND(Bills!#REF!,"AAAAADvn/+M=")</f>
        <v>#REF!</v>
      </c>
      <c r="HU178" t="e">
        <f>AND(Bills!D664,"AAAAADvn/+Q=")</f>
        <v>#VALUE!</v>
      </c>
      <c r="HV178" t="e">
        <f>AND(Bills!#REF!,"AAAAADvn/+U=")</f>
        <v>#REF!</v>
      </c>
      <c r="HW178" t="e">
        <f>AND(Bills!E664,"AAAAADvn/+Y=")</f>
        <v>#VALUE!</v>
      </c>
      <c r="HX178" t="e">
        <f>AND(Bills!F664,"AAAAADvn/+c=")</f>
        <v>#VALUE!</v>
      </c>
      <c r="HY178" t="e">
        <f>AND(Bills!G664,"AAAAADvn/+g=")</f>
        <v>#VALUE!</v>
      </c>
      <c r="HZ178" t="e">
        <f>AND(Bills!H664,"AAAAADvn/+k=")</f>
        <v>#VALUE!</v>
      </c>
      <c r="IA178" t="e">
        <f>AND(Bills!I664,"AAAAADvn/+o=")</f>
        <v>#VALUE!</v>
      </c>
      <c r="IB178" t="e">
        <f>AND(Bills!J664,"AAAAADvn/+s=")</f>
        <v>#VALUE!</v>
      </c>
      <c r="IC178" t="e">
        <f>AND(Bills!#REF!,"AAAAADvn/+w=")</f>
        <v>#REF!</v>
      </c>
      <c r="ID178" t="e">
        <f>AND(Bills!K664,"AAAAADvn/+0=")</f>
        <v>#VALUE!</v>
      </c>
      <c r="IE178" t="e">
        <f>AND(Bills!L664,"AAAAADvn/+4=")</f>
        <v>#VALUE!</v>
      </c>
      <c r="IF178" t="e">
        <f>AND(Bills!M664,"AAAAADvn/+8=")</f>
        <v>#VALUE!</v>
      </c>
      <c r="IG178" t="e">
        <f>AND(Bills!N664,"AAAAADvn//A=")</f>
        <v>#VALUE!</v>
      </c>
      <c r="IH178" t="e">
        <f>AND(Bills!O664,"AAAAADvn//E=")</f>
        <v>#VALUE!</v>
      </c>
      <c r="II178" t="e">
        <f>AND(Bills!P664,"AAAAADvn//I=")</f>
        <v>#VALUE!</v>
      </c>
      <c r="IJ178" t="e">
        <f>AND(Bills!Q664,"AAAAADvn//M=")</f>
        <v>#VALUE!</v>
      </c>
      <c r="IK178" t="e">
        <f>AND(Bills!R664,"AAAAADvn//Q=")</f>
        <v>#VALUE!</v>
      </c>
      <c r="IL178" t="e">
        <f>AND(Bills!#REF!,"AAAAADvn//U=")</f>
        <v>#REF!</v>
      </c>
      <c r="IM178" t="e">
        <f>AND(Bills!S664,"AAAAADvn//Y=")</f>
        <v>#VALUE!</v>
      </c>
      <c r="IN178" t="e">
        <f>AND(Bills!T664,"AAAAADvn//c=")</f>
        <v>#VALUE!</v>
      </c>
      <c r="IO178" t="e">
        <f>AND(Bills!U664,"AAAAADvn//g=")</f>
        <v>#VALUE!</v>
      </c>
      <c r="IP178" t="e">
        <f>AND(Bills!#REF!,"AAAAADvn//k=")</f>
        <v>#REF!</v>
      </c>
      <c r="IQ178" t="e">
        <f>AND(Bills!#REF!,"AAAAADvn//o=")</f>
        <v>#REF!</v>
      </c>
      <c r="IR178" t="e">
        <f>AND(Bills!W664,"AAAAADvn//s=")</f>
        <v>#VALUE!</v>
      </c>
      <c r="IS178" t="e">
        <f>AND(Bills!X664,"AAAAADvn//w=")</f>
        <v>#VALUE!</v>
      </c>
      <c r="IT178" t="e">
        <f>AND(Bills!#REF!,"AAAAADvn//0=")</f>
        <v>#REF!</v>
      </c>
      <c r="IU178" t="e">
        <f>AND(Bills!#REF!,"AAAAADvn//4=")</f>
        <v>#REF!</v>
      </c>
      <c r="IV178" t="e">
        <f>AND(Bills!#REF!,"AAAAADvn//8=")</f>
        <v>#REF!</v>
      </c>
    </row>
    <row r="179" spans="1:256">
      <c r="A179" t="e">
        <f>AND(Bills!#REF!,"AAAAAG4avgA=")</f>
        <v>#REF!</v>
      </c>
      <c r="B179" t="e">
        <f>AND(Bills!#REF!,"AAAAAG4avgE=")</f>
        <v>#REF!</v>
      </c>
      <c r="C179" t="e">
        <f>AND(Bills!#REF!,"AAAAAG4avgI=")</f>
        <v>#REF!</v>
      </c>
      <c r="D179" t="e">
        <f>AND(Bills!#REF!,"AAAAAG4avgM=")</f>
        <v>#REF!</v>
      </c>
      <c r="E179" t="e">
        <f>AND(Bills!#REF!,"AAAAAG4avgQ=")</f>
        <v>#REF!</v>
      </c>
      <c r="F179" t="e">
        <f>AND(Bills!#REF!,"AAAAAG4avgU=")</f>
        <v>#REF!</v>
      </c>
      <c r="G179" t="e">
        <f>AND(Bills!Y664,"AAAAAG4avgY=")</f>
        <v>#VALUE!</v>
      </c>
      <c r="H179" t="e">
        <f>AND(Bills!Z664,"AAAAAG4avgc=")</f>
        <v>#VALUE!</v>
      </c>
      <c r="I179" t="e">
        <f>AND(Bills!#REF!,"AAAAAG4avgg=")</f>
        <v>#REF!</v>
      </c>
      <c r="J179" t="e">
        <f>AND(Bills!#REF!,"AAAAAG4avgk=")</f>
        <v>#REF!</v>
      </c>
      <c r="K179" t="e">
        <f>AND(Bills!#REF!,"AAAAAG4avgo=")</f>
        <v>#REF!</v>
      </c>
      <c r="L179" t="e">
        <f>AND(Bills!AA664,"AAAAAG4avgs=")</f>
        <v>#VALUE!</v>
      </c>
      <c r="M179" t="e">
        <f>AND(Bills!AB664,"AAAAAG4avgw=")</f>
        <v>#VALUE!</v>
      </c>
      <c r="N179" t="e">
        <f>AND(Bills!#REF!,"AAAAAG4avg0=")</f>
        <v>#REF!</v>
      </c>
      <c r="O179">
        <f>IF(Bills!665:665,"AAAAAG4avg4=",0)</f>
        <v>0</v>
      </c>
      <c r="P179" t="e">
        <f>AND(Bills!B665,"AAAAAG4avg8=")</f>
        <v>#VALUE!</v>
      </c>
      <c r="Q179" t="e">
        <f>AND(Bills!#REF!,"AAAAAG4avhA=")</f>
        <v>#REF!</v>
      </c>
      <c r="R179" t="e">
        <f>AND(Bills!C665,"AAAAAG4avhE=")</f>
        <v>#VALUE!</v>
      </c>
      <c r="S179" t="e">
        <f>AND(Bills!#REF!,"AAAAAG4avhI=")</f>
        <v>#REF!</v>
      </c>
      <c r="T179" t="e">
        <f>AND(Bills!#REF!,"AAAAAG4avhM=")</f>
        <v>#REF!</v>
      </c>
      <c r="U179" t="e">
        <f>AND(Bills!#REF!,"AAAAAG4avhQ=")</f>
        <v>#REF!</v>
      </c>
      <c r="V179" t="e">
        <f>AND(Bills!#REF!,"AAAAAG4avhU=")</f>
        <v>#REF!</v>
      </c>
      <c r="W179" t="e">
        <f>AND(Bills!#REF!,"AAAAAG4avhY=")</f>
        <v>#REF!</v>
      </c>
      <c r="X179" t="e">
        <f>AND(Bills!D665,"AAAAAG4avhc=")</f>
        <v>#VALUE!</v>
      </c>
      <c r="Y179" t="e">
        <f>AND(Bills!#REF!,"AAAAAG4avhg=")</f>
        <v>#REF!</v>
      </c>
      <c r="Z179" t="e">
        <f>AND(Bills!E665,"AAAAAG4avhk=")</f>
        <v>#VALUE!</v>
      </c>
      <c r="AA179" t="e">
        <f>AND(Bills!F665,"AAAAAG4avho=")</f>
        <v>#VALUE!</v>
      </c>
      <c r="AB179" t="e">
        <f>AND(Bills!G665,"AAAAAG4avhs=")</f>
        <v>#VALUE!</v>
      </c>
      <c r="AC179" t="e">
        <f>AND(Bills!H665,"AAAAAG4avhw=")</f>
        <v>#VALUE!</v>
      </c>
      <c r="AD179" t="e">
        <f>AND(Bills!I665,"AAAAAG4avh0=")</f>
        <v>#VALUE!</v>
      </c>
      <c r="AE179" t="e">
        <f>AND(Bills!J665,"AAAAAG4avh4=")</f>
        <v>#VALUE!</v>
      </c>
      <c r="AF179" t="e">
        <f>AND(Bills!#REF!,"AAAAAG4avh8=")</f>
        <v>#REF!</v>
      </c>
      <c r="AG179" t="e">
        <f>AND(Bills!K665,"AAAAAG4aviA=")</f>
        <v>#VALUE!</v>
      </c>
      <c r="AH179" t="e">
        <f>AND(Bills!L665,"AAAAAG4aviE=")</f>
        <v>#VALUE!</v>
      </c>
      <c r="AI179" t="e">
        <f>AND(Bills!M665,"AAAAAG4aviI=")</f>
        <v>#VALUE!</v>
      </c>
      <c r="AJ179" t="e">
        <f>AND(Bills!N665,"AAAAAG4aviM=")</f>
        <v>#VALUE!</v>
      </c>
      <c r="AK179" t="e">
        <f>AND(Bills!O665,"AAAAAG4aviQ=")</f>
        <v>#VALUE!</v>
      </c>
      <c r="AL179" t="e">
        <f>AND(Bills!P665,"AAAAAG4aviU=")</f>
        <v>#VALUE!</v>
      </c>
      <c r="AM179" t="e">
        <f>AND(Bills!Q665,"AAAAAG4aviY=")</f>
        <v>#VALUE!</v>
      </c>
      <c r="AN179" t="e">
        <f>AND(Bills!R665,"AAAAAG4avic=")</f>
        <v>#VALUE!</v>
      </c>
      <c r="AO179" t="e">
        <f>AND(Bills!#REF!,"AAAAAG4avig=")</f>
        <v>#REF!</v>
      </c>
      <c r="AP179" t="e">
        <f>AND(Bills!S665,"AAAAAG4avik=")</f>
        <v>#VALUE!</v>
      </c>
      <c r="AQ179" t="e">
        <f>AND(Bills!T665,"AAAAAG4avio=")</f>
        <v>#VALUE!</v>
      </c>
      <c r="AR179" t="e">
        <f>AND(Bills!U665,"AAAAAG4avis=")</f>
        <v>#VALUE!</v>
      </c>
      <c r="AS179" t="e">
        <f>AND(Bills!#REF!,"AAAAAG4aviw=")</f>
        <v>#REF!</v>
      </c>
      <c r="AT179" t="e">
        <f>AND(Bills!#REF!,"AAAAAG4avi0=")</f>
        <v>#REF!</v>
      </c>
      <c r="AU179" t="e">
        <f>AND(Bills!W665,"AAAAAG4avi4=")</f>
        <v>#VALUE!</v>
      </c>
      <c r="AV179" t="e">
        <f>AND(Bills!X665,"AAAAAG4avi8=")</f>
        <v>#VALUE!</v>
      </c>
      <c r="AW179" t="e">
        <f>AND(Bills!#REF!,"AAAAAG4avjA=")</f>
        <v>#REF!</v>
      </c>
      <c r="AX179" t="e">
        <f>AND(Bills!#REF!,"AAAAAG4avjE=")</f>
        <v>#REF!</v>
      </c>
      <c r="AY179" t="e">
        <f>AND(Bills!#REF!,"AAAAAG4avjI=")</f>
        <v>#REF!</v>
      </c>
      <c r="AZ179" t="e">
        <f>AND(Bills!#REF!,"AAAAAG4avjM=")</f>
        <v>#REF!</v>
      </c>
      <c r="BA179" t="e">
        <f>AND(Bills!#REF!,"AAAAAG4avjQ=")</f>
        <v>#REF!</v>
      </c>
      <c r="BB179" t="e">
        <f>AND(Bills!#REF!,"AAAAAG4avjU=")</f>
        <v>#REF!</v>
      </c>
      <c r="BC179" t="e">
        <f>AND(Bills!#REF!,"AAAAAG4avjY=")</f>
        <v>#REF!</v>
      </c>
      <c r="BD179" t="e">
        <f>AND(Bills!#REF!,"AAAAAG4avjc=")</f>
        <v>#REF!</v>
      </c>
      <c r="BE179" t="e">
        <f>AND(Bills!#REF!,"AAAAAG4avjg=")</f>
        <v>#REF!</v>
      </c>
      <c r="BF179" t="e">
        <f>AND(Bills!Y665,"AAAAAG4avjk=")</f>
        <v>#VALUE!</v>
      </c>
      <c r="BG179" t="e">
        <f>AND(Bills!Z665,"AAAAAG4avjo=")</f>
        <v>#VALUE!</v>
      </c>
      <c r="BH179" t="e">
        <f>AND(Bills!#REF!,"AAAAAG4avjs=")</f>
        <v>#REF!</v>
      </c>
      <c r="BI179" t="e">
        <f>AND(Bills!#REF!,"AAAAAG4avjw=")</f>
        <v>#REF!</v>
      </c>
      <c r="BJ179" t="e">
        <f>AND(Bills!#REF!,"AAAAAG4avj0=")</f>
        <v>#REF!</v>
      </c>
      <c r="BK179" t="e">
        <f>AND(Bills!AA665,"AAAAAG4avj4=")</f>
        <v>#VALUE!</v>
      </c>
      <c r="BL179" t="e">
        <f>AND(Bills!AB665,"AAAAAG4avj8=")</f>
        <v>#VALUE!</v>
      </c>
      <c r="BM179" t="e">
        <f>AND(Bills!#REF!,"AAAAAG4avkA=")</f>
        <v>#REF!</v>
      </c>
      <c r="BN179">
        <f>IF(Bills!666:666,"AAAAAG4avkE=",0)</f>
        <v>0</v>
      </c>
      <c r="BO179" t="e">
        <f>AND(Bills!B666,"AAAAAG4avkI=")</f>
        <v>#VALUE!</v>
      </c>
      <c r="BP179" t="e">
        <f>AND(Bills!#REF!,"AAAAAG4avkM=")</f>
        <v>#REF!</v>
      </c>
      <c r="BQ179" t="e">
        <f>AND(Bills!C666,"AAAAAG4avkQ=")</f>
        <v>#VALUE!</v>
      </c>
      <c r="BR179" t="e">
        <f>AND(Bills!#REF!,"AAAAAG4avkU=")</f>
        <v>#REF!</v>
      </c>
      <c r="BS179" t="e">
        <f>AND(Bills!#REF!,"AAAAAG4avkY=")</f>
        <v>#REF!</v>
      </c>
      <c r="BT179" t="e">
        <f>AND(Bills!#REF!,"AAAAAG4avkc=")</f>
        <v>#REF!</v>
      </c>
      <c r="BU179" t="e">
        <f>AND(Bills!#REF!,"AAAAAG4avkg=")</f>
        <v>#REF!</v>
      </c>
      <c r="BV179" t="e">
        <f>AND(Bills!#REF!,"AAAAAG4avkk=")</f>
        <v>#REF!</v>
      </c>
      <c r="BW179" t="e">
        <f>AND(Bills!D666,"AAAAAG4avko=")</f>
        <v>#VALUE!</v>
      </c>
      <c r="BX179" t="e">
        <f>AND(Bills!#REF!,"AAAAAG4avks=")</f>
        <v>#REF!</v>
      </c>
      <c r="BY179" t="e">
        <f>AND(Bills!E666,"AAAAAG4avkw=")</f>
        <v>#VALUE!</v>
      </c>
      <c r="BZ179" t="e">
        <f>AND(Bills!F666,"AAAAAG4avk0=")</f>
        <v>#VALUE!</v>
      </c>
      <c r="CA179" t="e">
        <f>AND(Bills!G666,"AAAAAG4avk4=")</f>
        <v>#VALUE!</v>
      </c>
      <c r="CB179" t="e">
        <f>AND(Bills!H666,"AAAAAG4avk8=")</f>
        <v>#VALUE!</v>
      </c>
      <c r="CC179" t="e">
        <f>AND(Bills!I666,"AAAAAG4avlA=")</f>
        <v>#VALUE!</v>
      </c>
      <c r="CD179" t="e">
        <f>AND(Bills!J666,"AAAAAG4avlE=")</f>
        <v>#VALUE!</v>
      </c>
      <c r="CE179" t="e">
        <f>AND(Bills!#REF!,"AAAAAG4avlI=")</f>
        <v>#REF!</v>
      </c>
      <c r="CF179" t="e">
        <f>AND(Bills!K666,"AAAAAG4avlM=")</f>
        <v>#VALUE!</v>
      </c>
      <c r="CG179" t="e">
        <f>AND(Bills!L666,"AAAAAG4avlQ=")</f>
        <v>#VALUE!</v>
      </c>
      <c r="CH179" t="e">
        <f>AND(Bills!M666,"AAAAAG4avlU=")</f>
        <v>#VALUE!</v>
      </c>
      <c r="CI179" t="e">
        <f>AND(Bills!N666,"AAAAAG4avlY=")</f>
        <v>#VALUE!</v>
      </c>
      <c r="CJ179" t="e">
        <f>AND(Bills!O666,"AAAAAG4avlc=")</f>
        <v>#VALUE!</v>
      </c>
      <c r="CK179" t="e">
        <f>AND(Bills!P666,"AAAAAG4avlg=")</f>
        <v>#VALUE!</v>
      </c>
      <c r="CL179" t="e">
        <f>AND(Bills!Q666,"AAAAAG4avlk=")</f>
        <v>#VALUE!</v>
      </c>
      <c r="CM179" t="e">
        <f>AND(Bills!R666,"AAAAAG4avlo=")</f>
        <v>#VALUE!</v>
      </c>
      <c r="CN179" t="e">
        <f>AND(Bills!#REF!,"AAAAAG4avls=")</f>
        <v>#REF!</v>
      </c>
      <c r="CO179" t="e">
        <f>AND(Bills!S666,"AAAAAG4avlw=")</f>
        <v>#VALUE!</v>
      </c>
      <c r="CP179" t="e">
        <f>AND(Bills!T666,"AAAAAG4avl0=")</f>
        <v>#VALUE!</v>
      </c>
      <c r="CQ179" t="e">
        <f>AND(Bills!U666,"AAAAAG4avl4=")</f>
        <v>#VALUE!</v>
      </c>
      <c r="CR179" t="e">
        <f>AND(Bills!#REF!,"AAAAAG4avl8=")</f>
        <v>#REF!</v>
      </c>
      <c r="CS179" t="e">
        <f>AND(Bills!#REF!,"AAAAAG4avmA=")</f>
        <v>#REF!</v>
      </c>
      <c r="CT179" t="e">
        <f>AND(Bills!W666,"AAAAAG4avmE=")</f>
        <v>#VALUE!</v>
      </c>
      <c r="CU179" t="e">
        <f>AND(Bills!X666,"AAAAAG4avmI=")</f>
        <v>#VALUE!</v>
      </c>
      <c r="CV179" t="e">
        <f>AND(Bills!#REF!,"AAAAAG4avmM=")</f>
        <v>#REF!</v>
      </c>
      <c r="CW179" t="e">
        <f>AND(Bills!#REF!,"AAAAAG4avmQ=")</f>
        <v>#REF!</v>
      </c>
      <c r="CX179" t="e">
        <f>AND(Bills!#REF!,"AAAAAG4avmU=")</f>
        <v>#REF!</v>
      </c>
      <c r="CY179" t="e">
        <f>AND(Bills!#REF!,"AAAAAG4avmY=")</f>
        <v>#REF!</v>
      </c>
      <c r="CZ179" t="e">
        <f>AND(Bills!#REF!,"AAAAAG4avmc=")</f>
        <v>#REF!</v>
      </c>
      <c r="DA179" t="e">
        <f>AND(Bills!#REF!,"AAAAAG4avmg=")</f>
        <v>#REF!</v>
      </c>
      <c r="DB179" t="e">
        <f>AND(Bills!#REF!,"AAAAAG4avmk=")</f>
        <v>#REF!</v>
      </c>
      <c r="DC179" t="e">
        <f>AND(Bills!#REF!,"AAAAAG4avmo=")</f>
        <v>#REF!</v>
      </c>
      <c r="DD179" t="e">
        <f>AND(Bills!#REF!,"AAAAAG4avms=")</f>
        <v>#REF!</v>
      </c>
      <c r="DE179" t="e">
        <f>AND(Bills!Y666,"AAAAAG4avmw=")</f>
        <v>#VALUE!</v>
      </c>
      <c r="DF179" t="e">
        <f>AND(Bills!Z666,"AAAAAG4avm0=")</f>
        <v>#VALUE!</v>
      </c>
      <c r="DG179" t="e">
        <f>AND(Bills!#REF!,"AAAAAG4avm4=")</f>
        <v>#REF!</v>
      </c>
      <c r="DH179" t="e">
        <f>AND(Bills!#REF!,"AAAAAG4avm8=")</f>
        <v>#REF!</v>
      </c>
      <c r="DI179" t="e">
        <f>AND(Bills!#REF!,"AAAAAG4avnA=")</f>
        <v>#REF!</v>
      </c>
      <c r="DJ179" t="e">
        <f>AND(Bills!AA666,"AAAAAG4avnE=")</f>
        <v>#VALUE!</v>
      </c>
      <c r="DK179" t="e">
        <f>AND(Bills!AB666,"AAAAAG4avnI=")</f>
        <v>#VALUE!</v>
      </c>
      <c r="DL179" t="e">
        <f>AND(Bills!#REF!,"AAAAAG4avnM=")</f>
        <v>#REF!</v>
      </c>
      <c r="DM179">
        <f>IF(Bills!667:667,"AAAAAG4avnQ=",0)</f>
        <v>0</v>
      </c>
      <c r="DN179" t="e">
        <f>AND(Bills!B667,"AAAAAG4avnU=")</f>
        <v>#VALUE!</v>
      </c>
      <c r="DO179" t="e">
        <f>AND(Bills!#REF!,"AAAAAG4avnY=")</f>
        <v>#REF!</v>
      </c>
      <c r="DP179" t="e">
        <f>AND(Bills!C667,"AAAAAG4avnc=")</f>
        <v>#VALUE!</v>
      </c>
      <c r="DQ179" t="e">
        <f>AND(Bills!#REF!,"AAAAAG4avng=")</f>
        <v>#REF!</v>
      </c>
      <c r="DR179" t="e">
        <f>AND(Bills!#REF!,"AAAAAG4avnk=")</f>
        <v>#REF!</v>
      </c>
      <c r="DS179" t="e">
        <f>AND(Bills!#REF!,"AAAAAG4avno=")</f>
        <v>#REF!</v>
      </c>
      <c r="DT179" t="e">
        <f>AND(Bills!#REF!,"AAAAAG4avns=")</f>
        <v>#REF!</v>
      </c>
      <c r="DU179" t="e">
        <f>AND(Bills!#REF!,"AAAAAG4avnw=")</f>
        <v>#REF!</v>
      </c>
      <c r="DV179" t="e">
        <f>AND(Bills!D667,"AAAAAG4avn0=")</f>
        <v>#VALUE!</v>
      </c>
      <c r="DW179" t="e">
        <f>AND(Bills!#REF!,"AAAAAG4avn4=")</f>
        <v>#REF!</v>
      </c>
      <c r="DX179" t="e">
        <f>AND(Bills!E667,"AAAAAG4avn8=")</f>
        <v>#VALUE!</v>
      </c>
      <c r="DY179" t="e">
        <f>AND(Bills!F667,"AAAAAG4avoA=")</f>
        <v>#VALUE!</v>
      </c>
      <c r="DZ179" t="e">
        <f>AND(Bills!G667,"AAAAAG4avoE=")</f>
        <v>#VALUE!</v>
      </c>
      <c r="EA179" t="e">
        <f>AND(Bills!H667,"AAAAAG4avoI=")</f>
        <v>#VALUE!</v>
      </c>
      <c r="EB179" t="e">
        <f>AND(Bills!I667,"AAAAAG4avoM=")</f>
        <v>#VALUE!</v>
      </c>
      <c r="EC179" t="e">
        <f>AND(Bills!J667,"AAAAAG4avoQ=")</f>
        <v>#VALUE!</v>
      </c>
      <c r="ED179" t="e">
        <f>AND(Bills!#REF!,"AAAAAG4avoU=")</f>
        <v>#REF!</v>
      </c>
      <c r="EE179" t="e">
        <f>AND(Bills!K667,"AAAAAG4avoY=")</f>
        <v>#VALUE!</v>
      </c>
      <c r="EF179" t="e">
        <f>AND(Bills!L667,"AAAAAG4avoc=")</f>
        <v>#VALUE!</v>
      </c>
      <c r="EG179" t="e">
        <f>AND(Bills!M667,"AAAAAG4avog=")</f>
        <v>#VALUE!</v>
      </c>
      <c r="EH179" t="e">
        <f>AND(Bills!N667,"AAAAAG4avok=")</f>
        <v>#VALUE!</v>
      </c>
      <c r="EI179" t="e">
        <f>AND(Bills!O667,"AAAAAG4avoo=")</f>
        <v>#VALUE!</v>
      </c>
      <c r="EJ179" t="e">
        <f>AND(Bills!P667,"AAAAAG4avos=")</f>
        <v>#VALUE!</v>
      </c>
      <c r="EK179" t="e">
        <f>AND(Bills!Q667,"AAAAAG4avow=")</f>
        <v>#VALUE!</v>
      </c>
      <c r="EL179" t="e">
        <f>AND(Bills!R667,"AAAAAG4avo0=")</f>
        <v>#VALUE!</v>
      </c>
      <c r="EM179" t="e">
        <f>AND(Bills!#REF!,"AAAAAG4avo4=")</f>
        <v>#REF!</v>
      </c>
      <c r="EN179" t="e">
        <f>AND(Bills!S667,"AAAAAG4avo8=")</f>
        <v>#VALUE!</v>
      </c>
      <c r="EO179" t="e">
        <f>AND(Bills!T667,"AAAAAG4avpA=")</f>
        <v>#VALUE!</v>
      </c>
      <c r="EP179" t="e">
        <f>AND(Bills!U667,"AAAAAG4avpE=")</f>
        <v>#VALUE!</v>
      </c>
      <c r="EQ179" t="e">
        <f>AND(Bills!#REF!,"AAAAAG4avpI=")</f>
        <v>#REF!</v>
      </c>
      <c r="ER179" t="e">
        <f>AND(Bills!#REF!,"AAAAAG4avpM=")</f>
        <v>#REF!</v>
      </c>
      <c r="ES179" t="e">
        <f>AND(Bills!W667,"AAAAAG4avpQ=")</f>
        <v>#VALUE!</v>
      </c>
      <c r="ET179" t="e">
        <f>AND(Bills!X667,"AAAAAG4avpU=")</f>
        <v>#VALUE!</v>
      </c>
      <c r="EU179" t="e">
        <f>AND(Bills!#REF!,"AAAAAG4avpY=")</f>
        <v>#REF!</v>
      </c>
      <c r="EV179" t="e">
        <f>AND(Bills!#REF!,"AAAAAG4avpc=")</f>
        <v>#REF!</v>
      </c>
      <c r="EW179" t="e">
        <f>AND(Bills!#REF!,"AAAAAG4avpg=")</f>
        <v>#REF!</v>
      </c>
      <c r="EX179" t="e">
        <f>AND(Bills!#REF!,"AAAAAG4avpk=")</f>
        <v>#REF!</v>
      </c>
      <c r="EY179" t="e">
        <f>AND(Bills!#REF!,"AAAAAG4avpo=")</f>
        <v>#REF!</v>
      </c>
      <c r="EZ179" t="e">
        <f>AND(Bills!#REF!,"AAAAAG4avps=")</f>
        <v>#REF!</v>
      </c>
      <c r="FA179" t="e">
        <f>AND(Bills!#REF!,"AAAAAG4avpw=")</f>
        <v>#REF!</v>
      </c>
      <c r="FB179" t="e">
        <f>AND(Bills!#REF!,"AAAAAG4avp0=")</f>
        <v>#REF!</v>
      </c>
      <c r="FC179" t="e">
        <f>AND(Bills!#REF!,"AAAAAG4avp4=")</f>
        <v>#REF!</v>
      </c>
      <c r="FD179" t="e">
        <f>AND(Bills!Y667,"AAAAAG4avp8=")</f>
        <v>#VALUE!</v>
      </c>
      <c r="FE179" t="e">
        <f>AND(Bills!Z667,"AAAAAG4avqA=")</f>
        <v>#VALUE!</v>
      </c>
      <c r="FF179" t="e">
        <f>AND(Bills!#REF!,"AAAAAG4avqE=")</f>
        <v>#REF!</v>
      </c>
      <c r="FG179" t="e">
        <f>AND(Bills!#REF!,"AAAAAG4avqI=")</f>
        <v>#REF!</v>
      </c>
      <c r="FH179" t="e">
        <f>AND(Bills!#REF!,"AAAAAG4avqM=")</f>
        <v>#REF!</v>
      </c>
      <c r="FI179" t="e">
        <f>AND(Bills!AA667,"AAAAAG4avqQ=")</f>
        <v>#VALUE!</v>
      </c>
      <c r="FJ179" t="e">
        <f>AND(Bills!AB667,"AAAAAG4avqU=")</f>
        <v>#VALUE!</v>
      </c>
      <c r="FK179" t="e">
        <f>AND(Bills!#REF!,"AAAAAG4avqY=")</f>
        <v>#REF!</v>
      </c>
      <c r="FL179">
        <f>IF(Bills!668:668,"AAAAAG4avqc=",0)</f>
        <v>0</v>
      </c>
      <c r="FM179" t="e">
        <f>AND(Bills!B668,"AAAAAG4avqg=")</f>
        <v>#VALUE!</v>
      </c>
      <c r="FN179" t="e">
        <f>AND(Bills!#REF!,"AAAAAG4avqk=")</f>
        <v>#REF!</v>
      </c>
      <c r="FO179" t="e">
        <f>AND(Bills!C668,"AAAAAG4avqo=")</f>
        <v>#VALUE!</v>
      </c>
      <c r="FP179" t="e">
        <f>AND(Bills!#REF!,"AAAAAG4avqs=")</f>
        <v>#REF!</v>
      </c>
      <c r="FQ179" t="e">
        <f>AND(Bills!#REF!,"AAAAAG4avqw=")</f>
        <v>#REF!</v>
      </c>
      <c r="FR179" t="e">
        <f>AND(Bills!#REF!,"AAAAAG4avq0=")</f>
        <v>#REF!</v>
      </c>
      <c r="FS179" t="e">
        <f>AND(Bills!#REF!,"AAAAAG4avq4=")</f>
        <v>#REF!</v>
      </c>
      <c r="FT179" t="e">
        <f>AND(Bills!#REF!,"AAAAAG4avq8=")</f>
        <v>#REF!</v>
      </c>
      <c r="FU179" t="e">
        <f>AND(Bills!D668,"AAAAAG4avrA=")</f>
        <v>#VALUE!</v>
      </c>
      <c r="FV179" t="e">
        <f>AND(Bills!#REF!,"AAAAAG4avrE=")</f>
        <v>#REF!</v>
      </c>
      <c r="FW179" t="e">
        <f>AND(Bills!E668,"AAAAAG4avrI=")</f>
        <v>#VALUE!</v>
      </c>
      <c r="FX179" t="e">
        <f>AND(Bills!F668,"AAAAAG4avrM=")</f>
        <v>#VALUE!</v>
      </c>
      <c r="FY179" t="e">
        <f>AND(Bills!G668,"AAAAAG4avrQ=")</f>
        <v>#VALUE!</v>
      </c>
      <c r="FZ179" t="e">
        <f>AND(Bills!H668,"AAAAAG4avrU=")</f>
        <v>#VALUE!</v>
      </c>
      <c r="GA179" t="e">
        <f>AND(Bills!I668,"AAAAAG4avrY=")</f>
        <v>#VALUE!</v>
      </c>
      <c r="GB179" t="e">
        <f>AND(Bills!J668,"AAAAAG4avrc=")</f>
        <v>#VALUE!</v>
      </c>
      <c r="GC179" t="e">
        <f>AND(Bills!#REF!,"AAAAAG4avrg=")</f>
        <v>#REF!</v>
      </c>
      <c r="GD179" t="e">
        <f>AND(Bills!K668,"AAAAAG4avrk=")</f>
        <v>#VALUE!</v>
      </c>
      <c r="GE179" t="e">
        <f>AND(Bills!L668,"AAAAAG4avro=")</f>
        <v>#VALUE!</v>
      </c>
      <c r="GF179" t="e">
        <f>AND(Bills!M668,"AAAAAG4avrs=")</f>
        <v>#VALUE!</v>
      </c>
      <c r="GG179" t="e">
        <f>AND(Bills!N668,"AAAAAG4avrw=")</f>
        <v>#VALUE!</v>
      </c>
      <c r="GH179" t="e">
        <f>AND(Bills!O668,"AAAAAG4avr0=")</f>
        <v>#VALUE!</v>
      </c>
      <c r="GI179" t="e">
        <f>AND(Bills!P668,"AAAAAG4avr4=")</f>
        <v>#VALUE!</v>
      </c>
      <c r="GJ179" t="e">
        <f>AND(Bills!Q668,"AAAAAG4avr8=")</f>
        <v>#VALUE!</v>
      </c>
      <c r="GK179" t="e">
        <f>AND(Bills!R668,"AAAAAG4avsA=")</f>
        <v>#VALUE!</v>
      </c>
      <c r="GL179" t="e">
        <f>AND(Bills!#REF!,"AAAAAG4avsE=")</f>
        <v>#REF!</v>
      </c>
      <c r="GM179" t="e">
        <f>AND(Bills!S668,"AAAAAG4avsI=")</f>
        <v>#VALUE!</v>
      </c>
      <c r="GN179" t="e">
        <f>AND(Bills!T668,"AAAAAG4avsM=")</f>
        <v>#VALUE!</v>
      </c>
      <c r="GO179" t="e">
        <f>AND(Bills!U668,"AAAAAG4avsQ=")</f>
        <v>#VALUE!</v>
      </c>
      <c r="GP179" t="e">
        <f>AND(Bills!#REF!,"AAAAAG4avsU=")</f>
        <v>#REF!</v>
      </c>
      <c r="GQ179" t="e">
        <f>AND(Bills!#REF!,"AAAAAG4avsY=")</f>
        <v>#REF!</v>
      </c>
      <c r="GR179" t="e">
        <f>AND(Bills!W668,"AAAAAG4avsc=")</f>
        <v>#VALUE!</v>
      </c>
      <c r="GS179" t="e">
        <f>AND(Bills!X668,"AAAAAG4avsg=")</f>
        <v>#VALUE!</v>
      </c>
      <c r="GT179" t="e">
        <f>AND(Bills!#REF!,"AAAAAG4avsk=")</f>
        <v>#REF!</v>
      </c>
      <c r="GU179" t="e">
        <f>AND(Bills!#REF!,"AAAAAG4avso=")</f>
        <v>#REF!</v>
      </c>
      <c r="GV179" t="e">
        <f>AND(Bills!#REF!,"AAAAAG4avss=")</f>
        <v>#REF!</v>
      </c>
      <c r="GW179" t="e">
        <f>AND(Bills!#REF!,"AAAAAG4avsw=")</f>
        <v>#REF!</v>
      </c>
      <c r="GX179" t="e">
        <f>AND(Bills!#REF!,"AAAAAG4avs0=")</f>
        <v>#REF!</v>
      </c>
      <c r="GY179" t="e">
        <f>AND(Bills!#REF!,"AAAAAG4avs4=")</f>
        <v>#REF!</v>
      </c>
      <c r="GZ179" t="e">
        <f>AND(Bills!#REF!,"AAAAAG4avs8=")</f>
        <v>#REF!</v>
      </c>
      <c r="HA179" t="e">
        <f>AND(Bills!#REF!,"AAAAAG4avtA=")</f>
        <v>#REF!</v>
      </c>
      <c r="HB179" t="e">
        <f>AND(Bills!#REF!,"AAAAAG4avtE=")</f>
        <v>#REF!</v>
      </c>
      <c r="HC179" t="e">
        <f>AND(Bills!Y668,"AAAAAG4avtI=")</f>
        <v>#VALUE!</v>
      </c>
      <c r="HD179" t="e">
        <f>AND(Bills!Z668,"AAAAAG4avtM=")</f>
        <v>#VALUE!</v>
      </c>
      <c r="HE179" t="e">
        <f>AND(Bills!#REF!,"AAAAAG4avtQ=")</f>
        <v>#REF!</v>
      </c>
      <c r="HF179" t="e">
        <f>AND(Bills!#REF!,"AAAAAG4avtU=")</f>
        <v>#REF!</v>
      </c>
      <c r="HG179" t="e">
        <f>AND(Bills!#REF!,"AAAAAG4avtY=")</f>
        <v>#REF!</v>
      </c>
      <c r="HH179" t="e">
        <f>AND(Bills!AA668,"AAAAAG4avtc=")</f>
        <v>#VALUE!</v>
      </c>
      <c r="HI179" t="e">
        <f>AND(Bills!AB668,"AAAAAG4avtg=")</f>
        <v>#VALUE!</v>
      </c>
      <c r="HJ179" t="e">
        <f>AND(Bills!#REF!,"AAAAAG4avtk=")</f>
        <v>#REF!</v>
      </c>
      <c r="HK179">
        <f>IF(Bills!669:669,"AAAAAG4avto=",0)</f>
        <v>0</v>
      </c>
      <c r="HL179" t="e">
        <f>AND(Bills!B669,"AAAAAG4avts=")</f>
        <v>#VALUE!</v>
      </c>
      <c r="HM179" t="e">
        <f>AND(Bills!#REF!,"AAAAAG4avtw=")</f>
        <v>#REF!</v>
      </c>
      <c r="HN179" t="e">
        <f>AND(Bills!C669,"AAAAAG4avt0=")</f>
        <v>#VALUE!</v>
      </c>
      <c r="HO179" t="e">
        <f>AND(Bills!#REF!,"AAAAAG4avt4=")</f>
        <v>#REF!</v>
      </c>
      <c r="HP179" t="e">
        <f>AND(Bills!#REF!,"AAAAAG4avt8=")</f>
        <v>#REF!</v>
      </c>
      <c r="HQ179" t="e">
        <f>AND(Bills!#REF!,"AAAAAG4avuA=")</f>
        <v>#REF!</v>
      </c>
      <c r="HR179" t="e">
        <f>AND(Bills!#REF!,"AAAAAG4avuE=")</f>
        <v>#REF!</v>
      </c>
      <c r="HS179" t="e">
        <f>AND(Bills!#REF!,"AAAAAG4avuI=")</f>
        <v>#REF!</v>
      </c>
      <c r="HT179" t="e">
        <f>AND(Bills!D669,"AAAAAG4avuM=")</f>
        <v>#VALUE!</v>
      </c>
      <c r="HU179" t="e">
        <f>AND(Bills!#REF!,"AAAAAG4avuQ=")</f>
        <v>#REF!</v>
      </c>
      <c r="HV179" t="e">
        <f>AND(Bills!E669,"AAAAAG4avuU=")</f>
        <v>#VALUE!</v>
      </c>
      <c r="HW179" t="e">
        <f>AND(Bills!F669,"AAAAAG4avuY=")</f>
        <v>#VALUE!</v>
      </c>
      <c r="HX179" t="e">
        <f>AND(Bills!G669,"AAAAAG4avuc=")</f>
        <v>#VALUE!</v>
      </c>
      <c r="HY179" t="e">
        <f>AND(Bills!H669,"AAAAAG4avug=")</f>
        <v>#VALUE!</v>
      </c>
      <c r="HZ179" t="e">
        <f>AND(Bills!I669,"AAAAAG4avuk=")</f>
        <v>#VALUE!</v>
      </c>
      <c r="IA179" t="e">
        <f>AND(Bills!J669,"AAAAAG4avuo=")</f>
        <v>#VALUE!</v>
      </c>
      <c r="IB179" t="e">
        <f>AND(Bills!#REF!,"AAAAAG4avus=")</f>
        <v>#REF!</v>
      </c>
      <c r="IC179" t="e">
        <f>AND(Bills!K669,"AAAAAG4avuw=")</f>
        <v>#VALUE!</v>
      </c>
      <c r="ID179" t="e">
        <f>AND(Bills!L669,"AAAAAG4avu0=")</f>
        <v>#VALUE!</v>
      </c>
      <c r="IE179" t="e">
        <f>AND(Bills!M669,"AAAAAG4avu4=")</f>
        <v>#VALUE!</v>
      </c>
      <c r="IF179" t="e">
        <f>AND(Bills!N669,"AAAAAG4avu8=")</f>
        <v>#VALUE!</v>
      </c>
      <c r="IG179" t="e">
        <f>AND(Bills!O669,"AAAAAG4avvA=")</f>
        <v>#VALUE!</v>
      </c>
      <c r="IH179" t="e">
        <f>AND(Bills!P669,"AAAAAG4avvE=")</f>
        <v>#VALUE!</v>
      </c>
      <c r="II179" t="e">
        <f>AND(Bills!Q669,"AAAAAG4avvI=")</f>
        <v>#VALUE!</v>
      </c>
      <c r="IJ179" t="e">
        <f>AND(Bills!R669,"AAAAAG4avvM=")</f>
        <v>#VALUE!</v>
      </c>
      <c r="IK179" t="e">
        <f>AND(Bills!#REF!,"AAAAAG4avvQ=")</f>
        <v>#REF!</v>
      </c>
      <c r="IL179" t="e">
        <f>AND(Bills!S669,"AAAAAG4avvU=")</f>
        <v>#VALUE!</v>
      </c>
      <c r="IM179" t="e">
        <f>AND(Bills!T669,"AAAAAG4avvY=")</f>
        <v>#VALUE!</v>
      </c>
      <c r="IN179" t="e">
        <f>AND(Bills!U669,"AAAAAG4avvc=")</f>
        <v>#VALUE!</v>
      </c>
      <c r="IO179" t="e">
        <f>AND(Bills!#REF!,"AAAAAG4avvg=")</f>
        <v>#REF!</v>
      </c>
      <c r="IP179" t="e">
        <f>AND(Bills!#REF!,"AAAAAG4avvk=")</f>
        <v>#REF!</v>
      </c>
      <c r="IQ179" t="e">
        <f>AND(Bills!W669,"AAAAAG4avvo=")</f>
        <v>#VALUE!</v>
      </c>
      <c r="IR179" t="e">
        <f>AND(Bills!X669,"AAAAAG4avvs=")</f>
        <v>#VALUE!</v>
      </c>
      <c r="IS179" t="e">
        <f>AND(Bills!#REF!,"AAAAAG4avvw=")</f>
        <v>#REF!</v>
      </c>
      <c r="IT179" t="e">
        <f>AND(Bills!#REF!,"AAAAAG4avv0=")</f>
        <v>#REF!</v>
      </c>
      <c r="IU179" t="e">
        <f>AND(Bills!#REF!,"AAAAAG4avv4=")</f>
        <v>#REF!</v>
      </c>
      <c r="IV179" t="e">
        <f>AND(Bills!#REF!,"AAAAAG4avv8=")</f>
        <v>#REF!</v>
      </c>
    </row>
    <row r="180" spans="1:256">
      <c r="A180" t="e">
        <f>AND(Bills!#REF!,"AAAAAH/ZvwA=")</f>
        <v>#REF!</v>
      </c>
      <c r="B180" t="e">
        <f>AND(Bills!#REF!,"AAAAAH/ZvwE=")</f>
        <v>#REF!</v>
      </c>
      <c r="C180" t="e">
        <f>AND(Bills!#REF!,"AAAAAH/ZvwI=")</f>
        <v>#REF!</v>
      </c>
      <c r="D180" t="e">
        <f>AND(Bills!#REF!,"AAAAAH/ZvwM=")</f>
        <v>#REF!</v>
      </c>
      <c r="E180" t="e">
        <f>AND(Bills!#REF!,"AAAAAH/ZvwQ=")</f>
        <v>#REF!</v>
      </c>
      <c r="F180" t="e">
        <f>AND(Bills!Y669,"AAAAAH/ZvwU=")</f>
        <v>#VALUE!</v>
      </c>
      <c r="G180" t="e">
        <f>AND(Bills!Z669,"AAAAAH/ZvwY=")</f>
        <v>#VALUE!</v>
      </c>
      <c r="H180" t="e">
        <f>AND(Bills!#REF!,"AAAAAH/Zvwc=")</f>
        <v>#REF!</v>
      </c>
      <c r="I180" t="e">
        <f>AND(Bills!#REF!,"AAAAAH/Zvwg=")</f>
        <v>#REF!</v>
      </c>
      <c r="J180" t="e">
        <f>AND(Bills!#REF!,"AAAAAH/Zvwk=")</f>
        <v>#REF!</v>
      </c>
      <c r="K180" t="e">
        <f>AND(Bills!AA669,"AAAAAH/Zvwo=")</f>
        <v>#VALUE!</v>
      </c>
      <c r="L180" t="e">
        <f>AND(Bills!AB669,"AAAAAH/Zvws=")</f>
        <v>#VALUE!</v>
      </c>
      <c r="M180" t="e">
        <f>AND(Bills!#REF!,"AAAAAH/Zvww=")</f>
        <v>#REF!</v>
      </c>
      <c r="N180">
        <f>IF(Bills!670:670,"AAAAAH/Zvw0=",0)</f>
        <v>0</v>
      </c>
      <c r="O180" t="e">
        <f>AND(Bills!B670,"AAAAAH/Zvw4=")</f>
        <v>#VALUE!</v>
      </c>
      <c r="P180" t="e">
        <f>AND(Bills!#REF!,"AAAAAH/Zvw8=")</f>
        <v>#REF!</v>
      </c>
      <c r="Q180" t="e">
        <f>AND(Bills!C670,"AAAAAH/ZvxA=")</f>
        <v>#VALUE!</v>
      </c>
      <c r="R180" t="e">
        <f>AND(Bills!#REF!,"AAAAAH/ZvxE=")</f>
        <v>#REF!</v>
      </c>
      <c r="S180" t="e">
        <f>AND(Bills!#REF!,"AAAAAH/ZvxI=")</f>
        <v>#REF!</v>
      </c>
      <c r="T180" t="e">
        <f>AND(Bills!#REF!,"AAAAAH/ZvxM=")</f>
        <v>#REF!</v>
      </c>
      <c r="U180" t="e">
        <f>AND(Bills!#REF!,"AAAAAH/ZvxQ=")</f>
        <v>#REF!</v>
      </c>
      <c r="V180" t="e">
        <f>AND(Bills!#REF!,"AAAAAH/ZvxU=")</f>
        <v>#REF!</v>
      </c>
      <c r="W180" t="e">
        <f>AND(Bills!D670,"AAAAAH/ZvxY=")</f>
        <v>#VALUE!</v>
      </c>
      <c r="X180" t="e">
        <f>AND(Bills!#REF!,"AAAAAH/Zvxc=")</f>
        <v>#REF!</v>
      </c>
      <c r="Y180" t="e">
        <f>AND(Bills!E670,"AAAAAH/Zvxg=")</f>
        <v>#VALUE!</v>
      </c>
      <c r="Z180" t="e">
        <f>AND(Bills!F670,"AAAAAH/Zvxk=")</f>
        <v>#VALUE!</v>
      </c>
      <c r="AA180" t="e">
        <f>AND(Bills!G670,"AAAAAH/Zvxo=")</f>
        <v>#VALUE!</v>
      </c>
      <c r="AB180" t="e">
        <f>AND(Bills!H670,"AAAAAH/Zvxs=")</f>
        <v>#VALUE!</v>
      </c>
      <c r="AC180" t="e">
        <f>AND(Bills!I670,"AAAAAH/Zvxw=")</f>
        <v>#VALUE!</v>
      </c>
      <c r="AD180" t="e">
        <f>AND(Bills!J670,"AAAAAH/Zvx0=")</f>
        <v>#VALUE!</v>
      </c>
      <c r="AE180" t="e">
        <f>AND(Bills!#REF!,"AAAAAH/Zvx4=")</f>
        <v>#REF!</v>
      </c>
      <c r="AF180" t="e">
        <f>AND(Bills!K670,"AAAAAH/Zvx8=")</f>
        <v>#VALUE!</v>
      </c>
      <c r="AG180" t="e">
        <f>AND(Bills!L670,"AAAAAH/ZvyA=")</f>
        <v>#VALUE!</v>
      </c>
      <c r="AH180" t="e">
        <f>AND(Bills!M670,"AAAAAH/ZvyE=")</f>
        <v>#VALUE!</v>
      </c>
      <c r="AI180" t="e">
        <f>AND(Bills!N670,"AAAAAH/ZvyI=")</f>
        <v>#VALUE!</v>
      </c>
      <c r="AJ180" t="e">
        <f>AND(Bills!O670,"AAAAAH/ZvyM=")</f>
        <v>#VALUE!</v>
      </c>
      <c r="AK180" t="e">
        <f>AND(Bills!P670,"AAAAAH/ZvyQ=")</f>
        <v>#VALUE!</v>
      </c>
      <c r="AL180" t="e">
        <f>AND(Bills!Q670,"AAAAAH/ZvyU=")</f>
        <v>#VALUE!</v>
      </c>
      <c r="AM180" t="e">
        <f>AND(Bills!R670,"AAAAAH/ZvyY=")</f>
        <v>#VALUE!</v>
      </c>
      <c r="AN180" t="e">
        <f>AND(Bills!#REF!,"AAAAAH/Zvyc=")</f>
        <v>#REF!</v>
      </c>
      <c r="AO180" t="e">
        <f>AND(Bills!S670,"AAAAAH/Zvyg=")</f>
        <v>#VALUE!</v>
      </c>
      <c r="AP180" t="e">
        <f>AND(Bills!T670,"AAAAAH/Zvyk=")</f>
        <v>#VALUE!</v>
      </c>
      <c r="AQ180" t="e">
        <f>AND(Bills!U670,"AAAAAH/Zvyo=")</f>
        <v>#VALUE!</v>
      </c>
      <c r="AR180" t="e">
        <f>AND(Bills!#REF!,"AAAAAH/Zvys=")</f>
        <v>#REF!</v>
      </c>
      <c r="AS180" t="e">
        <f>AND(Bills!#REF!,"AAAAAH/Zvyw=")</f>
        <v>#REF!</v>
      </c>
      <c r="AT180" t="e">
        <f>AND(Bills!W670,"AAAAAH/Zvy0=")</f>
        <v>#VALUE!</v>
      </c>
      <c r="AU180" t="e">
        <f>AND(Bills!X670,"AAAAAH/Zvy4=")</f>
        <v>#VALUE!</v>
      </c>
      <c r="AV180" t="e">
        <f>AND(Bills!#REF!,"AAAAAH/Zvy8=")</f>
        <v>#REF!</v>
      </c>
      <c r="AW180" t="e">
        <f>AND(Bills!#REF!,"AAAAAH/ZvzA=")</f>
        <v>#REF!</v>
      </c>
      <c r="AX180" t="e">
        <f>AND(Bills!#REF!,"AAAAAH/ZvzE=")</f>
        <v>#REF!</v>
      </c>
      <c r="AY180" t="e">
        <f>AND(Bills!#REF!,"AAAAAH/ZvzI=")</f>
        <v>#REF!</v>
      </c>
      <c r="AZ180" t="e">
        <f>AND(Bills!#REF!,"AAAAAH/ZvzM=")</f>
        <v>#REF!</v>
      </c>
      <c r="BA180" t="e">
        <f>AND(Bills!#REF!,"AAAAAH/ZvzQ=")</f>
        <v>#REF!</v>
      </c>
      <c r="BB180" t="e">
        <f>AND(Bills!#REF!,"AAAAAH/ZvzU=")</f>
        <v>#REF!</v>
      </c>
      <c r="BC180" t="e">
        <f>AND(Bills!#REF!,"AAAAAH/ZvzY=")</f>
        <v>#REF!</v>
      </c>
      <c r="BD180" t="e">
        <f>AND(Bills!#REF!,"AAAAAH/Zvzc=")</f>
        <v>#REF!</v>
      </c>
      <c r="BE180" t="e">
        <f>AND(Bills!Y670,"AAAAAH/Zvzg=")</f>
        <v>#VALUE!</v>
      </c>
      <c r="BF180" t="e">
        <f>AND(Bills!Z670,"AAAAAH/Zvzk=")</f>
        <v>#VALUE!</v>
      </c>
      <c r="BG180" t="e">
        <f>AND(Bills!#REF!,"AAAAAH/Zvzo=")</f>
        <v>#REF!</v>
      </c>
      <c r="BH180" t="e">
        <f>AND(Bills!#REF!,"AAAAAH/Zvzs=")</f>
        <v>#REF!</v>
      </c>
      <c r="BI180" t="e">
        <f>AND(Bills!#REF!,"AAAAAH/Zvzw=")</f>
        <v>#REF!</v>
      </c>
      <c r="BJ180" t="e">
        <f>AND(Bills!AA670,"AAAAAH/Zvz0=")</f>
        <v>#VALUE!</v>
      </c>
      <c r="BK180" t="e">
        <f>AND(Bills!AB670,"AAAAAH/Zvz4=")</f>
        <v>#VALUE!</v>
      </c>
      <c r="BL180" t="e">
        <f>AND(Bills!#REF!,"AAAAAH/Zvz8=")</f>
        <v>#REF!</v>
      </c>
      <c r="BM180">
        <f>IF(Bills!671:671,"AAAAAH/Zv0A=",0)</f>
        <v>0</v>
      </c>
      <c r="BN180" t="e">
        <f>AND(Bills!B671,"AAAAAH/Zv0E=")</f>
        <v>#VALUE!</v>
      </c>
      <c r="BO180" t="e">
        <f>AND(Bills!#REF!,"AAAAAH/Zv0I=")</f>
        <v>#REF!</v>
      </c>
      <c r="BP180" t="e">
        <f>AND(Bills!C671,"AAAAAH/Zv0M=")</f>
        <v>#VALUE!</v>
      </c>
      <c r="BQ180" t="e">
        <f>AND(Bills!#REF!,"AAAAAH/Zv0Q=")</f>
        <v>#REF!</v>
      </c>
      <c r="BR180" t="e">
        <f>AND(Bills!#REF!,"AAAAAH/Zv0U=")</f>
        <v>#REF!</v>
      </c>
      <c r="BS180" t="e">
        <f>AND(Bills!#REF!,"AAAAAH/Zv0Y=")</f>
        <v>#REF!</v>
      </c>
      <c r="BT180" t="e">
        <f>AND(Bills!#REF!,"AAAAAH/Zv0c=")</f>
        <v>#REF!</v>
      </c>
      <c r="BU180" t="e">
        <f>AND(Bills!#REF!,"AAAAAH/Zv0g=")</f>
        <v>#REF!</v>
      </c>
      <c r="BV180" t="e">
        <f>AND(Bills!D671,"AAAAAH/Zv0k=")</f>
        <v>#VALUE!</v>
      </c>
      <c r="BW180" t="e">
        <f>AND(Bills!#REF!,"AAAAAH/Zv0o=")</f>
        <v>#REF!</v>
      </c>
      <c r="BX180" t="e">
        <f>AND(Bills!E671,"AAAAAH/Zv0s=")</f>
        <v>#VALUE!</v>
      </c>
      <c r="BY180" t="e">
        <f>AND(Bills!F671,"AAAAAH/Zv0w=")</f>
        <v>#VALUE!</v>
      </c>
      <c r="BZ180" t="e">
        <f>AND(Bills!G671,"AAAAAH/Zv00=")</f>
        <v>#VALUE!</v>
      </c>
      <c r="CA180" t="e">
        <f>AND(Bills!H671,"AAAAAH/Zv04=")</f>
        <v>#VALUE!</v>
      </c>
      <c r="CB180" t="e">
        <f>AND(Bills!I671,"AAAAAH/Zv08=")</f>
        <v>#VALUE!</v>
      </c>
      <c r="CC180" t="e">
        <f>AND(Bills!J671,"AAAAAH/Zv1A=")</f>
        <v>#VALUE!</v>
      </c>
      <c r="CD180" t="e">
        <f>AND(Bills!#REF!,"AAAAAH/Zv1E=")</f>
        <v>#REF!</v>
      </c>
      <c r="CE180" t="e">
        <f>AND(Bills!K671,"AAAAAH/Zv1I=")</f>
        <v>#VALUE!</v>
      </c>
      <c r="CF180" t="e">
        <f>AND(Bills!L671,"AAAAAH/Zv1M=")</f>
        <v>#VALUE!</v>
      </c>
      <c r="CG180" t="e">
        <f>AND(Bills!M671,"AAAAAH/Zv1Q=")</f>
        <v>#VALUE!</v>
      </c>
      <c r="CH180" t="e">
        <f>AND(Bills!N671,"AAAAAH/Zv1U=")</f>
        <v>#VALUE!</v>
      </c>
      <c r="CI180" t="e">
        <f>AND(Bills!O671,"AAAAAH/Zv1Y=")</f>
        <v>#VALUE!</v>
      </c>
      <c r="CJ180" t="e">
        <f>AND(Bills!P671,"AAAAAH/Zv1c=")</f>
        <v>#VALUE!</v>
      </c>
      <c r="CK180" t="e">
        <f>AND(Bills!Q671,"AAAAAH/Zv1g=")</f>
        <v>#VALUE!</v>
      </c>
      <c r="CL180" t="e">
        <f>AND(Bills!R671,"AAAAAH/Zv1k=")</f>
        <v>#VALUE!</v>
      </c>
      <c r="CM180" t="e">
        <f>AND(Bills!#REF!,"AAAAAH/Zv1o=")</f>
        <v>#REF!</v>
      </c>
      <c r="CN180" t="e">
        <f>AND(Bills!S671,"AAAAAH/Zv1s=")</f>
        <v>#VALUE!</v>
      </c>
      <c r="CO180" t="e">
        <f>AND(Bills!T671,"AAAAAH/Zv1w=")</f>
        <v>#VALUE!</v>
      </c>
      <c r="CP180" t="e">
        <f>AND(Bills!U671,"AAAAAH/Zv10=")</f>
        <v>#VALUE!</v>
      </c>
      <c r="CQ180" t="e">
        <f>AND(Bills!#REF!,"AAAAAH/Zv14=")</f>
        <v>#REF!</v>
      </c>
      <c r="CR180" t="e">
        <f>AND(Bills!#REF!,"AAAAAH/Zv18=")</f>
        <v>#REF!</v>
      </c>
      <c r="CS180" t="e">
        <f>AND(Bills!W671,"AAAAAH/Zv2A=")</f>
        <v>#VALUE!</v>
      </c>
      <c r="CT180" t="e">
        <f>AND(Bills!X671,"AAAAAH/Zv2E=")</f>
        <v>#VALUE!</v>
      </c>
      <c r="CU180" t="e">
        <f>AND(Bills!#REF!,"AAAAAH/Zv2I=")</f>
        <v>#REF!</v>
      </c>
      <c r="CV180" t="e">
        <f>AND(Bills!#REF!,"AAAAAH/Zv2M=")</f>
        <v>#REF!</v>
      </c>
      <c r="CW180" t="e">
        <f>AND(Bills!#REF!,"AAAAAH/Zv2Q=")</f>
        <v>#REF!</v>
      </c>
      <c r="CX180" t="e">
        <f>AND(Bills!#REF!,"AAAAAH/Zv2U=")</f>
        <v>#REF!</v>
      </c>
      <c r="CY180" t="e">
        <f>AND(Bills!#REF!,"AAAAAH/Zv2Y=")</f>
        <v>#REF!</v>
      </c>
      <c r="CZ180" t="e">
        <f>AND(Bills!#REF!,"AAAAAH/Zv2c=")</f>
        <v>#REF!</v>
      </c>
      <c r="DA180" t="e">
        <f>AND(Bills!#REF!,"AAAAAH/Zv2g=")</f>
        <v>#REF!</v>
      </c>
      <c r="DB180" t="e">
        <f>AND(Bills!#REF!,"AAAAAH/Zv2k=")</f>
        <v>#REF!</v>
      </c>
      <c r="DC180" t="e">
        <f>AND(Bills!#REF!,"AAAAAH/Zv2o=")</f>
        <v>#REF!</v>
      </c>
      <c r="DD180" t="e">
        <f>AND(Bills!Y671,"AAAAAH/Zv2s=")</f>
        <v>#VALUE!</v>
      </c>
      <c r="DE180" t="e">
        <f>AND(Bills!Z671,"AAAAAH/Zv2w=")</f>
        <v>#VALUE!</v>
      </c>
      <c r="DF180" t="e">
        <f>AND(Bills!#REF!,"AAAAAH/Zv20=")</f>
        <v>#REF!</v>
      </c>
      <c r="DG180" t="e">
        <f>AND(Bills!#REF!,"AAAAAH/Zv24=")</f>
        <v>#REF!</v>
      </c>
      <c r="DH180" t="e">
        <f>AND(Bills!#REF!,"AAAAAH/Zv28=")</f>
        <v>#REF!</v>
      </c>
      <c r="DI180" t="e">
        <f>AND(Bills!AA671,"AAAAAH/Zv3A=")</f>
        <v>#VALUE!</v>
      </c>
      <c r="DJ180" t="e">
        <f>AND(Bills!AB671,"AAAAAH/Zv3E=")</f>
        <v>#VALUE!</v>
      </c>
      <c r="DK180" t="e">
        <f>AND(Bills!#REF!,"AAAAAH/Zv3I=")</f>
        <v>#REF!</v>
      </c>
      <c r="DL180">
        <f>IF(Bills!672:672,"AAAAAH/Zv3M=",0)</f>
        <v>0</v>
      </c>
      <c r="DM180" t="e">
        <f>AND(Bills!B672,"AAAAAH/Zv3Q=")</f>
        <v>#VALUE!</v>
      </c>
      <c r="DN180" t="e">
        <f>AND(Bills!#REF!,"AAAAAH/Zv3U=")</f>
        <v>#REF!</v>
      </c>
      <c r="DO180" t="e">
        <f>AND(Bills!C672,"AAAAAH/Zv3Y=")</f>
        <v>#VALUE!</v>
      </c>
      <c r="DP180" t="e">
        <f>AND(Bills!#REF!,"AAAAAH/Zv3c=")</f>
        <v>#REF!</v>
      </c>
      <c r="DQ180" t="e">
        <f>AND(Bills!#REF!,"AAAAAH/Zv3g=")</f>
        <v>#REF!</v>
      </c>
      <c r="DR180" t="e">
        <f>AND(Bills!#REF!,"AAAAAH/Zv3k=")</f>
        <v>#REF!</v>
      </c>
      <c r="DS180" t="e">
        <f>AND(Bills!#REF!,"AAAAAH/Zv3o=")</f>
        <v>#REF!</v>
      </c>
      <c r="DT180" t="e">
        <f>AND(Bills!#REF!,"AAAAAH/Zv3s=")</f>
        <v>#REF!</v>
      </c>
      <c r="DU180" t="e">
        <f>AND(Bills!D672,"AAAAAH/Zv3w=")</f>
        <v>#VALUE!</v>
      </c>
      <c r="DV180" t="e">
        <f>AND(Bills!#REF!,"AAAAAH/Zv30=")</f>
        <v>#REF!</v>
      </c>
      <c r="DW180" t="e">
        <f>AND(Bills!E672,"AAAAAH/Zv34=")</f>
        <v>#VALUE!</v>
      </c>
      <c r="DX180" t="e">
        <f>AND(Bills!F672,"AAAAAH/Zv38=")</f>
        <v>#VALUE!</v>
      </c>
      <c r="DY180" t="e">
        <f>AND(Bills!G672,"AAAAAH/Zv4A=")</f>
        <v>#VALUE!</v>
      </c>
      <c r="DZ180" t="e">
        <f>AND(Bills!H672,"AAAAAH/Zv4E=")</f>
        <v>#VALUE!</v>
      </c>
      <c r="EA180" t="e">
        <f>AND(Bills!I672,"AAAAAH/Zv4I=")</f>
        <v>#VALUE!</v>
      </c>
      <c r="EB180" t="e">
        <f>AND(Bills!J672,"AAAAAH/Zv4M=")</f>
        <v>#VALUE!</v>
      </c>
      <c r="EC180" t="e">
        <f>AND(Bills!#REF!,"AAAAAH/Zv4Q=")</f>
        <v>#REF!</v>
      </c>
      <c r="ED180" t="e">
        <f>AND(Bills!K672,"AAAAAH/Zv4U=")</f>
        <v>#VALUE!</v>
      </c>
      <c r="EE180" t="e">
        <f>AND(Bills!L672,"AAAAAH/Zv4Y=")</f>
        <v>#VALUE!</v>
      </c>
      <c r="EF180" t="e">
        <f>AND(Bills!M672,"AAAAAH/Zv4c=")</f>
        <v>#VALUE!</v>
      </c>
      <c r="EG180" t="e">
        <f>AND(Bills!N672,"AAAAAH/Zv4g=")</f>
        <v>#VALUE!</v>
      </c>
      <c r="EH180" t="e">
        <f>AND(Bills!O672,"AAAAAH/Zv4k=")</f>
        <v>#VALUE!</v>
      </c>
      <c r="EI180" t="e">
        <f>AND(Bills!P672,"AAAAAH/Zv4o=")</f>
        <v>#VALUE!</v>
      </c>
      <c r="EJ180" t="e">
        <f>AND(Bills!Q672,"AAAAAH/Zv4s=")</f>
        <v>#VALUE!</v>
      </c>
      <c r="EK180" t="e">
        <f>AND(Bills!R672,"AAAAAH/Zv4w=")</f>
        <v>#VALUE!</v>
      </c>
      <c r="EL180" t="e">
        <f>AND(Bills!#REF!,"AAAAAH/Zv40=")</f>
        <v>#REF!</v>
      </c>
      <c r="EM180" t="e">
        <f>AND(Bills!S672,"AAAAAH/Zv44=")</f>
        <v>#VALUE!</v>
      </c>
      <c r="EN180" t="e">
        <f>AND(Bills!T672,"AAAAAH/Zv48=")</f>
        <v>#VALUE!</v>
      </c>
      <c r="EO180" t="e">
        <f>AND(Bills!U672,"AAAAAH/Zv5A=")</f>
        <v>#VALUE!</v>
      </c>
      <c r="EP180" t="e">
        <f>AND(Bills!#REF!,"AAAAAH/Zv5E=")</f>
        <v>#REF!</v>
      </c>
      <c r="EQ180" t="e">
        <f>AND(Bills!#REF!,"AAAAAH/Zv5I=")</f>
        <v>#REF!</v>
      </c>
      <c r="ER180" t="e">
        <f>AND(Bills!W672,"AAAAAH/Zv5M=")</f>
        <v>#VALUE!</v>
      </c>
      <c r="ES180" t="e">
        <f>AND(Bills!X672,"AAAAAH/Zv5Q=")</f>
        <v>#VALUE!</v>
      </c>
      <c r="ET180" t="e">
        <f>AND(Bills!#REF!,"AAAAAH/Zv5U=")</f>
        <v>#REF!</v>
      </c>
      <c r="EU180" t="e">
        <f>AND(Bills!#REF!,"AAAAAH/Zv5Y=")</f>
        <v>#REF!</v>
      </c>
      <c r="EV180" t="e">
        <f>AND(Bills!#REF!,"AAAAAH/Zv5c=")</f>
        <v>#REF!</v>
      </c>
      <c r="EW180" t="e">
        <f>AND(Bills!#REF!,"AAAAAH/Zv5g=")</f>
        <v>#REF!</v>
      </c>
      <c r="EX180" t="e">
        <f>AND(Bills!#REF!,"AAAAAH/Zv5k=")</f>
        <v>#REF!</v>
      </c>
      <c r="EY180" t="e">
        <f>AND(Bills!#REF!,"AAAAAH/Zv5o=")</f>
        <v>#REF!</v>
      </c>
      <c r="EZ180" t="e">
        <f>AND(Bills!#REF!,"AAAAAH/Zv5s=")</f>
        <v>#REF!</v>
      </c>
      <c r="FA180" t="e">
        <f>AND(Bills!#REF!,"AAAAAH/Zv5w=")</f>
        <v>#REF!</v>
      </c>
      <c r="FB180" t="e">
        <f>AND(Bills!#REF!,"AAAAAH/Zv50=")</f>
        <v>#REF!</v>
      </c>
      <c r="FC180" t="e">
        <f>AND(Bills!Y672,"AAAAAH/Zv54=")</f>
        <v>#VALUE!</v>
      </c>
      <c r="FD180" t="e">
        <f>AND(Bills!Z672,"AAAAAH/Zv58=")</f>
        <v>#VALUE!</v>
      </c>
      <c r="FE180" t="e">
        <f>AND(Bills!#REF!,"AAAAAH/Zv6A=")</f>
        <v>#REF!</v>
      </c>
      <c r="FF180" t="e">
        <f>AND(Bills!#REF!,"AAAAAH/Zv6E=")</f>
        <v>#REF!</v>
      </c>
      <c r="FG180" t="e">
        <f>AND(Bills!#REF!,"AAAAAH/Zv6I=")</f>
        <v>#REF!</v>
      </c>
      <c r="FH180" t="e">
        <f>AND(Bills!AA672,"AAAAAH/Zv6M=")</f>
        <v>#VALUE!</v>
      </c>
      <c r="FI180" t="e">
        <f>AND(Bills!AB672,"AAAAAH/Zv6Q=")</f>
        <v>#VALUE!</v>
      </c>
      <c r="FJ180" t="e">
        <f>AND(Bills!#REF!,"AAAAAH/Zv6U=")</f>
        <v>#REF!</v>
      </c>
      <c r="FK180">
        <f>IF(Bills!673:673,"AAAAAH/Zv6Y=",0)</f>
        <v>0</v>
      </c>
      <c r="FL180" t="e">
        <f>AND(Bills!B673,"AAAAAH/Zv6c=")</f>
        <v>#VALUE!</v>
      </c>
      <c r="FM180" t="e">
        <f>AND(Bills!#REF!,"AAAAAH/Zv6g=")</f>
        <v>#REF!</v>
      </c>
      <c r="FN180" t="e">
        <f>AND(Bills!C673,"AAAAAH/Zv6k=")</f>
        <v>#VALUE!</v>
      </c>
      <c r="FO180" t="e">
        <f>AND(Bills!#REF!,"AAAAAH/Zv6o=")</f>
        <v>#REF!</v>
      </c>
      <c r="FP180" t="e">
        <f>AND(Bills!#REF!,"AAAAAH/Zv6s=")</f>
        <v>#REF!</v>
      </c>
      <c r="FQ180" t="e">
        <f>AND(Bills!#REF!,"AAAAAH/Zv6w=")</f>
        <v>#REF!</v>
      </c>
      <c r="FR180" t="e">
        <f>AND(Bills!#REF!,"AAAAAH/Zv60=")</f>
        <v>#REF!</v>
      </c>
      <c r="FS180" t="e">
        <f>AND(Bills!#REF!,"AAAAAH/Zv64=")</f>
        <v>#REF!</v>
      </c>
      <c r="FT180" t="e">
        <f>AND(Bills!D673,"AAAAAH/Zv68=")</f>
        <v>#VALUE!</v>
      </c>
      <c r="FU180" t="e">
        <f>AND(Bills!#REF!,"AAAAAH/Zv7A=")</f>
        <v>#REF!</v>
      </c>
      <c r="FV180" t="e">
        <f>AND(Bills!E673,"AAAAAH/Zv7E=")</f>
        <v>#VALUE!</v>
      </c>
      <c r="FW180" t="e">
        <f>AND(Bills!F673,"AAAAAH/Zv7I=")</f>
        <v>#VALUE!</v>
      </c>
      <c r="FX180" t="e">
        <f>AND(Bills!G673,"AAAAAH/Zv7M=")</f>
        <v>#VALUE!</v>
      </c>
      <c r="FY180" t="e">
        <f>AND(Bills!H673,"AAAAAH/Zv7Q=")</f>
        <v>#VALUE!</v>
      </c>
      <c r="FZ180" t="e">
        <f>AND(Bills!I673,"AAAAAH/Zv7U=")</f>
        <v>#VALUE!</v>
      </c>
      <c r="GA180" t="e">
        <f>AND(Bills!J673,"AAAAAH/Zv7Y=")</f>
        <v>#VALUE!</v>
      </c>
      <c r="GB180" t="e">
        <f>AND(Bills!#REF!,"AAAAAH/Zv7c=")</f>
        <v>#REF!</v>
      </c>
      <c r="GC180" t="e">
        <f>AND(Bills!K673,"AAAAAH/Zv7g=")</f>
        <v>#VALUE!</v>
      </c>
      <c r="GD180" t="e">
        <f>AND(Bills!L673,"AAAAAH/Zv7k=")</f>
        <v>#VALUE!</v>
      </c>
      <c r="GE180" t="e">
        <f>AND(Bills!M673,"AAAAAH/Zv7o=")</f>
        <v>#VALUE!</v>
      </c>
      <c r="GF180" t="e">
        <f>AND(Bills!N673,"AAAAAH/Zv7s=")</f>
        <v>#VALUE!</v>
      </c>
      <c r="GG180" t="e">
        <f>AND(Bills!O673,"AAAAAH/Zv7w=")</f>
        <v>#VALUE!</v>
      </c>
      <c r="GH180" t="e">
        <f>AND(Bills!P673,"AAAAAH/Zv70=")</f>
        <v>#VALUE!</v>
      </c>
      <c r="GI180" t="e">
        <f>AND(Bills!Q673,"AAAAAH/Zv74=")</f>
        <v>#VALUE!</v>
      </c>
      <c r="GJ180" t="e">
        <f>AND(Bills!R673,"AAAAAH/Zv78=")</f>
        <v>#VALUE!</v>
      </c>
      <c r="GK180" t="e">
        <f>AND(Bills!#REF!,"AAAAAH/Zv8A=")</f>
        <v>#REF!</v>
      </c>
      <c r="GL180" t="e">
        <f>AND(Bills!S673,"AAAAAH/Zv8E=")</f>
        <v>#VALUE!</v>
      </c>
      <c r="GM180" t="e">
        <f>AND(Bills!T673,"AAAAAH/Zv8I=")</f>
        <v>#VALUE!</v>
      </c>
      <c r="GN180" t="e">
        <f>AND(Bills!U673,"AAAAAH/Zv8M=")</f>
        <v>#VALUE!</v>
      </c>
      <c r="GO180" t="e">
        <f>AND(Bills!#REF!,"AAAAAH/Zv8Q=")</f>
        <v>#REF!</v>
      </c>
      <c r="GP180" t="e">
        <f>AND(Bills!#REF!,"AAAAAH/Zv8U=")</f>
        <v>#REF!</v>
      </c>
      <c r="GQ180" t="e">
        <f>AND(Bills!W673,"AAAAAH/Zv8Y=")</f>
        <v>#VALUE!</v>
      </c>
      <c r="GR180" t="e">
        <f>AND(Bills!X673,"AAAAAH/Zv8c=")</f>
        <v>#VALUE!</v>
      </c>
      <c r="GS180" t="e">
        <f>AND(Bills!#REF!,"AAAAAH/Zv8g=")</f>
        <v>#REF!</v>
      </c>
      <c r="GT180" t="e">
        <f>AND(Bills!#REF!,"AAAAAH/Zv8k=")</f>
        <v>#REF!</v>
      </c>
      <c r="GU180" t="e">
        <f>AND(Bills!#REF!,"AAAAAH/Zv8o=")</f>
        <v>#REF!</v>
      </c>
      <c r="GV180" t="e">
        <f>AND(Bills!#REF!,"AAAAAH/Zv8s=")</f>
        <v>#REF!</v>
      </c>
      <c r="GW180" t="e">
        <f>AND(Bills!#REF!,"AAAAAH/Zv8w=")</f>
        <v>#REF!</v>
      </c>
      <c r="GX180" t="e">
        <f>AND(Bills!#REF!,"AAAAAH/Zv80=")</f>
        <v>#REF!</v>
      </c>
      <c r="GY180" t="e">
        <f>AND(Bills!#REF!,"AAAAAH/Zv84=")</f>
        <v>#REF!</v>
      </c>
      <c r="GZ180" t="e">
        <f>AND(Bills!#REF!,"AAAAAH/Zv88=")</f>
        <v>#REF!</v>
      </c>
      <c r="HA180" t="e">
        <f>AND(Bills!#REF!,"AAAAAH/Zv9A=")</f>
        <v>#REF!</v>
      </c>
      <c r="HB180" t="e">
        <f>AND(Bills!Y673,"AAAAAH/Zv9E=")</f>
        <v>#VALUE!</v>
      </c>
      <c r="HC180" t="e">
        <f>AND(Bills!Z673,"AAAAAH/Zv9I=")</f>
        <v>#VALUE!</v>
      </c>
      <c r="HD180" t="e">
        <f>AND(Bills!#REF!,"AAAAAH/Zv9M=")</f>
        <v>#REF!</v>
      </c>
      <c r="HE180" t="e">
        <f>AND(Bills!#REF!,"AAAAAH/Zv9Q=")</f>
        <v>#REF!</v>
      </c>
      <c r="HF180" t="e">
        <f>AND(Bills!#REF!,"AAAAAH/Zv9U=")</f>
        <v>#REF!</v>
      </c>
      <c r="HG180" t="e">
        <f>AND(Bills!AA673,"AAAAAH/Zv9Y=")</f>
        <v>#VALUE!</v>
      </c>
      <c r="HH180" t="e">
        <f>AND(Bills!AB673,"AAAAAH/Zv9c=")</f>
        <v>#VALUE!</v>
      </c>
      <c r="HI180" t="e">
        <f>AND(Bills!#REF!,"AAAAAH/Zv9g=")</f>
        <v>#REF!</v>
      </c>
      <c r="HJ180">
        <f>IF(Bills!674:674,"AAAAAH/Zv9k=",0)</f>
        <v>0</v>
      </c>
      <c r="HK180" t="e">
        <f>AND(Bills!B674,"AAAAAH/Zv9o=")</f>
        <v>#VALUE!</v>
      </c>
      <c r="HL180" t="e">
        <f>AND(Bills!#REF!,"AAAAAH/Zv9s=")</f>
        <v>#REF!</v>
      </c>
      <c r="HM180" t="e">
        <f>AND(Bills!C674,"AAAAAH/Zv9w=")</f>
        <v>#VALUE!</v>
      </c>
      <c r="HN180" t="e">
        <f>AND(Bills!#REF!,"AAAAAH/Zv90=")</f>
        <v>#REF!</v>
      </c>
      <c r="HO180" t="e">
        <f>AND(Bills!#REF!,"AAAAAH/Zv94=")</f>
        <v>#REF!</v>
      </c>
      <c r="HP180" t="e">
        <f>AND(Bills!#REF!,"AAAAAH/Zv98=")</f>
        <v>#REF!</v>
      </c>
      <c r="HQ180" t="e">
        <f>AND(Bills!#REF!,"AAAAAH/Zv+A=")</f>
        <v>#REF!</v>
      </c>
      <c r="HR180" t="e">
        <f>AND(Bills!#REF!,"AAAAAH/Zv+E=")</f>
        <v>#REF!</v>
      </c>
      <c r="HS180" t="e">
        <f>AND(Bills!D674,"AAAAAH/Zv+I=")</f>
        <v>#VALUE!</v>
      </c>
      <c r="HT180" t="e">
        <f>AND(Bills!#REF!,"AAAAAH/Zv+M=")</f>
        <v>#REF!</v>
      </c>
      <c r="HU180" t="e">
        <f>AND(Bills!E674,"AAAAAH/Zv+Q=")</f>
        <v>#VALUE!</v>
      </c>
      <c r="HV180" t="e">
        <f>AND(Bills!F674,"AAAAAH/Zv+U=")</f>
        <v>#VALUE!</v>
      </c>
      <c r="HW180" t="e">
        <f>AND(Bills!G674,"AAAAAH/Zv+Y=")</f>
        <v>#VALUE!</v>
      </c>
      <c r="HX180" t="e">
        <f>AND(Bills!H674,"AAAAAH/Zv+c=")</f>
        <v>#VALUE!</v>
      </c>
      <c r="HY180" t="e">
        <f>AND(Bills!I674,"AAAAAH/Zv+g=")</f>
        <v>#VALUE!</v>
      </c>
      <c r="HZ180" t="e">
        <f>AND(Bills!J674,"AAAAAH/Zv+k=")</f>
        <v>#VALUE!</v>
      </c>
      <c r="IA180" t="e">
        <f>AND(Bills!#REF!,"AAAAAH/Zv+o=")</f>
        <v>#REF!</v>
      </c>
      <c r="IB180" t="e">
        <f>AND(Bills!K674,"AAAAAH/Zv+s=")</f>
        <v>#VALUE!</v>
      </c>
      <c r="IC180" t="e">
        <f>AND(Bills!L674,"AAAAAH/Zv+w=")</f>
        <v>#VALUE!</v>
      </c>
      <c r="ID180" t="e">
        <f>AND(Bills!M674,"AAAAAH/Zv+0=")</f>
        <v>#VALUE!</v>
      </c>
      <c r="IE180" t="e">
        <f>AND(Bills!N674,"AAAAAH/Zv+4=")</f>
        <v>#VALUE!</v>
      </c>
      <c r="IF180" t="e">
        <f>AND(Bills!O674,"AAAAAH/Zv+8=")</f>
        <v>#VALUE!</v>
      </c>
      <c r="IG180" t="e">
        <f>AND(Bills!P674,"AAAAAH/Zv/A=")</f>
        <v>#VALUE!</v>
      </c>
      <c r="IH180" t="e">
        <f>AND(Bills!Q674,"AAAAAH/Zv/E=")</f>
        <v>#VALUE!</v>
      </c>
      <c r="II180" t="e">
        <f>AND(Bills!R674,"AAAAAH/Zv/I=")</f>
        <v>#VALUE!</v>
      </c>
      <c r="IJ180" t="e">
        <f>AND(Bills!#REF!,"AAAAAH/Zv/M=")</f>
        <v>#REF!</v>
      </c>
      <c r="IK180" t="e">
        <f>AND(Bills!S674,"AAAAAH/Zv/Q=")</f>
        <v>#VALUE!</v>
      </c>
      <c r="IL180" t="e">
        <f>AND(Bills!T674,"AAAAAH/Zv/U=")</f>
        <v>#VALUE!</v>
      </c>
      <c r="IM180" t="e">
        <f>AND(Bills!U674,"AAAAAH/Zv/Y=")</f>
        <v>#VALUE!</v>
      </c>
      <c r="IN180" t="e">
        <f>AND(Bills!#REF!,"AAAAAH/Zv/c=")</f>
        <v>#REF!</v>
      </c>
      <c r="IO180" t="e">
        <f>AND(Bills!#REF!,"AAAAAH/Zv/g=")</f>
        <v>#REF!</v>
      </c>
      <c r="IP180" t="e">
        <f>AND(Bills!W674,"AAAAAH/Zv/k=")</f>
        <v>#VALUE!</v>
      </c>
      <c r="IQ180" t="e">
        <f>AND(Bills!X674,"AAAAAH/Zv/o=")</f>
        <v>#VALUE!</v>
      </c>
      <c r="IR180" t="e">
        <f>AND(Bills!#REF!,"AAAAAH/Zv/s=")</f>
        <v>#REF!</v>
      </c>
      <c r="IS180" t="e">
        <f>AND(Bills!#REF!,"AAAAAH/Zv/w=")</f>
        <v>#REF!</v>
      </c>
      <c r="IT180" t="e">
        <f>AND(Bills!#REF!,"AAAAAH/Zv/0=")</f>
        <v>#REF!</v>
      </c>
      <c r="IU180" t="e">
        <f>AND(Bills!#REF!,"AAAAAH/Zv/4=")</f>
        <v>#REF!</v>
      </c>
      <c r="IV180" t="e">
        <f>AND(Bills!#REF!,"AAAAAH/Zv/8=")</f>
        <v>#REF!</v>
      </c>
    </row>
    <row r="181" spans="1:256">
      <c r="A181" t="e">
        <f>AND(Bills!#REF!,"AAAAAH79yQA=")</f>
        <v>#REF!</v>
      </c>
      <c r="B181" t="e">
        <f>AND(Bills!#REF!,"AAAAAH79yQE=")</f>
        <v>#REF!</v>
      </c>
      <c r="C181" t="e">
        <f>AND(Bills!#REF!,"AAAAAH79yQI=")</f>
        <v>#REF!</v>
      </c>
      <c r="D181" t="e">
        <f>AND(Bills!#REF!,"AAAAAH79yQM=")</f>
        <v>#REF!</v>
      </c>
      <c r="E181" t="e">
        <f>AND(Bills!Y674,"AAAAAH79yQQ=")</f>
        <v>#VALUE!</v>
      </c>
      <c r="F181" t="e">
        <f>AND(Bills!Z674,"AAAAAH79yQU=")</f>
        <v>#VALUE!</v>
      </c>
      <c r="G181" t="e">
        <f>AND(Bills!#REF!,"AAAAAH79yQY=")</f>
        <v>#REF!</v>
      </c>
      <c r="H181" t="e">
        <f>AND(Bills!#REF!,"AAAAAH79yQc=")</f>
        <v>#REF!</v>
      </c>
      <c r="I181" t="e">
        <f>AND(Bills!#REF!,"AAAAAH79yQg=")</f>
        <v>#REF!</v>
      </c>
      <c r="J181" t="e">
        <f>AND(Bills!AA674,"AAAAAH79yQk=")</f>
        <v>#VALUE!</v>
      </c>
      <c r="K181" t="e">
        <f>AND(Bills!AB674,"AAAAAH79yQo=")</f>
        <v>#VALUE!</v>
      </c>
      <c r="L181" t="e">
        <f>AND(Bills!#REF!,"AAAAAH79yQs=")</f>
        <v>#REF!</v>
      </c>
      <c r="M181">
        <f>IF(Bills!675:675,"AAAAAH79yQw=",0)</f>
        <v>0</v>
      </c>
      <c r="N181" t="e">
        <f>AND(Bills!B675,"AAAAAH79yQ0=")</f>
        <v>#VALUE!</v>
      </c>
      <c r="O181" t="e">
        <f>AND(Bills!#REF!,"AAAAAH79yQ4=")</f>
        <v>#REF!</v>
      </c>
      <c r="P181" t="e">
        <f>AND(Bills!C675,"AAAAAH79yQ8=")</f>
        <v>#VALUE!</v>
      </c>
      <c r="Q181" t="e">
        <f>AND(Bills!#REF!,"AAAAAH79yRA=")</f>
        <v>#REF!</v>
      </c>
      <c r="R181" t="e">
        <f>AND(Bills!#REF!,"AAAAAH79yRE=")</f>
        <v>#REF!</v>
      </c>
      <c r="S181" t="e">
        <f>AND(Bills!#REF!,"AAAAAH79yRI=")</f>
        <v>#REF!</v>
      </c>
      <c r="T181" t="e">
        <f>AND(Bills!#REF!,"AAAAAH79yRM=")</f>
        <v>#REF!</v>
      </c>
      <c r="U181" t="e">
        <f>AND(Bills!#REF!,"AAAAAH79yRQ=")</f>
        <v>#REF!</v>
      </c>
      <c r="V181" t="e">
        <f>AND(Bills!D675,"AAAAAH79yRU=")</f>
        <v>#VALUE!</v>
      </c>
      <c r="W181" t="e">
        <f>AND(Bills!#REF!,"AAAAAH79yRY=")</f>
        <v>#REF!</v>
      </c>
      <c r="X181" t="e">
        <f>AND(Bills!E675,"AAAAAH79yRc=")</f>
        <v>#VALUE!</v>
      </c>
      <c r="Y181" t="e">
        <f>AND(Bills!F675,"AAAAAH79yRg=")</f>
        <v>#VALUE!</v>
      </c>
      <c r="Z181" t="e">
        <f>AND(Bills!G675,"AAAAAH79yRk=")</f>
        <v>#VALUE!</v>
      </c>
      <c r="AA181" t="e">
        <f>AND(Bills!H675,"AAAAAH79yRo=")</f>
        <v>#VALUE!</v>
      </c>
      <c r="AB181" t="e">
        <f>AND(Bills!I675,"AAAAAH79yRs=")</f>
        <v>#VALUE!</v>
      </c>
      <c r="AC181" t="e">
        <f>AND(Bills!J675,"AAAAAH79yRw=")</f>
        <v>#VALUE!</v>
      </c>
      <c r="AD181" t="e">
        <f>AND(Bills!#REF!,"AAAAAH79yR0=")</f>
        <v>#REF!</v>
      </c>
      <c r="AE181" t="e">
        <f>AND(Bills!K675,"AAAAAH79yR4=")</f>
        <v>#VALUE!</v>
      </c>
      <c r="AF181" t="e">
        <f>AND(Bills!L675,"AAAAAH79yR8=")</f>
        <v>#VALUE!</v>
      </c>
      <c r="AG181" t="e">
        <f>AND(Bills!M675,"AAAAAH79ySA=")</f>
        <v>#VALUE!</v>
      </c>
      <c r="AH181" t="e">
        <f>AND(Bills!N675,"AAAAAH79ySE=")</f>
        <v>#VALUE!</v>
      </c>
      <c r="AI181" t="e">
        <f>AND(Bills!O675,"AAAAAH79ySI=")</f>
        <v>#VALUE!</v>
      </c>
      <c r="AJ181" t="e">
        <f>AND(Bills!P675,"AAAAAH79ySM=")</f>
        <v>#VALUE!</v>
      </c>
      <c r="AK181" t="e">
        <f>AND(Bills!Q675,"AAAAAH79ySQ=")</f>
        <v>#VALUE!</v>
      </c>
      <c r="AL181" t="e">
        <f>AND(Bills!R675,"AAAAAH79ySU=")</f>
        <v>#VALUE!</v>
      </c>
      <c r="AM181" t="e">
        <f>AND(Bills!#REF!,"AAAAAH79ySY=")</f>
        <v>#REF!</v>
      </c>
      <c r="AN181" t="e">
        <f>AND(Bills!S675,"AAAAAH79ySc=")</f>
        <v>#VALUE!</v>
      </c>
      <c r="AO181" t="e">
        <f>AND(Bills!T675,"AAAAAH79ySg=")</f>
        <v>#VALUE!</v>
      </c>
      <c r="AP181" t="e">
        <f>AND(Bills!U675,"AAAAAH79ySk=")</f>
        <v>#VALUE!</v>
      </c>
      <c r="AQ181" t="e">
        <f>AND(Bills!#REF!,"AAAAAH79ySo=")</f>
        <v>#REF!</v>
      </c>
      <c r="AR181" t="e">
        <f>AND(Bills!#REF!,"AAAAAH79ySs=")</f>
        <v>#REF!</v>
      </c>
      <c r="AS181" t="e">
        <f>AND(Bills!W675,"AAAAAH79ySw=")</f>
        <v>#VALUE!</v>
      </c>
      <c r="AT181" t="e">
        <f>AND(Bills!X675,"AAAAAH79yS0=")</f>
        <v>#VALUE!</v>
      </c>
      <c r="AU181" t="e">
        <f>AND(Bills!#REF!,"AAAAAH79yS4=")</f>
        <v>#REF!</v>
      </c>
      <c r="AV181" t="e">
        <f>AND(Bills!#REF!,"AAAAAH79yS8=")</f>
        <v>#REF!</v>
      </c>
      <c r="AW181" t="e">
        <f>AND(Bills!#REF!,"AAAAAH79yTA=")</f>
        <v>#REF!</v>
      </c>
      <c r="AX181" t="e">
        <f>AND(Bills!#REF!,"AAAAAH79yTE=")</f>
        <v>#REF!</v>
      </c>
      <c r="AY181" t="e">
        <f>AND(Bills!#REF!,"AAAAAH79yTI=")</f>
        <v>#REF!</v>
      </c>
      <c r="AZ181" t="e">
        <f>AND(Bills!#REF!,"AAAAAH79yTM=")</f>
        <v>#REF!</v>
      </c>
      <c r="BA181" t="e">
        <f>AND(Bills!#REF!,"AAAAAH79yTQ=")</f>
        <v>#REF!</v>
      </c>
      <c r="BB181" t="e">
        <f>AND(Bills!#REF!,"AAAAAH79yTU=")</f>
        <v>#REF!</v>
      </c>
      <c r="BC181" t="e">
        <f>AND(Bills!#REF!,"AAAAAH79yTY=")</f>
        <v>#REF!</v>
      </c>
      <c r="BD181" t="e">
        <f>AND(Bills!Y675,"AAAAAH79yTc=")</f>
        <v>#VALUE!</v>
      </c>
      <c r="BE181" t="e">
        <f>AND(Bills!Z675,"AAAAAH79yTg=")</f>
        <v>#VALUE!</v>
      </c>
      <c r="BF181" t="e">
        <f>AND(Bills!#REF!,"AAAAAH79yTk=")</f>
        <v>#REF!</v>
      </c>
      <c r="BG181" t="e">
        <f>AND(Bills!#REF!,"AAAAAH79yTo=")</f>
        <v>#REF!</v>
      </c>
      <c r="BH181" t="e">
        <f>AND(Bills!#REF!,"AAAAAH79yTs=")</f>
        <v>#REF!</v>
      </c>
      <c r="BI181" t="e">
        <f>AND(Bills!AA675,"AAAAAH79yTw=")</f>
        <v>#VALUE!</v>
      </c>
      <c r="BJ181" t="e">
        <f>AND(Bills!AB675,"AAAAAH79yT0=")</f>
        <v>#VALUE!</v>
      </c>
      <c r="BK181" t="e">
        <f>AND(Bills!#REF!,"AAAAAH79yT4=")</f>
        <v>#REF!</v>
      </c>
      <c r="BL181">
        <f>IF(Bills!676:676,"AAAAAH79yT8=",0)</f>
        <v>0</v>
      </c>
      <c r="BM181" t="e">
        <f>AND(Bills!B676,"AAAAAH79yUA=")</f>
        <v>#VALUE!</v>
      </c>
      <c r="BN181" t="e">
        <f>AND(Bills!#REF!,"AAAAAH79yUE=")</f>
        <v>#REF!</v>
      </c>
      <c r="BO181" t="e">
        <f>AND(Bills!C676,"AAAAAH79yUI=")</f>
        <v>#VALUE!</v>
      </c>
      <c r="BP181" t="e">
        <f>AND(Bills!#REF!,"AAAAAH79yUM=")</f>
        <v>#REF!</v>
      </c>
      <c r="BQ181" t="e">
        <f>AND(Bills!#REF!,"AAAAAH79yUQ=")</f>
        <v>#REF!</v>
      </c>
      <c r="BR181" t="e">
        <f>AND(Bills!#REF!,"AAAAAH79yUU=")</f>
        <v>#REF!</v>
      </c>
      <c r="BS181" t="e">
        <f>AND(Bills!#REF!,"AAAAAH79yUY=")</f>
        <v>#REF!</v>
      </c>
      <c r="BT181" t="e">
        <f>AND(Bills!#REF!,"AAAAAH79yUc=")</f>
        <v>#REF!</v>
      </c>
      <c r="BU181" t="e">
        <f>AND(Bills!D676,"AAAAAH79yUg=")</f>
        <v>#VALUE!</v>
      </c>
      <c r="BV181" t="e">
        <f>AND(Bills!#REF!,"AAAAAH79yUk=")</f>
        <v>#REF!</v>
      </c>
      <c r="BW181" t="e">
        <f>AND(Bills!E676,"AAAAAH79yUo=")</f>
        <v>#VALUE!</v>
      </c>
      <c r="BX181" t="e">
        <f>AND(Bills!F676,"AAAAAH79yUs=")</f>
        <v>#VALUE!</v>
      </c>
      <c r="BY181" t="e">
        <f>AND(Bills!G676,"AAAAAH79yUw=")</f>
        <v>#VALUE!</v>
      </c>
      <c r="BZ181" t="e">
        <f>AND(Bills!H676,"AAAAAH79yU0=")</f>
        <v>#VALUE!</v>
      </c>
      <c r="CA181" t="e">
        <f>AND(Bills!I676,"AAAAAH79yU4=")</f>
        <v>#VALUE!</v>
      </c>
      <c r="CB181" t="e">
        <f>AND(Bills!J676,"AAAAAH79yU8=")</f>
        <v>#VALUE!</v>
      </c>
      <c r="CC181" t="e">
        <f>AND(Bills!#REF!,"AAAAAH79yVA=")</f>
        <v>#REF!</v>
      </c>
      <c r="CD181" t="e">
        <f>AND(Bills!K676,"AAAAAH79yVE=")</f>
        <v>#VALUE!</v>
      </c>
      <c r="CE181" t="e">
        <f>AND(Bills!L676,"AAAAAH79yVI=")</f>
        <v>#VALUE!</v>
      </c>
      <c r="CF181" t="e">
        <f>AND(Bills!M676,"AAAAAH79yVM=")</f>
        <v>#VALUE!</v>
      </c>
      <c r="CG181" t="e">
        <f>AND(Bills!N676,"AAAAAH79yVQ=")</f>
        <v>#VALUE!</v>
      </c>
      <c r="CH181" t="e">
        <f>AND(Bills!O676,"AAAAAH79yVU=")</f>
        <v>#VALUE!</v>
      </c>
      <c r="CI181" t="e">
        <f>AND(Bills!P676,"AAAAAH79yVY=")</f>
        <v>#VALUE!</v>
      </c>
      <c r="CJ181" t="e">
        <f>AND(Bills!Q676,"AAAAAH79yVc=")</f>
        <v>#VALUE!</v>
      </c>
      <c r="CK181" t="e">
        <f>AND(Bills!R676,"AAAAAH79yVg=")</f>
        <v>#VALUE!</v>
      </c>
      <c r="CL181" t="e">
        <f>AND(Bills!#REF!,"AAAAAH79yVk=")</f>
        <v>#REF!</v>
      </c>
      <c r="CM181" t="e">
        <f>AND(Bills!S676,"AAAAAH79yVo=")</f>
        <v>#VALUE!</v>
      </c>
      <c r="CN181" t="e">
        <f>AND(Bills!T676,"AAAAAH79yVs=")</f>
        <v>#VALUE!</v>
      </c>
      <c r="CO181" t="e">
        <f>AND(Bills!U676,"AAAAAH79yVw=")</f>
        <v>#VALUE!</v>
      </c>
      <c r="CP181" t="e">
        <f>AND(Bills!#REF!,"AAAAAH79yV0=")</f>
        <v>#REF!</v>
      </c>
      <c r="CQ181" t="e">
        <f>AND(Bills!#REF!,"AAAAAH79yV4=")</f>
        <v>#REF!</v>
      </c>
      <c r="CR181" t="e">
        <f>AND(Bills!W676,"AAAAAH79yV8=")</f>
        <v>#VALUE!</v>
      </c>
      <c r="CS181" t="e">
        <f>AND(Bills!X676,"AAAAAH79yWA=")</f>
        <v>#VALUE!</v>
      </c>
      <c r="CT181" t="e">
        <f>AND(Bills!#REF!,"AAAAAH79yWE=")</f>
        <v>#REF!</v>
      </c>
      <c r="CU181" t="e">
        <f>AND(Bills!#REF!,"AAAAAH79yWI=")</f>
        <v>#REF!</v>
      </c>
      <c r="CV181" t="e">
        <f>AND(Bills!#REF!,"AAAAAH79yWM=")</f>
        <v>#REF!</v>
      </c>
      <c r="CW181" t="e">
        <f>AND(Bills!#REF!,"AAAAAH79yWQ=")</f>
        <v>#REF!</v>
      </c>
      <c r="CX181" t="e">
        <f>AND(Bills!#REF!,"AAAAAH79yWU=")</f>
        <v>#REF!</v>
      </c>
      <c r="CY181" t="e">
        <f>AND(Bills!#REF!,"AAAAAH79yWY=")</f>
        <v>#REF!</v>
      </c>
      <c r="CZ181" t="e">
        <f>AND(Bills!#REF!,"AAAAAH79yWc=")</f>
        <v>#REF!</v>
      </c>
      <c r="DA181" t="e">
        <f>AND(Bills!#REF!,"AAAAAH79yWg=")</f>
        <v>#REF!</v>
      </c>
      <c r="DB181" t="e">
        <f>AND(Bills!#REF!,"AAAAAH79yWk=")</f>
        <v>#REF!</v>
      </c>
      <c r="DC181" t="e">
        <f>AND(Bills!Y676,"AAAAAH79yWo=")</f>
        <v>#VALUE!</v>
      </c>
      <c r="DD181" t="e">
        <f>AND(Bills!Z676,"AAAAAH79yWs=")</f>
        <v>#VALUE!</v>
      </c>
      <c r="DE181" t="e">
        <f>AND(Bills!#REF!,"AAAAAH79yWw=")</f>
        <v>#REF!</v>
      </c>
      <c r="DF181" t="e">
        <f>AND(Bills!#REF!,"AAAAAH79yW0=")</f>
        <v>#REF!</v>
      </c>
      <c r="DG181" t="e">
        <f>AND(Bills!#REF!,"AAAAAH79yW4=")</f>
        <v>#REF!</v>
      </c>
      <c r="DH181" t="e">
        <f>AND(Bills!AA676,"AAAAAH79yW8=")</f>
        <v>#VALUE!</v>
      </c>
      <c r="DI181" t="e">
        <f>AND(Bills!AB676,"AAAAAH79yXA=")</f>
        <v>#VALUE!</v>
      </c>
      <c r="DJ181" t="e">
        <f>AND(Bills!#REF!,"AAAAAH79yXE=")</f>
        <v>#REF!</v>
      </c>
      <c r="DK181">
        <f>IF(Bills!677:677,"AAAAAH79yXI=",0)</f>
        <v>0</v>
      </c>
      <c r="DL181" t="e">
        <f>AND(Bills!B677,"AAAAAH79yXM=")</f>
        <v>#VALUE!</v>
      </c>
      <c r="DM181" t="e">
        <f>AND(Bills!#REF!,"AAAAAH79yXQ=")</f>
        <v>#REF!</v>
      </c>
      <c r="DN181" t="e">
        <f>AND(Bills!C677,"AAAAAH79yXU=")</f>
        <v>#VALUE!</v>
      </c>
      <c r="DO181" t="e">
        <f>AND(Bills!#REF!,"AAAAAH79yXY=")</f>
        <v>#REF!</v>
      </c>
      <c r="DP181" t="e">
        <f>AND(Bills!#REF!,"AAAAAH79yXc=")</f>
        <v>#REF!</v>
      </c>
      <c r="DQ181" t="e">
        <f>AND(Bills!#REF!,"AAAAAH79yXg=")</f>
        <v>#REF!</v>
      </c>
      <c r="DR181" t="e">
        <f>AND(Bills!#REF!,"AAAAAH79yXk=")</f>
        <v>#REF!</v>
      </c>
      <c r="DS181" t="e">
        <f>AND(Bills!#REF!,"AAAAAH79yXo=")</f>
        <v>#REF!</v>
      </c>
      <c r="DT181" t="e">
        <f>AND(Bills!D677,"AAAAAH79yXs=")</f>
        <v>#VALUE!</v>
      </c>
      <c r="DU181" t="e">
        <f>AND(Bills!#REF!,"AAAAAH79yXw=")</f>
        <v>#REF!</v>
      </c>
      <c r="DV181" t="e">
        <f>AND(Bills!E677,"AAAAAH79yX0=")</f>
        <v>#VALUE!</v>
      </c>
      <c r="DW181" t="e">
        <f>AND(Bills!F677,"AAAAAH79yX4=")</f>
        <v>#VALUE!</v>
      </c>
      <c r="DX181" t="e">
        <f>AND(Bills!G677,"AAAAAH79yX8=")</f>
        <v>#VALUE!</v>
      </c>
      <c r="DY181" t="e">
        <f>AND(Bills!H677,"AAAAAH79yYA=")</f>
        <v>#VALUE!</v>
      </c>
      <c r="DZ181" t="e">
        <f>AND(Bills!I677,"AAAAAH79yYE=")</f>
        <v>#VALUE!</v>
      </c>
      <c r="EA181" t="e">
        <f>AND(Bills!J677,"AAAAAH79yYI=")</f>
        <v>#VALUE!</v>
      </c>
      <c r="EB181" t="e">
        <f>AND(Bills!#REF!,"AAAAAH79yYM=")</f>
        <v>#REF!</v>
      </c>
      <c r="EC181" t="e">
        <f>AND(Bills!K677,"AAAAAH79yYQ=")</f>
        <v>#VALUE!</v>
      </c>
      <c r="ED181" t="e">
        <f>AND(Bills!L677,"AAAAAH79yYU=")</f>
        <v>#VALUE!</v>
      </c>
      <c r="EE181" t="e">
        <f>AND(Bills!M677,"AAAAAH79yYY=")</f>
        <v>#VALUE!</v>
      </c>
      <c r="EF181" t="e">
        <f>AND(Bills!N677,"AAAAAH79yYc=")</f>
        <v>#VALUE!</v>
      </c>
      <c r="EG181" t="e">
        <f>AND(Bills!O677,"AAAAAH79yYg=")</f>
        <v>#VALUE!</v>
      </c>
      <c r="EH181" t="e">
        <f>AND(Bills!P677,"AAAAAH79yYk=")</f>
        <v>#VALUE!</v>
      </c>
      <c r="EI181" t="e">
        <f>AND(Bills!Q677,"AAAAAH79yYo=")</f>
        <v>#VALUE!</v>
      </c>
      <c r="EJ181" t="e">
        <f>AND(Bills!R677,"AAAAAH79yYs=")</f>
        <v>#VALUE!</v>
      </c>
      <c r="EK181" t="e">
        <f>AND(Bills!#REF!,"AAAAAH79yYw=")</f>
        <v>#REF!</v>
      </c>
      <c r="EL181" t="e">
        <f>AND(Bills!S677,"AAAAAH79yY0=")</f>
        <v>#VALUE!</v>
      </c>
      <c r="EM181" t="e">
        <f>AND(Bills!T677,"AAAAAH79yY4=")</f>
        <v>#VALUE!</v>
      </c>
      <c r="EN181" t="e">
        <f>AND(Bills!U677,"AAAAAH79yY8=")</f>
        <v>#VALUE!</v>
      </c>
      <c r="EO181" t="e">
        <f>AND(Bills!#REF!,"AAAAAH79yZA=")</f>
        <v>#REF!</v>
      </c>
      <c r="EP181" t="e">
        <f>AND(Bills!#REF!,"AAAAAH79yZE=")</f>
        <v>#REF!</v>
      </c>
      <c r="EQ181" t="e">
        <f>AND(Bills!W677,"AAAAAH79yZI=")</f>
        <v>#VALUE!</v>
      </c>
      <c r="ER181" t="e">
        <f>AND(Bills!X677,"AAAAAH79yZM=")</f>
        <v>#VALUE!</v>
      </c>
      <c r="ES181" t="e">
        <f>AND(Bills!#REF!,"AAAAAH79yZQ=")</f>
        <v>#REF!</v>
      </c>
      <c r="ET181" t="e">
        <f>AND(Bills!#REF!,"AAAAAH79yZU=")</f>
        <v>#REF!</v>
      </c>
      <c r="EU181" t="e">
        <f>AND(Bills!#REF!,"AAAAAH79yZY=")</f>
        <v>#REF!</v>
      </c>
      <c r="EV181" t="e">
        <f>AND(Bills!#REF!,"AAAAAH79yZc=")</f>
        <v>#REF!</v>
      </c>
      <c r="EW181" t="e">
        <f>AND(Bills!#REF!,"AAAAAH79yZg=")</f>
        <v>#REF!</v>
      </c>
      <c r="EX181" t="e">
        <f>AND(Bills!#REF!,"AAAAAH79yZk=")</f>
        <v>#REF!</v>
      </c>
      <c r="EY181" t="e">
        <f>AND(Bills!#REF!,"AAAAAH79yZo=")</f>
        <v>#REF!</v>
      </c>
      <c r="EZ181" t="e">
        <f>AND(Bills!#REF!,"AAAAAH79yZs=")</f>
        <v>#REF!</v>
      </c>
      <c r="FA181" t="e">
        <f>AND(Bills!#REF!,"AAAAAH79yZw=")</f>
        <v>#REF!</v>
      </c>
      <c r="FB181" t="e">
        <f>AND(Bills!Y677,"AAAAAH79yZ0=")</f>
        <v>#VALUE!</v>
      </c>
      <c r="FC181" t="e">
        <f>AND(Bills!Z677,"AAAAAH79yZ4=")</f>
        <v>#VALUE!</v>
      </c>
      <c r="FD181" t="e">
        <f>AND(Bills!#REF!,"AAAAAH79yZ8=")</f>
        <v>#REF!</v>
      </c>
      <c r="FE181" t="e">
        <f>AND(Bills!#REF!,"AAAAAH79yaA=")</f>
        <v>#REF!</v>
      </c>
      <c r="FF181" t="e">
        <f>AND(Bills!#REF!,"AAAAAH79yaE=")</f>
        <v>#REF!</v>
      </c>
      <c r="FG181" t="e">
        <f>AND(Bills!AA677,"AAAAAH79yaI=")</f>
        <v>#VALUE!</v>
      </c>
      <c r="FH181" t="e">
        <f>AND(Bills!AB677,"AAAAAH79yaM=")</f>
        <v>#VALUE!</v>
      </c>
      <c r="FI181" t="e">
        <f>AND(Bills!#REF!,"AAAAAH79yaQ=")</f>
        <v>#REF!</v>
      </c>
      <c r="FJ181">
        <f>IF(Bills!678:678,"AAAAAH79yaU=",0)</f>
        <v>0</v>
      </c>
      <c r="FK181" t="e">
        <f>AND(Bills!B678,"AAAAAH79yaY=")</f>
        <v>#VALUE!</v>
      </c>
      <c r="FL181" t="e">
        <f>AND(Bills!#REF!,"AAAAAH79yac=")</f>
        <v>#REF!</v>
      </c>
      <c r="FM181" t="e">
        <f>AND(Bills!C678,"AAAAAH79yag=")</f>
        <v>#VALUE!</v>
      </c>
      <c r="FN181" t="e">
        <f>AND(Bills!#REF!,"AAAAAH79yak=")</f>
        <v>#REF!</v>
      </c>
      <c r="FO181" t="e">
        <f>AND(Bills!#REF!,"AAAAAH79yao=")</f>
        <v>#REF!</v>
      </c>
      <c r="FP181" t="e">
        <f>AND(Bills!#REF!,"AAAAAH79yas=")</f>
        <v>#REF!</v>
      </c>
      <c r="FQ181" t="e">
        <f>AND(Bills!#REF!,"AAAAAH79yaw=")</f>
        <v>#REF!</v>
      </c>
      <c r="FR181" t="e">
        <f>AND(Bills!#REF!,"AAAAAH79ya0=")</f>
        <v>#REF!</v>
      </c>
      <c r="FS181" t="e">
        <f>AND(Bills!D678,"AAAAAH79ya4=")</f>
        <v>#VALUE!</v>
      </c>
      <c r="FT181" t="e">
        <f>AND(Bills!#REF!,"AAAAAH79ya8=")</f>
        <v>#REF!</v>
      </c>
      <c r="FU181" t="e">
        <f>AND(Bills!E678,"AAAAAH79ybA=")</f>
        <v>#VALUE!</v>
      </c>
      <c r="FV181" t="e">
        <f>AND(Bills!F678,"AAAAAH79ybE=")</f>
        <v>#VALUE!</v>
      </c>
      <c r="FW181" t="e">
        <f>AND(Bills!G678,"AAAAAH79ybI=")</f>
        <v>#VALUE!</v>
      </c>
      <c r="FX181" t="e">
        <f>AND(Bills!H678,"AAAAAH79ybM=")</f>
        <v>#VALUE!</v>
      </c>
      <c r="FY181" t="e">
        <f>AND(Bills!I678,"AAAAAH79ybQ=")</f>
        <v>#VALUE!</v>
      </c>
      <c r="FZ181" t="e">
        <f>AND(Bills!J678,"AAAAAH79ybU=")</f>
        <v>#VALUE!</v>
      </c>
      <c r="GA181" t="e">
        <f>AND(Bills!#REF!,"AAAAAH79ybY=")</f>
        <v>#REF!</v>
      </c>
      <c r="GB181" t="e">
        <f>AND(Bills!K678,"AAAAAH79ybc=")</f>
        <v>#VALUE!</v>
      </c>
      <c r="GC181" t="e">
        <f>AND(Bills!L678,"AAAAAH79ybg=")</f>
        <v>#VALUE!</v>
      </c>
      <c r="GD181" t="e">
        <f>AND(Bills!M678,"AAAAAH79ybk=")</f>
        <v>#VALUE!</v>
      </c>
      <c r="GE181" t="e">
        <f>AND(Bills!N678,"AAAAAH79ybo=")</f>
        <v>#VALUE!</v>
      </c>
      <c r="GF181" t="e">
        <f>AND(Bills!O678,"AAAAAH79ybs=")</f>
        <v>#VALUE!</v>
      </c>
      <c r="GG181" t="e">
        <f>AND(Bills!P678,"AAAAAH79ybw=")</f>
        <v>#VALUE!</v>
      </c>
      <c r="GH181" t="e">
        <f>AND(Bills!Q678,"AAAAAH79yb0=")</f>
        <v>#VALUE!</v>
      </c>
      <c r="GI181" t="e">
        <f>AND(Bills!R678,"AAAAAH79yb4=")</f>
        <v>#VALUE!</v>
      </c>
      <c r="GJ181" t="e">
        <f>AND(Bills!#REF!,"AAAAAH79yb8=")</f>
        <v>#REF!</v>
      </c>
      <c r="GK181" t="e">
        <f>AND(Bills!S678,"AAAAAH79ycA=")</f>
        <v>#VALUE!</v>
      </c>
      <c r="GL181" t="e">
        <f>AND(Bills!T678,"AAAAAH79ycE=")</f>
        <v>#VALUE!</v>
      </c>
      <c r="GM181" t="e">
        <f>AND(Bills!U678,"AAAAAH79ycI=")</f>
        <v>#VALUE!</v>
      </c>
      <c r="GN181" t="e">
        <f>AND(Bills!#REF!,"AAAAAH79ycM=")</f>
        <v>#REF!</v>
      </c>
      <c r="GO181" t="e">
        <f>AND(Bills!#REF!,"AAAAAH79ycQ=")</f>
        <v>#REF!</v>
      </c>
      <c r="GP181" t="e">
        <f>AND(Bills!W678,"AAAAAH79ycU=")</f>
        <v>#VALUE!</v>
      </c>
      <c r="GQ181" t="e">
        <f>AND(Bills!X678,"AAAAAH79ycY=")</f>
        <v>#VALUE!</v>
      </c>
      <c r="GR181" t="e">
        <f>AND(Bills!#REF!,"AAAAAH79ycc=")</f>
        <v>#REF!</v>
      </c>
      <c r="GS181" t="e">
        <f>AND(Bills!#REF!,"AAAAAH79ycg=")</f>
        <v>#REF!</v>
      </c>
      <c r="GT181" t="e">
        <f>AND(Bills!#REF!,"AAAAAH79yck=")</f>
        <v>#REF!</v>
      </c>
      <c r="GU181" t="e">
        <f>AND(Bills!#REF!,"AAAAAH79yco=")</f>
        <v>#REF!</v>
      </c>
      <c r="GV181" t="e">
        <f>AND(Bills!#REF!,"AAAAAH79ycs=")</f>
        <v>#REF!</v>
      </c>
      <c r="GW181" t="e">
        <f>AND(Bills!#REF!,"AAAAAH79ycw=")</f>
        <v>#REF!</v>
      </c>
      <c r="GX181" t="e">
        <f>AND(Bills!#REF!,"AAAAAH79yc0=")</f>
        <v>#REF!</v>
      </c>
      <c r="GY181" t="e">
        <f>AND(Bills!#REF!,"AAAAAH79yc4=")</f>
        <v>#REF!</v>
      </c>
      <c r="GZ181" t="e">
        <f>AND(Bills!#REF!,"AAAAAH79yc8=")</f>
        <v>#REF!</v>
      </c>
      <c r="HA181" t="e">
        <f>AND(Bills!Y678,"AAAAAH79ydA=")</f>
        <v>#VALUE!</v>
      </c>
      <c r="HB181" t="e">
        <f>AND(Bills!Z678,"AAAAAH79ydE=")</f>
        <v>#VALUE!</v>
      </c>
      <c r="HC181" t="e">
        <f>AND(Bills!#REF!,"AAAAAH79ydI=")</f>
        <v>#REF!</v>
      </c>
      <c r="HD181" t="e">
        <f>AND(Bills!#REF!,"AAAAAH79ydM=")</f>
        <v>#REF!</v>
      </c>
      <c r="HE181" t="e">
        <f>AND(Bills!#REF!,"AAAAAH79ydQ=")</f>
        <v>#REF!</v>
      </c>
      <c r="HF181" t="e">
        <f>AND(Bills!AA678,"AAAAAH79ydU=")</f>
        <v>#VALUE!</v>
      </c>
      <c r="HG181" t="e">
        <f>AND(Bills!AB678,"AAAAAH79ydY=")</f>
        <v>#VALUE!</v>
      </c>
      <c r="HH181" t="e">
        <f>AND(Bills!#REF!,"AAAAAH79ydc=")</f>
        <v>#REF!</v>
      </c>
      <c r="HI181">
        <f>IF(Bills!679:679,"AAAAAH79ydg=",0)</f>
        <v>0</v>
      </c>
      <c r="HJ181" t="e">
        <f>AND(Bills!B679,"AAAAAH79ydk=")</f>
        <v>#VALUE!</v>
      </c>
      <c r="HK181" t="e">
        <f>AND(Bills!#REF!,"AAAAAH79ydo=")</f>
        <v>#REF!</v>
      </c>
      <c r="HL181" t="e">
        <f>AND(Bills!C679,"AAAAAH79yds=")</f>
        <v>#VALUE!</v>
      </c>
      <c r="HM181" t="e">
        <f>AND(Bills!#REF!,"AAAAAH79ydw=")</f>
        <v>#REF!</v>
      </c>
      <c r="HN181" t="e">
        <f>AND(Bills!#REF!,"AAAAAH79yd0=")</f>
        <v>#REF!</v>
      </c>
      <c r="HO181" t="e">
        <f>AND(Bills!#REF!,"AAAAAH79yd4=")</f>
        <v>#REF!</v>
      </c>
      <c r="HP181" t="e">
        <f>AND(Bills!#REF!,"AAAAAH79yd8=")</f>
        <v>#REF!</v>
      </c>
      <c r="HQ181" t="e">
        <f>AND(Bills!#REF!,"AAAAAH79yeA=")</f>
        <v>#REF!</v>
      </c>
      <c r="HR181" t="e">
        <f>AND(Bills!D679,"AAAAAH79yeE=")</f>
        <v>#VALUE!</v>
      </c>
      <c r="HS181" t="e">
        <f>AND(Bills!#REF!,"AAAAAH79yeI=")</f>
        <v>#REF!</v>
      </c>
      <c r="HT181" t="e">
        <f>AND(Bills!E679,"AAAAAH79yeM=")</f>
        <v>#VALUE!</v>
      </c>
      <c r="HU181" t="e">
        <f>AND(Bills!F679,"AAAAAH79yeQ=")</f>
        <v>#VALUE!</v>
      </c>
      <c r="HV181" t="e">
        <f>AND(Bills!G679,"AAAAAH79yeU=")</f>
        <v>#VALUE!</v>
      </c>
      <c r="HW181" t="e">
        <f>AND(Bills!H679,"AAAAAH79yeY=")</f>
        <v>#VALUE!</v>
      </c>
      <c r="HX181" t="e">
        <f>AND(Bills!I679,"AAAAAH79yec=")</f>
        <v>#VALUE!</v>
      </c>
      <c r="HY181" t="e">
        <f>AND(Bills!J679,"AAAAAH79yeg=")</f>
        <v>#VALUE!</v>
      </c>
      <c r="HZ181" t="e">
        <f>AND(Bills!#REF!,"AAAAAH79yek=")</f>
        <v>#REF!</v>
      </c>
      <c r="IA181" t="e">
        <f>AND(Bills!K679,"AAAAAH79yeo=")</f>
        <v>#VALUE!</v>
      </c>
      <c r="IB181" t="e">
        <f>AND(Bills!L679,"AAAAAH79yes=")</f>
        <v>#VALUE!</v>
      </c>
      <c r="IC181" t="e">
        <f>AND(Bills!M679,"AAAAAH79yew=")</f>
        <v>#VALUE!</v>
      </c>
      <c r="ID181" t="e">
        <f>AND(Bills!N679,"AAAAAH79ye0=")</f>
        <v>#VALUE!</v>
      </c>
      <c r="IE181" t="e">
        <f>AND(Bills!O679,"AAAAAH79ye4=")</f>
        <v>#VALUE!</v>
      </c>
      <c r="IF181" t="e">
        <f>AND(Bills!P679,"AAAAAH79ye8=")</f>
        <v>#VALUE!</v>
      </c>
      <c r="IG181" t="e">
        <f>AND(Bills!Q679,"AAAAAH79yfA=")</f>
        <v>#VALUE!</v>
      </c>
      <c r="IH181" t="e">
        <f>AND(Bills!R679,"AAAAAH79yfE=")</f>
        <v>#VALUE!</v>
      </c>
      <c r="II181" t="e">
        <f>AND(Bills!#REF!,"AAAAAH79yfI=")</f>
        <v>#REF!</v>
      </c>
      <c r="IJ181" t="e">
        <f>AND(Bills!S679,"AAAAAH79yfM=")</f>
        <v>#VALUE!</v>
      </c>
      <c r="IK181" t="e">
        <f>AND(Bills!T679,"AAAAAH79yfQ=")</f>
        <v>#VALUE!</v>
      </c>
      <c r="IL181" t="e">
        <f>AND(Bills!U679,"AAAAAH79yfU=")</f>
        <v>#VALUE!</v>
      </c>
      <c r="IM181" t="e">
        <f>AND(Bills!#REF!,"AAAAAH79yfY=")</f>
        <v>#REF!</v>
      </c>
      <c r="IN181" t="e">
        <f>AND(Bills!#REF!,"AAAAAH79yfc=")</f>
        <v>#REF!</v>
      </c>
      <c r="IO181" t="e">
        <f>AND(Bills!W679,"AAAAAH79yfg=")</f>
        <v>#VALUE!</v>
      </c>
      <c r="IP181" t="e">
        <f>AND(Bills!X679,"AAAAAH79yfk=")</f>
        <v>#VALUE!</v>
      </c>
      <c r="IQ181" t="e">
        <f>AND(Bills!#REF!,"AAAAAH79yfo=")</f>
        <v>#REF!</v>
      </c>
      <c r="IR181" t="e">
        <f>AND(Bills!#REF!,"AAAAAH79yfs=")</f>
        <v>#REF!</v>
      </c>
      <c r="IS181" t="e">
        <f>AND(Bills!#REF!,"AAAAAH79yfw=")</f>
        <v>#REF!</v>
      </c>
      <c r="IT181" t="e">
        <f>AND(Bills!#REF!,"AAAAAH79yf0=")</f>
        <v>#REF!</v>
      </c>
      <c r="IU181" t="e">
        <f>AND(Bills!#REF!,"AAAAAH79yf4=")</f>
        <v>#REF!</v>
      </c>
      <c r="IV181" t="e">
        <f>AND(Bills!#REF!,"AAAAAH79yf8=")</f>
        <v>#REF!</v>
      </c>
    </row>
    <row r="182" spans="1:256">
      <c r="A182" t="e">
        <f>AND(Bills!#REF!,"AAAAAGfX3gA=")</f>
        <v>#REF!</v>
      </c>
      <c r="B182" t="e">
        <f>AND(Bills!#REF!,"AAAAAGfX3gE=")</f>
        <v>#REF!</v>
      </c>
      <c r="C182" t="e">
        <f>AND(Bills!#REF!,"AAAAAGfX3gI=")</f>
        <v>#REF!</v>
      </c>
      <c r="D182" t="e">
        <f>AND(Bills!Y679,"AAAAAGfX3gM=")</f>
        <v>#VALUE!</v>
      </c>
      <c r="E182" t="e">
        <f>AND(Bills!Z679,"AAAAAGfX3gQ=")</f>
        <v>#VALUE!</v>
      </c>
      <c r="F182" t="e">
        <f>AND(Bills!#REF!,"AAAAAGfX3gU=")</f>
        <v>#REF!</v>
      </c>
      <c r="G182" t="e">
        <f>AND(Bills!#REF!,"AAAAAGfX3gY=")</f>
        <v>#REF!</v>
      </c>
      <c r="H182" t="e">
        <f>AND(Bills!#REF!,"AAAAAGfX3gc=")</f>
        <v>#REF!</v>
      </c>
      <c r="I182" t="e">
        <f>AND(Bills!AA679,"AAAAAGfX3gg=")</f>
        <v>#VALUE!</v>
      </c>
      <c r="J182" t="e">
        <f>AND(Bills!AB679,"AAAAAGfX3gk=")</f>
        <v>#VALUE!</v>
      </c>
      <c r="K182" t="e">
        <f>AND(Bills!#REF!,"AAAAAGfX3go=")</f>
        <v>#REF!</v>
      </c>
      <c r="L182">
        <f>IF(Bills!680:680,"AAAAAGfX3gs=",0)</f>
        <v>0</v>
      </c>
      <c r="M182" t="e">
        <f>AND(Bills!B680,"AAAAAGfX3gw=")</f>
        <v>#VALUE!</v>
      </c>
      <c r="N182" t="e">
        <f>AND(Bills!#REF!,"AAAAAGfX3g0=")</f>
        <v>#REF!</v>
      </c>
      <c r="O182" t="e">
        <f>AND(Bills!C680,"AAAAAGfX3g4=")</f>
        <v>#VALUE!</v>
      </c>
      <c r="P182" t="e">
        <f>AND(Bills!#REF!,"AAAAAGfX3g8=")</f>
        <v>#REF!</v>
      </c>
      <c r="Q182" t="e">
        <f>AND(Bills!#REF!,"AAAAAGfX3hA=")</f>
        <v>#REF!</v>
      </c>
      <c r="R182" t="e">
        <f>AND(Bills!#REF!,"AAAAAGfX3hE=")</f>
        <v>#REF!</v>
      </c>
      <c r="S182" t="e">
        <f>AND(Bills!#REF!,"AAAAAGfX3hI=")</f>
        <v>#REF!</v>
      </c>
      <c r="T182" t="e">
        <f>AND(Bills!#REF!,"AAAAAGfX3hM=")</f>
        <v>#REF!</v>
      </c>
      <c r="U182" t="e">
        <f>AND(Bills!D680,"AAAAAGfX3hQ=")</f>
        <v>#VALUE!</v>
      </c>
      <c r="V182" t="e">
        <f>AND(Bills!#REF!,"AAAAAGfX3hU=")</f>
        <v>#REF!</v>
      </c>
      <c r="W182" t="e">
        <f>AND(Bills!E680,"AAAAAGfX3hY=")</f>
        <v>#VALUE!</v>
      </c>
      <c r="X182" t="e">
        <f>AND(Bills!F680,"AAAAAGfX3hc=")</f>
        <v>#VALUE!</v>
      </c>
      <c r="Y182" t="e">
        <f>AND(Bills!G680,"AAAAAGfX3hg=")</f>
        <v>#VALUE!</v>
      </c>
      <c r="Z182" t="e">
        <f>AND(Bills!H680,"AAAAAGfX3hk=")</f>
        <v>#VALUE!</v>
      </c>
      <c r="AA182" t="e">
        <f>AND(Bills!I680,"AAAAAGfX3ho=")</f>
        <v>#VALUE!</v>
      </c>
      <c r="AB182" t="e">
        <f>AND(Bills!J680,"AAAAAGfX3hs=")</f>
        <v>#VALUE!</v>
      </c>
      <c r="AC182" t="e">
        <f>AND(Bills!#REF!,"AAAAAGfX3hw=")</f>
        <v>#REF!</v>
      </c>
      <c r="AD182" t="e">
        <f>AND(Bills!K680,"AAAAAGfX3h0=")</f>
        <v>#VALUE!</v>
      </c>
      <c r="AE182" t="e">
        <f>AND(Bills!L680,"AAAAAGfX3h4=")</f>
        <v>#VALUE!</v>
      </c>
      <c r="AF182" t="e">
        <f>AND(Bills!M680,"AAAAAGfX3h8=")</f>
        <v>#VALUE!</v>
      </c>
      <c r="AG182" t="e">
        <f>AND(Bills!N680,"AAAAAGfX3iA=")</f>
        <v>#VALUE!</v>
      </c>
      <c r="AH182" t="e">
        <f>AND(Bills!O680,"AAAAAGfX3iE=")</f>
        <v>#VALUE!</v>
      </c>
      <c r="AI182" t="e">
        <f>AND(Bills!P680,"AAAAAGfX3iI=")</f>
        <v>#VALUE!</v>
      </c>
      <c r="AJ182" t="e">
        <f>AND(Bills!Q680,"AAAAAGfX3iM=")</f>
        <v>#VALUE!</v>
      </c>
      <c r="AK182" t="e">
        <f>AND(Bills!R680,"AAAAAGfX3iQ=")</f>
        <v>#VALUE!</v>
      </c>
      <c r="AL182" t="e">
        <f>AND(Bills!#REF!,"AAAAAGfX3iU=")</f>
        <v>#REF!</v>
      </c>
      <c r="AM182" t="e">
        <f>AND(Bills!S680,"AAAAAGfX3iY=")</f>
        <v>#VALUE!</v>
      </c>
      <c r="AN182" t="e">
        <f>AND(Bills!T680,"AAAAAGfX3ic=")</f>
        <v>#VALUE!</v>
      </c>
      <c r="AO182" t="e">
        <f>AND(Bills!U680,"AAAAAGfX3ig=")</f>
        <v>#VALUE!</v>
      </c>
      <c r="AP182" t="e">
        <f>AND(Bills!#REF!,"AAAAAGfX3ik=")</f>
        <v>#REF!</v>
      </c>
      <c r="AQ182" t="e">
        <f>AND(Bills!#REF!,"AAAAAGfX3io=")</f>
        <v>#REF!</v>
      </c>
      <c r="AR182" t="e">
        <f>AND(Bills!W680,"AAAAAGfX3is=")</f>
        <v>#VALUE!</v>
      </c>
      <c r="AS182" t="e">
        <f>AND(Bills!X680,"AAAAAGfX3iw=")</f>
        <v>#VALUE!</v>
      </c>
      <c r="AT182" t="e">
        <f>AND(Bills!#REF!,"AAAAAGfX3i0=")</f>
        <v>#REF!</v>
      </c>
      <c r="AU182" t="e">
        <f>AND(Bills!#REF!,"AAAAAGfX3i4=")</f>
        <v>#REF!</v>
      </c>
      <c r="AV182" t="e">
        <f>AND(Bills!#REF!,"AAAAAGfX3i8=")</f>
        <v>#REF!</v>
      </c>
      <c r="AW182" t="e">
        <f>AND(Bills!#REF!,"AAAAAGfX3jA=")</f>
        <v>#REF!</v>
      </c>
      <c r="AX182" t="e">
        <f>AND(Bills!#REF!,"AAAAAGfX3jE=")</f>
        <v>#REF!</v>
      </c>
      <c r="AY182" t="e">
        <f>AND(Bills!#REF!,"AAAAAGfX3jI=")</f>
        <v>#REF!</v>
      </c>
      <c r="AZ182" t="e">
        <f>AND(Bills!#REF!,"AAAAAGfX3jM=")</f>
        <v>#REF!</v>
      </c>
      <c r="BA182" t="e">
        <f>AND(Bills!#REF!,"AAAAAGfX3jQ=")</f>
        <v>#REF!</v>
      </c>
      <c r="BB182" t="e">
        <f>AND(Bills!#REF!,"AAAAAGfX3jU=")</f>
        <v>#REF!</v>
      </c>
      <c r="BC182" t="e">
        <f>AND(Bills!Y680,"AAAAAGfX3jY=")</f>
        <v>#VALUE!</v>
      </c>
      <c r="BD182" t="e">
        <f>AND(Bills!Z680,"AAAAAGfX3jc=")</f>
        <v>#VALUE!</v>
      </c>
      <c r="BE182" t="e">
        <f>AND(Bills!#REF!,"AAAAAGfX3jg=")</f>
        <v>#REF!</v>
      </c>
      <c r="BF182" t="e">
        <f>AND(Bills!#REF!,"AAAAAGfX3jk=")</f>
        <v>#REF!</v>
      </c>
      <c r="BG182" t="e">
        <f>AND(Bills!#REF!,"AAAAAGfX3jo=")</f>
        <v>#REF!</v>
      </c>
      <c r="BH182" t="e">
        <f>AND(Bills!AA680,"AAAAAGfX3js=")</f>
        <v>#VALUE!</v>
      </c>
      <c r="BI182" t="e">
        <f>AND(Bills!AB680,"AAAAAGfX3jw=")</f>
        <v>#VALUE!</v>
      </c>
      <c r="BJ182" t="e">
        <f>AND(Bills!#REF!,"AAAAAGfX3j0=")</f>
        <v>#REF!</v>
      </c>
      <c r="BK182">
        <f>IF(Bills!681:681,"AAAAAGfX3j4=",0)</f>
        <v>0</v>
      </c>
      <c r="BL182" t="e">
        <f>AND(Bills!B681,"AAAAAGfX3j8=")</f>
        <v>#VALUE!</v>
      </c>
      <c r="BM182" t="e">
        <f>AND(Bills!#REF!,"AAAAAGfX3kA=")</f>
        <v>#REF!</v>
      </c>
      <c r="BN182" t="e">
        <f>AND(Bills!C681,"AAAAAGfX3kE=")</f>
        <v>#VALUE!</v>
      </c>
      <c r="BO182" t="e">
        <f>AND(Bills!#REF!,"AAAAAGfX3kI=")</f>
        <v>#REF!</v>
      </c>
      <c r="BP182" t="e">
        <f>AND(Bills!#REF!,"AAAAAGfX3kM=")</f>
        <v>#REF!</v>
      </c>
      <c r="BQ182" t="e">
        <f>AND(Bills!#REF!,"AAAAAGfX3kQ=")</f>
        <v>#REF!</v>
      </c>
      <c r="BR182" t="e">
        <f>AND(Bills!#REF!,"AAAAAGfX3kU=")</f>
        <v>#REF!</v>
      </c>
      <c r="BS182" t="e">
        <f>AND(Bills!#REF!,"AAAAAGfX3kY=")</f>
        <v>#REF!</v>
      </c>
      <c r="BT182" t="e">
        <f>AND(Bills!D681,"AAAAAGfX3kc=")</f>
        <v>#VALUE!</v>
      </c>
      <c r="BU182" t="e">
        <f>AND(Bills!#REF!,"AAAAAGfX3kg=")</f>
        <v>#REF!</v>
      </c>
      <c r="BV182" t="e">
        <f>AND(Bills!E681,"AAAAAGfX3kk=")</f>
        <v>#VALUE!</v>
      </c>
      <c r="BW182" t="e">
        <f>AND(Bills!F681,"AAAAAGfX3ko=")</f>
        <v>#VALUE!</v>
      </c>
      <c r="BX182" t="e">
        <f>AND(Bills!G681,"AAAAAGfX3ks=")</f>
        <v>#VALUE!</v>
      </c>
      <c r="BY182" t="e">
        <f>AND(Bills!H681,"AAAAAGfX3kw=")</f>
        <v>#VALUE!</v>
      </c>
      <c r="BZ182" t="e">
        <f>AND(Bills!I681,"AAAAAGfX3k0=")</f>
        <v>#VALUE!</v>
      </c>
      <c r="CA182" t="e">
        <f>AND(Bills!J681,"AAAAAGfX3k4=")</f>
        <v>#VALUE!</v>
      </c>
      <c r="CB182" t="e">
        <f>AND(Bills!#REF!,"AAAAAGfX3k8=")</f>
        <v>#REF!</v>
      </c>
      <c r="CC182" t="e">
        <f>AND(Bills!K681,"AAAAAGfX3lA=")</f>
        <v>#VALUE!</v>
      </c>
      <c r="CD182" t="e">
        <f>AND(Bills!L681,"AAAAAGfX3lE=")</f>
        <v>#VALUE!</v>
      </c>
      <c r="CE182" t="e">
        <f>AND(Bills!M681,"AAAAAGfX3lI=")</f>
        <v>#VALUE!</v>
      </c>
      <c r="CF182" t="e">
        <f>AND(Bills!N681,"AAAAAGfX3lM=")</f>
        <v>#VALUE!</v>
      </c>
      <c r="CG182" t="e">
        <f>AND(Bills!O681,"AAAAAGfX3lQ=")</f>
        <v>#VALUE!</v>
      </c>
      <c r="CH182" t="e">
        <f>AND(Bills!P681,"AAAAAGfX3lU=")</f>
        <v>#VALUE!</v>
      </c>
      <c r="CI182" t="e">
        <f>AND(Bills!Q681,"AAAAAGfX3lY=")</f>
        <v>#VALUE!</v>
      </c>
      <c r="CJ182" t="e">
        <f>AND(Bills!R681,"AAAAAGfX3lc=")</f>
        <v>#VALUE!</v>
      </c>
      <c r="CK182" t="e">
        <f>AND(Bills!#REF!,"AAAAAGfX3lg=")</f>
        <v>#REF!</v>
      </c>
      <c r="CL182" t="e">
        <f>AND(Bills!S681,"AAAAAGfX3lk=")</f>
        <v>#VALUE!</v>
      </c>
      <c r="CM182" t="e">
        <f>AND(Bills!T681,"AAAAAGfX3lo=")</f>
        <v>#VALUE!</v>
      </c>
      <c r="CN182" t="e">
        <f>AND(Bills!U681,"AAAAAGfX3ls=")</f>
        <v>#VALUE!</v>
      </c>
      <c r="CO182" t="e">
        <f>AND(Bills!#REF!,"AAAAAGfX3lw=")</f>
        <v>#REF!</v>
      </c>
      <c r="CP182" t="e">
        <f>AND(Bills!#REF!,"AAAAAGfX3l0=")</f>
        <v>#REF!</v>
      </c>
      <c r="CQ182" t="e">
        <f>AND(Bills!W681,"AAAAAGfX3l4=")</f>
        <v>#VALUE!</v>
      </c>
      <c r="CR182" t="e">
        <f>AND(Bills!X681,"AAAAAGfX3l8=")</f>
        <v>#VALUE!</v>
      </c>
      <c r="CS182" t="e">
        <f>AND(Bills!#REF!,"AAAAAGfX3mA=")</f>
        <v>#REF!</v>
      </c>
      <c r="CT182" t="e">
        <f>AND(Bills!#REF!,"AAAAAGfX3mE=")</f>
        <v>#REF!</v>
      </c>
      <c r="CU182" t="e">
        <f>AND(Bills!#REF!,"AAAAAGfX3mI=")</f>
        <v>#REF!</v>
      </c>
      <c r="CV182" t="e">
        <f>AND(Bills!#REF!,"AAAAAGfX3mM=")</f>
        <v>#REF!</v>
      </c>
      <c r="CW182" t="e">
        <f>AND(Bills!#REF!,"AAAAAGfX3mQ=")</f>
        <v>#REF!</v>
      </c>
      <c r="CX182" t="e">
        <f>AND(Bills!#REF!,"AAAAAGfX3mU=")</f>
        <v>#REF!</v>
      </c>
      <c r="CY182" t="e">
        <f>AND(Bills!#REF!,"AAAAAGfX3mY=")</f>
        <v>#REF!</v>
      </c>
      <c r="CZ182" t="e">
        <f>AND(Bills!#REF!,"AAAAAGfX3mc=")</f>
        <v>#REF!</v>
      </c>
      <c r="DA182" t="e">
        <f>AND(Bills!#REF!,"AAAAAGfX3mg=")</f>
        <v>#REF!</v>
      </c>
      <c r="DB182" t="e">
        <f>AND(Bills!Y681,"AAAAAGfX3mk=")</f>
        <v>#VALUE!</v>
      </c>
      <c r="DC182" t="e">
        <f>AND(Bills!Z681,"AAAAAGfX3mo=")</f>
        <v>#VALUE!</v>
      </c>
      <c r="DD182" t="e">
        <f>AND(Bills!#REF!,"AAAAAGfX3ms=")</f>
        <v>#REF!</v>
      </c>
      <c r="DE182" t="e">
        <f>AND(Bills!#REF!,"AAAAAGfX3mw=")</f>
        <v>#REF!</v>
      </c>
      <c r="DF182" t="e">
        <f>AND(Bills!#REF!,"AAAAAGfX3m0=")</f>
        <v>#REF!</v>
      </c>
      <c r="DG182" t="e">
        <f>AND(Bills!AA681,"AAAAAGfX3m4=")</f>
        <v>#VALUE!</v>
      </c>
      <c r="DH182" t="e">
        <f>AND(Bills!AB681,"AAAAAGfX3m8=")</f>
        <v>#VALUE!</v>
      </c>
      <c r="DI182" t="e">
        <f>AND(Bills!#REF!,"AAAAAGfX3nA=")</f>
        <v>#REF!</v>
      </c>
      <c r="DJ182">
        <f>IF(Bills!682:682,"AAAAAGfX3nE=",0)</f>
        <v>0</v>
      </c>
      <c r="DK182" t="e">
        <f>AND(Bills!B682,"AAAAAGfX3nI=")</f>
        <v>#VALUE!</v>
      </c>
      <c r="DL182" t="e">
        <f>AND(Bills!#REF!,"AAAAAGfX3nM=")</f>
        <v>#REF!</v>
      </c>
      <c r="DM182" t="e">
        <f>AND(Bills!C682,"AAAAAGfX3nQ=")</f>
        <v>#VALUE!</v>
      </c>
      <c r="DN182" t="e">
        <f>AND(Bills!#REF!,"AAAAAGfX3nU=")</f>
        <v>#REF!</v>
      </c>
      <c r="DO182" t="e">
        <f>AND(Bills!#REF!,"AAAAAGfX3nY=")</f>
        <v>#REF!</v>
      </c>
      <c r="DP182" t="e">
        <f>AND(Bills!#REF!,"AAAAAGfX3nc=")</f>
        <v>#REF!</v>
      </c>
      <c r="DQ182" t="e">
        <f>AND(Bills!#REF!,"AAAAAGfX3ng=")</f>
        <v>#REF!</v>
      </c>
      <c r="DR182" t="e">
        <f>AND(Bills!#REF!,"AAAAAGfX3nk=")</f>
        <v>#REF!</v>
      </c>
      <c r="DS182" t="e">
        <f>AND(Bills!D682,"AAAAAGfX3no=")</f>
        <v>#VALUE!</v>
      </c>
      <c r="DT182" t="e">
        <f>AND(Bills!#REF!,"AAAAAGfX3ns=")</f>
        <v>#REF!</v>
      </c>
      <c r="DU182" t="e">
        <f>AND(Bills!E682,"AAAAAGfX3nw=")</f>
        <v>#VALUE!</v>
      </c>
      <c r="DV182" t="e">
        <f>AND(Bills!F682,"AAAAAGfX3n0=")</f>
        <v>#VALUE!</v>
      </c>
      <c r="DW182" t="e">
        <f>AND(Bills!G682,"AAAAAGfX3n4=")</f>
        <v>#VALUE!</v>
      </c>
      <c r="DX182" t="e">
        <f>AND(Bills!H682,"AAAAAGfX3n8=")</f>
        <v>#VALUE!</v>
      </c>
      <c r="DY182" t="e">
        <f>AND(Bills!I682,"AAAAAGfX3oA=")</f>
        <v>#VALUE!</v>
      </c>
      <c r="DZ182" t="e">
        <f>AND(Bills!J682,"AAAAAGfX3oE=")</f>
        <v>#VALUE!</v>
      </c>
      <c r="EA182" t="e">
        <f>AND(Bills!#REF!,"AAAAAGfX3oI=")</f>
        <v>#REF!</v>
      </c>
      <c r="EB182" t="e">
        <f>AND(Bills!K682,"AAAAAGfX3oM=")</f>
        <v>#VALUE!</v>
      </c>
      <c r="EC182" t="e">
        <f>AND(Bills!L682,"AAAAAGfX3oQ=")</f>
        <v>#VALUE!</v>
      </c>
      <c r="ED182" t="e">
        <f>AND(Bills!M682,"AAAAAGfX3oU=")</f>
        <v>#VALUE!</v>
      </c>
      <c r="EE182" t="e">
        <f>AND(Bills!N682,"AAAAAGfX3oY=")</f>
        <v>#VALUE!</v>
      </c>
      <c r="EF182" t="e">
        <f>AND(Bills!O682,"AAAAAGfX3oc=")</f>
        <v>#VALUE!</v>
      </c>
      <c r="EG182" t="e">
        <f>AND(Bills!P682,"AAAAAGfX3og=")</f>
        <v>#VALUE!</v>
      </c>
      <c r="EH182" t="e">
        <f>AND(Bills!Q682,"AAAAAGfX3ok=")</f>
        <v>#VALUE!</v>
      </c>
      <c r="EI182" t="e">
        <f>AND(Bills!R682,"AAAAAGfX3oo=")</f>
        <v>#VALUE!</v>
      </c>
      <c r="EJ182" t="e">
        <f>AND(Bills!#REF!,"AAAAAGfX3os=")</f>
        <v>#REF!</v>
      </c>
      <c r="EK182" t="e">
        <f>AND(Bills!S682,"AAAAAGfX3ow=")</f>
        <v>#VALUE!</v>
      </c>
      <c r="EL182" t="e">
        <f>AND(Bills!T682,"AAAAAGfX3o0=")</f>
        <v>#VALUE!</v>
      </c>
      <c r="EM182" t="e">
        <f>AND(Bills!U682,"AAAAAGfX3o4=")</f>
        <v>#VALUE!</v>
      </c>
      <c r="EN182" t="e">
        <f>AND(Bills!#REF!,"AAAAAGfX3o8=")</f>
        <v>#REF!</v>
      </c>
      <c r="EO182" t="e">
        <f>AND(Bills!#REF!,"AAAAAGfX3pA=")</f>
        <v>#REF!</v>
      </c>
      <c r="EP182" t="e">
        <f>AND(Bills!W682,"AAAAAGfX3pE=")</f>
        <v>#VALUE!</v>
      </c>
      <c r="EQ182" t="e">
        <f>AND(Bills!X682,"AAAAAGfX3pI=")</f>
        <v>#VALUE!</v>
      </c>
      <c r="ER182" t="e">
        <f>AND(Bills!#REF!,"AAAAAGfX3pM=")</f>
        <v>#REF!</v>
      </c>
      <c r="ES182" t="e">
        <f>AND(Bills!#REF!,"AAAAAGfX3pQ=")</f>
        <v>#REF!</v>
      </c>
      <c r="ET182" t="e">
        <f>AND(Bills!#REF!,"AAAAAGfX3pU=")</f>
        <v>#REF!</v>
      </c>
      <c r="EU182" t="e">
        <f>AND(Bills!#REF!,"AAAAAGfX3pY=")</f>
        <v>#REF!</v>
      </c>
      <c r="EV182" t="e">
        <f>AND(Bills!#REF!,"AAAAAGfX3pc=")</f>
        <v>#REF!</v>
      </c>
      <c r="EW182" t="e">
        <f>AND(Bills!#REF!,"AAAAAGfX3pg=")</f>
        <v>#REF!</v>
      </c>
      <c r="EX182" t="e">
        <f>AND(Bills!#REF!,"AAAAAGfX3pk=")</f>
        <v>#REF!</v>
      </c>
      <c r="EY182" t="e">
        <f>AND(Bills!#REF!,"AAAAAGfX3po=")</f>
        <v>#REF!</v>
      </c>
      <c r="EZ182" t="e">
        <f>AND(Bills!#REF!,"AAAAAGfX3ps=")</f>
        <v>#REF!</v>
      </c>
      <c r="FA182" t="e">
        <f>AND(Bills!Y682,"AAAAAGfX3pw=")</f>
        <v>#VALUE!</v>
      </c>
      <c r="FB182" t="e">
        <f>AND(Bills!Z682,"AAAAAGfX3p0=")</f>
        <v>#VALUE!</v>
      </c>
      <c r="FC182" t="e">
        <f>AND(Bills!#REF!,"AAAAAGfX3p4=")</f>
        <v>#REF!</v>
      </c>
      <c r="FD182" t="e">
        <f>AND(Bills!#REF!,"AAAAAGfX3p8=")</f>
        <v>#REF!</v>
      </c>
      <c r="FE182" t="e">
        <f>AND(Bills!#REF!,"AAAAAGfX3qA=")</f>
        <v>#REF!</v>
      </c>
      <c r="FF182" t="e">
        <f>AND(Bills!AA682,"AAAAAGfX3qE=")</f>
        <v>#VALUE!</v>
      </c>
      <c r="FG182" t="e">
        <f>AND(Bills!AB682,"AAAAAGfX3qI=")</f>
        <v>#VALUE!</v>
      </c>
      <c r="FH182" t="e">
        <f>AND(Bills!#REF!,"AAAAAGfX3qM=")</f>
        <v>#REF!</v>
      </c>
      <c r="FI182">
        <f>IF(Bills!683:683,"AAAAAGfX3qQ=",0)</f>
        <v>0</v>
      </c>
      <c r="FJ182" t="e">
        <f>AND(Bills!B683,"AAAAAGfX3qU=")</f>
        <v>#VALUE!</v>
      </c>
      <c r="FK182" t="e">
        <f>AND(Bills!#REF!,"AAAAAGfX3qY=")</f>
        <v>#REF!</v>
      </c>
      <c r="FL182" t="e">
        <f>AND(Bills!C683,"AAAAAGfX3qc=")</f>
        <v>#VALUE!</v>
      </c>
      <c r="FM182" t="e">
        <f>AND(Bills!#REF!,"AAAAAGfX3qg=")</f>
        <v>#REF!</v>
      </c>
      <c r="FN182" t="e">
        <f>AND(Bills!#REF!,"AAAAAGfX3qk=")</f>
        <v>#REF!</v>
      </c>
      <c r="FO182" t="e">
        <f>AND(Bills!#REF!,"AAAAAGfX3qo=")</f>
        <v>#REF!</v>
      </c>
      <c r="FP182" t="e">
        <f>AND(Bills!#REF!,"AAAAAGfX3qs=")</f>
        <v>#REF!</v>
      </c>
      <c r="FQ182" t="e">
        <f>AND(Bills!#REF!,"AAAAAGfX3qw=")</f>
        <v>#REF!</v>
      </c>
      <c r="FR182" t="e">
        <f>AND(Bills!D683,"AAAAAGfX3q0=")</f>
        <v>#VALUE!</v>
      </c>
      <c r="FS182" t="e">
        <f>AND(Bills!#REF!,"AAAAAGfX3q4=")</f>
        <v>#REF!</v>
      </c>
      <c r="FT182" t="e">
        <f>AND(Bills!E683,"AAAAAGfX3q8=")</f>
        <v>#VALUE!</v>
      </c>
      <c r="FU182" t="e">
        <f>AND(Bills!F683,"AAAAAGfX3rA=")</f>
        <v>#VALUE!</v>
      </c>
      <c r="FV182" t="e">
        <f>AND(Bills!G683,"AAAAAGfX3rE=")</f>
        <v>#VALUE!</v>
      </c>
      <c r="FW182" t="e">
        <f>AND(Bills!H683,"AAAAAGfX3rI=")</f>
        <v>#VALUE!</v>
      </c>
      <c r="FX182" t="e">
        <f>AND(Bills!I683,"AAAAAGfX3rM=")</f>
        <v>#VALUE!</v>
      </c>
      <c r="FY182" t="e">
        <f>AND(Bills!J683,"AAAAAGfX3rQ=")</f>
        <v>#VALUE!</v>
      </c>
      <c r="FZ182" t="e">
        <f>AND(Bills!#REF!,"AAAAAGfX3rU=")</f>
        <v>#REF!</v>
      </c>
      <c r="GA182" t="e">
        <f>AND(Bills!K683,"AAAAAGfX3rY=")</f>
        <v>#VALUE!</v>
      </c>
      <c r="GB182" t="e">
        <f>AND(Bills!L683,"AAAAAGfX3rc=")</f>
        <v>#VALUE!</v>
      </c>
      <c r="GC182" t="e">
        <f>AND(Bills!M683,"AAAAAGfX3rg=")</f>
        <v>#VALUE!</v>
      </c>
      <c r="GD182" t="e">
        <f>AND(Bills!N683,"AAAAAGfX3rk=")</f>
        <v>#VALUE!</v>
      </c>
      <c r="GE182" t="e">
        <f>AND(Bills!O683,"AAAAAGfX3ro=")</f>
        <v>#VALUE!</v>
      </c>
      <c r="GF182" t="e">
        <f>AND(Bills!P683,"AAAAAGfX3rs=")</f>
        <v>#VALUE!</v>
      </c>
      <c r="GG182" t="e">
        <f>AND(Bills!Q683,"AAAAAGfX3rw=")</f>
        <v>#VALUE!</v>
      </c>
      <c r="GH182" t="e">
        <f>AND(Bills!R683,"AAAAAGfX3r0=")</f>
        <v>#VALUE!</v>
      </c>
      <c r="GI182" t="e">
        <f>AND(Bills!#REF!,"AAAAAGfX3r4=")</f>
        <v>#REF!</v>
      </c>
      <c r="GJ182" t="e">
        <f>AND(Bills!S683,"AAAAAGfX3r8=")</f>
        <v>#VALUE!</v>
      </c>
      <c r="GK182" t="e">
        <f>AND(Bills!T683,"AAAAAGfX3sA=")</f>
        <v>#VALUE!</v>
      </c>
      <c r="GL182" t="e">
        <f>AND(Bills!U683,"AAAAAGfX3sE=")</f>
        <v>#VALUE!</v>
      </c>
      <c r="GM182" t="e">
        <f>AND(Bills!#REF!,"AAAAAGfX3sI=")</f>
        <v>#REF!</v>
      </c>
      <c r="GN182" t="e">
        <f>AND(Bills!#REF!,"AAAAAGfX3sM=")</f>
        <v>#REF!</v>
      </c>
      <c r="GO182" t="e">
        <f>AND(Bills!W683,"AAAAAGfX3sQ=")</f>
        <v>#VALUE!</v>
      </c>
      <c r="GP182" t="e">
        <f>AND(Bills!X683,"AAAAAGfX3sU=")</f>
        <v>#VALUE!</v>
      </c>
      <c r="GQ182" t="e">
        <f>AND(Bills!#REF!,"AAAAAGfX3sY=")</f>
        <v>#REF!</v>
      </c>
      <c r="GR182" t="e">
        <f>AND(Bills!#REF!,"AAAAAGfX3sc=")</f>
        <v>#REF!</v>
      </c>
      <c r="GS182" t="e">
        <f>AND(Bills!#REF!,"AAAAAGfX3sg=")</f>
        <v>#REF!</v>
      </c>
      <c r="GT182" t="e">
        <f>AND(Bills!#REF!,"AAAAAGfX3sk=")</f>
        <v>#REF!</v>
      </c>
      <c r="GU182" t="e">
        <f>AND(Bills!#REF!,"AAAAAGfX3so=")</f>
        <v>#REF!</v>
      </c>
      <c r="GV182" t="e">
        <f>AND(Bills!#REF!,"AAAAAGfX3ss=")</f>
        <v>#REF!</v>
      </c>
      <c r="GW182" t="e">
        <f>AND(Bills!#REF!,"AAAAAGfX3sw=")</f>
        <v>#REF!</v>
      </c>
      <c r="GX182" t="e">
        <f>AND(Bills!#REF!,"AAAAAGfX3s0=")</f>
        <v>#REF!</v>
      </c>
      <c r="GY182" t="e">
        <f>AND(Bills!#REF!,"AAAAAGfX3s4=")</f>
        <v>#REF!</v>
      </c>
      <c r="GZ182" t="e">
        <f>AND(Bills!Y683,"AAAAAGfX3s8=")</f>
        <v>#VALUE!</v>
      </c>
      <c r="HA182" t="e">
        <f>AND(Bills!Z683,"AAAAAGfX3tA=")</f>
        <v>#VALUE!</v>
      </c>
      <c r="HB182" t="e">
        <f>AND(Bills!#REF!,"AAAAAGfX3tE=")</f>
        <v>#REF!</v>
      </c>
      <c r="HC182" t="e">
        <f>AND(Bills!#REF!,"AAAAAGfX3tI=")</f>
        <v>#REF!</v>
      </c>
      <c r="HD182" t="e">
        <f>AND(Bills!#REF!,"AAAAAGfX3tM=")</f>
        <v>#REF!</v>
      </c>
      <c r="HE182" t="e">
        <f>AND(Bills!AA683,"AAAAAGfX3tQ=")</f>
        <v>#VALUE!</v>
      </c>
      <c r="HF182" t="e">
        <f>AND(Bills!AB683,"AAAAAGfX3tU=")</f>
        <v>#VALUE!</v>
      </c>
      <c r="HG182" t="e">
        <f>AND(Bills!#REF!,"AAAAAGfX3tY=")</f>
        <v>#REF!</v>
      </c>
      <c r="HH182">
        <f>IF(Bills!684:684,"AAAAAGfX3tc=",0)</f>
        <v>0</v>
      </c>
      <c r="HI182" t="e">
        <f>AND(Bills!B684,"AAAAAGfX3tg=")</f>
        <v>#VALUE!</v>
      </c>
      <c r="HJ182" t="e">
        <f>AND(Bills!#REF!,"AAAAAGfX3tk=")</f>
        <v>#REF!</v>
      </c>
      <c r="HK182" t="e">
        <f>AND(Bills!C684,"AAAAAGfX3to=")</f>
        <v>#VALUE!</v>
      </c>
      <c r="HL182" t="e">
        <f>AND(Bills!#REF!,"AAAAAGfX3ts=")</f>
        <v>#REF!</v>
      </c>
      <c r="HM182" t="e">
        <f>AND(Bills!#REF!,"AAAAAGfX3tw=")</f>
        <v>#REF!</v>
      </c>
      <c r="HN182" t="e">
        <f>AND(Bills!#REF!,"AAAAAGfX3t0=")</f>
        <v>#REF!</v>
      </c>
      <c r="HO182" t="e">
        <f>AND(Bills!#REF!,"AAAAAGfX3t4=")</f>
        <v>#REF!</v>
      </c>
      <c r="HP182" t="e">
        <f>AND(Bills!#REF!,"AAAAAGfX3t8=")</f>
        <v>#REF!</v>
      </c>
      <c r="HQ182" t="e">
        <f>AND(Bills!D684,"AAAAAGfX3uA=")</f>
        <v>#VALUE!</v>
      </c>
      <c r="HR182" t="e">
        <f>AND(Bills!#REF!,"AAAAAGfX3uE=")</f>
        <v>#REF!</v>
      </c>
      <c r="HS182" t="e">
        <f>AND(Bills!E684,"AAAAAGfX3uI=")</f>
        <v>#VALUE!</v>
      </c>
      <c r="HT182" t="e">
        <f>AND(Bills!F684,"AAAAAGfX3uM=")</f>
        <v>#VALUE!</v>
      </c>
      <c r="HU182" t="e">
        <f>AND(Bills!G684,"AAAAAGfX3uQ=")</f>
        <v>#VALUE!</v>
      </c>
      <c r="HV182" t="e">
        <f>AND(Bills!H684,"AAAAAGfX3uU=")</f>
        <v>#VALUE!</v>
      </c>
      <c r="HW182" t="e">
        <f>AND(Bills!I684,"AAAAAGfX3uY=")</f>
        <v>#VALUE!</v>
      </c>
      <c r="HX182" t="e">
        <f>AND(Bills!J684,"AAAAAGfX3uc=")</f>
        <v>#VALUE!</v>
      </c>
      <c r="HY182" t="e">
        <f>AND(Bills!#REF!,"AAAAAGfX3ug=")</f>
        <v>#REF!</v>
      </c>
      <c r="HZ182" t="e">
        <f>AND(Bills!K684,"AAAAAGfX3uk=")</f>
        <v>#VALUE!</v>
      </c>
      <c r="IA182" t="e">
        <f>AND(Bills!L684,"AAAAAGfX3uo=")</f>
        <v>#VALUE!</v>
      </c>
      <c r="IB182" t="e">
        <f>AND(Bills!M684,"AAAAAGfX3us=")</f>
        <v>#VALUE!</v>
      </c>
      <c r="IC182" t="e">
        <f>AND(Bills!N684,"AAAAAGfX3uw=")</f>
        <v>#VALUE!</v>
      </c>
      <c r="ID182" t="e">
        <f>AND(Bills!O684,"AAAAAGfX3u0=")</f>
        <v>#VALUE!</v>
      </c>
      <c r="IE182" t="e">
        <f>AND(Bills!P684,"AAAAAGfX3u4=")</f>
        <v>#VALUE!</v>
      </c>
      <c r="IF182" t="e">
        <f>AND(Bills!Q684,"AAAAAGfX3u8=")</f>
        <v>#VALUE!</v>
      </c>
      <c r="IG182" t="e">
        <f>AND(Bills!R684,"AAAAAGfX3vA=")</f>
        <v>#VALUE!</v>
      </c>
      <c r="IH182" t="e">
        <f>AND(Bills!#REF!,"AAAAAGfX3vE=")</f>
        <v>#REF!</v>
      </c>
      <c r="II182" t="e">
        <f>AND(Bills!S684,"AAAAAGfX3vI=")</f>
        <v>#VALUE!</v>
      </c>
      <c r="IJ182" t="e">
        <f>AND(Bills!T684,"AAAAAGfX3vM=")</f>
        <v>#VALUE!</v>
      </c>
      <c r="IK182" t="e">
        <f>AND(Bills!U684,"AAAAAGfX3vQ=")</f>
        <v>#VALUE!</v>
      </c>
      <c r="IL182" t="e">
        <f>AND(Bills!#REF!,"AAAAAGfX3vU=")</f>
        <v>#REF!</v>
      </c>
      <c r="IM182" t="e">
        <f>AND(Bills!#REF!,"AAAAAGfX3vY=")</f>
        <v>#REF!</v>
      </c>
      <c r="IN182" t="e">
        <f>AND(Bills!W684,"AAAAAGfX3vc=")</f>
        <v>#VALUE!</v>
      </c>
      <c r="IO182" t="e">
        <f>AND(Bills!X684,"AAAAAGfX3vg=")</f>
        <v>#VALUE!</v>
      </c>
      <c r="IP182" t="e">
        <f>AND(Bills!#REF!,"AAAAAGfX3vk=")</f>
        <v>#REF!</v>
      </c>
      <c r="IQ182" t="e">
        <f>AND(Bills!#REF!,"AAAAAGfX3vo=")</f>
        <v>#REF!</v>
      </c>
      <c r="IR182" t="e">
        <f>AND(Bills!#REF!,"AAAAAGfX3vs=")</f>
        <v>#REF!</v>
      </c>
      <c r="IS182" t="e">
        <f>AND(Bills!#REF!,"AAAAAGfX3vw=")</f>
        <v>#REF!</v>
      </c>
      <c r="IT182" t="e">
        <f>AND(Bills!#REF!,"AAAAAGfX3v0=")</f>
        <v>#REF!</v>
      </c>
      <c r="IU182" t="e">
        <f>AND(Bills!#REF!,"AAAAAGfX3v4=")</f>
        <v>#REF!</v>
      </c>
      <c r="IV182" t="e">
        <f>AND(Bills!#REF!,"AAAAAGfX3v8=")</f>
        <v>#REF!</v>
      </c>
    </row>
    <row r="183" spans="1:256">
      <c r="A183" t="e">
        <f>AND(Bills!#REF!,"AAAAAE9vzgA=")</f>
        <v>#REF!</v>
      </c>
      <c r="B183" t="e">
        <f>AND(Bills!#REF!,"AAAAAE9vzgE=")</f>
        <v>#REF!</v>
      </c>
      <c r="C183" t="e">
        <f>AND(Bills!Y684,"AAAAAE9vzgI=")</f>
        <v>#VALUE!</v>
      </c>
      <c r="D183" t="e">
        <f>AND(Bills!Z684,"AAAAAE9vzgM=")</f>
        <v>#VALUE!</v>
      </c>
      <c r="E183" t="e">
        <f>AND(Bills!#REF!,"AAAAAE9vzgQ=")</f>
        <v>#REF!</v>
      </c>
      <c r="F183" t="e">
        <f>AND(Bills!#REF!,"AAAAAE9vzgU=")</f>
        <v>#REF!</v>
      </c>
      <c r="G183" t="e">
        <f>AND(Bills!#REF!,"AAAAAE9vzgY=")</f>
        <v>#REF!</v>
      </c>
      <c r="H183" t="e">
        <f>AND(Bills!AA684,"AAAAAE9vzgc=")</f>
        <v>#VALUE!</v>
      </c>
      <c r="I183" t="e">
        <f>AND(Bills!AB684,"AAAAAE9vzgg=")</f>
        <v>#VALUE!</v>
      </c>
      <c r="J183" t="e">
        <f>AND(Bills!#REF!,"AAAAAE9vzgk=")</f>
        <v>#REF!</v>
      </c>
      <c r="K183">
        <f>IF(Bills!685:685,"AAAAAE9vzgo=",0)</f>
        <v>0</v>
      </c>
      <c r="L183" t="e">
        <f>AND(Bills!B685,"AAAAAE9vzgs=")</f>
        <v>#VALUE!</v>
      </c>
      <c r="M183" t="e">
        <f>AND(Bills!#REF!,"AAAAAE9vzgw=")</f>
        <v>#REF!</v>
      </c>
      <c r="N183" t="e">
        <f>AND(Bills!C685,"AAAAAE9vzg0=")</f>
        <v>#VALUE!</v>
      </c>
      <c r="O183" t="e">
        <f>AND(Bills!#REF!,"AAAAAE9vzg4=")</f>
        <v>#REF!</v>
      </c>
      <c r="P183" t="e">
        <f>AND(Bills!#REF!,"AAAAAE9vzg8=")</f>
        <v>#REF!</v>
      </c>
      <c r="Q183" t="e">
        <f>AND(Bills!#REF!,"AAAAAE9vzhA=")</f>
        <v>#REF!</v>
      </c>
      <c r="R183" t="e">
        <f>AND(Bills!#REF!,"AAAAAE9vzhE=")</f>
        <v>#REF!</v>
      </c>
      <c r="S183" t="e">
        <f>AND(Bills!#REF!,"AAAAAE9vzhI=")</f>
        <v>#REF!</v>
      </c>
      <c r="T183" t="e">
        <f>AND(Bills!D685,"AAAAAE9vzhM=")</f>
        <v>#VALUE!</v>
      </c>
      <c r="U183" t="e">
        <f>AND(Bills!#REF!,"AAAAAE9vzhQ=")</f>
        <v>#REF!</v>
      </c>
      <c r="V183" t="e">
        <f>AND(Bills!E685,"AAAAAE9vzhU=")</f>
        <v>#VALUE!</v>
      </c>
      <c r="W183" t="e">
        <f>AND(Bills!F685,"AAAAAE9vzhY=")</f>
        <v>#VALUE!</v>
      </c>
      <c r="X183" t="e">
        <f>AND(Bills!G685,"AAAAAE9vzhc=")</f>
        <v>#VALUE!</v>
      </c>
      <c r="Y183" t="e">
        <f>AND(Bills!H685,"AAAAAE9vzhg=")</f>
        <v>#VALUE!</v>
      </c>
      <c r="Z183" t="e">
        <f>AND(Bills!I685,"AAAAAE9vzhk=")</f>
        <v>#VALUE!</v>
      </c>
      <c r="AA183" t="e">
        <f>AND(Bills!J685,"AAAAAE9vzho=")</f>
        <v>#VALUE!</v>
      </c>
      <c r="AB183" t="e">
        <f>AND(Bills!#REF!,"AAAAAE9vzhs=")</f>
        <v>#REF!</v>
      </c>
      <c r="AC183" t="e">
        <f>AND(Bills!K685,"AAAAAE9vzhw=")</f>
        <v>#VALUE!</v>
      </c>
      <c r="AD183" t="e">
        <f>AND(Bills!L685,"AAAAAE9vzh0=")</f>
        <v>#VALUE!</v>
      </c>
      <c r="AE183" t="e">
        <f>AND(Bills!M685,"AAAAAE9vzh4=")</f>
        <v>#VALUE!</v>
      </c>
      <c r="AF183" t="e">
        <f>AND(Bills!N685,"AAAAAE9vzh8=")</f>
        <v>#VALUE!</v>
      </c>
      <c r="AG183" t="e">
        <f>AND(Bills!O685,"AAAAAE9vziA=")</f>
        <v>#VALUE!</v>
      </c>
      <c r="AH183" t="e">
        <f>AND(Bills!P685,"AAAAAE9vziE=")</f>
        <v>#VALUE!</v>
      </c>
      <c r="AI183" t="e">
        <f>AND(Bills!Q685,"AAAAAE9vziI=")</f>
        <v>#VALUE!</v>
      </c>
      <c r="AJ183" t="e">
        <f>AND(Bills!R685,"AAAAAE9vziM=")</f>
        <v>#VALUE!</v>
      </c>
      <c r="AK183" t="e">
        <f>AND(Bills!#REF!,"AAAAAE9vziQ=")</f>
        <v>#REF!</v>
      </c>
      <c r="AL183" t="e">
        <f>AND(Bills!S685,"AAAAAE9vziU=")</f>
        <v>#VALUE!</v>
      </c>
      <c r="AM183" t="e">
        <f>AND(Bills!T685,"AAAAAE9vziY=")</f>
        <v>#VALUE!</v>
      </c>
      <c r="AN183" t="e">
        <f>AND(Bills!U685,"AAAAAE9vzic=")</f>
        <v>#VALUE!</v>
      </c>
      <c r="AO183" t="e">
        <f>AND(Bills!#REF!,"AAAAAE9vzig=")</f>
        <v>#REF!</v>
      </c>
      <c r="AP183" t="e">
        <f>AND(Bills!#REF!,"AAAAAE9vzik=")</f>
        <v>#REF!</v>
      </c>
      <c r="AQ183" t="e">
        <f>AND(Bills!W685,"AAAAAE9vzio=")</f>
        <v>#VALUE!</v>
      </c>
      <c r="AR183" t="e">
        <f>AND(Bills!X685,"AAAAAE9vzis=")</f>
        <v>#VALUE!</v>
      </c>
      <c r="AS183" t="e">
        <f>AND(Bills!#REF!,"AAAAAE9vziw=")</f>
        <v>#REF!</v>
      </c>
      <c r="AT183" t="e">
        <f>AND(Bills!#REF!,"AAAAAE9vzi0=")</f>
        <v>#REF!</v>
      </c>
      <c r="AU183" t="e">
        <f>AND(Bills!#REF!,"AAAAAE9vzi4=")</f>
        <v>#REF!</v>
      </c>
      <c r="AV183" t="e">
        <f>AND(Bills!#REF!,"AAAAAE9vzi8=")</f>
        <v>#REF!</v>
      </c>
      <c r="AW183" t="e">
        <f>AND(Bills!#REF!,"AAAAAE9vzjA=")</f>
        <v>#REF!</v>
      </c>
      <c r="AX183" t="e">
        <f>AND(Bills!#REF!,"AAAAAE9vzjE=")</f>
        <v>#REF!</v>
      </c>
      <c r="AY183" t="e">
        <f>AND(Bills!#REF!,"AAAAAE9vzjI=")</f>
        <v>#REF!</v>
      </c>
      <c r="AZ183" t="e">
        <f>AND(Bills!#REF!,"AAAAAE9vzjM=")</f>
        <v>#REF!</v>
      </c>
      <c r="BA183" t="e">
        <f>AND(Bills!#REF!,"AAAAAE9vzjQ=")</f>
        <v>#REF!</v>
      </c>
      <c r="BB183" t="e">
        <f>AND(Bills!Y685,"AAAAAE9vzjU=")</f>
        <v>#VALUE!</v>
      </c>
      <c r="BC183" t="e">
        <f>AND(Bills!Z685,"AAAAAE9vzjY=")</f>
        <v>#VALUE!</v>
      </c>
      <c r="BD183" t="e">
        <f>AND(Bills!#REF!,"AAAAAE9vzjc=")</f>
        <v>#REF!</v>
      </c>
      <c r="BE183" t="e">
        <f>AND(Bills!#REF!,"AAAAAE9vzjg=")</f>
        <v>#REF!</v>
      </c>
      <c r="BF183" t="e">
        <f>AND(Bills!#REF!,"AAAAAE9vzjk=")</f>
        <v>#REF!</v>
      </c>
      <c r="BG183" t="e">
        <f>AND(Bills!AA685,"AAAAAE9vzjo=")</f>
        <v>#VALUE!</v>
      </c>
      <c r="BH183" t="e">
        <f>AND(Bills!AB685,"AAAAAE9vzjs=")</f>
        <v>#VALUE!</v>
      </c>
      <c r="BI183" t="e">
        <f>AND(Bills!#REF!,"AAAAAE9vzjw=")</f>
        <v>#REF!</v>
      </c>
      <c r="BJ183">
        <f>IF(Bills!686:686,"AAAAAE9vzj0=",0)</f>
        <v>0</v>
      </c>
      <c r="BK183" t="e">
        <f>AND(Bills!B686,"AAAAAE9vzj4=")</f>
        <v>#VALUE!</v>
      </c>
      <c r="BL183" t="e">
        <f>AND(Bills!#REF!,"AAAAAE9vzj8=")</f>
        <v>#REF!</v>
      </c>
      <c r="BM183" t="e">
        <f>AND(Bills!C686,"AAAAAE9vzkA=")</f>
        <v>#VALUE!</v>
      </c>
      <c r="BN183" t="e">
        <f>AND(Bills!#REF!,"AAAAAE9vzkE=")</f>
        <v>#REF!</v>
      </c>
      <c r="BO183" t="e">
        <f>AND(Bills!#REF!,"AAAAAE9vzkI=")</f>
        <v>#REF!</v>
      </c>
      <c r="BP183" t="e">
        <f>AND(Bills!#REF!,"AAAAAE9vzkM=")</f>
        <v>#REF!</v>
      </c>
      <c r="BQ183" t="e">
        <f>AND(Bills!#REF!,"AAAAAE9vzkQ=")</f>
        <v>#REF!</v>
      </c>
      <c r="BR183" t="e">
        <f>AND(Bills!#REF!,"AAAAAE9vzkU=")</f>
        <v>#REF!</v>
      </c>
      <c r="BS183" t="e">
        <f>AND(Bills!D686,"AAAAAE9vzkY=")</f>
        <v>#VALUE!</v>
      </c>
      <c r="BT183" t="e">
        <f>AND(Bills!#REF!,"AAAAAE9vzkc=")</f>
        <v>#REF!</v>
      </c>
      <c r="BU183" t="e">
        <f>AND(Bills!E686,"AAAAAE9vzkg=")</f>
        <v>#VALUE!</v>
      </c>
      <c r="BV183" t="e">
        <f>AND(Bills!F686,"AAAAAE9vzkk=")</f>
        <v>#VALUE!</v>
      </c>
      <c r="BW183" t="e">
        <f>AND(Bills!G686,"AAAAAE9vzko=")</f>
        <v>#VALUE!</v>
      </c>
      <c r="BX183" t="e">
        <f>AND(Bills!H686,"AAAAAE9vzks=")</f>
        <v>#VALUE!</v>
      </c>
      <c r="BY183" t="e">
        <f>AND(Bills!I686,"AAAAAE9vzkw=")</f>
        <v>#VALUE!</v>
      </c>
      <c r="BZ183" t="e">
        <f>AND(Bills!J686,"AAAAAE9vzk0=")</f>
        <v>#VALUE!</v>
      </c>
      <c r="CA183" t="e">
        <f>AND(Bills!#REF!,"AAAAAE9vzk4=")</f>
        <v>#REF!</v>
      </c>
      <c r="CB183" t="e">
        <f>AND(Bills!K686,"AAAAAE9vzk8=")</f>
        <v>#VALUE!</v>
      </c>
      <c r="CC183" t="e">
        <f>AND(Bills!L686,"AAAAAE9vzlA=")</f>
        <v>#VALUE!</v>
      </c>
      <c r="CD183" t="e">
        <f>AND(Bills!M686,"AAAAAE9vzlE=")</f>
        <v>#VALUE!</v>
      </c>
      <c r="CE183" t="e">
        <f>AND(Bills!N686,"AAAAAE9vzlI=")</f>
        <v>#VALUE!</v>
      </c>
      <c r="CF183" t="e">
        <f>AND(Bills!O686,"AAAAAE9vzlM=")</f>
        <v>#VALUE!</v>
      </c>
      <c r="CG183" t="e">
        <f>AND(Bills!P686,"AAAAAE9vzlQ=")</f>
        <v>#VALUE!</v>
      </c>
      <c r="CH183" t="e">
        <f>AND(Bills!Q686,"AAAAAE9vzlU=")</f>
        <v>#VALUE!</v>
      </c>
      <c r="CI183" t="e">
        <f>AND(Bills!R686,"AAAAAE9vzlY=")</f>
        <v>#VALUE!</v>
      </c>
      <c r="CJ183" t="e">
        <f>AND(Bills!#REF!,"AAAAAE9vzlc=")</f>
        <v>#REF!</v>
      </c>
      <c r="CK183" t="e">
        <f>AND(Bills!S686,"AAAAAE9vzlg=")</f>
        <v>#VALUE!</v>
      </c>
      <c r="CL183" t="e">
        <f>AND(Bills!T686,"AAAAAE9vzlk=")</f>
        <v>#VALUE!</v>
      </c>
      <c r="CM183" t="e">
        <f>AND(Bills!U686,"AAAAAE9vzlo=")</f>
        <v>#VALUE!</v>
      </c>
      <c r="CN183" t="e">
        <f>AND(Bills!#REF!,"AAAAAE9vzls=")</f>
        <v>#REF!</v>
      </c>
      <c r="CO183" t="e">
        <f>AND(Bills!#REF!,"AAAAAE9vzlw=")</f>
        <v>#REF!</v>
      </c>
      <c r="CP183" t="e">
        <f>AND(Bills!W686,"AAAAAE9vzl0=")</f>
        <v>#VALUE!</v>
      </c>
      <c r="CQ183" t="e">
        <f>AND(Bills!X686,"AAAAAE9vzl4=")</f>
        <v>#VALUE!</v>
      </c>
      <c r="CR183" t="e">
        <f>AND(Bills!#REF!,"AAAAAE9vzl8=")</f>
        <v>#REF!</v>
      </c>
      <c r="CS183" t="e">
        <f>AND(Bills!#REF!,"AAAAAE9vzmA=")</f>
        <v>#REF!</v>
      </c>
      <c r="CT183" t="e">
        <f>AND(Bills!#REF!,"AAAAAE9vzmE=")</f>
        <v>#REF!</v>
      </c>
      <c r="CU183" t="e">
        <f>AND(Bills!#REF!,"AAAAAE9vzmI=")</f>
        <v>#REF!</v>
      </c>
      <c r="CV183" t="e">
        <f>AND(Bills!#REF!,"AAAAAE9vzmM=")</f>
        <v>#REF!</v>
      </c>
      <c r="CW183" t="e">
        <f>AND(Bills!#REF!,"AAAAAE9vzmQ=")</f>
        <v>#REF!</v>
      </c>
      <c r="CX183" t="e">
        <f>AND(Bills!#REF!,"AAAAAE9vzmU=")</f>
        <v>#REF!</v>
      </c>
      <c r="CY183" t="e">
        <f>AND(Bills!#REF!,"AAAAAE9vzmY=")</f>
        <v>#REF!</v>
      </c>
      <c r="CZ183" t="e">
        <f>AND(Bills!#REF!,"AAAAAE9vzmc=")</f>
        <v>#REF!</v>
      </c>
      <c r="DA183" t="e">
        <f>AND(Bills!Y686,"AAAAAE9vzmg=")</f>
        <v>#VALUE!</v>
      </c>
      <c r="DB183" t="e">
        <f>AND(Bills!Z686,"AAAAAE9vzmk=")</f>
        <v>#VALUE!</v>
      </c>
      <c r="DC183" t="e">
        <f>AND(Bills!#REF!,"AAAAAE9vzmo=")</f>
        <v>#REF!</v>
      </c>
      <c r="DD183" t="e">
        <f>AND(Bills!#REF!,"AAAAAE9vzms=")</f>
        <v>#REF!</v>
      </c>
      <c r="DE183" t="e">
        <f>AND(Bills!#REF!,"AAAAAE9vzmw=")</f>
        <v>#REF!</v>
      </c>
      <c r="DF183" t="e">
        <f>AND(Bills!AA686,"AAAAAE9vzm0=")</f>
        <v>#VALUE!</v>
      </c>
      <c r="DG183" t="e">
        <f>AND(Bills!AB686,"AAAAAE9vzm4=")</f>
        <v>#VALUE!</v>
      </c>
      <c r="DH183" t="e">
        <f>AND(Bills!#REF!,"AAAAAE9vzm8=")</f>
        <v>#REF!</v>
      </c>
      <c r="DI183">
        <f>IF(Bills!687:687,"AAAAAE9vznA=",0)</f>
        <v>0</v>
      </c>
      <c r="DJ183" t="e">
        <f>AND(Bills!B687,"AAAAAE9vznE=")</f>
        <v>#VALUE!</v>
      </c>
      <c r="DK183" t="e">
        <f>AND(Bills!#REF!,"AAAAAE9vznI=")</f>
        <v>#REF!</v>
      </c>
      <c r="DL183" t="e">
        <f>AND(Bills!C687,"AAAAAE9vznM=")</f>
        <v>#VALUE!</v>
      </c>
      <c r="DM183" t="e">
        <f>AND(Bills!#REF!,"AAAAAE9vznQ=")</f>
        <v>#REF!</v>
      </c>
      <c r="DN183" t="e">
        <f>AND(Bills!#REF!,"AAAAAE9vznU=")</f>
        <v>#REF!</v>
      </c>
      <c r="DO183" t="e">
        <f>AND(Bills!#REF!,"AAAAAE9vznY=")</f>
        <v>#REF!</v>
      </c>
      <c r="DP183" t="e">
        <f>AND(Bills!#REF!,"AAAAAE9vznc=")</f>
        <v>#REF!</v>
      </c>
      <c r="DQ183" t="e">
        <f>AND(Bills!#REF!,"AAAAAE9vzng=")</f>
        <v>#REF!</v>
      </c>
      <c r="DR183" t="e">
        <f>AND(Bills!D687,"AAAAAE9vznk=")</f>
        <v>#VALUE!</v>
      </c>
      <c r="DS183" t="e">
        <f>AND(Bills!#REF!,"AAAAAE9vzno=")</f>
        <v>#REF!</v>
      </c>
      <c r="DT183" t="e">
        <f>AND(Bills!E687,"AAAAAE9vzns=")</f>
        <v>#VALUE!</v>
      </c>
      <c r="DU183" t="e">
        <f>AND(Bills!F687,"AAAAAE9vznw=")</f>
        <v>#VALUE!</v>
      </c>
      <c r="DV183" t="e">
        <f>AND(Bills!G687,"AAAAAE9vzn0=")</f>
        <v>#VALUE!</v>
      </c>
      <c r="DW183" t="e">
        <f>AND(Bills!H687,"AAAAAE9vzn4=")</f>
        <v>#VALUE!</v>
      </c>
      <c r="DX183" t="e">
        <f>AND(Bills!I687,"AAAAAE9vzn8=")</f>
        <v>#VALUE!</v>
      </c>
      <c r="DY183" t="e">
        <f>AND(Bills!J687,"AAAAAE9vzoA=")</f>
        <v>#VALUE!</v>
      </c>
      <c r="DZ183" t="e">
        <f>AND(Bills!#REF!,"AAAAAE9vzoE=")</f>
        <v>#REF!</v>
      </c>
      <c r="EA183" t="e">
        <f>AND(Bills!K687,"AAAAAE9vzoI=")</f>
        <v>#VALUE!</v>
      </c>
      <c r="EB183" t="e">
        <f>AND(Bills!L687,"AAAAAE9vzoM=")</f>
        <v>#VALUE!</v>
      </c>
      <c r="EC183" t="e">
        <f>AND(Bills!M687,"AAAAAE9vzoQ=")</f>
        <v>#VALUE!</v>
      </c>
      <c r="ED183" t="e">
        <f>AND(Bills!N687,"AAAAAE9vzoU=")</f>
        <v>#VALUE!</v>
      </c>
      <c r="EE183" t="e">
        <f>AND(Bills!O687,"AAAAAE9vzoY=")</f>
        <v>#VALUE!</v>
      </c>
      <c r="EF183" t="e">
        <f>AND(Bills!P687,"AAAAAE9vzoc=")</f>
        <v>#VALUE!</v>
      </c>
      <c r="EG183" t="e">
        <f>AND(Bills!Q687,"AAAAAE9vzog=")</f>
        <v>#VALUE!</v>
      </c>
      <c r="EH183" t="e">
        <f>AND(Bills!R687,"AAAAAE9vzok=")</f>
        <v>#VALUE!</v>
      </c>
      <c r="EI183" t="e">
        <f>AND(Bills!#REF!,"AAAAAE9vzoo=")</f>
        <v>#REF!</v>
      </c>
      <c r="EJ183" t="e">
        <f>AND(Bills!S687,"AAAAAE9vzos=")</f>
        <v>#VALUE!</v>
      </c>
      <c r="EK183" t="e">
        <f>AND(Bills!T687,"AAAAAE9vzow=")</f>
        <v>#VALUE!</v>
      </c>
      <c r="EL183" t="e">
        <f>AND(Bills!U687,"AAAAAE9vzo0=")</f>
        <v>#VALUE!</v>
      </c>
      <c r="EM183" t="e">
        <f>AND(Bills!#REF!,"AAAAAE9vzo4=")</f>
        <v>#REF!</v>
      </c>
      <c r="EN183" t="e">
        <f>AND(Bills!#REF!,"AAAAAE9vzo8=")</f>
        <v>#REF!</v>
      </c>
      <c r="EO183" t="e">
        <f>AND(Bills!W687,"AAAAAE9vzpA=")</f>
        <v>#VALUE!</v>
      </c>
      <c r="EP183" t="e">
        <f>AND(Bills!X687,"AAAAAE9vzpE=")</f>
        <v>#VALUE!</v>
      </c>
      <c r="EQ183" t="e">
        <f>AND(Bills!#REF!,"AAAAAE9vzpI=")</f>
        <v>#REF!</v>
      </c>
      <c r="ER183" t="e">
        <f>AND(Bills!#REF!,"AAAAAE9vzpM=")</f>
        <v>#REF!</v>
      </c>
      <c r="ES183" t="e">
        <f>AND(Bills!#REF!,"AAAAAE9vzpQ=")</f>
        <v>#REF!</v>
      </c>
      <c r="ET183" t="e">
        <f>AND(Bills!#REF!,"AAAAAE9vzpU=")</f>
        <v>#REF!</v>
      </c>
      <c r="EU183" t="e">
        <f>AND(Bills!#REF!,"AAAAAE9vzpY=")</f>
        <v>#REF!</v>
      </c>
      <c r="EV183" t="e">
        <f>AND(Bills!#REF!,"AAAAAE9vzpc=")</f>
        <v>#REF!</v>
      </c>
      <c r="EW183" t="e">
        <f>AND(Bills!#REF!,"AAAAAE9vzpg=")</f>
        <v>#REF!</v>
      </c>
      <c r="EX183" t="e">
        <f>AND(Bills!#REF!,"AAAAAE9vzpk=")</f>
        <v>#REF!</v>
      </c>
      <c r="EY183" t="e">
        <f>AND(Bills!#REF!,"AAAAAE9vzpo=")</f>
        <v>#REF!</v>
      </c>
      <c r="EZ183" t="e">
        <f>AND(Bills!Y687,"AAAAAE9vzps=")</f>
        <v>#VALUE!</v>
      </c>
      <c r="FA183" t="e">
        <f>AND(Bills!Z687,"AAAAAE9vzpw=")</f>
        <v>#VALUE!</v>
      </c>
      <c r="FB183" t="e">
        <f>AND(Bills!#REF!,"AAAAAE9vzp0=")</f>
        <v>#REF!</v>
      </c>
      <c r="FC183" t="e">
        <f>AND(Bills!#REF!,"AAAAAE9vzp4=")</f>
        <v>#REF!</v>
      </c>
      <c r="FD183" t="e">
        <f>AND(Bills!#REF!,"AAAAAE9vzp8=")</f>
        <v>#REF!</v>
      </c>
      <c r="FE183" t="e">
        <f>AND(Bills!AA687,"AAAAAE9vzqA=")</f>
        <v>#VALUE!</v>
      </c>
      <c r="FF183" t="e">
        <f>AND(Bills!AB687,"AAAAAE9vzqE=")</f>
        <v>#VALUE!</v>
      </c>
      <c r="FG183" t="e">
        <f>AND(Bills!#REF!,"AAAAAE9vzqI=")</f>
        <v>#REF!</v>
      </c>
      <c r="FH183">
        <f>IF(Bills!688:688,"AAAAAE9vzqM=",0)</f>
        <v>0</v>
      </c>
      <c r="FI183" t="e">
        <f>AND(Bills!B688,"AAAAAE9vzqQ=")</f>
        <v>#VALUE!</v>
      </c>
      <c r="FJ183" t="e">
        <f>AND(Bills!#REF!,"AAAAAE9vzqU=")</f>
        <v>#REF!</v>
      </c>
      <c r="FK183" t="e">
        <f>AND(Bills!C688,"AAAAAE9vzqY=")</f>
        <v>#VALUE!</v>
      </c>
      <c r="FL183" t="e">
        <f>AND(Bills!#REF!,"AAAAAE9vzqc=")</f>
        <v>#REF!</v>
      </c>
      <c r="FM183" t="e">
        <f>AND(Bills!#REF!,"AAAAAE9vzqg=")</f>
        <v>#REF!</v>
      </c>
      <c r="FN183" t="e">
        <f>AND(Bills!#REF!,"AAAAAE9vzqk=")</f>
        <v>#REF!</v>
      </c>
      <c r="FO183" t="e">
        <f>AND(Bills!#REF!,"AAAAAE9vzqo=")</f>
        <v>#REF!</v>
      </c>
      <c r="FP183" t="e">
        <f>AND(Bills!#REF!,"AAAAAE9vzqs=")</f>
        <v>#REF!</v>
      </c>
      <c r="FQ183" t="e">
        <f>AND(Bills!D688,"AAAAAE9vzqw=")</f>
        <v>#VALUE!</v>
      </c>
      <c r="FR183" t="e">
        <f>AND(Bills!#REF!,"AAAAAE9vzq0=")</f>
        <v>#REF!</v>
      </c>
      <c r="FS183" t="e">
        <f>AND(Bills!E688,"AAAAAE9vzq4=")</f>
        <v>#VALUE!</v>
      </c>
      <c r="FT183" t="e">
        <f>AND(Bills!F688,"AAAAAE9vzq8=")</f>
        <v>#VALUE!</v>
      </c>
      <c r="FU183" t="e">
        <f>AND(Bills!G688,"AAAAAE9vzrA=")</f>
        <v>#VALUE!</v>
      </c>
      <c r="FV183" t="e">
        <f>AND(Bills!H688,"AAAAAE9vzrE=")</f>
        <v>#VALUE!</v>
      </c>
      <c r="FW183" t="e">
        <f>AND(Bills!I688,"AAAAAE9vzrI=")</f>
        <v>#VALUE!</v>
      </c>
      <c r="FX183" t="e">
        <f>AND(Bills!J688,"AAAAAE9vzrM=")</f>
        <v>#VALUE!</v>
      </c>
      <c r="FY183" t="e">
        <f>AND(Bills!#REF!,"AAAAAE9vzrQ=")</f>
        <v>#REF!</v>
      </c>
      <c r="FZ183" t="e">
        <f>AND(Bills!K688,"AAAAAE9vzrU=")</f>
        <v>#VALUE!</v>
      </c>
      <c r="GA183" t="e">
        <f>AND(Bills!L688,"AAAAAE9vzrY=")</f>
        <v>#VALUE!</v>
      </c>
      <c r="GB183" t="e">
        <f>AND(Bills!M688,"AAAAAE9vzrc=")</f>
        <v>#VALUE!</v>
      </c>
      <c r="GC183" t="e">
        <f>AND(Bills!N688,"AAAAAE9vzrg=")</f>
        <v>#VALUE!</v>
      </c>
      <c r="GD183" t="e">
        <f>AND(Bills!O688,"AAAAAE9vzrk=")</f>
        <v>#VALUE!</v>
      </c>
      <c r="GE183" t="e">
        <f>AND(Bills!P688,"AAAAAE9vzro=")</f>
        <v>#VALUE!</v>
      </c>
      <c r="GF183" t="e">
        <f>AND(Bills!Q688,"AAAAAE9vzrs=")</f>
        <v>#VALUE!</v>
      </c>
      <c r="GG183" t="e">
        <f>AND(Bills!R688,"AAAAAE9vzrw=")</f>
        <v>#VALUE!</v>
      </c>
      <c r="GH183" t="e">
        <f>AND(Bills!#REF!,"AAAAAE9vzr0=")</f>
        <v>#REF!</v>
      </c>
      <c r="GI183" t="e">
        <f>AND(Bills!S688,"AAAAAE9vzr4=")</f>
        <v>#VALUE!</v>
      </c>
      <c r="GJ183" t="e">
        <f>AND(Bills!T688,"AAAAAE9vzr8=")</f>
        <v>#VALUE!</v>
      </c>
      <c r="GK183" t="e">
        <f>AND(Bills!U688,"AAAAAE9vzsA=")</f>
        <v>#VALUE!</v>
      </c>
      <c r="GL183" t="e">
        <f>AND(Bills!#REF!,"AAAAAE9vzsE=")</f>
        <v>#REF!</v>
      </c>
      <c r="GM183" t="e">
        <f>AND(Bills!#REF!,"AAAAAE9vzsI=")</f>
        <v>#REF!</v>
      </c>
      <c r="GN183" t="e">
        <f>AND(Bills!W688,"AAAAAE9vzsM=")</f>
        <v>#VALUE!</v>
      </c>
      <c r="GO183" t="e">
        <f>AND(Bills!X688,"AAAAAE9vzsQ=")</f>
        <v>#VALUE!</v>
      </c>
      <c r="GP183" t="e">
        <f>AND(Bills!#REF!,"AAAAAE9vzsU=")</f>
        <v>#REF!</v>
      </c>
      <c r="GQ183" t="e">
        <f>AND(Bills!#REF!,"AAAAAE9vzsY=")</f>
        <v>#REF!</v>
      </c>
      <c r="GR183" t="e">
        <f>AND(Bills!#REF!,"AAAAAE9vzsc=")</f>
        <v>#REF!</v>
      </c>
      <c r="GS183" t="e">
        <f>AND(Bills!#REF!,"AAAAAE9vzsg=")</f>
        <v>#REF!</v>
      </c>
      <c r="GT183" t="e">
        <f>AND(Bills!#REF!,"AAAAAE9vzsk=")</f>
        <v>#REF!</v>
      </c>
      <c r="GU183" t="e">
        <f>AND(Bills!#REF!,"AAAAAE9vzso=")</f>
        <v>#REF!</v>
      </c>
      <c r="GV183" t="e">
        <f>AND(Bills!#REF!,"AAAAAE9vzss=")</f>
        <v>#REF!</v>
      </c>
      <c r="GW183" t="e">
        <f>AND(Bills!#REF!,"AAAAAE9vzsw=")</f>
        <v>#REF!</v>
      </c>
      <c r="GX183" t="e">
        <f>AND(Bills!#REF!,"AAAAAE9vzs0=")</f>
        <v>#REF!</v>
      </c>
      <c r="GY183" t="e">
        <f>AND(Bills!Y688,"AAAAAE9vzs4=")</f>
        <v>#VALUE!</v>
      </c>
      <c r="GZ183" t="e">
        <f>AND(Bills!Z688,"AAAAAE9vzs8=")</f>
        <v>#VALUE!</v>
      </c>
      <c r="HA183" t="e">
        <f>AND(Bills!#REF!,"AAAAAE9vztA=")</f>
        <v>#REF!</v>
      </c>
      <c r="HB183" t="e">
        <f>AND(Bills!#REF!,"AAAAAE9vztE=")</f>
        <v>#REF!</v>
      </c>
      <c r="HC183" t="e">
        <f>AND(Bills!#REF!,"AAAAAE9vztI=")</f>
        <v>#REF!</v>
      </c>
      <c r="HD183" t="e">
        <f>AND(Bills!AA688,"AAAAAE9vztM=")</f>
        <v>#VALUE!</v>
      </c>
      <c r="HE183" t="e">
        <f>AND(Bills!AB688,"AAAAAE9vztQ=")</f>
        <v>#VALUE!</v>
      </c>
      <c r="HF183" t="e">
        <f>AND(Bills!#REF!,"AAAAAE9vztU=")</f>
        <v>#REF!</v>
      </c>
      <c r="HG183">
        <f>IF(Bills!689:689,"AAAAAE9vztY=",0)</f>
        <v>0</v>
      </c>
      <c r="HH183" t="e">
        <f>AND(Bills!B689,"AAAAAE9vztc=")</f>
        <v>#VALUE!</v>
      </c>
      <c r="HI183" t="e">
        <f>AND(Bills!#REF!,"AAAAAE9vztg=")</f>
        <v>#REF!</v>
      </c>
      <c r="HJ183" t="e">
        <f>AND(Bills!C689,"AAAAAE9vztk=")</f>
        <v>#VALUE!</v>
      </c>
      <c r="HK183" t="e">
        <f>AND(Bills!#REF!,"AAAAAE9vzto=")</f>
        <v>#REF!</v>
      </c>
      <c r="HL183" t="e">
        <f>AND(Bills!#REF!,"AAAAAE9vzts=")</f>
        <v>#REF!</v>
      </c>
      <c r="HM183" t="e">
        <f>AND(Bills!#REF!,"AAAAAE9vztw=")</f>
        <v>#REF!</v>
      </c>
      <c r="HN183" t="e">
        <f>AND(Bills!#REF!,"AAAAAE9vzt0=")</f>
        <v>#REF!</v>
      </c>
      <c r="HO183" t="e">
        <f>AND(Bills!#REF!,"AAAAAE9vzt4=")</f>
        <v>#REF!</v>
      </c>
      <c r="HP183" t="e">
        <f>AND(Bills!D689,"AAAAAE9vzt8=")</f>
        <v>#VALUE!</v>
      </c>
      <c r="HQ183" t="e">
        <f>AND(Bills!#REF!,"AAAAAE9vzuA=")</f>
        <v>#REF!</v>
      </c>
      <c r="HR183" t="e">
        <f>AND(Bills!E689,"AAAAAE9vzuE=")</f>
        <v>#VALUE!</v>
      </c>
      <c r="HS183" t="e">
        <f>AND(Bills!F689,"AAAAAE9vzuI=")</f>
        <v>#VALUE!</v>
      </c>
      <c r="HT183" t="e">
        <f>AND(Bills!G689,"AAAAAE9vzuM=")</f>
        <v>#VALUE!</v>
      </c>
      <c r="HU183" t="e">
        <f>AND(Bills!H689,"AAAAAE9vzuQ=")</f>
        <v>#VALUE!</v>
      </c>
      <c r="HV183" t="e">
        <f>AND(Bills!I689,"AAAAAE9vzuU=")</f>
        <v>#VALUE!</v>
      </c>
      <c r="HW183" t="e">
        <f>AND(Bills!J689,"AAAAAE9vzuY=")</f>
        <v>#VALUE!</v>
      </c>
      <c r="HX183" t="e">
        <f>AND(Bills!#REF!,"AAAAAE9vzuc=")</f>
        <v>#REF!</v>
      </c>
      <c r="HY183" t="e">
        <f>AND(Bills!K689,"AAAAAE9vzug=")</f>
        <v>#VALUE!</v>
      </c>
      <c r="HZ183" t="e">
        <f>AND(Bills!L689,"AAAAAE9vzuk=")</f>
        <v>#VALUE!</v>
      </c>
      <c r="IA183" t="e">
        <f>AND(Bills!M689,"AAAAAE9vzuo=")</f>
        <v>#VALUE!</v>
      </c>
      <c r="IB183" t="e">
        <f>AND(Bills!N689,"AAAAAE9vzus=")</f>
        <v>#VALUE!</v>
      </c>
      <c r="IC183" t="e">
        <f>AND(Bills!O689,"AAAAAE9vzuw=")</f>
        <v>#VALUE!</v>
      </c>
      <c r="ID183" t="e">
        <f>AND(Bills!P689,"AAAAAE9vzu0=")</f>
        <v>#VALUE!</v>
      </c>
      <c r="IE183" t="e">
        <f>AND(Bills!Q689,"AAAAAE9vzu4=")</f>
        <v>#VALUE!</v>
      </c>
      <c r="IF183" t="e">
        <f>AND(Bills!R689,"AAAAAE9vzu8=")</f>
        <v>#VALUE!</v>
      </c>
      <c r="IG183" t="e">
        <f>AND(Bills!#REF!,"AAAAAE9vzvA=")</f>
        <v>#REF!</v>
      </c>
      <c r="IH183" t="e">
        <f>AND(Bills!S689,"AAAAAE9vzvE=")</f>
        <v>#VALUE!</v>
      </c>
      <c r="II183" t="e">
        <f>AND(Bills!T689,"AAAAAE9vzvI=")</f>
        <v>#VALUE!</v>
      </c>
      <c r="IJ183" t="e">
        <f>AND(Bills!U689,"AAAAAE9vzvM=")</f>
        <v>#VALUE!</v>
      </c>
      <c r="IK183" t="e">
        <f>AND(Bills!#REF!,"AAAAAE9vzvQ=")</f>
        <v>#REF!</v>
      </c>
      <c r="IL183" t="e">
        <f>AND(Bills!#REF!,"AAAAAE9vzvU=")</f>
        <v>#REF!</v>
      </c>
      <c r="IM183" t="e">
        <f>AND(Bills!W689,"AAAAAE9vzvY=")</f>
        <v>#VALUE!</v>
      </c>
      <c r="IN183" t="e">
        <f>AND(Bills!X689,"AAAAAE9vzvc=")</f>
        <v>#VALUE!</v>
      </c>
      <c r="IO183" t="e">
        <f>AND(Bills!#REF!,"AAAAAE9vzvg=")</f>
        <v>#REF!</v>
      </c>
      <c r="IP183" t="e">
        <f>AND(Bills!#REF!,"AAAAAE9vzvk=")</f>
        <v>#REF!</v>
      </c>
      <c r="IQ183" t="e">
        <f>AND(Bills!#REF!,"AAAAAE9vzvo=")</f>
        <v>#REF!</v>
      </c>
      <c r="IR183" t="e">
        <f>AND(Bills!#REF!,"AAAAAE9vzvs=")</f>
        <v>#REF!</v>
      </c>
      <c r="IS183" t="e">
        <f>AND(Bills!#REF!,"AAAAAE9vzvw=")</f>
        <v>#REF!</v>
      </c>
      <c r="IT183" t="e">
        <f>AND(Bills!#REF!,"AAAAAE9vzv0=")</f>
        <v>#REF!</v>
      </c>
      <c r="IU183" t="e">
        <f>AND(Bills!#REF!,"AAAAAE9vzv4=")</f>
        <v>#REF!</v>
      </c>
      <c r="IV183" t="e">
        <f>AND(Bills!#REF!,"AAAAAE9vzv8=")</f>
        <v>#REF!</v>
      </c>
    </row>
    <row r="184" spans="1:256">
      <c r="A184" t="e">
        <f>AND(Bills!#REF!,"AAAAAH3vDwA=")</f>
        <v>#REF!</v>
      </c>
      <c r="B184" t="e">
        <f>AND(Bills!Y689,"AAAAAH3vDwE=")</f>
        <v>#VALUE!</v>
      </c>
      <c r="C184" t="e">
        <f>AND(Bills!Z689,"AAAAAH3vDwI=")</f>
        <v>#VALUE!</v>
      </c>
      <c r="D184" t="e">
        <f>AND(Bills!#REF!,"AAAAAH3vDwM=")</f>
        <v>#REF!</v>
      </c>
      <c r="E184" t="e">
        <f>AND(Bills!#REF!,"AAAAAH3vDwQ=")</f>
        <v>#REF!</v>
      </c>
      <c r="F184" t="e">
        <f>AND(Bills!#REF!,"AAAAAH3vDwU=")</f>
        <v>#REF!</v>
      </c>
      <c r="G184" t="e">
        <f>AND(Bills!AA689,"AAAAAH3vDwY=")</f>
        <v>#VALUE!</v>
      </c>
      <c r="H184" t="e">
        <f>AND(Bills!AB689,"AAAAAH3vDwc=")</f>
        <v>#VALUE!</v>
      </c>
      <c r="I184" t="e">
        <f>AND(Bills!#REF!,"AAAAAH3vDwg=")</f>
        <v>#REF!</v>
      </c>
      <c r="J184">
        <f>IF(Bills!690:690,"AAAAAH3vDwk=",0)</f>
        <v>0</v>
      </c>
      <c r="K184" t="e">
        <f>AND(Bills!B690,"AAAAAH3vDwo=")</f>
        <v>#VALUE!</v>
      </c>
      <c r="L184" t="e">
        <f>AND(Bills!#REF!,"AAAAAH3vDws=")</f>
        <v>#REF!</v>
      </c>
      <c r="M184" t="e">
        <f>AND(Bills!C690,"AAAAAH3vDww=")</f>
        <v>#VALUE!</v>
      </c>
      <c r="N184" t="e">
        <f>AND(Bills!#REF!,"AAAAAH3vDw0=")</f>
        <v>#REF!</v>
      </c>
      <c r="O184" t="e">
        <f>AND(Bills!#REF!,"AAAAAH3vDw4=")</f>
        <v>#REF!</v>
      </c>
      <c r="P184" t="e">
        <f>AND(Bills!#REF!,"AAAAAH3vDw8=")</f>
        <v>#REF!</v>
      </c>
      <c r="Q184" t="e">
        <f>AND(Bills!#REF!,"AAAAAH3vDxA=")</f>
        <v>#REF!</v>
      </c>
      <c r="R184" t="e">
        <f>AND(Bills!#REF!,"AAAAAH3vDxE=")</f>
        <v>#REF!</v>
      </c>
      <c r="S184" t="e">
        <f>AND(Bills!D690,"AAAAAH3vDxI=")</f>
        <v>#VALUE!</v>
      </c>
      <c r="T184" t="e">
        <f>AND(Bills!#REF!,"AAAAAH3vDxM=")</f>
        <v>#REF!</v>
      </c>
      <c r="U184" t="e">
        <f>AND(Bills!E690,"AAAAAH3vDxQ=")</f>
        <v>#VALUE!</v>
      </c>
      <c r="V184" t="e">
        <f>AND(Bills!F690,"AAAAAH3vDxU=")</f>
        <v>#VALUE!</v>
      </c>
      <c r="W184" t="e">
        <f>AND(Bills!G690,"AAAAAH3vDxY=")</f>
        <v>#VALUE!</v>
      </c>
      <c r="X184" t="e">
        <f>AND(Bills!H690,"AAAAAH3vDxc=")</f>
        <v>#VALUE!</v>
      </c>
      <c r="Y184" t="e">
        <f>AND(Bills!I690,"AAAAAH3vDxg=")</f>
        <v>#VALUE!</v>
      </c>
      <c r="Z184" t="e">
        <f>AND(Bills!J690,"AAAAAH3vDxk=")</f>
        <v>#VALUE!</v>
      </c>
      <c r="AA184" t="e">
        <f>AND(Bills!#REF!,"AAAAAH3vDxo=")</f>
        <v>#REF!</v>
      </c>
      <c r="AB184" t="e">
        <f>AND(Bills!K690,"AAAAAH3vDxs=")</f>
        <v>#VALUE!</v>
      </c>
      <c r="AC184" t="e">
        <f>AND(Bills!L690,"AAAAAH3vDxw=")</f>
        <v>#VALUE!</v>
      </c>
      <c r="AD184" t="e">
        <f>AND(Bills!M690,"AAAAAH3vDx0=")</f>
        <v>#VALUE!</v>
      </c>
      <c r="AE184" t="e">
        <f>AND(Bills!N690,"AAAAAH3vDx4=")</f>
        <v>#VALUE!</v>
      </c>
      <c r="AF184" t="e">
        <f>AND(Bills!O690,"AAAAAH3vDx8=")</f>
        <v>#VALUE!</v>
      </c>
      <c r="AG184" t="e">
        <f>AND(Bills!P690,"AAAAAH3vDyA=")</f>
        <v>#VALUE!</v>
      </c>
      <c r="AH184" t="e">
        <f>AND(Bills!Q690,"AAAAAH3vDyE=")</f>
        <v>#VALUE!</v>
      </c>
      <c r="AI184" t="e">
        <f>AND(Bills!R690,"AAAAAH3vDyI=")</f>
        <v>#VALUE!</v>
      </c>
      <c r="AJ184" t="e">
        <f>AND(Bills!#REF!,"AAAAAH3vDyM=")</f>
        <v>#REF!</v>
      </c>
      <c r="AK184" t="e">
        <f>AND(Bills!S690,"AAAAAH3vDyQ=")</f>
        <v>#VALUE!</v>
      </c>
      <c r="AL184" t="e">
        <f>AND(Bills!T690,"AAAAAH3vDyU=")</f>
        <v>#VALUE!</v>
      </c>
      <c r="AM184" t="e">
        <f>AND(Bills!U690,"AAAAAH3vDyY=")</f>
        <v>#VALUE!</v>
      </c>
      <c r="AN184" t="e">
        <f>AND(Bills!#REF!,"AAAAAH3vDyc=")</f>
        <v>#REF!</v>
      </c>
      <c r="AO184" t="e">
        <f>AND(Bills!#REF!,"AAAAAH3vDyg=")</f>
        <v>#REF!</v>
      </c>
      <c r="AP184" t="e">
        <f>AND(Bills!W690,"AAAAAH3vDyk=")</f>
        <v>#VALUE!</v>
      </c>
      <c r="AQ184" t="e">
        <f>AND(Bills!X690,"AAAAAH3vDyo=")</f>
        <v>#VALUE!</v>
      </c>
      <c r="AR184" t="e">
        <f>AND(Bills!#REF!,"AAAAAH3vDys=")</f>
        <v>#REF!</v>
      </c>
      <c r="AS184" t="e">
        <f>AND(Bills!#REF!,"AAAAAH3vDyw=")</f>
        <v>#REF!</v>
      </c>
      <c r="AT184" t="e">
        <f>AND(Bills!#REF!,"AAAAAH3vDy0=")</f>
        <v>#REF!</v>
      </c>
      <c r="AU184" t="e">
        <f>AND(Bills!#REF!,"AAAAAH3vDy4=")</f>
        <v>#REF!</v>
      </c>
      <c r="AV184" t="e">
        <f>AND(Bills!#REF!,"AAAAAH3vDy8=")</f>
        <v>#REF!</v>
      </c>
      <c r="AW184" t="e">
        <f>AND(Bills!#REF!,"AAAAAH3vDzA=")</f>
        <v>#REF!</v>
      </c>
      <c r="AX184" t="e">
        <f>AND(Bills!#REF!,"AAAAAH3vDzE=")</f>
        <v>#REF!</v>
      </c>
      <c r="AY184" t="e">
        <f>AND(Bills!#REF!,"AAAAAH3vDzI=")</f>
        <v>#REF!</v>
      </c>
      <c r="AZ184" t="e">
        <f>AND(Bills!#REF!,"AAAAAH3vDzM=")</f>
        <v>#REF!</v>
      </c>
      <c r="BA184" t="e">
        <f>AND(Bills!Y690,"AAAAAH3vDzQ=")</f>
        <v>#VALUE!</v>
      </c>
      <c r="BB184" t="e">
        <f>AND(Bills!Z690,"AAAAAH3vDzU=")</f>
        <v>#VALUE!</v>
      </c>
      <c r="BC184" t="e">
        <f>AND(Bills!#REF!,"AAAAAH3vDzY=")</f>
        <v>#REF!</v>
      </c>
      <c r="BD184" t="e">
        <f>AND(Bills!#REF!,"AAAAAH3vDzc=")</f>
        <v>#REF!</v>
      </c>
      <c r="BE184" t="e">
        <f>AND(Bills!#REF!,"AAAAAH3vDzg=")</f>
        <v>#REF!</v>
      </c>
      <c r="BF184" t="e">
        <f>AND(Bills!AA690,"AAAAAH3vDzk=")</f>
        <v>#VALUE!</v>
      </c>
      <c r="BG184" t="e">
        <f>AND(Bills!AB690,"AAAAAH3vDzo=")</f>
        <v>#VALUE!</v>
      </c>
      <c r="BH184" t="e">
        <f>AND(Bills!#REF!,"AAAAAH3vDzs=")</f>
        <v>#REF!</v>
      </c>
      <c r="BI184">
        <f>IF(Bills!691:691,"AAAAAH3vDzw=",0)</f>
        <v>0</v>
      </c>
      <c r="BJ184" t="e">
        <f>AND(Bills!B691,"AAAAAH3vDz0=")</f>
        <v>#VALUE!</v>
      </c>
      <c r="BK184" t="e">
        <f>AND(Bills!#REF!,"AAAAAH3vDz4=")</f>
        <v>#REF!</v>
      </c>
      <c r="BL184" t="e">
        <f>AND(Bills!C691,"AAAAAH3vDz8=")</f>
        <v>#VALUE!</v>
      </c>
      <c r="BM184" t="e">
        <f>AND(Bills!#REF!,"AAAAAH3vD0A=")</f>
        <v>#REF!</v>
      </c>
      <c r="BN184" t="e">
        <f>AND(Bills!#REF!,"AAAAAH3vD0E=")</f>
        <v>#REF!</v>
      </c>
      <c r="BO184" t="e">
        <f>AND(Bills!#REF!,"AAAAAH3vD0I=")</f>
        <v>#REF!</v>
      </c>
      <c r="BP184" t="e">
        <f>AND(Bills!#REF!,"AAAAAH3vD0M=")</f>
        <v>#REF!</v>
      </c>
      <c r="BQ184" t="e">
        <f>AND(Bills!#REF!,"AAAAAH3vD0Q=")</f>
        <v>#REF!</v>
      </c>
      <c r="BR184" t="e">
        <f>AND(Bills!D691,"AAAAAH3vD0U=")</f>
        <v>#VALUE!</v>
      </c>
      <c r="BS184" t="e">
        <f>AND(Bills!#REF!,"AAAAAH3vD0Y=")</f>
        <v>#REF!</v>
      </c>
      <c r="BT184" t="e">
        <f>AND(Bills!E691,"AAAAAH3vD0c=")</f>
        <v>#VALUE!</v>
      </c>
      <c r="BU184" t="e">
        <f>AND(Bills!F691,"AAAAAH3vD0g=")</f>
        <v>#VALUE!</v>
      </c>
      <c r="BV184" t="e">
        <f>AND(Bills!G691,"AAAAAH3vD0k=")</f>
        <v>#VALUE!</v>
      </c>
      <c r="BW184" t="e">
        <f>AND(Bills!H691,"AAAAAH3vD0o=")</f>
        <v>#VALUE!</v>
      </c>
      <c r="BX184" t="e">
        <f>AND(Bills!I691,"AAAAAH3vD0s=")</f>
        <v>#VALUE!</v>
      </c>
      <c r="BY184" t="e">
        <f>AND(Bills!J691,"AAAAAH3vD0w=")</f>
        <v>#VALUE!</v>
      </c>
      <c r="BZ184" t="e">
        <f>AND(Bills!#REF!,"AAAAAH3vD00=")</f>
        <v>#REF!</v>
      </c>
      <c r="CA184" t="e">
        <f>AND(Bills!K691,"AAAAAH3vD04=")</f>
        <v>#VALUE!</v>
      </c>
      <c r="CB184" t="e">
        <f>AND(Bills!L691,"AAAAAH3vD08=")</f>
        <v>#VALUE!</v>
      </c>
      <c r="CC184" t="e">
        <f>AND(Bills!M691,"AAAAAH3vD1A=")</f>
        <v>#VALUE!</v>
      </c>
      <c r="CD184" t="e">
        <f>AND(Bills!N691,"AAAAAH3vD1E=")</f>
        <v>#VALUE!</v>
      </c>
      <c r="CE184" t="e">
        <f>AND(Bills!O691,"AAAAAH3vD1I=")</f>
        <v>#VALUE!</v>
      </c>
      <c r="CF184" t="e">
        <f>AND(Bills!P691,"AAAAAH3vD1M=")</f>
        <v>#VALUE!</v>
      </c>
      <c r="CG184" t="e">
        <f>AND(Bills!Q691,"AAAAAH3vD1Q=")</f>
        <v>#VALUE!</v>
      </c>
      <c r="CH184" t="e">
        <f>AND(Bills!R691,"AAAAAH3vD1U=")</f>
        <v>#VALUE!</v>
      </c>
      <c r="CI184" t="e">
        <f>AND(Bills!#REF!,"AAAAAH3vD1Y=")</f>
        <v>#REF!</v>
      </c>
      <c r="CJ184" t="e">
        <f>AND(Bills!S691,"AAAAAH3vD1c=")</f>
        <v>#VALUE!</v>
      </c>
      <c r="CK184" t="e">
        <f>AND(Bills!T691,"AAAAAH3vD1g=")</f>
        <v>#VALUE!</v>
      </c>
      <c r="CL184" t="e">
        <f>AND(Bills!U691,"AAAAAH3vD1k=")</f>
        <v>#VALUE!</v>
      </c>
      <c r="CM184" t="e">
        <f>AND(Bills!#REF!,"AAAAAH3vD1o=")</f>
        <v>#REF!</v>
      </c>
      <c r="CN184" t="e">
        <f>AND(Bills!#REF!,"AAAAAH3vD1s=")</f>
        <v>#REF!</v>
      </c>
      <c r="CO184" t="e">
        <f>AND(Bills!W691,"AAAAAH3vD1w=")</f>
        <v>#VALUE!</v>
      </c>
      <c r="CP184" t="e">
        <f>AND(Bills!X691,"AAAAAH3vD10=")</f>
        <v>#VALUE!</v>
      </c>
      <c r="CQ184" t="e">
        <f>AND(Bills!#REF!,"AAAAAH3vD14=")</f>
        <v>#REF!</v>
      </c>
      <c r="CR184" t="e">
        <f>AND(Bills!#REF!,"AAAAAH3vD18=")</f>
        <v>#REF!</v>
      </c>
      <c r="CS184" t="e">
        <f>AND(Bills!#REF!,"AAAAAH3vD2A=")</f>
        <v>#REF!</v>
      </c>
      <c r="CT184" t="e">
        <f>AND(Bills!#REF!,"AAAAAH3vD2E=")</f>
        <v>#REF!</v>
      </c>
      <c r="CU184" t="e">
        <f>AND(Bills!#REF!,"AAAAAH3vD2I=")</f>
        <v>#REF!</v>
      </c>
      <c r="CV184" t="e">
        <f>AND(Bills!#REF!,"AAAAAH3vD2M=")</f>
        <v>#REF!</v>
      </c>
      <c r="CW184" t="e">
        <f>AND(Bills!#REF!,"AAAAAH3vD2Q=")</f>
        <v>#REF!</v>
      </c>
      <c r="CX184" t="e">
        <f>AND(Bills!#REF!,"AAAAAH3vD2U=")</f>
        <v>#REF!</v>
      </c>
      <c r="CY184" t="e">
        <f>AND(Bills!#REF!,"AAAAAH3vD2Y=")</f>
        <v>#REF!</v>
      </c>
      <c r="CZ184" t="e">
        <f>AND(Bills!Y691,"AAAAAH3vD2c=")</f>
        <v>#VALUE!</v>
      </c>
      <c r="DA184" t="e">
        <f>AND(Bills!Z691,"AAAAAH3vD2g=")</f>
        <v>#VALUE!</v>
      </c>
      <c r="DB184" t="e">
        <f>AND(Bills!#REF!,"AAAAAH3vD2k=")</f>
        <v>#REF!</v>
      </c>
      <c r="DC184" t="e">
        <f>AND(Bills!#REF!,"AAAAAH3vD2o=")</f>
        <v>#REF!</v>
      </c>
      <c r="DD184" t="e">
        <f>AND(Bills!#REF!,"AAAAAH3vD2s=")</f>
        <v>#REF!</v>
      </c>
      <c r="DE184" t="e">
        <f>AND(Bills!AA691,"AAAAAH3vD2w=")</f>
        <v>#VALUE!</v>
      </c>
      <c r="DF184" t="e">
        <f>AND(Bills!AB691,"AAAAAH3vD20=")</f>
        <v>#VALUE!</v>
      </c>
      <c r="DG184" t="e">
        <f>AND(Bills!#REF!,"AAAAAH3vD24=")</f>
        <v>#REF!</v>
      </c>
      <c r="DH184">
        <f>IF(Bills!692:692,"AAAAAH3vD28=",0)</f>
        <v>0</v>
      </c>
      <c r="DI184" t="e">
        <f>AND(Bills!B692,"AAAAAH3vD3A=")</f>
        <v>#VALUE!</v>
      </c>
      <c r="DJ184" t="e">
        <f>AND(Bills!#REF!,"AAAAAH3vD3E=")</f>
        <v>#REF!</v>
      </c>
      <c r="DK184" t="e">
        <f>AND(Bills!C692,"AAAAAH3vD3I=")</f>
        <v>#VALUE!</v>
      </c>
      <c r="DL184" t="e">
        <f>AND(Bills!#REF!,"AAAAAH3vD3M=")</f>
        <v>#REF!</v>
      </c>
      <c r="DM184" t="e">
        <f>AND(Bills!#REF!,"AAAAAH3vD3Q=")</f>
        <v>#REF!</v>
      </c>
      <c r="DN184" t="e">
        <f>AND(Bills!#REF!,"AAAAAH3vD3U=")</f>
        <v>#REF!</v>
      </c>
      <c r="DO184" t="e">
        <f>AND(Bills!#REF!,"AAAAAH3vD3Y=")</f>
        <v>#REF!</v>
      </c>
      <c r="DP184" t="e">
        <f>AND(Bills!#REF!,"AAAAAH3vD3c=")</f>
        <v>#REF!</v>
      </c>
      <c r="DQ184" t="e">
        <f>AND(Bills!D692,"AAAAAH3vD3g=")</f>
        <v>#VALUE!</v>
      </c>
      <c r="DR184" t="e">
        <f>AND(Bills!#REF!,"AAAAAH3vD3k=")</f>
        <v>#REF!</v>
      </c>
      <c r="DS184" t="e">
        <f>AND(Bills!E692,"AAAAAH3vD3o=")</f>
        <v>#VALUE!</v>
      </c>
      <c r="DT184" t="e">
        <f>AND(Bills!F692,"AAAAAH3vD3s=")</f>
        <v>#VALUE!</v>
      </c>
      <c r="DU184" t="e">
        <f>AND(Bills!G692,"AAAAAH3vD3w=")</f>
        <v>#VALUE!</v>
      </c>
      <c r="DV184" t="e">
        <f>AND(Bills!H692,"AAAAAH3vD30=")</f>
        <v>#VALUE!</v>
      </c>
      <c r="DW184" t="e">
        <f>AND(Bills!I692,"AAAAAH3vD34=")</f>
        <v>#VALUE!</v>
      </c>
      <c r="DX184" t="e">
        <f>AND(Bills!J692,"AAAAAH3vD38=")</f>
        <v>#VALUE!</v>
      </c>
      <c r="DY184" t="e">
        <f>AND(Bills!#REF!,"AAAAAH3vD4A=")</f>
        <v>#REF!</v>
      </c>
      <c r="DZ184" t="e">
        <f>AND(Bills!K692,"AAAAAH3vD4E=")</f>
        <v>#VALUE!</v>
      </c>
      <c r="EA184" t="e">
        <f>AND(Bills!L692,"AAAAAH3vD4I=")</f>
        <v>#VALUE!</v>
      </c>
      <c r="EB184" t="e">
        <f>AND(Bills!M692,"AAAAAH3vD4M=")</f>
        <v>#VALUE!</v>
      </c>
      <c r="EC184" t="e">
        <f>AND(Bills!N692,"AAAAAH3vD4Q=")</f>
        <v>#VALUE!</v>
      </c>
      <c r="ED184" t="e">
        <f>AND(Bills!O692,"AAAAAH3vD4U=")</f>
        <v>#VALUE!</v>
      </c>
      <c r="EE184" t="e">
        <f>AND(Bills!P692,"AAAAAH3vD4Y=")</f>
        <v>#VALUE!</v>
      </c>
      <c r="EF184" t="e">
        <f>AND(Bills!Q692,"AAAAAH3vD4c=")</f>
        <v>#VALUE!</v>
      </c>
      <c r="EG184" t="e">
        <f>AND(Bills!R692,"AAAAAH3vD4g=")</f>
        <v>#VALUE!</v>
      </c>
      <c r="EH184" t="e">
        <f>AND(Bills!#REF!,"AAAAAH3vD4k=")</f>
        <v>#REF!</v>
      </c>
      <c r="EI184" t="e">
        <f>AND(Bills!S692,"AAAAAH3vD4o=")</f>
        <v>#VALUE!</v>
      </c>
      <c r="EJ184" t="e">
        <f>AND(Bills!T692,"AAAAAH3vD4s=")</f>
        <v>#VALUE!</v>
      </c>
      <c r="EK184" t="e">
        <f>AND(Bills!U692,"AAAAAH3vD4w=")</f>
        <v>#VALUE!</v>
      </c>
      <c r="EL184" t="e">
        <f>AND(Bills!#REF!,"AAAAAH3vD40=")</f>
        <v>#REF!</v>
      </c>
      <c r="EM184" t="e">
        <f>AND(Bills!#REF!,"AAAAAH3vD44=")</f>
        <v>#REF!</v>
      </c>
      <c r="EN184" t="e">
        <f>AND(Bills!W692,"AAAAAH3vD48=")</f>
        <v>#VALUE!</v>
      </c>
      <c r="EO184" t="e">
        <f>AND(Bills!X692,"AAAAAH3vD5A=")</f>
        <v>#VALUE!</v>
      </c>
      <c r="EP184" t="e">
        <f>AND(Bills!#REF!,"AAAAAH3vD5E=")</f>
        <v>#REF!</v>
      </c>
      <c r="EQ184" t="e">
        <f>AND(Bills!#REF!,"AAAAAH3vD5I=")</f>
        <v>#REF!</v>
      </c>
      <c r="ER184" t="e">
        <f>AND(Bills!#REF!,"AAAAAH3vD5M=")</f>
        <v>#REF!</v>
      </c>
      <c r="ES184" t="e">
        <f>AND(Bills!#REF!,"AAAAAH3vD5Q=")</f>
        <v>#REF!</v>
      </c>
      <c r="ET184" t="e">
        <f>AND(Bills!#REF!,"AAAAAH3vD5U=")</f>
        <v>#REF!</v>
      </c>
      <c r="EU184" t="e">
        <f>AND(Bills!#REF!,"AAAAAH3vD5Y=")</f>
        <v>#REF!</v>
      </c>
      <c r="EV184" t="e">
        <f>AND(Bills!#REF!,"AAAAAH3vD5c=")</f>
        <v>#REF!</v>
      </c>
      <c r="EW184" t="e">
        <f>AND(Bills!#REF!,"AAAAAH3vD5g=")</f>
        <v>#REF!</v>
      </c>
      <c r="EX184" t="e">
        <f>AND(Bills!#REF!,"AAAAAH3vD5k=")</f>
        <v>#REF!</v>
      </c>
      <c r="EY184" t="e">
        <f>AND(Bills!Y692,"AAAAAH3vD5o=")</f>
        <v>#VALUE!</v>
      </c>
      <c r="EZ184" t="e">
        <f>AND(Bills!Z692,"AAAAAH3vD5s=")</f>
        <v>#VALUE!</v>
      </c>
      <c r="FA184" t="e">
        <f>AND(Bills!#REF!,"AAAAAH3vD5w=")</f>
        <v>#REF!</v>
      </c>
      <c r="FB184" t="e">
        <f>AND(Bills!#REF!,"AAAAAH3vD50=")</f>
        <v>#REF!</v>
      </c>
      <c r="FC184" t="e">
        <f>AND(Bills!#REF!,"AAAAAH3vD54=")</f>
        <v>#REF!</v>
      </c>
      <c r="FD184" t="e">
        <f>AND(Bills!AA692,"AAAAAH3vD58=")</f>
        <v>#VALUE!</v>
      </c>
      <c r="FE184" t="e">
        <f>AND(Bills!AB692,"AAAAAH3vD6A=")</f>
        <v>#VALUE!</v>
      </c>
      <c r="FF184" t="e">
        <f>AND(Bills!#REF!,"AAAAAH3vD6E=")</f>
        <v>#REF!</v>
      </c>
      <c r="FG184">
        <f>IF(Bills!693:693,"AAAAAH3vD6I=",0)</f>
        <v>0</v>
      </c>
      <c r="FH184" t="e">
        <f>AND(Bills!B693,"AAAAAH3vD6M=")</f>
        <v>#VALUE!</v>
      </c>
      <c r="FI184" t="e">
        <f>AND(Bills!#REF!,"AAAAAH3vD6Q=")</f>
        <v>#REF!</v>
      </c>
      <c r="FJ184" t="e">
        <f>AND(Bills!C693,"AAAAAH3vD6U=")</f>
        <v>#VALUE!</v>
      </c>
      <c r="FK184" t="e">
        <f>AND(Bills!#REF!,"AAAAAH3vD6Y=")</f>
        <v>#REF!</v>
      </c>
      <c r="FL184" t="e">
        <f>AND(Bills!#REF!,"AAAAAH3vD6c=")</f>
        <v>#REF!</v>
      </c>
      <c r="FM184" t="e">
        <f>AND(Bills!#REF!,"AAAAAH3vD6g=")</f>
        <v>#REF!</v>
      </c>
      <c r="FN184" t="e">
        <f>AND(Bills!#REF!,"AAAAAH3vD6k=")</f>
        <v>#REF!</v>
      </c>
      <c r="FO184" t="e">
        <f>AND(Bills!#REF!,"AAAAAH3vD6o=")</f>
        <v>#REF!</v>
      </c>
      <c r="FP184" t="e">
        <f>AND(Bills!D693,"AAAAAH3vD6s=")</f>
        <v>#VALUE!</v>
      </c>
      <c r="FQ184" t="e">
        <f>AND(Bills!#REF!,"AAAAAH3vD6w=")</f>
        <v>#REF!</v>
      </c>
      <c r="FR184" t="e">
        <f>AND(Bills!E693,"AAAAAH3vD60=")</f>
        <v>#VALUE!</v>
      </c>
      <c r="FS184" t="e">
        <f>AND(Bills!F693,"AAAAAH3vD64=")</f>
        <v>#VALUE!</v>
      </c>
      <c r="FT184" t="e">
        <f>AND(Bills!G693,"AAAAAH3vD68=")</f>
        <v>#VALUE!</v>
      </c>
      <c r="FU184" t="e">
        <f>AND(Bills!H693,"AAAAAH3vD7A=")</f>
        <v>#VALUE!</v>
      </c>
      <c r="FV184" t="e">
        <f>AND(Bills!I693,"AAAAAH3vD7E=")</f>
        <v>#VALUE!</v>
      </c>
      <c r="FW184" t="e">
        <f>AND(Bills!J693,"AAAAAH3vD7I=")</f>
        <v>#VALUE!</v>
      </c>
      <c r="FX184" t="e">
        <f>AND(Bills!#REF!,"AAAAAH3vD7M=")</f>
        <v>#REF!</v>
      </c>
      <c r="FY184" t="e">
        <f>AND(Bills!K693,"AAAAAH3vD7Q=")</f>
        <v>#VALUE!</v>
      </c>
      <c r="FZ184" t="e">
        <f>AND(Bills!L693,"AAAAAH3vD7U=")</f>
        <v>#VALUE!</v>
      </c>
      <c r="GA184" t="e">
        <f>AND(Bills!M693,"AAAAAH3vD7Y=")</f>
        <v>#VALUE!</v>
      </c>
      <c r="GB184" t="e">
        <f>AND(Bills!N693,"AAAAAH3vD7c=")</f>
        <v>#VALUE!</v>
      </c>
      <c r="GC184" t="e">
        <f>AND(Bills!O693,"AAAAAH3vD7g=")</f>
        <v>#VALUE!</v>
      </c>
      <c r="GD184" t="e">
        <f>AND(Bills!P693,"AAAAAH3vD7k=")</f>
        <v>#VALUE!</v>
      </c>
      <c r="GE184" t="e">
        <f>AND(Bills!Q693,"AAAAAH3vD7o=")</f>
        <v>#VALUE!</v>
      </c>
      <c r="GF184" t="e">
        <f>AND(Bills!R693,"AAAAAH3vD7s=")</f>
        <v>#VALUE!</v>
      </c>
      <c r="GG184" t="e">
        <f>AND(Bills!#REF!,"AAAAAH3vD7w=")</f>
        <v>#REF!</v>
      </c>
      <c r="GH184" t="e">
        <f>AND(Bills!S693,"AAAAAH3vD70=")</f>
        <v>#VALUE!</v>
      </c>
      <c r="GI184" t="e">
        <f>AND(Bills!T693,"AAAAAH3vD74=")</f>
        <v>#VALUE!</v>
      </c>
      <c r="GJ184" t="e">
        <f>AND(Bills!U693,"AAAAAH3vD78=")</f>
        <v>#VALUE!</v>
      </c>
      <c r="GK184" t="e">
        <f>AND(Bills!#REF!,"AAAAAH3vD8A=")</f>
        <v>#REF!</v>
      </c>
      <c r="GL184" t="e">
        <f>AND(Bills!#REF!,"AAAAAH3vD8E=")</f>
        <v>#REF!</v>
      </c>
      <c r="GM184" t="e">
        <f>AND(Bills!W693,"AAAAAH3vD8I=")</f>
        <v>#VALUE!</v>
      </c>
      <c r="GN184" t="e">
        <f>AND(Bills!X693,"AAAAAH3vD8M=")</f>
        <v>#VALUE!</v>
      </c>
      <c r="GO184" t="e">
        <f>AND(Bills!#REF!,"AAAAAH3vD8Q=")</f>
        <v>#REF!</v>
      </c>
      <c r="GP184" t="e">
        <f>AND(Bills!#REF!,"AAAAAH3vD8U=")</f>
        <v>#REF!</v>
      </c>
      <c r="GQ184" t="e">
        <f>AND(Bills!#REF!,"AAAAAH3vD8Y=")</f>
        <v>#REF!</v>
      </c>
      <c r="GR184" t="e">
        <f>AND(Bills!#REF!,"AAAAAH3vD8c=")</f>
        <v>#REF!</v>
      </c>
      <c r="GS184" t="e">
        <f>AND(Bills!#REF!,"AAAAAH3vD8g=")</f>
        <v>#REF!</v>
      </c>
      <c r="GT184" t="e">
        <f>AND(Bills!#REF!,"AAAAAH3vD8k=")</f>
        <v>#REF!</v>
      </c>
      <c r="GU184" t="e">
        <f>AND(Bills!#REF!,"AAAAAH3vD8o=")</f>
        <v>#REF!</v>
      </c>
      <c r="GV184" t="e">
        <f>AND(Bills!#REF!,"AAAAAH3vD8s=")</f>
        <v>#REF!</v>
      </c>
      <c r="GW184" t="e">
        <f>AND(Bills!#REF!,"AAAAAH3vD8w=")</f>
        <v>#REF!</v>
      </c>
      <c r="GX184" t="e">
        <f>AND(Bills!Y693,"AAAAAH3vD80=")</f>
        <v>#VALUE!</v>
      </c>
      <c r="GY184" t="e">
        <f>AND(Bills!Z693,"AAAAAH3vD84=")</f>
        <v>#VALUE!</v>
      </c>
      <c r="GZ184" t="e">
        <f>AND(Bills!#REF!,"AAAAAH3vD88=")</f>
        <v>#REF!</v>
      </c>
      <c r="HA184" t="e">
        <f>AND(Bills!#REF!,"AAAAAH3vD9A=")</f>
        <v>#REF!</v>
      </c>
      <c r="HB184" t="e">
        <f>AND(Bills!#REF!,"AAAAAH3vD9E=")</f>
        <v>#REF!</v>
      </c>
      <c r="HC184" t="e">
        <f>AND(Bills!AA693,"AAAAAH3vD9I=")</f>
        <v>#VALUE!</v>
      </c>
      <c r="HD184" t="e">
        <f>AND(Bills!AB693,"AAAAAH3vD9M=")</f>
        <v>#VALUE!</v>
      </c>
      <c r="HE184" t="e">
        <f>AND(Bills!#REF!,"AAAAAH3vD9Q=")</f>
        <v>#REF!</v>
      </c>
      <c r="HF184">
        <f>IF(Bills!694:694,"AAAAAH3vD9U=",0)</f>
        <v>0</v>
      </c>
      <c r="HG184" t="e">
        <f>AND(Bills!B694,"AAAAAH3vD9Y=")</f>
        <v>#VALUE!</v>
      </c>
      <c r="HH184" t="e">
        <f>AND(Bills!#REF!,"AAAAAH3vD9c=")</f>
        <v>#REF!</v>
      </c>
      <c r="HI184" t="e">
        <f>AND(Bills!C694,"AAAAAH3vD9g=")</f>
        <v>#VALUE!</v>
      </c>
      <c r="HJ184" t="e">
        <f>AND(Bills!#REF!,"AAAAAH3vD9k=")</f>
        <v>#REF!</v>
      </c>
      <c r="HK184" t="e">
        <f>AND(Bills!#REF!,"AAAAAH3vD9o=")</f>
        <v>#REF!</v>
      </c>
      <c r="HL184" t="e">
        <f>AND(Bills!#REF!,"AAAAAH3vD9s=")</f>
        <v>#REF!</v>
      </c>
      <c r="HM184" t="e">
        <f>AND(Bills!#REF!,"AAAAAH3vD9w=")</f>
        <v>#REF!</v>
      </c>
      <c r="HN184" t="e">
        <f>AND(Bills!#REF!,"AAAAAH3vD90=")</f>
        <v>#REF!</v>
      </c>
      <c r="HO184" t="e">
        <f>AND(Bills!D694,"AAAAAH3vD94=")</f>
        <v>#VALUE!</v>
      </c>
      <c r="HP184" t="e">
        <f>AND(Bills!#REF!,"AAAAAH3vD98=")</f>
        <v>#REF!</v>
      </c>
      <c r="HQ184" t="e">
        <f>AND(Bills!E694,"AAAAAH3vD+A=")</f>
        <v>#VALUE!</v>
      </c>
      <c r="HR184" t="e">
        <f>AND(Bills!F694,"AAAAAH3vD+E=")</f>
        <v>#VALUE!</v>
      </c>
      <c r="HS184" t="e">
        <f>AND(Bills!G694,"AAAAAH3vD+I=")</f>
        <v>#VALUE!</v>
      </c>
      <c r="HT184" t="e">
        <f>AND(Bills!H694,"AAAAAH3vD+M=")</f>
        <v>#VALUE!</v>
      </c>
      <c r="HU184" t="e">
        <f>AND(Bills!I694,"AAAAAH3vD+Q=")</f>
        <v>#VALUE!</v>
      </c>
      <c r="HV184" t="e">
        <f>AND(Bills!J694,"AAAAAH3vD+U=")</f>
        <v>#VALUE!</v>
      </c>
      <c r="HW184" t="e">
        <f>AND(Bills!#REF!,"AAAAAH3vD+Y=")</f>
        <v>#REF!</v>
      </c>
      <c r="HX184" t="e">
        <f>AND(Bills!K694,"AAAAAH3vD+c=")</f>
        <v>#VALUE!</v>
      </c>
      <c r="HY184" t="e">
        <f>AND(Bills!L694,"AAAAAH3vD+g=")</f>
        <v>#VALUE!</v>
      </c>
      <c r="HZ184" t="e">
        <f>AND(Bills!M694,"AAAAAH3vD+k=")</f>
        <v>#VALUE!</v>
      </c>
      <c r="IA184" t="e">
        <f>AND(Bills!N694,"AAAAAH3vD+o=")</f>
        <v>#VALUE!</v>
      </c>
      <c r="IB184" t="e">
        <f>AND(Bills!O694,"AAAAAH3vD+s=")</f>
        <v>#VALUE!</v>
      </c>
      <c r="IC184" t="e">
        <f>AND(Bills!P694,"AAAAAH3vD+w=")</f>
        <v>#VALUE!</v>
      </c>
      <c r="ID184" t="e">
        <f>AND(Bills!Q694,"AAAAAH3vD+0=")</f>
        <v>#VALUE!</v>
      </c>
      <c r="IE184" t="e">
        <f>AND(Bills!R694,"AAAAAH3vD+4=")</f>
        <v>#VALUE!</v>
      </c>
      <c r="IF184" t="e">
        <f>AND(Bills!#REF!,"AAAAAH3vD+8=")</f>
        <v>#REF!</v>
      </c>
      <c r="IG184" t="e">
        <f>AND(Bills!S694,"AAAAAH3vD/A=")</f>
        <v>#VALUE!</v>
      </c>
      <c r="IH184" t="e">
        <f>AND(Bills!T694,"AAAAAH3vD/E=")</f>
        <v>#VALUE!</v>
      </c>
      <c r="II184" t="e">
        <f>AND(Bills!U694,"AAAAAH3vD/I=")</f>
        <v>#VALUE!</v>
      </c>
      <c r="IJ184" t="e">
        <f>AND(Bills!#REF!,"AAAAAH3vD/M=")</f>
        <v>#REF!</v>
      </c>
      <c r="IK184" t="e">
        <f>AND(Bills!#REF!,"AAAAAH3vD/Q=")</f>
        <v>#REF!</v>
      </c>
      <c r="IL184" t="e">
        <f>AND(Bills!W694,"AAAAAH3vD/U=")</f>
        <v>#VALUE!</v>
      </c>
      <c r="IM184" t="e">
        <f>AND(Bills!X694,"AAAAAH3vD/Y=")</f>
        <v>#VALUE!</v>
      </c>
      <c r="IN184" t="e">
        <f>AND(Bills!#REF!,"AAAAAH3vD/c=")</f>
        <v>#REF!</v>
      </c>
      <c r="IO184" t="e">
        <f>AND(Bills!#REF!,"AAAAAH3vD/g=")</f>
        <v>#REF!</v>
      </c>
      <c r="IP184" t="e">
        <f>AND(Bills!#REF!,"AAAAAH3vD/k=")</f>
        <v>#REF!</v>
      </c>
      <c r="IQ184" t="e">
        <f>AND(Bills!#REF!,"AAAAAH3vD/o=")</f>
        <v>#REF!</v>
      </c>
      <c r="IR184" t="e">
        <f>AND(Bills!#REF!,"AAAAAH3vD/s=")</f>
        <v>#REF!</v>
      </c>
      <c r="IS184" t="e">
        <f>AND(Bills!#REF!,"AAAAAH3vD/w=")</f>
        <v>#REF!</v>
      </c>
      <c r="IT184" t="e">
        <f>AND(Bills!#REF!,"AAAAAH3vD/0=")</f>
        <v>#REF!</v>
      </c>
      <c r="IU184" t="e">
        <f>AND(Bills!#REF!,"AAAAAH3vD/4=")</f>
        <v>#REF!</v>
      </c>
      <c r="IV184" t="e">
        <f>AND(Bills!#REF!,"AAAAAH3vD/8=")</f>
        <v>#REF!</v>
      </c>
    </row>
    <row r="185" spans="1:256">
      <c r="A185" t="e">
        <f>AND(Bills!Y694,"AAAAAFm+PwA=")</f>
        <v>#VALUE!</v>
      </c>
      <c r="B185" t="e">
        <f>AND(Bills!Z694,"AAAAAFm+PwE=")</f>
        <v>#VALUE!</v>
      </c>
      <c r="C185" t="e">
        <f>AND(Bills!#REF!,"AAAAAFm+PwI=")</f>
        <v>#REF!</v>
      </c>
      <c r="D185" t="e">
        <f>AND(Bills!#REF!,"AAAAAFm+PwM=")</f>
        <v>#REF!</v>
      </c>
      <c r="E185" t="e">
        <f>AND(Bills!#REF!,"AAAAAFm+PwQ=")</f>
        <v>#REF!</v>
      </c>
      <c r="F185" t="e">
        <f>AND(Bills!AA694,"AAAAAFm+PwU=")</f>
        <v>#VALUE!</v>
      </c>
      <c r="G185" t="e">
        <f>AND(Bills!AB694,"AAAAAFm+PwY=")</f>
        <v>#VALUE!</v>
      </c>
      <c r="H185" t="e">
        <f>AND(Bills!#REF!,"AAAAAFm+Pwc=")</f>
        <v>#REF!</v>
      </c>
      <c r="I185">
        <f>IF(Bills!695:695,"AAAAAFm+Pwg=",0)</f>
        <v>0</v>
      </c>
      <c r="J185" t="e">
        <f>AND(Bills!B695,"AAAAAFm+Pwk=")</f>
        <v>#VALUE!</v>
      </c>
      <c r="K185" t="e">
        <f>AND(Bills!#REF!,"AAAAAFm+Pwo=")</f>
        <v>#REF!</v>
      </c>
      <c r="L185" t="e">
        <f>AND(Bills!C695,"AAAAAFm+Pws=")</f>
        <v>#VALUE!</v>
      </c>
      <c r="M185" t="e">
        <f>AND(Bills!#REF!,"AAAAAFm+Pww=")</f>
        <v>#REF!</v>
      </c>
      <c r="N185" t="e">
        <f>AND(Bills!#REF!,"AAAAAFm+Pw0=")</f>
        <v>#REF!</v>
      </c>
      <c r="O185" t="e">
        <f>AND(Bills!#REF!,"AAAAAFm+Pw4=")</f>
        <v>#REF!</v>
      </c>
      <c r="P185" t="e">
        <f>AND(Bills!#REF!,"AAAAAFm+Pw8=")</f>
        <v>#REF!</v>
      </c>
      <c r="Q185" t="e">
        <f>AND(Bills!#REF!,"AAAAAFm+PxA=")</f>
        <v>#REF!</v>
      </c>
      <c r="R185" t="e">
        <f>AND(Bills!D695,"AAAAAFm+PxE=")</f>
        <v>#VALUE!</v>
      </c>
      <c r="S185" t="e">
        <f>AND(Bills!#REF!,"AAAAAFm+PxI=")</f>
        <v>#REF!</v>
      </c>
      <c r="T185" t="e">
        <f>AND(Bills!E695,"AAAAAFm+PxM=")</f>
        <v>#VALUE!</v>
      </c>
      <c r="U185" t="e">
        <f>AND(Bills!F695,"AAAAAFm+PxQ=")</f>
        <v>#VALUE!</v>
      </c>
      <c r="V185" t="e">
        <f>AND(Bills!G695,"AAAAAFm+PxU=")</f>
        <v>#VALUE!</v>
      </c>
      <c r="W185" t="e">
        <f>AND(Bills!H695,"AAAAAFm+PxY=")</f>
        <v>#VALUE!</v>
      </c>
      <c r="X185" t="e">
        <f>AND(Bills!I695,"AAAAAFm+Pxc=")</f>
        <v>#VALUE!</v>
      </c>
      <c r="Y185" t="e">
        <f>AND(Bills!J695,"AAAAAFm+Pxg=")</f>
        <v>#VALUE!</v>
      </c>
      <c r="Z185" t="e">
        <f>AND(Bills!#REF!,"AAAAAFm+Pxk=")</f>
        <v>#REF!</v>
      </c>
      <c r="AA185" t="e">
        <f>AND(Bills!K695,"AAAAAFm+Pxo=")</f>
        <v>#VALUE!</v>
      </c>
      <c r="AB185" t="e">
        <f>AND(Bills!L695,"AAAAAFm+Pxs=")</f>
        <v>#VALUE!</v>
      </c>
      <c r="AC185" t="e">
        <f>AND(Bills!M695,"AAAAAFm+Pxw=")</f>
        <v>#VALUE!</v>
      </c>
      <c r="AD185" t="e">
        <f>AND(Bills!N695,"AAAAAFm+Px0=")</f>
        <v>#VALUE!</v>
      </c>
      <c r="AE185" t="e">
        <f>AND(Bills!O695,"AAAAAFm+Px4=")</f>
        <v>#VALUE!</v>
      </c>
      <c r="AF185" t="e">
        <f>AND(Bills!P695,"AAAAAFm+Px8=")</f>
        <v>#VALUE!</v>
      </c>
      <c r="AG185" t="e">
        <f>AND(Bills!Q695,"AAAAAFm+PyA=")</f>
        <v>#VALUE!</v>
      </c>
      <c r="AH185" t="e">
        <f>AND(Bills!R695,"AAAAAFm+PyE=")</f>
        <v>#VALUE!</v>
      </c>
      <c r="AI185" t="e">
        <f>AND(Bills!#REF!,"AAAAAFm+PyI=")</f>
        <v>#REF!</v>
      </c>
      <c r="AJ185" t="e">
        <f>AND(Bills!S695,"AAAAAFm+PyM=")</f>
        <v>#VALUE!</v>
      </c>
      <c r="AK185" t="e">
        <f>AND(Bills!T695,"AAAAAFm+PyQ=")</f>
        <v>#VALUE!</v>
      </c>
      <c r="AL185" t="e">
        <f>AND(Bills!U695,"AAAAAFm+PyU=")</f>
        <v>#VALUE!</v>
      </c>
      <c r="AM185" t="e">
        <f>AND(Bills!#REF!,"AAAAAFm+PyY=")</f>
        <v>#REF!</v>
      </c>
      <c r="AN185" t="e">
        <f>AND(Bills!#REF!,"AAAAAFm+Pyc=")</f>
        <v>#REF!</v>
      </c>
      <c r="AO185" t="e">
        <f>AND(Bills!W695,"AAAAAFm+Pyg=")</f>
        <v>#VALUE!</v>
      </c>
      <c r="AP185" t="e">
        <f>AND(Bills!X695,"AAAAAFm+Pyk=")</f>
        <v>#VALUE!</v>
      </c>
      <c r="AQ185" t="e">
        <f>AND(Bills!#REF!,"AAAAAFm+Pyo=")</f>
        <v>#REF!</v>
      </c>
      <c r="AR185" t="e">
        <f>AND(Bills!#REF!,"AAAAAFm+Pys=")</f>
        <v>#REF!</v>
      </c>
      <c r="AS185" t="e">
        <f>AND(Bills!#REF!,"AAAAAFm+Pyw=")</f>
        <v>#REF!</v>
      </c>
      <c r="AT185" t="e">
        <f>AND(Bills!#REF!,"AAAAAFm+Py0=")</f>
        <v>#REF!</v>
      </c>
      <c r="AU185" t="e">
        <f>AND(Bills!#REF!,"AAAAAFm+Py4=")</f>
        <v>#REF!</v>
      </c>
      <c r="AV185" t="e">
        <f>AND(Bills!#REF!,"AAAAAFm+Py8=")</f>
        <v>#REF!</v>
      </c>
      <c r="AW185" t="e">
        <f>AND(Bills!#REF!,"AAAAAFm+PzA=")</f>
        <v>#REF!</v>
      </c>
      <c r="AX185" t="e">
        <f>AND(Bills!#REF!,"AAAAAFm+PzE=")</f>
        <v>#REF!</v>
      </c>
      <c r="AY185" t="e">
        <f>AND(Bills!#REF!,"AAAAAFm+PzI=")</f>
        <v>#REF!</v>
      </c>
      <c r="AZ185" t="e">
        <f>AND(Bills!Y695,"AAAAAFm+PzM=")</f>
        <v>#VALUE!</v>
      </c>
      <c r="BA185" t="e">
        <f>AND(Bills!Z695,"AAAAAFm+PzQ=")</f>
        <v>#VALUE!</v>
      </c>
      <c r="BB185" t="e">
        <f>AND(Bills!#REF!,"AAAAAFm+PzU=")</f>
        <v>#REF!</v>
      </c>
      <c r="BC185" t="e">
        <f>AND(Bills!#REF!,"AAAAAFm+PzY=")</f>
        <v>#REF!</v>
      </c>
      <c r="BD185" t="e">
        <f>AND(Bills!#REF!,"AAAAAFm+Pzc=")</f>
        <v>#REF!</v>
      </c>
      <c r="BE185" t="e">
        <f>AND(Bills!AA695,"AAAAAFm+Pzg=")</f>
        <v>#VALUE!</v>
      </c>
      <c r="BF185" t="e">
        <f>AND(Bills!AB695,"AAAAAFm+Pzk=")</f>
        <v>#VALUE!</v>
      </c>
      <c r="BG185" t="e">
        <f>AND(Bills!#REF!,"AAAAAFm+Pzo=")</f>
        <v>#REF!</v>
      </c>
      <c r="BH185">
        <f>IF(Bills!696:696,"AAAAAFm+Pzs=",0)</f>
        <v>0</v>
      </c>
      <c r="BI185" t="e">
        <f>AND(Bills!B696,"AAAAAFm+Pzw=")</f>
        <v>#VALUE!</v>
      </c>
      <c r="BJ185" t="e">
        <f>AND(Bills!#REF!,"AAAAAFm+Pz0=")</f>
        <v>#REF!</v>
      </c>
      <c r="BK185" t="e">
        <f>AND(Bills!C696,"AAAAAFm+Pz4=")</f>
        <v>#VALUE!</v>
      </c>
      <c r="BL185" t="e">
        <f>AND(Bills!#REF!,"AAAAAFm+Pz8=")</f>
        <v>#REF!</v>
      </c>
      <c r="BM185" t="e">
        <f>AND(Bills!#REF!,"AAAAAFm+P0A=")</f>
        <v>#REF!</v>
      </c>
      <c r="BN185" t="e">
        <f>AND(Bills!#REF!,"AAAAAFm+P0E=")</f>
        <v>#REF!</v>
      </c>
      <c r="BO185" t="e">
        <f>AND(Bills!#REF!,"AAAAAFm+P0I=")</f>
        <v>#REF!</v>
      </c>
      <c r="BP185" t="e">
        <f>AND(Bills!#REF!,"AAAAAFm+P0M=")</f>
        <v>#REF!</v>
      </c>
      <c r="BQ185" t="e">
        <f>AND(Bills!D696,"AAAAAFm+P0Q=")</f>
        <v>#VALUE!</v>
      </c>
      <c r="BR185" t="e">
        <f>AND(Bills!#REF!,"AAAAAFm+P0U=")</f>
        <v>#REF!</v>
      </c>
      <c r="BS185" t="e">
        <f>AND(Bills!E696,"AAAAAFm+P0Y=")</f>
        <v>#VALUE!</v>
      </c>
      <c r="BT185" t="e">
        <f>AND(Bills!F696,"AAAAAFm+P0c=")</f>
        <v>#VALUE!</v>
      </c>
      <c r="BU185" t="e">
        <f>AND(Bills!G696,"AAAAAFm+P0g=")</f>
        <v>#VALUE!</v>
      </c>
      <c r="BV185" t="e">
        <f>AND(Bills!H696,"AAAAAFm+P0k=")</f>
        <v>#VALUE!</v>
      </c>
      <c r="BW185" t="e">
        <f>AND(Bills!I696,"AAAAAFm+P0o=")</f>
        <v>#VALUE!</v>
      </c>
      <c r="BX185" t="e">
        <f>AND(Bills!J696,"AAAAAFm+P0s=")</f>
        <v>#VALUE!</v>
      </c>
      <c r="BY185" t="e">
        <f>AND(Bills!#REF!,"AAAAAFm+P0w=")</f>
        <v>#REF!</v>
      </c>
      <c r="BZ185" t="e">
        <f>AND(Bills!K696,"AAAAAFm+P00=")</f>
        <v>#VALUE!</v>
      </c>
      <c r="CA185" t="e">
        <f>AND(Bills!L696,"AAAAAFm+P04=")</f>
        <v>#VALUE!</v>
      </c>
      <c r="CB185" t="e">
        <f>AND(Bills!M696,"AAAAAFm+P08=")</f>
        <v>#VALUE!</v>
      </c>
      <c r="CC185" t="e">
        <f>AND(Bills!N696,"AAAAAFm+P1A=")</f>
        <v>#VALUE!</v>
      </c>
      <c r="CD185" t="e">
        <f>AND(Bills!O696,"AAAAAFm+P1E=")</f>
        <v>#VALUE!</v>
      </c>
      <c r="CE185" t="e">
        <f>AND(Bills!P696,"AAAAAFm+P1I=")</f>
        <v>#VALUE!</v>
      </c>
      <c r="CF185" t="e">
        <f>AND(Bills!Q696,"AAAAAFm+P1M=")</f>
        <v>#VALUE!</v>
      </c>
      <c r="CG185" t="e">
        <f>AND(Bills!R696,"AAAAAFm+P1Q=")</f>
        <v>#VALUE!</v>
      </c>
      <c r="CH185" t="e">
        <f>AND(Bills!#REF!,"AAAAAFm+P1U=")</f>
        <v>#REF!</v>
      </c>
      <c r="CI185" t="e">
        <f>AND(Bills!S696,"AAAAAFm+P1Y=")</f>
        <v>#VALUE!</v>
      </c>
      <c r="CJ185" t="e">
        <f>AND(Bills!T696,"AAAAAFm+P1c=")</f>
        <v>#VALUE!</v>
      </c>
      <c r="CK185" t="e">
        <f>AND(Bills!U696,"AAAAAFm+P1g=")</f>
        <v>#VALUE!</v>
      </c>
      <c r="CL185" t="e">
        <f>AND(Bills!#REF!,"AAAAAFm+P1k=")</f>
        <v>#REF!</v>
      </c>
      <c r="CM185" t="e">
        <f>AND(Bills!#REF!,"AAAAAFm+P1o=")</f>
        <v>#REF!</v>
      </c>
      <c r="CN185" t="e">
        <f>AND(Bills!W696,"AAAAAFm+P1s=")</f>
        <v>#VALUE!</v>
      </c>
      <c r="CO185" t="e">
        <f>AND(Bills!X696,"AAAAAFm+P1w=")</f>
        <v>#VALUE!</v>
      </c>
      <c r="CP185" t="e">
        <f>AND(Bills!#REF!,"AAAAAFm+P10=")</f>
        <v>#REF!</v>
      </c>
      <c r="CQ185" t="e">
        <f>AND(Bills!#REF!,"AAAAAFm+P14=")</f>
        <v>#REF!</v>
      </c>
      <c r="CR185" t="e">
        <f>AND(Bills!#REF!,"AAAAAFm+P18=")</f>
        <v>#REF!</v>
      </c>
      <c r="CS185" t="e">
        <f>AND(Bills!#REF!,"AAAAAFm+P2A=")</f>
        <v>#REF!</v>
      </c>
      <c r="CT185" t="e">
        <f>AND(Bills!#REF!,"AAAAAFm+P2E=")</f>
        <v>#REF!</v>
      </c>
      <c r="CU185" t="e">
        <f>AND(Bills!#REF!,"AAAAAFm+P2I=")</f>
        <v>#REF!</v>
      </c>
      <c r="CV185" t="e">
        <f>AND(Bills!#REF!,"AAAAAFm+P2M=")</f>
        <v>#REF!</v>
      </c>
      <c r="CW185" t="e">
        <f>AND(Bills!#REF!,"AAAAAFm+P2Q=")</f>
        <v>#REF!</v>
      </c>
      <c r="CX185" t="e">
        <f>AND(Bills!#REF!,"AAAAAFm+P2U=")</f>
        <v>#REF!</v>
      </c>
      <c r="CY185" t="e">
        <f>AND(Bills!Y696,"AAAAAFm+P2Y=")</f>
        <v>#VALUE!</v>
      </c>
      <c r="CZ185" t="e">
        <f>AND(Bills!Z696,"AAAAAFm+P2c=")</f>
        <v>#VALUE!</v>
      </c>
      <c r="DA185" t="e">
        <f>AND(Bills!#REF!,"AAAAAFm+P2g=")</f>
        <v>#REF!</v>
      </c>
      <c r="DB185" t="e">
        <f>AND(Bills!#REF!,"AAAAAFm+P2k=")</f>
        <v>#REF!</v>
      </c>
      <c r="DC185" t="e">
        <f>AND(Bills!#REF!,"AAAAAFm+P2o=")</f>
        <v>#REF!</v>
      </c>
      <c r="DD185" t="e">
        <f>AND(Bills!AA696,"AAAAAFm+P2s=")</f>
        <v>#VALUE!</v>
      </c>
      <c r="DE185" t="e">
        <f>AND(Bills!AB696,"AAAAAFm+P2w=")</f>
        <v>#VALUE!</v>
      </c>
      <c r="DF185" t="e">
        <f>AND(Bills!#REF!,"AAAAAFm+P20=")</f>
        <v>#REF!</v>
      </c>
      <c r="DG185">
        <f>IF(Bills!697:697,"AAAAAFm+P24=",0)</f>
        <v>0</v>
      </c>
      <c r="DH185" t="e">
        <f>AND(Bills!B697,"AAAAAFm+P28=")</f>
        <v>#VALUE!</v>
      </c>
      <c r="DI185" t="e">
        <f>AND(Bills!#REF!,"AAAAAFm+P3A=")</f>
        <v>#REF!</v>
      </c>
      <c r="DJ185" t="e">
        <f>AND(Bills!C697,"AAAAAFm+P3E=")</f>
        <v>#VALUE!</v>
      </c>
      <c r="DK185" t="e">
        <f>AND(Bills!#REF!,"AAAAAFm+P3I=")</f>
        <v>#REF!</v>
      </c>
      <c r="DL185" t="e">
        <f>AND(Bills!#REF!,"AAAAAFm+P3M=")</f>
        <v>#REF!</v>
      </c>
      <c r="DM185" t="e">
        <f>AND(Bills!#REF!,"AAAAAFm+P3Q=")</f>
        <v>#REF!</v>
      </c>
      <c r="DN185" t="e">
        <f>AND(Bills!#REF!,"AAAAAFm+P3U=")</f>
        <v>#REF!</v>
      </c>
      <c r="DO185" t="e">
        <f>AND(Bills!#REF!,"AAAAAFm+P3Y=")</f>
        <v>#REF!</v>
      </c>
      <c r="DP185" t="e">
        <f>AND(Bills!D697,"AAAAAFm+P3c=")</f>
        <v>#VALUE!</v>
      </c>
      <c r="DQ185" t="e">
        <f>AND(Bills!#REF!,"AAAAAFm+P3g=")</f>
        <v>#REF!</v>
      </c>
      <c r="DR185" t="e">
        <f>AND(Bills!E697,"AAAAAFm+P3k=")</f>
        <v>#VALUE!</v>
      </c>
      <c r="DS185" t="e">
        <f>AND(Bills!F697,"AAAAAFm+P3o=")</f>
        <v>#VALUE!</v>
      </c>
      <c r="DT185" t="e">
        <f>AND(Bills!G697,"AAAAAFm+P3s=")</f>
        <v>#VALUE!</v>
      </c>
      <c r="DU185" t="e">
        <f>AND(Bills!H697,"AAAAAFm+P3w=")</f>
        <v>#VALUE!</v>
      </c>
      <c r="DV185" t="e">
        <f>AND(Bills!I697,"AAAAAFm+P30=")</f>
        <v>#VALUE!</v>
      </c>
      <c r="DW185" t="e">
        <f>AND(Bills!J697,"AAAAAFm+P34=")</f>
        <v>#VALUE!</v>
      </c>
      <c r="DX185" t="e">
        <f>AND(Bills!#REF!,"AAAAAFm+P38=")</f>
        <v>#REF!</v>
      </c>
      <c r="DY185" t="e">
        <f>AND(Bills!K697,"AAAAAFm+P4A=")</f>
        <v>#VALUE!</v>
      </c>
      <c r="DZ185" t="e">
        <f>AND(Bills!L697,"AAAAAFm+P4E=")</f>
        <v>#VALUE!</v>
      </c>
      <c r="EA185" t="e">
        <f>AND(Bills!M697,"AAAAAFm+P4I=")</f>
        <v>#VALUE!</v>
      </c>
      <c r="EB185" t="e">
        <f>AND(Bills!N697,"AAAAAFm+P4M=")</f>
        <v>#VALUE!</v>
      </c>
      <c r="EC185" t="e">
        <f>AND(Bills!O697,"AAAAAFm+P4Q=")</f>
        <v>#VALUE!</v>
      </c>
      <c r="ED185" t="e">
        <f>AND(Bills!P697,"AAAAAFm+P4U=")</f>
        <v>#VALUE!</v>
      </c>
      <c r="EE185" t="e">
        <f>AND(Bills!Q697,"AAAAAFm+P4Y=")</f>
        <v>#VALUE!</v>
      </c>
      <c r="EF185" t="e">
        <f>AND(Bills!R697,"AAAAAFm+P4c=")</f>
        <v>#VALUE!</v>
      </c>
      <c r="EG185" t="e">
        <f>AND(Bills!#REF!,"AAAAAFm+P4g=")</f>
        <v>#REF!</v>
      </c>
      <c r="EH185" t="e">
        <f>AND(Bills!S697,"AAAAAFm+P4k=")</f>
        <v>#VALUE!</v>
      </c>
      <c r="EI185" t="e">
        <f>AND(Bills!T697,"AAAAAFm+P4o=")</f>
        <v>#VALUE!</v>
      </c>
      <c r="EJ185" t="e">
        <f>AND(Bills!U697,"AAAAAFm+P4s=")</f>
        <v>#VALUE!</v>
      </c>
      <c r="EK185" t="e">
        <f>AND(Bills!#REF!,"AAAAAFm+P4w=")</f>
        <v>#REF!</v>
      </c>
      <c r="EL185" t="e">
        <f>AND(Bills!#REF!,"AAAAAFm+P40=")</f>
        <v>#REF!</v>
      </c>
      <c r="EM185" t="e">
        <f>AND(Bills!W697,"AAAAAFm+P44=")</f>
        <v>#VALUE!</v>
      </c>
      <c r="EN185" t="e">
        <f>AND(Bills!X697,"AAAAAFm+P48=")</f>
        <v>#VALUE!</v>
      </c>
      <c r="EO185" t="e">
        <f>AND(Bills!#REF!,"AAAAAFm+P5A=")</f>
        <v>#REF!</v>
      </c>
      <c r="EP185" t="e">
        <f>AND(Bills!#REF!,"AAAAAFm+P5E=")</f>
        <v>#REF!</v>
      </c>
      <c r="EQ185" t="e">
        <f>AND(Bills!#REF!,"AAAAAFm+P5I=")</f>
        <v>#REF!</v>
      </c>
      <c r="ER185" t="e">
        <f>AND(Bills!#REF!,"AAAAAFm+P5M=")</f>
        <v>#REF!</v>
      </c>
      <c r="ES185" t="e">
        <f>AND(Bills!#REF!,"AAAAAFm+P5Q=")</f>
        <v>#REF!</v>
      </c>
      <c r="ET185" t="e">
        <f>AND(Bills!#REF!,"AAAAAFm+P5U=")</f>
        <v>#REF!</v>
      </c>
      <c r="EU185" t="e">
        <f>AND(Bills!#REF!,"AAAAAFm+P5Y=")</f>
        <v>#REF!</v>
      </c>
      <c r="EV185" t="e">
        <f>AND(Bills!#REF!,"AAAAAFm+P5c=")</f>
        <v>#REF!</v>
      </c>
      <c r="EW185" t="e">
        <f>AND(Bills!#REF!,"AAAAAFm+P5g=")</f>
        <v>#REF!</v>
      </c>
      <c r="EX185" t="e">
        <f>AND(Bills!Y697,"AAAAAFm+P5k=")</f>
        <v>#VALUE!</v>
      </c>
      <c r="EY185" t="e">
        <f>AND(Bills!Z697,"AAAAAFm+P5o=")</f>
        <v>#VALUE!</v>
      </c>
      <c r="EZ185" t="e">
        <f>AND(Bills!#REF!,"AAAAAFm+P5s=")</f>
        <v>#REF!</v>
      </c>
      <c r="FA185" t="e">
        <f>AND(Bills!#REF!,"AAAAAFm+P5w=")</f>
        <v>#REF!</v>
      </c>
      <c r="FB185" t="e">
        <f>AND(Bills!#REF!,"AAAAAFm+P50=")</f>
        <v>#REF!</v>
      </c>
      <c r="FC185" t="e">
        <f>AND(Bills!AA697,"AAAAAFm+P54=")</f>
        <v>#VALUE!</v>
      </c>
      <c r="FD185" t="e">
        <f>AND(Bills!AB697,"AAAAAFm+P58=")</f>
        <v>#VALUE!</v>
      </c>
      <c r="FE185" t="e">
        <f>AND(Bills!#REF!,"AAAAAFm+P6A=")</f>
        <v>#REF!</v>
      </c>
      <c r="FF185">
        <f>IF(Bills!698:698,"AAAAAFm+P6E=",0)</f>
        <v>0</v>
      </c>
      <c r="FG185" t="e">
        <f>AND(Bills!B698,"AAAAAFm+P6I=")</f>
        <v>#VALUE!</v>
      </c>
      <c r="FH185" t="e">
        <f>AND(Bills!#REF!,"AAAAAFm+P6M=")</f>
        <v>#REF!</v>
      </c>
      <c r="FI185" t="e">
        <f>AND(Bills!C698,"AAAAAFm+P6Q=")</f>
        <v>#VALUE!</v>
      </c>
      <c r="FJ185" t="e">
        <f>AND(Bills!#REF!,"AAAAAFm+P6U=")</f>
        <v>#REF!</v>
      </c>
      <c r="FK185" t="e">
        <f>AND(Bills!#REF!,"AAAAAFm+P6Y=")</f>
        <v>#REF!</v>
      </c>
      <c r="FL185" t="e">
        <f>AND(Bills!#REF!,"AAAAAFm+P6c=")</f>
        <v>#REF!</v>
      </c>
      <c r="FM185" t="e">
        <f>AND(Bills!#REF!,"AAAAAFm+P6g=")</f>
        <v>#REF!</v>
      </c>
      <c r="FN185" t="e">
        <f>AND(Bills!#REF!,"AAAAAFm+P6k=")</f>
        <v>#REF!</v>
      </c>
      <c r="FO185" t="e">
        <f>AND(Bills!D698,"AAAAAFm+P6o=")</f>
        <v>#VALUE!</v>
      </c>
      <c r="FP185" t="e">
        <f>AND(Bills!#REF!,"AAAAAFm+P6s=")</f>
        <v>#REF!</v>
      </c>
      <c r="FQ185" t="e">
        <f>AND(Bills!E698,"AAAAAFm+P6w=")</f>
        <v>#VALUE!</v>
      </c>
      <c r="FR185" t="e">
        <f>AND(Bills!F698,"AAAAAFm+P60=")</f>
        <v>#VALUE!</v>
      </c>
      <c r="FS185" t="e">
        <f>AND(Bills!G698,"AAAAAFm+P64=")</f>
        <v>#VALUE!</v>
      </c>
      <c r="FT185" t="e">
        <f>AND(Bills!H698,"AAAAAFm+P68=")</f>
        <v>#VALUE!</v>
      </c>
      <c r="FU185" t="e">
        <f>AND(Bills!I698,"AAAAAFm+P7A=")</f>
        <v>#VALUE!</v>
      </c>
      <c r="FV185" t="e">
        <f>AND(Bills!J698,"AAAAAFm+P7E=")</f>
        <v>#VALUE!</v>
      </c>
      <c r="FW185" t="e">
        <f>AND(Bills!#REF!,"AAAAAFm+P7I=")</f>
        <v>#REF!</v>
      </c>
      <c r="FX185" t="e">
        <f>AND(Bills!K698,"AAAAAFm+P7M=")</f>
        <v>#VALUE!</v>
      </c>
      <c r="FY185" t="e">
        <f>AND(Bills!L698,"AAAAAFm+P7Q=")</f>
        <v>#VALUE!</v>
      </c>
      <c r="FZ185" t="e">
        <f>AND(Bills!M698,"AAAAAFm+P7U=")</f>
        <v>#VALUE!</v>
      </c>
      <c r="GA185" t="e">
        <f>AND(Bills!N698,"AAAAAFm+P7Y=")</f>
        <v>#VALUE!</v>
      </c>
      <c r="GB185" t="e">
        <f>AND(Bills!O698,"AAAAAFm+P7c=")</f>
        <v>#VALUE!</v>
      </c>
      <c r="GC185" t="e">
        <f>AND(Bills!P698,"AAAAAFm+P7g=")</f>
        <v>#VALUE!</v>
      </c>
      <c r="GD185" t="e">
        <f>AND(Bills!Q698,"AAAAAFm+P7k=")</f>
        <v>#VALUE!</v>
      </c>
      <c r="GE185" t="e">
        <f>AND(Bills!R698,"AAAAAFm+P7o=")</f>
        <v>#VALUE!</v>
      </c>
      <c r="GF185" t="e">
        <f>AND(Bills!#REF!,"AAAAAFm+P7s=")</f>
        <v>#REF!</v>
      </c>
      <c r="GG185" t="e">
        <f>AND(Bills!S698,"AAAAAFm+P7w=")</f>
        <v>#VALUE!</v>
      </c>
      <c r="GH185" t="e">
        <f>AND(Bills!T698,"AAAAAFm+P70=")</f>
        <v>#VALUE!</v>
      </c>
      <c r="GI185" t="e">
        <f>AND(Bills!U698,"AAAAAFm+P74=")</f>
        <v>#VALUE!</v>
      </c>
      <c r="GJ185" t="e">
        <f>AND(Bills!#REF!,"AAAAAFm+P78=")</f>
        <v>#REF!</v>
      </c>
      <c r="GK185" t="e">
        <f>AND(Bills!#REF!,"AAAAAFm+P8A=")</f>
        <v>#REF!</v>
      </c>
      <c r="GL185" t="e">
        <f>AND(Bills!W698,"AAAAAFm+P8E=")</f>
        <v>#VALUE!</v>
      </c>
      <c r="GM185" t="e">
        <f>AND(Bills!X698,"AAAAAFm+P8I=")</f>
        <v>#VALUE!</v>
      </c>
      <c r="GN185" t="e">
        <f>AND(Bills!#REF!,"AAAAAFm+P8M=")</f>
        <v>#REF!</v>
      </c>
      <c r="GO185" t="e">
        <f>AND(Bills!#REF!,"AAAAAFm+P8Q=")</f>
        <v>#REF!</v>
      </c>
      <c r="GP185" t="e">
        <f>AND(Bills!#REF!,"AAAAAFm+P8U=")</f>
        <v>#REF!</v>
      </c>
      <c r="GQ185" t="e">
        <f>AND(Bills!#REF!,"AAAAAFm+P8Y=")</f>
        <v>#REF!</v>
      </c>
      <c r="GR185" t="e">
        <f>AND(Bills!#REF!,"AAAAAFm+P8c=")</f>
        <v>#REF!</v>
      </c>
      <c r="GS185" t="e">
        <f>AND(Bills!#REF!,"AAAAAFm+P8g=")</f>
        <v>#REF!</v>
      </c>
      <c r="GT185" t="e">
        <f>AND(Bills!#REF!,"AAAAAFm+P8k=")</f>
        <v>#REF!</v>
      </c>
      <c r="GU185" t="e">
        <f>AND(Bills!#REF!,"AAAAAFm+P8o=")</f>
        <v>#REF!</v>
      </c>
      <c r="GV185" t="e">
        <f>AND(Bills!#REF!,"AAAAAFm+P8s=")</f>
        <v>#REF!</v>
      </c>
      <c r="GW185" t="e">
        <f>AND(Bills!Y698,"AAAAAFm+P8w=")</f>
        <v>#VALUE!</v>
      </c>
      <c r="GX185" t="e">
        <f>AND(Bills!Z698,"AAAAAFm+P80=")</f>
        <v>#VALUE!</v>
      </c>
      <c r="GY185" t="e">
        <f>AND(Bills!#REF!,"AAAAAFm+P84=")</f>
        <v>#REF!</v>
      </c>
      <c r="GZ185" t="e">
        <f>AND(Bills!#REF!,"AAAAAFm+P88=")</f>
        <v>#REF!</v>
      </c>
      <c r="HA185" t="e">
        <f>AND(Bills!#REF!,"AAAAAFm+P9A=")</f>
        <v>#REF!</v>
      </c>
      <c r="HB185" t="e">
        <f>AND(Bills!AA698,"AAAAAFm+P9E=")</f>
        <v>#VALUE!</v>
      </c>
      <c r="HC185" t="e">
        <f>AND(Bills!AB698,"AAAAAFm+P9I=")</f>
        <v>#VALUE!</v>
      </c>
      <c r="HD185" t="e">
        <f>AND(Bills!#REF!,"AAAAAFm+P9M=")</f>
        <v>#REF!</v>
      </c>
      <c r="HE185">
        <f>IF(Bills!699:699,"AAAAAFm+P9Q=",0)</f>
        <v>0</v>
      </c>
      <c r="HF185" t="e">
        <f>AND(Bills!B699,"AAAAAFm+P9U=")</f>
        <v>#VALUE!</v>
      </c>
      <c r="HG185" t="e">
        <f>AND(Bills!#REF!,"AAAAAFm+P9Y=")</f>
        <v>#REF!</v>
      </c>
      <c r="HH185" t="e">
        <f>AND(Bills!C699,"AAAAAFm+P9c=")</f>
        <v>#VALUE!</v>
      </c>
      <c r="HI185" t="e">
        <f>AND(Bills!#REF!,"AAAAAFm+P9g=")</f>
        <v>#REF!</v>
      </c>
      <c r="HJ185" t="e">
        <f>AND(Bills!#REF!,"AAAAAFm+P9k=")</f>
        <v>#REF!</v>
      </c>
      <c r="HK185" t="e">
        <f>AND(Bills!#REF!,"AAAAAFm+P9o=")</f>
        <v>#REF!</v>
      </c>
      <c r="HL185" t="e">
        <f>AND(Bills!#REF!,"AAAAAFm+P9s=")</f>
        <v>#REF!</v>
      </c>
      <c r="HM185" t="e">
        <f>AND(Bills!#REF!,"AAAAAFm+P9w=")</f>
        <v>#REF!</v>
      </c>
      <c r="HN185" t="e">
        <f>AND(Bills!D699,"AAAAAFm+P90=")</f>
        <v>#VALUE!</v>
      </c>
      <c r="HO185" t="e">
        <f>AND(Bills!#REF!,"AAAAAFm+P94=")</f>
        <v>#REF!</v>
      </c>
      <c r="HP185" t="e">
        <f>AND(Bills!E699,"AAAAAFm+P98=")</f>
        <v>#VALUE!</v>
      </c>
      <c r="HQ185" t="e">
        <f>AND(Bills!F699,"AAAAAFm+P+A=")</f>
        <v>#VALUE!</v>
      </c>
      <c r="HR185" t="e">
        <f>AND(Bills!G699,"AAAAAFm+P+E=")</f>
        <v>#VALUE!</v>
      </c>
      <c r="HS185" t="e">
        <f>AND(Bills!H699,"AAAAAFm+P+I=")</f>
        <v>#VALUE!</v>
      </c>
      <c r="HT185" t="e">
        <f>AND(Bills!I699,"AAAAAFm+P+M=")</f>
        <v>#VALUE!</v>
      </c>
      <c r="HU185" t="e">
        <f>AND(Bills!J699,"AAAAAFm+P+Q=")</f>
        <v>#VALUE!</v>
      </c>
      <c r="HV185" t="e">
        <f>AND(Bills!#REF!,"AAAAAFm+P+U=")</f>
        <v>#REF!</v>
      </c>
      <c r="HW185" t="e">
        <f>AND(Bills!K699,"AAAAAFm+P+Y=")</f>
        <v>#VALUE!</v>
      </c>
      <c r="HX185" t="e">
        <f>AND(Bills!L699,"AAAAAFm+P+c=")</f>
        <v>#VALUE!</v>
      </c>
      <c r="HY185" t="e">
        <f>AND(Bills!M699,"AAAAAFm+P+g=")</f>
        <v>#VALUE!</v>
      </c>
      <c r="HZ185" t="e">
        <f>AND(Bills!N699,"AAAAAFm+P+k=")</f>
        <v>#VALUE!</v>
      </c>
      <c r="IA185" t="e">
        <f>AND(Bills!O699,"AAAAAFm+P+o=")</f>
        <v>#VALUE!</v>
      </c>
      <c r="IB185" t="e">
        <f>AND(Bills!P699,"AAAAAFm+P+s=")</f>
        <v>#VALUE!</v>
      </c>
      <c r="IC185" t="e">
        <f>AND(Bills!Q699,"AAAAAFm+P+w=")</f>
        <v>#VALUE!</v>
      </c>
      <c r="ID185" t="e">
        <f>AND(Bills!R699,"AAAAAFm+P+0=")</f>
        <v>#VALUE!</v>
      </c>
      <c r="IE185" t="e">
        <f>AND(Bills!#REF!,"AAAAAFm+P+4=")</f>
        <v>#REF!</v>
      </c>
      <c r="IF185" t="e">
        <f>AND(Bills!S699,"AAAAAFm+P+8=")</f>
        <v>#VALUE!</v>
      </c>
      <c r="IG185" t="e">
        <f>AND(Bills!T699,"AAAAAFm+P/A=")</f>
        <v>#VALUE!</v>
      </c>
      <c r="IH185" t="e">
        <f>AND(Bills!U699,"AAAAAFm+P/E=")</f>
        <v>#VALUE!</v>
      </c>
      <c r="II185" t="e">
        <f>AND(Bills!#REF!,"AAAAAFm+P/I=")</f>
        <v>#REF!</v>
      </c>
      <c r="IJ185" t="e">
        <f>AND(Bills!#REF!,"AAAAAFm+P/M=")</f>
        <v>#REF!</v>
      </c>
      <c r="IK185" t="e">
        <f>AND(Bills!W699,"AAAAAFm+P/Q=")</f>
        <v>#VALUE!</v>
      </c>
      <c r="IL185" t="e">
        <f>AND(Bills!X699,"AAAAAFm+P/U=")</f>
        <v>#VALUE!</v>
      </c>
      <c r="IM185" t="e">
        <f>AND(Bills!#REF!,"AAAAAFm+P/Y=")</f>
        <v>#REF!</v>
      </c>
      <c r="IN185" t="e">
        <f>AND(Bills!#REF!,"AAAAAFm+P/c=")</f>
        <v>#REF!</v>
      </c>
      <c r="IO185" t="e">
        <f>AND(Bills!#REF!,"AAAAAFm+P/g=")</f>
        <v>#REF!</v>
      </c>
      <c r="IP185" t="e">
        <f>AND(Bills!#REF!,"AAAAAFm+P/k=")</f>
        <v>#REF!</v>
      </c>
      <c r="IQ185" t="e">
        <f>AND(Bills!#REF!,"AAAAAFm+P/o=")</f>
        <v>#REF!</v>
      </c>
      <c r="IR185" t="e">
        <f>AND(Bills!#REF!,"AAAAAFm+P/s=")</f>
        <v>#REF!</v>
      </c>
      <c r="IS185" t="e">
        <f>AND(Bills!#REF!,"AAAAAFm+P/w=")</f>
        <v>#REF!</v>
      </c>
      <c r="IT185" t="e">
        <f>AND(Bills!#REF!,"AAAAAFm+P/0=")</f>
        <v>#REF!</v>
      </c>
      <c r="IU185" t="e">
        <f>AND(Bills!#REF!,"AAAAAFm+P/4=")</f>
        <v>#REF!</v>
      </c>
      <c r="IV185" t="e">
        <f>AND(Bills!Y699,"AAAAAFm+P/8=")</f>
        <v>#VALUE!</v>
      </c>
    </row>
    <row r="186" spans="1:256">
      <c r="A186" t="e">
        <f>AND(Bills!Z699,"AAAAAH9f6wA=")</f>
        <v>#VALUE!</v>
      </c>
      <c r="B186" t="e">
        <f>AND(Bills!#REF!,"AAAAAH9f6wE=")</f>
        <v>#REF!</v>
      </c>
      <c r="C186" t="e">
        <f>AND(Bills!#REF!,"AAAAAH9f6wI=")</f>
        <v>#REF!</v>
      </c>
      <c r="D186" t="e">
        <f>AND(Bills!#REF!,"AAAAAH9f6wM=")</f>
        <v>#REF!</v>
      </c>
      <c r="E186" t="e">
        <f>AND(Bills!AA699,"AAAAAH9f6wQ=")</f>
        <v>#VALUE!</v>
      </c>
      <c r="F186" t="e">
        <f>AND(Bills!AB699,"AAAAAH9f6wU=")</f>
        <v>#VALUE!</v>
      </c>
      <c r="G186" t="e">
        <f>AND(Bills!#REF!,"AAAAAH9f6wY=")</f>
        <v>#REF!</v>
      </c>
      <c r="H186">
        <f>IF(Bills!700:700,"AAAAAH9f6wc=",0)</f>
        <v>0</v>
      </c>
      <c r="I186" t="e">
        <f>AND(Bills!B700,"AAAAAH9f6wg=")</f>
        <v>#VALUE!</v>
      </c>
      <c r="J186" t="e">
        <f>AND(Bills!#REF!,"AAAAAH9f6wk=")</f>
        <v>#REF!</v>
      </c>
      <c r="K186" t="e">
        <f>AND(Bills!C700,"AAAAAH9f6wo=")</f>
        <v>#VALUE!</v>
      </c>
      <c r="L186" t="e">
        <f>AND(Bills!#REF!,"AAAAAH9f6ws=")</f>
        <v>#REF!</v>
      </c>
      <c r="M186" t="e">
        <f>AND(Bills!#REF!,"AAAAAH9f6ww=")</f>
        <v>#REF!</v>
      </c>
      <c r="N186" t="e">
        <f>AND(Bills!#REF!,"AAAAAH9f6w0=")</f>
        <v>#REF!</v>
      </c>
      <c r="O186" t="e">
        <f>AND(Bills!#REF!,"AAAAAH9f6w4=")</f>
        <v>#REF!</v>
      </c>
      <c r="P186" t="e">
        <f>AND(Bills!#REF!,"AAAAAH9f6w8=")</f>
        <v>#REF!</v>
      </c>
      <c r="Q186" t="e">
        <f>AND(Bills!D700,"AAAAAH9f6xA=")</f>
        <v>#VALUE!</v>
      </c>
      <c r="R186" t="e">
        <f>AND(Bills!#REF!,"AAAAAH9f6xE=")</f>
        <v>#REF!</v>
      </c>
      <c r="S186" t="e">
        <f>AND(Bills!E700,"AAAAAH9f6xI=")</f>
        <v>#VALUE!</v>
      </c>
      <c r="T186" t="e">
        <f>AND(Bills!F700,"AAAAAH9f6xM=")</f>
        <v>#VALUE!</v>
      </c>
      <c r="U186" t="e">
        <f>AND(Bills!G700,"AAAAAH9f6xQ=")</f>
        <v>#VALUE!</v>
      </c>
      <c r="V186" t="e">
        <f>AND(Bills!H700,"AAAAAH9f6xU=")</f>
        <v>#VALUE!</v>
      </c>
      <c r="W186" t="e">
        <f>AND(Bills!I700,"AAAAAH9f6xY=")</f>
        <v>#VALUE!</v>
      </c>
      <c r="X186" t="e">
        <f>AND(Bills!J700,"AAAAAH9f6xc=")</f>
        <v>#VALUE!</v>
      </c>
      <c r="Y186" t="e">
        <f>AND(Bills!#REF!,"AAAAAH9f6xg=")</f>
        <v>#REF!</v>
      </c>
      <c r="Z186" t="e">
        <f>AND(Bills!K700,"AAAAAH9f6xk=")</f>
        <v>#VALUE!</v>
      </c>
      <c r="AA186" t="e">
        <f>AND(Bills!L700,"AAAAAH9f6xo=")</f>
        <v>#VALUE!</v>
      </c>
      <c r="AB186" t="e">
        <f>AND(Bills!M700,"AAAAAH9f6xs=")</f>
        <v>#VALUE!</v>
      </c>
      <c r="AC186" t="e">
        <f>AND(Bills!N700,"AAAAAH9f6xw=")</f>
        <v>#VALUE!</v>
      </c>
      <c r="AD186" t="e">
        <f>AND(Bills!O700,"AAAAAH9f6x0=")</f>
        <v>#VALUE!</v>
      </c>
      <c r="AE186" t="e">
        <f>AND(Bills!P700,"AAAAAH9f6x4=")</f>
        <v>#VALUE!</v>
      </c>
      <c r="AF186" t="e">
        <f>AND(Bills!Q700,"AAAAAH9f6x8=")</f>
        <v>#VALUE!</v>
      </c>
      <c r="AG186" t="e">
        <f>AND(Bills!R700,"AAAAAH9f6yA=")</f>
        <v>#VALUE!</v>
      </c>
      <c r="AH186" t="e">
        <f>AND(Bills!#REF!,"AAAAAH9f6yE=")</f>
        <v>#REF!</v>
      </c>
      <c r="AI186" t="e">
        <f>AND(Bills!S700,"AAAAAH9f6yI=")</f>
        <v>#VALUE!</v>
      </c>
      <c r="AJ186" t="e">
        <f>AND(Bills!T700,"AAAAAH9f6yM=")</f>
        <v>#VALUE!</v>
      </c>
      <c r="AK186" t="e">
        <f>AND(Bills!U700,"AAAAAH9f6yQ=")</f>
        <v>#VALUE!</v>
      </c>
      <c r="AL186" t="e">
        <f>AND(Bills!#REF!,"AAAAAH9f6yU=")</f>
        <v>#REF!</v>
      </c>
      <c r="AM186" t="e">
        <f>AND(Bills!#REF!,"AAAAAH9f6yY=")</f>
        <v>#REF!</v>
      </c>
      <c r="AN186" t="e">
        <f>AND(Bills!W700,"AAAAAH9f6yc=")</f>
        <v>#VALUE!</v>
      </c>
      <c r="AO186" t="e">
        <f>AND(Bills!X700,"AAAAAH9f6yg=")</f>
        <v>#VALUE!</v>
      </c>
      <c r="AP186" t="e">
        <f>AND(Bills!#REF!,"AAAAAH9f6yk=")</f>
        <v>#REF!</v>
      </c>
      <c r="AQ186" t="e">
        <f>AND(Bills!#REF!,"AAAAAH9f6yo=")</f>
        <v>#REF!</v>
      </c>
      <c r="AR186" t="e">
        <f>AND(Bills!#REF!,"AAAAAH9f6ys=")</f>
        <v>#REF!</v>
      </c>
      <c r="AS186" t="e">
        <f>AND(Bills!#REF!,"AAAAAH9f6yw=")</f>
        <v>#REF!</v>
      </c>
      <c r="AT186" t="e">
        <f>AND(Bills!#REF!,"AAAAAH9f6y0=")</f>
        <v>#REF!</v>
      </c>
      <c r="AU186" t="e">
        <f>AND(Bills!#REF!,"AAAAAH9f6y4=")</f>
        <v>#REF!</v>
      </c>
      <c r="AV186" t="e">
        <f>AND(Bills!#REF!,"AAAAAH9f6y8=")</f>
        <v>#REF!</v>
      </c>
      <c r="AW186" t="e">
        <f>AND(Bills!#REF!,"AAAAAH9f6zA=")</f>
        <v>#REF!</v>
      </c>
      <c r="AX186" t="e">
        <f>AND(Bills!#REF!,"AAAAAH9f6zE=")</f>
        <v>#REF!</v>
      </c>
      <c r="AY186" t="e">
        <f>AND(Bills!Y700,"AAAAAH9f6zI=")</f>
        <v>#VALUE!</v>
      </c>
      <c r="AZ186" t="e">
        <f>AND(Bills!Z700,"AAAAAH9f6zM=")</f>
        <v>#VALUE!</v>
      </c>
      <c r="BA186" t="e">
        <f>AND(Bills!#REF!,"AAAAAH9f6zQ=")</f>
        <v>#REF!</v>
      </c>
      <c r="BB186" t="e">
        <f>AND(Bills!#REF!,"AAAAAH9f6zU=")</f>
        <v>#REF!</v>
      </c>
      <c r="BC186" t="e">
        <f>AND(Bills!#REF!,"AAAAAH9f6zY=")</f>
        <v>#REF!</v>
      </c>
      <c r="BD186" t="e">
        <f>AND(Bills!AA700,"AAAAAH9f6zc=")</f>
        <v>#VALUE!</v>
      </c>
      <c r="BE186" t="e">
        <f>AND(Bills!AB700,"AAAAAH9f6zg=")</f>
        <v>#VALUE!</v>
      </c>
      <c r="BF186" t="e">
        <f>AND(Bills!#REF!,"AAAAAH9f6zk=")</f>
        <v>#REF!</v>
      </c>
      <c r="BG186">
        <f>IF(Bills!701:701,"AAAAAH9f6zo=",0)</f>
        <v>0</v>
      </c>
      <c r="BH186" t="e">
        <f>AND(Bills!B701,"AAAAAH9f6zs=")</f>
        <v>#VALUE!</v>
      </c>
      <c r="BI186" t="e">
        <f>AND(Bills!#REF!,"AAAAAH9f6zw=")</f>
        <v>#REF!</v>
      </c>
      <c r="BJ186" t="e">
        <f>AND(Bills!C701,"AAAAAH9f6z0=")</f>
        <v>#VALUE!</v>
      </c>
      <c r="BK186" t="e">
        <f>AND(Bills!#REF!,"AAAAAH9f6z4=")</f>
        <v>#REF!</v>
      </c>
      <c r="BL186" t="e">
        <f>AND(Bills!#REF!,"AAAAAH9f6z8=")</f>
        <v>#REF!</v>
      </c>
      <c r="BM186" t="e">
        <f>AND(Bills!#REF!,"AAAAAH9f60A=")</f>
        <v>#REF!</v>
      </c>
      <c r="BN186" t="e">
        <f>AND(Bills!#REF!,"AAAAAH9f60E=")</f>
        <v>#REF!</v>
      </c>
      <c r="BO186" t="e">
        <f>AND(Bills!#REF!,"AAAAAH9f60I=")</f>
        <v>#REF!</v>
      </c>
      <c r="BP186" t="e">
        <f>AND(Bills!D701,"AAAAAH9f60M=")</f>
        <v>#VALUE!</v>
      </c>
      <c r="BQ186" t="e">
        <f>AND(Bills!#REF!,"AAAAAH9f60Q=")</f>
        <v>#REF!</v>
      </c>
      <c r="BR186" t="e">
        <f>AND(Bills!E701,"AAAAAH9f60U=")</f>
        <v>#VALUE!</v>
      </c>
      <c r="BS186" t="e">
        <f>AND(Bills!F701,"AAAAAH9f60Y=")</f>
        <v>#VALUE!</v>
      </c>
      <c r="BT186" t="e">
        <f>AND(Bills!G701,"AAAAAH9f60c=")</f>
        <v>#VALUE!</v>
      </c>
      <c r="BU186" t="e">
        <f>AND(Bills!H701,"AAAAAH9f60g=")</f>
        <v>#VALUE!</v>
      </c>
      <c r="BV186" t="e">
        <f>AND(Bills!I701,"AAAAAH9f60k=")</f>
        <v>#VALUE!</v>
      </c>
      <c r="BW186" t="e">
        <f>AND(Bills!J701,"AAAAAH9f60o=")</f>
        <v>#VALUE!</v>
      </c>
      <c r="BX186" t="e">
        <f>AND(Bills!#REF!,"AAAAAH9f60s=")</f>
        <v>#REF!</v>
      </c>
      <c r="BY186" t="e">
        <f>AND(Bills!K701,"AAAAAH9f60w=")</f>
        <v>#VALUE!</v>
      </c>
      <c r="BZ186" t="e">
        <f>AND(Bills!L701,"AAAAAH9f600=")</f>
        <v>#VALUE!</v>
      </c>
      <c r="CA186" t="e">
        <f>AND(Bills!M701,"AAAAAH9f604=")</f>
        <v>#VALUE!</v>
      </c>
      <c r="CB186" t="e">
        <f>AND(Bills!N701,"AAAAAH9f608=")</f>
        <v>#VALUE!</v>
      </c>
      <c r="CC186" t="e">
        <f>AND(Bills!O701,"AAAAAH9f61A=")</f>
        <v>#VALUE!</v>
      </c>
      <c r="CD186" t="e">
        <f>AND(Bills!P701,"AAAAAH9f61E=")</f>
        <v>#VALUE!</v>
      </c>
      <c r="CE186" t="e">
        <f>AND(Bills!Q701,"AAAAAH9f61I=")</f>
        <v>#VALUE!</v>
      </c>
      <c r="CF186" t="e">
        <f>AND(Bills!R701,"AAAAAH9f61M=")</f>
        <v>#VALUE!</v>
      </c>
      <c r="CG186" t="e">
        <f>AND(Bills!#REF!,"AAAAAH9f61Q=")</f>
        <v>#REF!</v>
      </c>
      <c r="CH186" t="e">
        <f>AND(Bills!S701,"AAAAAH9f61U=")</f>
        <v>#VALUE!</v>
      </c>
      <c r="CI186" t="e">
        <f>AND(Bills!T701,"AAAAAH9f61Y=")</f>
        <v>#VALUE!</v>
      </c>
      <c r="CJ186" t="e">
        <f>AND(Bills!U701,"AAAAAH9f61c=")</f>
        <v>#VALUE!</v>
      </c>
      <c r="CK186" t="e">
        <f>AND(Bills!#REF!,"AAAAAH9f61g=")</f>
        <v>#REF!</v>
      </c>
      <c r="CL186" t="e">
        <f>AND(Bills!#REF!,"AAAAAH9f61k=")</f>
        <v>#REF!</v>
      </c>
      <c r="CM186" t="e">
        <f>AND(Bills!W701,"AAAAAH9f61o=")</f>
        <v>#VALUE!</v>
      </c>
      <c r="CN186" t="e">
        <f>AND(Bills!X701,"AAAAAH9f61s=")</f>
        <v>#VALUE!</v>
      </c>
      <c r="CO186" t="e">
        <f>AND(Bills!#REF!,"AAAAAH9f61w=")</f>
        <v>#REF!</v>
      </c>
      <c r="CP186" t="e">
        <f>AND(Bills!#REF!,"AAAAAH9f610=")</f>
        <v>#REF!</v>
      </c>
      <c r="CQ186" t="e">
        <f>AND(Bills!#REF!,"AAAAAH9f614=")</f>
        <v>#REF!</v>
      </c>
      <c r="CR186" t="e">
        <f>AND(Bills!#REF!,"AAAAAH9f618=")</f>
        <v>#REF!</v>
      </c>
      <c r="CS186" t="e">
        <f>AND(Bills!#REF!,"AAAAAH9f62A=")</f>
        <v>#REF!</v>
      </c>
      <c r="CT186" t="e">
        <f>AND(Bills!#REF!,"AAAAAH9f62E=")</f>
        <v>#REF!</v>
      </c>
      <c r="CU186" t="e">
        <f>AND(Bills!#REF!,"AAAAAH9f62I=")</f>
        <v>#REF!</v>
      </c>
      <c r="CV186" t="e">
        <f>AND(Bills!#REF!,"AAAAAH9f62M=")</f>
        <v>#REF!</v>
      </c>
      <c r="CW186" t="e">
        <f>AND(Bills!#REF!,"AAAAAH9f62Q=")</f>
        <v>#REF!</v>
      </c>
      <c r="CX186" t="e">
        <f>AND(Bills!Y701,"AAAAAH9f62U=")</f>
        <v>#VALUE!</v>
      </c>
      <c r="CY186" t="e">
        <f>AND(Bills!Z701,"AAAAAH9f62Y=")</f>
        <v>#VALUE!</v>
      </c>
      <c r="CZ186" t="e">
        <f>AND(Bills!#REF!,"AAAAAH9f62c=")</f>
        <v>#REF!</v>
      </c>
      <c r="DA186" t="e">
        <f>AND(Bills!#REF!,"AAAAAH9f62g=")</f>
        <v>#REF!</v>
      </c>
      <c r="DB186" t="e">
        <f>AND(Bills!#REF!,"AAAAAH9f62k=")</f>
        <v>#REF!</v>
      </c>
      <c r="DC186" t="e">
        <f>AND(Bills!AA701,"AAAAAH9f62o=")</f>
        <v>#VALUE!</v>
      </c>
      <c r="DD186" t="e">
        <f>AND(Bills!AB701,"AAAAAH9f62s=")</f>
        <v>#VALUE!</v>
      </c>
      <c r="DE186" t="e">
        <f>AND(Bills!#REF!,"AAAAAH9f62w=")</f>
        <v>#REF!</v>
      </c>
      <c r="DF186">
        <f>IF(Bills!702:702,"AAAAAH9f620=",0)</f>
        <v>0</v>
      </c>
      <c r="DG186" t="e">
        <f>AND(Bills!B702,"AAAAAH9f624=")</f>
        <v>#VALUE!</v>
      </c>
      <c r="DH186" t="e">
        <f>AND(Bills!#REF!,"AAAAAH9f628=")</f>
        <v>#REF!</v>
      </c>
      <c r="DI186" t="e">
        <f>AND(Bills!C702,"AAAAAH9f63A=")</f>
        <v>#VALUE!</v>
      </c>
      <c r="DJ186" t="e">
        <f>AND(Bills!#REF!,"AAAAAH9f63E=")</f>
        <v>#REF!</v>
      </c>
      <c r="DK186" t="e">
        <f>AND(Bills!#REF!,"AAAAAH9f63I=")</f>
        <v>#REF!</v>
      </c>
      <c r="DL186" t="e">
        <f>AND(Bills!#REF!,"AAAAAH9f63M=")</f>
        <v>#REF!</v>
      </c>
      <c r="DM186" t="e">
        <f>AND(Bills!#REF!,"AAAAAH9f63Q=")</f>
        <v>#REF!</v>
      </c>
      <c r="DN186" t="e">
        <f>AND(Bills!#REF!,"AAAAAH9f63U=")</f>
        <v>#REF!</v>
      </c>
      <c r="DO186" t="e">
        <f>AND(Bills!D702,"AAAAAH9f63Y=")</f>
        <v>#VALUE!</v>
      </c>
      <c r="DP186" t="e">
        <f>AND(Bills!#REF!,"AAAAAH9f63c=")</f>
        <v>#REF!</v>
      </c>
      <c r="DQ186" t="e">
        <f>AND(Bills!E702,"AAAAAH9f63g=")</f>
        <v>#VALUE!</v>
      </c>
      <c r="DR186" t="e">
        <f>AND(Bills!F702,"AAAAAH9f63k=")</f>
        <v>#VALUE!</v>
      </c>
      <c r="DS186" t="e">
        <f>AND(Bills!G702,"AAAAAH9f63o=")</f>
        <v>#VALUE!</v>
      </c>
      <c r="DT186" t="e">
        <f>AND(Bills!H702,"AAAAAH9f63s=")</f>
        <v>#VALUE!</v>
      </c>
      <c r="DU186" t="e">
        <f>AND(Bills!I702,"AAAAAH9f63w=")</f>
        <v>#VALUE!</v>
      </c>
      <c r="DV186" t="e">
        <f>AND(Bills!J702,"AAAAAH9f630=")</f>
        <v>#VALUE!</v>
      </c>
      <c r="DW186" t="e">
        <f>AND(Bills!#REF!,"AAAAAH9f634=")</f>
        <v>#REF!</v>
      </c>
      <c r="DX186" t="e">
        <f>AND(Bills!K702,"AAAAAH9f638=")</f>
        <v>#VALUE!</v>
      </c>
      <c r="DY186" t="e">
        <f>AND(Bills!L702,"AAAAAH9f64A=")</f>
        <v>#VALUE!</v>
      </c>
      <c r="DZ186" t="e">
        <f>AND(Bills!M702,"AAAAAH9f64E=")</f>
        <v>#VALUE!</v>
      </c>
      <c r="EA186" t="e">
        <f>AND(Bills!N702,"AAAAAH9f64I=")</f>
        <v>#VALUE!</v>
      </c>
      <c r="EB186" t="e">
        <f>AND(Bills!O702,"AAAAAH9f64M=")</f>
        <v>#VALUE!</v>
      </c>
      <c r="EC186" t="e">
        <f>AND(Bills!P702,"AAAAAH9f64Q=")</f>
        <v>#VALUE!</v>
      </c>
      <c r="ED186" t="e">
        <f>AND(Bills!Q702,"AAAAAH9f64U=")</f>
        <v>#VALUE!</v>
      </c>
      <c r="EE186" t="e">
        <f>AND(Bills!R702,"AAAAAH9f64Y=")</f>
        <v>#VALUE!</v>
      </c>
      <c r="EF186" t="e">
        <f>AND(Bills!#REF!,"AAAAAH9f64c=")</f>
        <v>#REF!</v>
      </c>
      <c r="EG186" t="e">
        <f>AND(Bills!S702,"AAAAAH9f64g=")</f>
        <v>#VALUE!</v>
      </c>
      <c r="EH186" t="e">
        <f>AND(Bills!T702,"AAAAAH9f64k=")</f>
        <v>#VALUE!</v>
      </c>
      <c r="EI186" t="e">
        <f>AND(Bills!U702,"AAAAAH9f64o=")</f>
        <v>#VALUE!</v>
      </c>
      <c r="EJ186" t="e">
        <f>AND(Bills!#REF!,"AAAAAH9f64s=")</f>
        <v>#REF!</v>
      </c>
      <c r="EK186" t="e">
        <f>AND(Bills!#REF!,"AAAAAH9f64w=")</f>
        <v>#REF!</v>
      </c>
      <c r="EL186" t="e">
        <f>AND(Bills!W702,"AAAAAH9f640=")</f>
        <v>#VALUE!</v>
      </c>
      <c r="EM186" t="e">
        <f>AND(Bills!X702,"AAAAAH9f644=")</f>
        <v>#VALUE!</v>
      </c>
      <c r="EN186" t="e">
        <f>AND(Bills!#REF!,"AAAAAH9f648=")</f>
        <v>#REF!</v>
      </c>
      <c r="EO186" t="e">
        <f>AND(Bills!#REF!,"AAAAAH9f65A=")</f>
        <v>#REF!</v>
      </c>
      <c r="EP186" t="e">
        <f>AND(Bills!#REF!,"AAAAAH9f65E=")</f>
        <v>#REF!</v>
      </c>
      <c r="EQ186" t="e">
        <f>AND(Bills!#REF!,"AAAAAH9f65I=")</f>
        <v>#REF!</v>
      </c>
      <c r="ER186" t="e">
        <f>AND(Bills!#REF!,"AAAAAH9f65M=")</f>
        <v>#REF!</v>
      </c>
      <c r="ES186" t="e">
        <f>AND(Bills!#REF!,"AAAAAH9f65Q=")</f>
        <v>#REF!</v>
      </c>
      <c r="ET186" t="e">
        <f>AND(Bills!#REF!,"AAAAAH9f65U=")</f>
        <v>#REF!</v>
      </c>
      <c r="EU186" t="e">
        <f>AND(Bills!#REF!,"AAAAAH9f65Y=")</f>
        <v>#REF!</v>
      </c>
      <c r="EV186" t="e">
        <f>AND(Bills!#REF!,"AAAAAH9f65c=")</f>
        <v>#REF!</v>
      </c>
      <c r="EW186" t="e">
        <f>AND(Bills!Y702,"AAAAAH9f65g=")</f>
        <v>#VALUE!</v>
      </c>
      <c r="EX186" t="e">
        <f>AND(Bills!Z702,"AAAAAH9f65k=")</f>
        <v>#VALUE!</v>
      </c>
      <c r="EY186" t="e">
        <f>AND(Bills!#REF!,"AAAAAH9f65o=")</f>
        <v>#REF!</v>
      </c>
      <c r="EZ186" t="e">
        <f>AND(Bills!#REF!,"AAAAAH9f65s=")</f>
        <v>#REF!</v>
      </c>
      <c r="FA186" t="e">
        <f>AND(Bills!#REF!,"AAAAAH9f65w=")</f>
        <v>#REF!</v>
      </c>
      <c r="FB186" t="e">
        <f>AND(Bills!AA702,"AAAAAH9f650=")</f>
        <v>#VALUE!</v>
      </c>
      <c r="FC186" t="e">
        <f>AND(Bills!AB702,"AAAAAH9f654=")</f>
        <v>#VALUE!</v>
      </c>
      <c r="FD186" t="e">
        <f>AND(Bills!#REF!,"AAAAAH9f658=")</f>
        <v>#REF!</v>
      </c>
      <c r="FE186">
        <f>IF(Bills!703:703,"AAAAAH9f66A=",0)</f>
        <v>0</v>
      </c>
      <c r="FF186" t="e">
        <f>AND(Bills!B703,"AAAAAH9f66E=")</f>
        <v>#VALUE!</v>
      </c>
      <c r="FG186" t="e">
        <f>AND(Bills!#REF!,"AAAAAH9f66I=")</f>
        <v>#REF!</v>
      </c>
      <c r="FH186" t="e">
        <f>AND(Bills!C703,"AAAAAH9f66M=")</f>
        <v>#VALUE!</v>
      </c>
      <c r="FI186" t="e">
        <f>AND(Bills!#REF!,"AAAAAH9f66Q=")</f>
        <v>#REF!</v>
      </c>
      <c r="FJ186" t="e">
        <f>AND(Bills!#REF!,"AAAAAH9f66U=")</f>
        <v>#REF!</v>
      </c>
      <c r="FK186" t="e">
        <f>AND(Bills!#REF!,"AAAAAH9f66Y=")</f>
        <v>#REF!</v>
      </c>
      <c r="FL186" t="e">
        <f>AND(Bills!#REF!,"AAAAAH9f66c=")</f>
        <v>#REF!</v>
      </c>
      <c r="FM186" t="e">
        <f>AND(Bills!#REF!,"AAAAAH9f66g=")</f>
        <v>#REF!</v>
      </c>
      <c r="FN186" t="e">
        <f>AND(Bills!D703,"AAAAAH9f66k=")</f>
        <v>#VALUE!</v>
      </c>
      <c r="FO186" t="e">
        <f>AND(Bills!#REF!,"AAAAAH9f66o=")</f>
        <v>#REF!</v>
      </c>
      <c r="FP186" t="e">
        <f>AND(Bills!E703,"AAAAAH9f66s=")</f>
        <v>#VALUE!</v>
      </c>
      <c r="FQ186" t="e">
        <f>AND(Bills!F703,"AAAAAH9f66w=")</f>
        <v>#VALUE!</v>
      </c>
      <c r="FR186" t="e">
        <f>AND(Bills!G703,"AAAAAH9f660=")</f>
        <v>#VALUE!</v>
      </c>
      <c r="FS186" t="e">
        <f>AND(Bills!H703,"AAAAAH9f664=")</f>
        <v>#VALUE!</v>
      </c>
      <c r="FT186" t="e">
        <f>AND(Bills!I703,"AAAAAH9f668=")</f>
        <v>#VALUE!</v>
      </c>
      <c r="FU186" t="e">
        <f>AND(Bills!J703,"AAAAAH9f67A=")</f>
        <v>#VALUE!</v>
      </c>
      <c r="FV186" t="e">
        <f>AND(Bills!#REF!,"AAAAAH9f67E=")</f>
        <v>#REF!</v>
      </c>
      <c r="FW186" t="e">
        <f>AND(Bills!K703,"AAAAAH9f67I=")</f>
        <v>#VALUE!</v>
      </c>
      <c r="FX186" t="e">
        <f>AND(Bills!L703,"AAAAAH9f67M=")</f>
        <v>#VALUE!</v>
      </c>
      <c r="FY186" t="e">
        <f>AND(Bills!M703,"AAAAAH9f67Q=")</f>
        <v>#VALUE!</v>
      </c>
      <c r="FZ186" t="e">
        <f>AND(Bills!N703,"AAAAAH9f67U=")</f>
        <v>#VALUE!</v>
      </c>
      <c r="GA186" t="e">
        <f>AND(Bills!O703,"AAAAAH9f67Y=")</f>
        <v>#VALUE!</v>
      </c>
      <c r="GB186" t="e">
        <f>AND(Bills!P703,"AAAAAH9f67c=")</f>
        <v>#VALUE!</v>
      </c>
      <c r="GC186" t="e">
        <f>AND(Bills!Q703,"AAAAAH9f67g=")</f>
        <v>#VALUE!</v>
      </c>
      <c r="GD186" t="e">
        <f>AND(Bills!R703,"AAAAAH9f67k=")</f>
        <v>#VALUE!</v>
      </c>
      <c r="GE186" t="e">
        <f>AND(Bills!#REF!,"AAAAAH9f67o=")</f>
        <v>#REF!</v>
      </c>
      <c r="GF186" t="e">
        <f>AND(Bills!S703,"AAAAAH9f67s=")</f>
        <v>#VALUE!</v>
      </c>
      <c r="GG186" t="e">
        <f>AND(Bills!T703,"AAAAAH9f67w=")</f>
        <v>#VALUE!</v>
      </c>
      <c r="GH186" t="e">
        <f>AND(Bills!U703,"AAAAAH9f670=")</f>
        <v>#VALUE!</v>
      </c>
      <c r="GI186" t="e">
        <f>AND(Bills!#REF!,"AAAAAH9f674=")</f>
        <v>#REF!</v>
      </c>
      <c r="GJ186" t="e">
        <f>AND(Bills!#REF!,"AAAAAH9f678=")</f>
        <v>#REF!</v>
      </c>
      <c r="GK186" t="e">
        <f>AND(Bills!W703,"AAAAAH9f68A=")</f>
        <v>#VALUE!</v>
      </c>
      <c r="GL186" t="e">
        <f>AND(Bills!X703,"AAAAAH9f68E=")</f>
        <v>#VALUE!</v>
      </c>
      <c r="GM186" t="e">
        <f>AND(Bills!#REF!,"AAAAAH9f68I=")</f>
        <v>#REF!</v>
      </c>
      <c r="GN186" t="e">
        <f>AND(Bills!#REF!,"AAAAAH9f68M=")</f>
        <v>#REF!</v>
      </c>
      <c r="GO186" t="e">
        <f>AND(Bills!#REF!,"AAAAAH9f68Q=")</f>
        <v>#REF!</v>
      </c>
      <c r="GP186" t="e">
        <f>AND(Bills!#REF!,"AAAAAH9f68U=")</f>
        <v>#REF!</v>
      </c>
      <c r="GQ186" t="e">
        <f>AND(Bills!#REF!,"AAAAAH9f68Y=")</f>
        <v>#REF!</v>
      </c>
      <c r="GR186" t="e">
        <f>AND(Bills!#REF!,"AAAAAH9f68c=")</f>
        <v>#REF!</v>
      </c>
      <c r="GS186" t="e">
        <f>AND(Bills!#REF!,"AAAAAH9f68g=")</f>
        <v>#REF!</v>
      </c>
      <c r="GT186" t="e">
        <f>AND(Bills!#REF!,"AAAAAH9f68k=")</f>
        <v>#REF!</v>
      </c>
      <c r="GU186" t="e">
        <f>AND(Bills!#REF!,"AAAAAH9f68o=")</f>
        <v>#REF!</v>
      </c>
      <c r="GV186" t="e">
        <f>AND(Bills!Y703,"AAAAAH9f68s=")</f>
        <v>#VALUE!</v>
      </c>
      <c r="GW186" t="e">
        <f>AND(Bills!Z703,"AAAAAH9f68w=")</f>
        <v>#VALUE!</v>
      </c>
      <c r="GX186" t="e">
        <f>AND(Bills!#REF!,"AAAAAH9f680=")</f>
        <v>#REF!</v>
      </c>
      <c r="GY186" t="e">
        <f>AND(Bills!#REF!,"AAAAAH9f684=")</f>
        <v>#REF!</v>
      </c>
      <c r="GZ186" t="e">
        <f>AND(Bills!#REF!,"AAAAAH9f688=")</f>
        <v>#REF!</v>
      </c>
      <c r="HA186" t="e">
        <f>AND(Bills!AA703,"AAAAAH9f69A=")</f>
        <v>#VALUE!</v>
      </c>
      <c r="HB186" t="e">
        <f>AND(Bills!AB703,"AAAAAH9f69E=")</f>
        <v>#VALUE!</v>
      </c>
      <c r="HC186" t="e">
        <f>AND(Bills!#REF!,"AAAAAH9f69I=")</f>
        <v>#REF!</v>
      </c>
      <c r="HD186">
        <f>IF(Bills!704:704,"AAAAAH9f69M=",0)</f>
        <v>0</v>
      </c>
      <c r="HE186" t="e">
        <f>AND(Bills!B704,"AAAAAH9f69Q=")</f>
        <v>#VALUE!</v>
      </c>
      <c r="HF186" t="e">
        <f>AND(Bills!#REF!,"AAAAAH9f69U=")</f>
        <v>#REF!</v>
      </c>
      <c r="HG186" t="e">
        <f>AND(Bills!C704,"AAAAAH9f69Y=")</f>
        <v>#VALUE!</v>
      </c>
      <c r="HH186" t="e">
        <f>AND(Bills!#REF!,"AAAAAH9f69c=")</f>
        <v>#REF!</v>
      </c>
      <c r="HI186" t="e">
        <f>AND(Bills!#REF!,"AAAAAH9f69g=")</f>
        <v>#REF!</v>
      </c>
      <c r="HJ186" t="e">
        <f>AND(Bills!#REF!,"AAAAAH9f69k=")</f>
        <v>#REF!</v>
      </c>
      <c r="HK186" t="e">
        <f>AND(Bills!#REF!,"AAAAAH9f69o=")</f>
        <v>#REF!</v>
      </c>
      <c r="HL186" t="e">
        <f>AND(Bills!#REF!,"AAAAAH9f69s=")</f>
        <v>#REF!</v>
      </c>
      <c r="HM186" t="e">
        <f>AND(Bills!D704,"AAAAAH9f69w=")</f>
        <v>#VALUE!</v>
      </c>
      <c r="HN186" t="e">
        <f>AND(Bills!#REF!,"AAAAAH9f690=")</f>
        <v>#REF!</v>
      </c>
      <c r="HO186" t="e">
        <f>AND(Bills!E704,"AAAAAH9f694=")</f>
        <v>#VALUE!</v>
      </c>
      <c r="HP186" t="e">
        <f>AND(Bills!F704,"AAAAAH9f698=")</f>
        <v>#VALUE!</v>
      </c>
      <c r="HQ186" t="e">
        <f>AND(Bills!G704,"AAAAAH9f6+A=")</f>
        <v>#VALUE!</v>
      </c>
      <c r="HR186" t="e">
        <f>AND(Bills!H704,"AAAAAH9f6+E=")</f>
        <v>#VALUE!</v>
      </c>
      <c r="HS186" t="e">
        <f>AND(Bills!I704,"AAAAAH9f6+I=")</f>
        <v>#VALUE!</v>
      </c>
      <c r="HT186" t="e">
        <f>AND(Bills!J704,"AAAAAH9f6+M=")</f>
        <v>#VALUE!</v>
      </c>
      <c r="HU186" t="e">
        <f>AND(Bills!#REF!,"AAAAAH9f6+Q=")</f>
        <v>#REF!</v>
      </c>
      <c r="HV186" t="e">
        <f>AND(Bills!K704,"AAAAAH9f6+U=")</f>
        <v>#VALUE!</v>
      </c>
      <c r="HW186" t="e">
        <f>AND(Bills!L704,"AAAAAH9f6+Y=")</f>
        <v>#VALUE!</v>
      </c>
      <c r="HX186" t="e">
        <f>AND(Bills!M704,"AAAAAH9f6+c=")</f>
        <v>#VALUE!</v>
      </c>
      <c r="HY186" t="e">
        <f>AND(Bills!N704,"AAAAAH9f6+g=")</f>
        <v>#VALUE!</v>
      </c>
      <c r="HZ186" t="e">
        <f>AND(Bills!O704,"AAAAAH9f6+k=")</f>
        <v>#VALUE!</v>
      </c>
      <c r="IA186" t="e">
        <f>AND(Bills!P704,"AAAAAH9f6+o=")</f>
        <v>#VALUE!</v>
      </c>
      <c r="IB186" t="e">
        <f>AND(Bills!Q704,"AAAAAH9f6+s=")</f>
        <v>#VALUE!</v>
      </c>
      <c r="IC186" t="e">
        <f>AND(Bills!R704,"AAAAAH9f6+w=")</f>
        <v>#VALUE!</v>
      </c>
      <c r="ID186" t="e">
        <f>AND(Bills!#REF!,"AAAAAH9f6+0=")</f>
        <v>#REF!</v>
      </c>
      <c r="IE186" t="e">
        <f>AND(Bills!S704,"AAAAAH9f6+4=")</f>
        <v>#VALUE!</v>
      </c>
      <c r="IF186" t="e">
        <f>AND(Bills!T704,"AAAAAH9f6+8=")</f>
        <v>#VALUE!</v>
      </c>
      <c r="IG186" t="e">
        <f>AND(Bills!U704,"AAAAAH9f6/A=")</f>
        <v>#VALUE!</v>
      </c>
      <c r="IH186" t="e">
        <f>AND(Bills!#REF!,"AAAAAH9f6/E=")</f>
        <v>#REF!</v>
      </c>
      <c r="II186" t="e">
        <f>AND(Bills!#REF!,"AAAAAH9f6/I=")</f>
        <v>#REF!</v>
      </c>
      <c r="IJ186" t="e">
        <f>AND(Bills!W704,"AAAAAH9f6/M=")</f>
        <v>#VALUE!</v>
      </c>
      <c r="IK186" t="e">
        <f>AND(Bills!X704,"AAAAAH9f6/Q=")</f>
        <v>#VALUE!</v>
      </c>
      <c r="IL186" t="e">
        <f>AND(Bills!#REF!,"AAAAAH9f6/U=")</f>
        <v>#REF!</v>
      </c>
      <c r="IM186" t="e">
        <f>AND(Bills!#REF!,"AAAAAH9f6/Y=")</f>
        <v>#REF!</v>
      </c>
      <c r="IN186" t="e">
        <f>AND(Bills!#REF!,"AAAAAH9f6/c=")</f>
        <v>#REF!</v>
      </c>
      <c r="IO186" t="e">
        <f>AND(Bills!#REF!,"AAAAAH9f6/g=")</f>
        <v>#REF!</v>
      </c>
      <c r="IP186" t="e">
        <f>AND(Bills!#REF!,"AAAAAH9f6/k=")</f>
        <v>#REF!</v>
      </c>
      <c r="IQ186" t="e">
        <f>AND(Bills!#REF!,"AAAAAH9f6/o=")</f>
        <v>#REF!</v>
      </c>
      <c r="IR186" t="e">
        <f>AND(Bills!#REF!,"AAAAAH9f6/s=")</f>
        <v>#REF!</v>
      </c>
      <c r="IS186" t="e">
        <f>AND(Bills!#REF!,"AAAAAH9f6/w=")</f>
        <v>#REF!</v>
      </c>
      <c r="IT186" t="e">
        <f>AND(Bills!#REF!,"AAAAAH9f6/0=")</f>
        <v>#REF!</v>
      </c>
      <c r="IU186" t="e">
        <f>AND(Bills!Y704,"AAAAAH9f6/4=")</f>
        <v>#VALUE!</v>
      </c>
      <c r="IV186" t="e">
        <f>AND(Bills!Z704,"AAAAAH9f6/8=")</f>
        <v>#VALUE!</v>
      </c>
    </row>
    <row r="187" spans="1:256">
      <c r="A187" t="e">
        <f>AND(Bills!#REF!,"AAAAAHt7HgA=")</f>
        <v>#REF!</v>
      </c>
      <c r="B187" t="e">
        <f>AND(Bills!#REF!,"AAAAAHt7HgE=")</f>
        <v>#REF!</v>
      </c>
      <c r="C187" t="e">
        <f>AND(Bills!#REF!,"AAAAAHt7HgI=")</f>
        <v>#REF!</v>
      </c>
      <c r="D187" t="e">
        <f>AND(Bills!AA704,"AAAAAHt7HgM=")</f>
        <v>#VALUE!</v>
      </c>
      <c r="E187" t="e">
        <f>AND(Bills!AB704,"AAAAAHt7HgQ=")</f>
        <v>#VALUE!</v>
      </c>
      <c r="F187" t="e">
        <f>AND(Bills!#REF!,"AAAAAHt7HgU=")</f>
        <v>#REF!</v>
      </c>
      <c r="G187">
        <f>IF(Bills!705:705,"AAAAAHt7HgY=",0)</f>
        <v>0</v>
      </c>
      <c r="H187" t="e">
        <f>AND(Bills!B705,"AAAAAHt7Hgc=")</f>
        <v>#VALUE!</v>
      </c>
      <c r="I187" t="e">
        <f>AND(Bills!#REF!,"AAAAAHt7Hgg=")</f>
        <v>#REF!</v>
      </c>
      <c r="J187" t="e">
        <f>AND(Bills!C705,"AAAAAHt7Hgk=")</f>
        <v>#VALUE!</v>
      </c>
      <c r="K187" t="e">
        <f>AND(Bills!#REF!,"AAAAAHt7Hgo=")</f>
        <v>#REF!</v>
      </c>
      <c r="L187" t="e">
        <f>AND(Bills!#REF!,"AAAAAHt7Hgs=")</f>
        <v>#REF!</v>
      </c>
      <c r="M187" t="e">
        <f>AND(Bills!#REF!,"AAAAAHt7Hgw=")</f>
        <v>#REF!</v>
      </c>
      <c r="N187" t="e">
        <f>AND(Bills!#REF!,"AAAAAHt7Hg0=")</f>
        <v>#REF!</v>
      </c>
      <c r="O187" t="e">
        <f>AND(Bills!#REF!,"AAAAAHt7Hg4=")</f>
        <v>#REF!</v>
      </c>
      <c r="P187" t="e">
        <f>AND(Bills!D705,"AAAAAHt7Hg8=")</f>
        <v>#VALUE!</v>
      </c>
      <c r="Q187" t="e">
        <f>AND(Bills!#REF!,"AAAAAHt7HhA=")</f>
        <v>#REF!</v>
      </c>
      <c r="R187" t="e">
        <f>AND(Bills!E705,"AAAAAHt7HhE=")</f>
        <v>#VALUE!</v>
      </c>
      <c r="S187" t="e">
        <f>AND(Bills!F705,"AAAAAHt7HhI=")</f>
        <v>#VALUE!</v>
      </c>
      <c r="T187" t="e">
        <f>AND(Bills!G705,"AAAAAHt7HhM=")</f>
        <v>#VALUE!</v>
      </c>
      <c r="U187" t="e">
        <f>AND(Bills!H705,"AAAAAHt7HhQ=")</f>
        <v>#VALUE!</v>
      </c>
      <c r="V187" t="e">
        <f>AND(Bills!I705,"AAAAAHt7HhU=")</f>
        <v>#VALUE!</v>
      </c>
      <c r="W187" t="e">
        <f>AND(Bills!J705,"AAAAAHt7HhY=")</f>
        <v>#VALUE!</v>
      </c>
      <c r="X187" t="e">
        <f>AND(Bills!#REF!,"AAAAAHt7Hhc=")</f>
        <v>#REF!</v>
      </c>
      <c r="Y187" t="e">
        <f>AND(Bills!K705,"AAAAAHt7Hhg=")</f>
        <v>#VALUE!</v>
      </c>
      <c r="Z187" t="e">
        <f>AND(Bills!L705,"AAAAAHt7Hhk=")</f>
        <v>#VALUE!</v>
      </c>
      <c r="AA187" t="e">
        <f>AND(Bills!M705,"AAAAAHt7Hho=")</f>
        <v>#VALUE!</v>
      </c>
      <c r="AB187" t="e">
        <f>AND(Bills!N705,"AAAAAHt7Hhs=")</f>
        <v>#VALUE!</v>
      </c>
      <c r="AC187" t="e">
        <f>AND(Bills!O705,"AAAAAHt7Hhw=")</f>
        <v>#VALUE!</v>
      </c>
      <c r="AD187" t="e">
        <f>AND(Bills!P705,"AAAAAHt7Hh0=")</f>
        <v>#VALUE!</v>
      </c>
      <c r="AE187" t="e">
        <f>AND(Bills!Q705,"AAAAAHt7Hh4=")</f>
        <v>#VALUE!</v>
      </c>
      <c r="AF187" t="e">
        <f>AND(Bills!R705,"AAAAAHt7Hh8=")</f>
        <v>#VALUE!</v>
      </c>
      <c r="AG187" t="e">
        <f>AND(Bills!#REF!,"AAAAAHt7HiA=")</f>
        <v>#REF!</v>
      </c>
      <c r="AH187" t="e">
        <f>AND(Bills!S705,"AAAAAHt7HiE=")</f>
        <v>#VALUE!</v>
      </c>
      <c r="AI187" t="e">
        <f>AND(Bills!T705,"AAAAAHt7HiI=")</f>
        <v>#VALUE!</v>
      </c>
      <c r="AJ187" t="e">
        <f>AND(Bills!U705,"AAAAAHt7HiM=")</f>
        <v>#VALUE!</v>
      </c>
      <c r="AK187" t="e">
        <f>AND(Bills!#REF!,"AAAAAHt7HiQ=")</f>
        <v>#REF!</v>
      </c>
      <c r="AL187" t="e">
        <f>AND(Bills!#REF!,"AAAAAHt7HiU=")</f>
        <v>#REF!</v>
      </c>
      <c r="AM187" t="e">
        <f>AND(Bills!W705,"AAAAAHt7HiY=")</f>
        <v>#VALUE!</v>
      </c>
      <c r="AN187" t="e">
        <f>AND(Bills!X705,"AAAAAHt7Hic=")</f>
        <v>#VALUE!</v>
      </c>
      <c r="AO187" t="e">
        <f>AND(Bills!#REF!,"AAAAAHt7Hig=")</f>
        <v>#REF!</v>
      </c>
      <c r="AP187" t="e">
        <f>AND(Bills!#REF!,"AAAAAHt7Hik=")</f>
        <v>#REF!</v>
      </c>
      <c r="AQ187" t="e">
        <f>AND(Bills!#REF!,"AAAAAHt7Hio=")</f>
        <v>#REF!</v>
      </c>
      <c r="AR187" t="e">
        <f>AND(Bills!#REF!,"AAAAAHt7His=")</f>
        <v>#REF!</v>
      </c>
      <c r="AS187" t="e">
        <f>AND(Bills!#REF!,"AAAAAHt7Hiw=")</f>
        <v>#REF!</v>
      </c>
      <c r="AT187" t="e">
        <f>AND(Bills!#REF!,"AAAAAHt7Hi0=")</f>
        <v>#REF!</v>
      </c>
      <c r="AU187" t="e">
        <f>AND(Bills!#REF!,"AAAAAHt7Hi4=")</f>
        <v>#REF!</v>
      </c>
      <c r="AV187" t="e">
        <f>AND(Bills!#REF!,"AAAAAHt7Hi8=")</f>
        <v>#REF!</v>
      </c>
      <c r="AW187" t="e">
        <f>AND(Bills!#REF!,"AAAAAHt7HjA=")</f>
        <v>#REF!</v>
      </c>
      <c r="AX187" t="e">
        <f>AND(Bills!Y705,"AAAAAHt7HjE=")</f>
        <v>#VALUE!</v>
      </c>
      <c r="AY187" t="e">
        <f>AND(Bills!Z705,"AAAAAHt7HjI=")</f>
        <v>#VALUE!</v>
      </c>
      <c r="AZ187" t="e">
        <f>AND(Bills!#REF!,"AAAAAHt7HjM=")</f>
        <v>#REF!</v>
      </c>
      <c r="BA187" t="e">
        <f>AND(Bills!#REF!,"AAAAAHt7HjQ=")</f>
        <v>#REF!</v>
      </c>
      <c r="BB187" t="e">
        <f>AND(Bills!#REF!,"AAAAAHt7HjU=")</f>
        <v>#REF!</v>
      </c>
      <c r="BC187" t="e">
        <f>AND(Bills!AA705,"AAAAAHt7HjY=")</f>
        <v>#VALUE!</v>
      </c>
      <c r="BD187" t="e">
        <f>AND(Bills!AB705,"AAAAAHt7Hjc=")</f>
        <v>#VALUE!</v>
      </c>
      <c r="BE187" t="e">
        <f>AND(Bills!#REF!,"AAAAAHt7Hjg=")</f>
        <v>#REF!</v>
      </c>
      <c r="BF187">
        <f>IF(Bills!706:706,"AAAAAHt7Hjk=",0)</f>
        <v>0</v>
      </c>
      <c r="BG187" t="e">
        <f>AND(Bills!B706,"AAAAAHt7Hjo=")</f>
        <v>#VALUE!</v>
      </c>
      <c r="BH187" t="e">
        <f>AND(Bills!#REF!,"AAAAAHt7Hjs=")</f>
        <v>#REF!</v>
      </c>
      <c r="BI187" t="e">
        <f>AND(Bills!C706,"AAAAAHt7Hjw=")</f>
        <v>#VALUE!</v>
      </c>
      <c r="BJ187" t="e">
        <f>AND(Bills!#REF!,"AAAAAHt7Hj0=")</f>
        <v>#REF!</v>
      </c>
      <c r="BK187" t="e">
        <f>AND(Bills!#REF!,"AAAAAHt7Hj4=")</f>
        <v>#REF!</v>
      </c>
      <c r="BL187" t="e">
        <f>AND(Bills!#REF!,"AAAAAHt7Hj8=")</f>
        <v>#REF!</v>
      </c>
      <c r="BM187" t="e">
        <f>AND(Bills!#REF!,"AAAAAHt7HkA=")</f>
        <v>#REF!</v>
      </c>
      <c r="BN187" t="e">
        <f>AND(Bills!#REF!,"AAAAAHt7HkE=")</f>
        <v>#REF!</v>
      </c>
      <c r="BO187" t="e">
        <f>AND(Bills!D706,"AAAAAHt7HkI=")</f>
        <v>#VALUE!</v>
      </c>
      <c r="BP187" t="e">
        <f>AND(Bills!#REF!,"AAAAAHt7HkM=")</f>
        <v>#REF!</v>
      </c>
      <c r="BQ187" t="e">
        <f>AND(Bills!E706,"AAAAAHt7HkQ=")</f>
        <v>#VALUE!</v>
      </c>
      <c r="BR187" t="e">
        <f>AND(Bills!F706,"AAAAAHt7HkU=")</f>
        <v>#VALUE!</v>
      </c>
      <c r="BS187" t="e">
        <f>AND(Bills!G706,"AAAAAHt7HkY=")</f>
        <v>#VALUE!</v>
      </c>
      <c r="BT187" t="e">
        <f>AND(Bills!H706,"AAAAAHt7Hkc=")</f>
        <v>#VALUE!</v>
      </c>
      <c r="BU187" t="e">
        <f>AND(Bills!I706,"AAAAAHt7Hkg=")</f>
        <v>#VALUE!</v>
      </c>
      <c r="BV187" t="e">
        <f>AND(Bills!J706,"AAAAAHt7Hkk=")</f>
        <v>#VALUE!</v>
      </c>
      <c r="BW187" t="e">
        <f>AND(Bills!#REF!,"AAAAAHt7Hko=")</f>
        <v>#REF!</v>
      </c>
      <c r="BX187" t="e">
        <f>AND(Bills!K706,"AAAAAHt7Hks=")</f>
        <v>#VALUE!</v>
      </c>
      <c r="BY187" t="e">
        <f>AND(Bills!L706,"AAAAAHt7Hkw=")</f>
        <v>#VALUE!</v>
      </c>
      <c r="BZ187" t="e">
        <f>AND(Bills!M706,"AAAAAHt7Hk0=")</f>
        <v>#VALUE!</v>
      </c>
      <c r="CA187" t="e">
        <f>AND(Bills!N706,"AAAAAHt7Hk4=")</f>
        <v>#VALUE!</v>
      </c>
      <c r="CB187" t="e">
        <f>AND(Bills!O706,"AAAAAHt7Hk8=")</f>
        <v>#VALUE!</v>
      </c>
      <c r="CC187" t="e">
        <f>AND(Bills!P706,"AAAAAHt7HlA=")</f>
        <v>#VALUE!</v>
      </c>
      <c r="CD187" t="e">
        <f>AND(Bills!Q706,"AAAAAHt7HlE=")</f>
        <v>#VALUE!</v>
      </c>
      <c r="CE187" t="e">
        <f>AND(Bills!R706,"AAAAAHt7HlI=")</f>
        <v>#VALUE!</v>
      </c>
      <c r="CF187" t="e">
        <f>AND(Bills!#REF!,"AAAAAHt7HlM=")</f>
        <v>#REF!</v>
      </c>
      <c r="CG187" t="e">
        <f>AND(Bills!S706,"AAAAAHt7HlQ=")</f>
        <v>#VALUE!</v>
      </c>
      <c r="CH187" t="e">
        <f>AND(Bills!T706,"AAAAAHt7HlU=")</f>
        <v>#VALUE!</v>
      </c>
      <c r="CI187" t="e">
        <f>AND(Bills!U706,"AAAAAHt7HlY=")</f>
        <v>#VALUE!</v>
      </c>
      <c r="CJ187" t="e">
        <f>AND(Bills!#REF!,"AAAAAHt7Hlc=")</f>
        <v>#REF!</v>
      </c>
      <c r="CK187" t="e">
        <f>AND(Bills!#REF!,"AAAAAHt7Hlg=")</f>
        <v>#REF!</v>
      </c>
      <c r="CL187" t="e">
        <f>AND(Bills!W706,"AAAAAHt7Hlk=")</f>
        <v>#VALUE!</v>
      </c>
      <c r="CM187" t="e">
        <f>AND(Bills!X706,"AAAAAHt7Hlo=")</f>
        <v>#VALUE!</v>
      </c>
      <c r="CN187" t="e">
        <f>AND(Bills!#REF!,"AAAAAHt7Hls=")</f>
        <v>#REF!</v>
      </c>
      <c r="CO187" t="e">
        <f>AND(Bills!#REF!,"AAAAAHt7Hlw=")</f>
        <v>#REF!</v>
      </c>
      <c r="CP187" t="e">
        <f>AND(Bills!#REF!,"AAAAAHt7Hl0=")</f>
        <v>#REF!</v>
      </c>
      <c r="CQ187" t="e">
        <f>AND(Bills!#REF!,"AAAAAHt7Hl4=")</f>
        <v>#REF!</v>
      </c>
      <c r="CR187" t="e">
        <f>AND(Bills!#REF!,"AAAAAHt7Hl8=")</f>
        <v>#REF!</v>
      </c>
      <c r="CS187" t="e">
        <f>AND(Bills!#REF!,"AAAAAHt7HmA=")</f>
        <v>#REF!</v>
      </c>
      <c r="CT187" t="e">
        <f>AND(Bills!#REF!,"AAAAAHt7HmE=")</f>
        <v>#REF!</v>
      </c>
      <c r="CU187" t="e">
        <f>AND(Bills!#REF!,"AAAAAHt7HmI=")</f>
        <v>#REF!</v>
      </c>
      <c r="CV187" t="e">
        <f>AND(Bills!#REF!,"AAAAAHt7HmM=")</f>
        <v>#REF!</v>
      </c>
      <c r="CW187" t="e">
        <f>AND(Bills!Y706,"AAAAAHt7HmQ=")</f>
        <v>#VALUE!</v>
      </c>
      <c r="CX187" t="e">
        <f>AND(Bills!Z706,"AAAAAHt7HmU=")</f>
        <v>#VALUE!</v>
      </c>
      <c r="CY187" t="e">
        <f>AND(Bills!#REF!,"AAAAAHt7HmY=")</f>
        <v>#REF!</v>
      </c>
      <c r="CZ187" t="e">
        <f>AND(Bills!#REF!,"AAAAAHt7Hmc=")</f>
        <v>#REF!</v>
      </c>
      <c r="DA187" t="e">
        <f>AND(Bills!#REF!,"AAAAAHt7Hmg=")</f>
        <v>#REF!</v>
      </c>
      <c r="DB187" t="e">
        <f>AND(Bills!AA706,"AAAAAHt7Hmk=")</f>
        <v>#VALUE!</v>
      </c>
      <c r="DC187" t="e">
        <f>AND(Bills!AB706,"AAAAAHt7Hmo=")</f>
        <v>#VALUE!</v>
      </c>
      <c r="DD187" t="e">
        <f>AND(Bills!#REF!,"AAAAAHt7Hms=")</f>
        <v>#REF!</v>
      </c>
      <c r="DE187">
        <f>IF(Bills!707:707,"AAAAAHt7Hmw=",0)</f>
        <v>0</v>
      </c>
      <c r="DF187" t="e">
        <f>AND(Bills!B707,"AAAAAHt7Hm0=")</f>
        <v>#VALUE!</v>
      </c>
      <c r="DG187" t="e">
        <f>AND(Bills!#REF!,"AAAAAHt7Hm4=")</f>
        <v>#REF!</v>
      </c>
      <c r="DH187" t="e">
        <f>AND(Bills!C707,"AAAAAHt7Hm8=")</f>
        <v>#VALUE!</v>
      </c>
      <c r="DI187" t="e">
        <f>AND(Bills!#REF!,"AAAAAHt7HnA=")</f>
        <v>#REF!</v>
      </c>
      <c r="DJ187" t="e">
        <f>AND(Bills!#REF!,"AAAAAHt7HnE=")</f>
        <v>#REF!</v>
      </c>
      <c r="DK187" t="e">
        <f>AND(Bills!#REF!,"AAAAAHt7HnI=")</f>
        <v>#REF!</v>
      </c>
      <c r="DL187" t="e">
        <f>AND(Bills!#REF!,"AAAAAHt7HnM=")</f>
        <v>#REF!</v>
      </c>
      <c r="DM187" t="e">
        <f>AND(Bills!#REF!,"AAAAAHt7HnQ=")</f>
        <v>#REF!</v>
      </c>
      <c r="DN187" t="e">
        <f>AND(Bills!D707,"AAAAAHt7HnU=")</f>
        <v>#VALUE!</v>
      </c>
      <c r="DO187" t="e">
        <f>AND(Bills!#REF!,"AAAAAHt7HnY=")</f>
        <v>#REF!</v>
      </c>
      <c r="DP187" t="e">
        <f>AND(Bills!E707,"AAAAAHt7Hnc=")</f>
        <v>#VALUE!</v>
      </c>
      <c r="DQ187" t="e">
        <f>AND(Bills!F707,"AAAAAHt7Hng=")</f>
        <v>#VALUE!</v>
      </c>
      <c r="DR187" t="e">
        <f>AND(Bills!G707,"AAAAAHt7Hnk=")</f>
        <v>#VALUE!</v>
      </c>
      <c r="DS187" t="e">
        <f>AND(Bills!H707,"AAAAAHt7Hno=")</f>
        <v>#VALUE!</v>
      </c>
      <c r="DT187" t="e">
        <f>AND(Bills!I707,"AAAAAHt7Hns=")</f>
        <v>#VALUE!</v>
      </c>
      <c r="DU187" t="e">
        <f>AND(Bills!J707,"AAAAAHt7Hnw=")</f>
        <v>#VALUE!</v>
      </c>
      <c r="DV187" t="e">
        <f>AND(Bills!#REF!,"AAAAAHt7Hn0=")</f>
        <v>#REF!</v>
      </c>
      <c r="DW187" t="e">
        <f>AND(Bills!K707,"AAAAAHt7Hn4=")</f>
        <v>#VALUE!</v>
      </c>
      <c r="DX187" t="e">
        <f>AND(Bills!L707,"AAAAAHt7Hn8=")</f>
        <v>#VALUE!</v>
      </c>
      <c r="DY187" t="e">
        <f>AND(Bills!M707,"AAAAAHt7HoA=")</f>
        <v>#VALUE!</v>
      </c>
      <c r="DZ187" t="e">
        <f>AND(Bills!N707,"AAAAAHt7HoE=")</f>
        <v>#VALUE!</v>
      </c>
      <c r="EA187" t="e">
        <f>AND(Bills!O707,"AAAAAHt7HoI=")</f>
        <v>#VALUE!</v>
      </c>
      <c r="EB187" t="e">
        <f>AND(Bills!P707,"AAAAAHt7HoM=")</f>
        <v>#VALUE!</v>
      </c>
      <c r="EC187" t="e">
        <f>AND(Bills!Q707,"AAAAAHt7HoQ=")</f>
        <v>#VALUE!</v>
      </c>
      <c r="ED187" t="e">
        <f>AND(Bills!R707,"AAAAAHt7HoU=")</f>
        <v>#VALUE!</v>
      </c>
      <c r="EE187" t="e">
        <f>AND(Bills!#REF!,"AAAAAHt7HoY=")</f>
        <v>#REF!</v>
      </c>
      <c r="EF187" t="e">
        <f>AND(Bills!S707,"AAAAAHt7Hoc=")</f>
        <v>#VALUE!</v>
      </c>
      <c r="EG187" t="e">
        <f>AND(Bills!T707,"AAAAAHt7Hog=")</f>
        <v>#VALUE!</v>
      </c>
      <c r="EH187" t="e">
        <f>AND(Bills!U707,"AAAAAHt7Hok=")</f>
        <v>#VALUE!</v>
      </c>
      <c r="EI187" t="e">
        <f>AND(Bills!#REF!,"AAAAAHt7Hoo=")</f>
        <v>#REF!</v>
      </c>
      <c r="EJ187" t="e">
        <f>AND(Bills!#REF!,"AAAAAHt7Hos=")</f>
        <v>#REF!</v>
      </c>
      <c r="EK187" t="e">
        <f>AND(Bills!W707,"AAAAAHt7How=")</f>
        <v>#VALUE!</v>
      </c>
      <c r="EL187" t="e">
        <f>AND(Bills!X707,"AAAAAHt7Ho0=")</f>
        <v>#VALUE!</v>
      </c>
      <c r="EM187" t="e">
        <f>AND(Bills!#REF!,"AAAAAHt7Ho4=")</f>
        <v>#REF!</v>
      </c>
      <c r="EN187" t="e">
        <f>AND(Bills!#REF!,"AAAAAHt7Ho8=")</f>
        <v>#REF!</v>
      </c>
      <c r="EO187" t="e">
        <f>AND(Bills!#REF!,"AAAAAHt7HpA=")</f>
        <v>#REF!</v>
      </c>
      <c r="EP187" t="e">
        <f>AND(Bills!#REF!,"AAAAAHt7HpE=")</f>
        <v>#REF!</v>
      </c>
      <c r="EQ187" t="e">
        <f>AND(Bills!#REF!,"AAAAAHt7HpI=")</f>
        <v>#REF!</v>
      </c>
      <c r="ER187" t="e">
        <f>AND(Bills!#REF!,"AAAAAHt7HpM=")</f>
        <v>#REF!</v>
      </c>
      <c r="ES187" t="e">
        <f>AND(Bills!#REF!,"AAAAAHt7HpQ=")</f>
        <v>#REF!</v>
      </c>
      <c r="ET187" t="e">
        <f>AND(Bills!#REF!,"AAAAAHt7HpU=")</f>
        <v>#REF!</v>
      </c>
      <c r="EU187" t="e">
        <f>AND(Bills!#REF!,"AAAAAHt7HpY=")</f>
        <v>#REF!</v>
      </c>
      <c r="EV187" t="e">
        <f>AND(Bills!Y707,"AAAAAHt7Hpc=")</f>
        <v>#VALUE!</v>
      </c>
      <c r="EW187" t="e">
        <f>AND(Bills!Z707,"AAAAAHt7Hpg=")</f>
        <v>#VALUE!</v>
      </c>
      <c r="EX187" t="e">
        <f>AND(Bills!#REF!,"AAAAAHt7Hpk=")</f>
        <v>#REF!</v>
      </c>
      <c r="EY187" t="e">
        <f>AND(Bills!#REF!,"AAAAAHt7Hpo=")</f>
        <v>#REF!</v>
      </c>
      <c r="EZ187" t="e">
        <f>AND(Bills!#REF!,"AAAAAHt7Hps=")</f>
        <v>#REF!</v>
      </c>
      <c r="FA187" t="e">
        <f>AND(Bills!AA707,"AAAAAHt7Hpw=")</f>
        <v>#VALUE!</v>
      </c>
      <c r="FB187" t="e">
        <f>AND(Bills!AB707,"AAAAAHt7Hp0=")</f>
        <v>#VALUE!</v>
      </c>
      <c r="FC187" t="e">
        <f>AND(Bills!#REF!,"AAAAAHt7Hp4=")</f>
        <v>#REF!</v>
      </c>
      <c r="FD187">
        <f>IF(Bills!708:708,"AAAAAHt7Hp8=",0)</f>
        <v>0</v>
      </c>
      <c r="FE187" t="e">
        <f>AND(Bills!B708,"AAAAAHt7HqA=")</f>
        <v>#VALUE!</v>
      </c>
      <c r="FF187" t="e">
        <f>AND(Bills!#REF!,"AAAAAHt7HqE=")</f>
        <v>#REF!</v>
      </c>
      <c r="FG187" t="e">
        <f>AND(Bills!C708,"AAAAAHt7HqI=")</f>
        <v>#VALUE!</v>
      </c>
      <c r="FH187" t="e">
        <f>AND(Bills!#REF!,"AAAAAHt7HqM=")</f>
        <v>#REF!</v>
      </c>
      <c r="FI187" t="e">
        <f>AND(Bills!#REF!,"AAAAAHt7HqQ=")</f>
        <v>#REF!</v>
      </c>
      <c r="FJ187" t="e">
        <f>AND(Bills!#REF!,"AAAAAHt7HqU=")</f>
        <v>#REF!</v>
      </c>
      <c r="FK187" t="e">
        <f>AND(Bills!#REF!,"AAAAAHt7HqY=")</f>
        <v>#REF!</v>
      </c>
      <c r="FL187" t="e">
        <f>AND(Bills!#REF!,"AAAAAHt7Hqc=")</f>
        <v>#REF!</v>
      </c>
      <c r="FM187" t="e">
        <f>AND(Bills!D708,"AAAAAHt7Hqg=")</f>
        <v>#VALUE!</v>
      </c>
      <c r="FN187" t="e">
        <f>AND(Bills!#REF!,"AAAAAHt7Hqk=")</f>
        <v>#REF!</v>
      </c>
      <c r="FO187" t="e">
        <f>AND(Bills!E708,"AAAAAHt7Hqo=")</f>
        <v>#VALUE!</v>
      </c>
      <c r="FP187" t="e">
        <f>AND(Bills!F708,"AAAAAHt7Hqs=")</f>
        <v>#VALUE!</v>
      </c>
      <c r="FQ187" t="e">
        <f>AND(Bills!G708,"AAAAAHt7Hqw=")</f>
        <v>#VALUE!</v>
      </c>
      <c r="FR187" t="e">
        <f>AND(Bills!H708,"AAAAAHt7Hq0=")</f>
        <v>#VALUE!</v>
      </c>
      <c r="FS187" t="e">
        <f>AND(Bills!I708,"AAAAAHt7Hq4=")</f>
        <v>#VALUE!</v>
      </c>
      <c r="FT187" t="e">
        <f>AND(Bills!J708,"AAAAAHt7Hq8=")</f>
        <v>#VALUE!</v>
      </c>
      <c r="FU187" t="e">
        <f>AND(Bills!#REF!,"AAAAAHt7HrA=")</f>
        <v>#REF!</v>
      </c>
      <c r="FV187" t="e">
        <f>AND(Bills!K708,"AAAAAHt7HrE=")</f>
        <v>#VALUE!</v>
      </c>
      <c r="FW187" t="e">
        <f>AND(Bills!L708,"AAAAAHt7HrI=")</f>
        <v>#VALUE!</v>
      </c>
      <c r="FX187" t="e">
        <f>AND(Bills!M708,"AAAAAHt7HrM=")</f>
        <v>#VALUE!</v>
      </c>
      <c r="FY187" t="e">
        <f>AND(Bills!N708,"AAAAAHt7HrQ=")</f>
        <v>#VALUE!</v>
      </c>
      <c r="FZ187" t="e">
        <f>AND(Bills!O708,"AAAAAHt7HrU=")</f>
        <v>#VALUE!</v>
      </c>
      <c r="GA187" t="e">
        <f>AND(Bills!P708,"AAAAAHt7HrY=")</f>
        <v>#VALUE!</v>
      </c>
      <c r="GB187" t="e">
        <f>AND(Bills!Q708,"AAAAAHt7Hrc=")</f>
        <v>#VALUE!</v>
      </c>
      <c r="GC187" t="e">
        <f>AND(Bills!R708,"AAAAAHt7Hrg=")</f>
        <v>#VALUE!</v>
      </c>
      <c r="GD187" t="e">
        <f>AND(Bills!#REF!,"AAAAAHt7Hrk=")</f>
        <v>#REF!</v>
      </c>
      <c r="GE187" t="e">
        <f>AND(Bills!S708,"AAAAAHt7Hro=")</f>
        <v>#VALUE!</v>
      </c>
      <c r="GF187" t="e">
        <f>AND(Bills!T708,"AAAAAHt7Hrs=")</f>
        <v>#VALUE!</v>
      </c>
      <c r="GG187" t="e">
        <f>AND(Bills!U708,"AAAAAHt7Hrw=")</f>
        <v>#VALUE!</v>
      </c>
      <c r="GH187" t="e">
        <f>AND(Bills!#REF!,"AAAAAHt7Hr0=")</f>
        <v>#REF!</v>
      </c>
      <c r="GI187" t="e">
        <f>AND(Bills!#REF!,"AAAAAHt7Hr4=")</f>
        <v>#REF!</v>
      </c>
      <c r="GJ187" t="e">
        <f>AND(Bills!W708,"AAAAAHt7Hr8=")</f>
        <v>#VALUE!</v>
      </c>
      <c r="GK187" t="e">
        <f>AND(Bills!X708,"AAAAAHt7HsA=")</f>
        <v>#VALUE!</v>
      </c>
      <c r="GL187" t="e">
        <f>AND(Bills!#REF!,"AAAAAHt7HsE=")</f>
        <v>#REF!</v>
      </c>
      <c r="GM187" t="e">
        <f>AND(Bills!#REF!,"AAAAAHt7HsI=")</f>
        <v>#REF!</v>
      </c>
      <c r="GN187" t="e">
        <f>AND(Bills!#REF!,"AAAAAHt7HsM=")</f>
        <v>#REF!</v>
      </c>
      <c r="GO187" t="e">
        <f>AND(Bills!#REF!,"AAAAAHt7HsQ=")</f>
        <v>#REF!</v>
      </c>
      <c r="GP187" t="e">
        <f>AND(Bills!#REF!,"AAAAAHt7HsU=")</f>
        <v>#REF!</v>
      </c>
      <c r="GQ187" t="e">
        <f>AND(Bills!#REF!,"AAAAAHt7HsY=")</f>
        <v>#REF!</v>
      </c>
      <c r="GR187" t="e">
        <f>AND(Bills!#REF!,"AAAAAHt7Hsc=")</f>
        <v>#REF!</v>
      </c>
      <c r="GS187" t="e">
        <f>AND(Bills!#REF!,"AAAAAHt7Hsg=")</f>
        <v>#REF!</v>
      </c>
      <c r="GT187" t="e">
        <f>AND(Bills!#REF!,"AAAAAHt7Hsk=")</f>
        <v>#REF!</v>
      </c>
      <c r="GU187" t="e">
        <f>AND(Bills!Y708,"AAAAAHt7Hso=")</f>
        <v>#VALUE!</v>
      </c>
      <c r="GV187" t="e">
        <f>AND(Bills!Z708,"AAAAAHt7Hss=")</f>
        <v>#VALUE!</v>
      </c>
      <c r="GW187" t="e">
        <f>AND(Bills!#REF!,"AAAAAHt7Hsw=")</f>
        <v>#REF!</v>
      </c>
      <c r="GX187" t="e">
        <f>AND(Bills!#REF!,"AAAAAHt7Hs0=")</f>
        <v>#REF!</v>
      </c>
      <c r="GY187" t="e">
        <f>AND(Bills!#REF!,"AAAAAHt7Hs4=")</f>
        <v>#REF!</v>
      </c>
      <c r="GZ187" t="e">
        <f>AND(Bills!AA708,"AAAAAHt7Hs8=")</f>
        <v>#VALUE!</v>
      </c>
      <c r="HA187" t="e">
        <f>AND(Bills!AB708,"AAAAAHt7HtA=")</f>
        <v>#VALUE!</v>
      </c>
      <c r="HB187" t="e">
        <f>AND(Bills!#REF!,"AAAAAHt7HtE=")</f>
        <v>#REF!</v>
      </c>
      <c r="HC187">
        <f>IF(Bills!709:709,"AAAAAHt7HtI=",0)</f>
        <v>0</v>
      </c>
      <c r="HD187" t="e">
        <f>AND(Bills!B709,"AAAAAHt7HtM=")</f>
        <v>#VALUE!</v>
      </c>
      <c r="HE187" t="e">
        <f>AND(Bills!#REF!,"AAAAAHt7HtQ=")</f>
        <v>#REF!</v>
      </c>
      <c r="HF187" t="e">
        <f>AND(Bills!C709,"AAAAAHt7HtU=")</f>
        <v>#VALUE!</v>
      </c>
      <c r="HG187" t="e">
        <f>AND(Bills!#REF!,"AAAAAHt7HtY=")</f>
        <v>#REF!</v>
      </c>
      <c r="HH187" t="e">
        <f>AND(Bills!#REF!,"AAAAAHt7Htc=")</f>
        <v>#REF!</v>
      </c>
      <c r="HI187" t="e">
        <f>AND(Bills!#REF!,"AAAAAHt7Htg=")</f>
        <v>#REF!</v>
      </c>
      <c r="HJ187" t="e">
        <f>AND(Bills!#REF!,"AAAAAHt7Htk=")</f>
        <v>#REF!</v>
      </c>
      <c r="HK187" t="e">
        <f>AND(Bills!#REF!,"AAAAAHt7Hto=")</f>
        <v>#REF!</v>
      </c>
      <c r="HL187" t="e">
        <f>AND(Bills!D709,"AAAAAHt7Hts=")</f>
        <v>#VALUE!</v>
      </c>
      <c r="HM187" t="e">
        <f>AND(Bills!#REF!,"AAAAAHt7Htw=")</f>
        <v>#REF!</v>
      </c>
      <c r="HN187" t="e">
        <f>AND(Bills!E709,"AAAAAHt7Ht0=")</f>
        <v>#VALUE!</v>
      </c>
      <c r="HO187" t="e">
        <f>AND(Bills!F709,"AAAAAHt7Ht4=")</f>
        <v>#VALUE!</v>
      </c>
      <c r="HP187" t="e">
        <f>AND(Bills!G709,"AAAAAHt7Ht8=")</f>
        <v>#VALUE!</v>
      </c>
      <c r="HQ187" t="e">
        <f>AND(Bills!H709,"AAAAAHt7HuA=")</f>
        <v>#VALUE!</v>
      </c>
      <c r="HR187" t="e">
        <f>AND(Bills!I709,"AAAAAHt7HuE=")</f>
        <v>#VALUE!</v>
      </c>
      <c r="HS187" t="e">
        <f>AND(Bills!J709,"AAAAAHt7HuI=")</f>
        <v>#VALUE!</v>
      </c>
      <c r="HT187" t="e">
        <f>AND(Bills!#REF!,"AAAAAHt7HuM=")</f>
        <v>#REF!</v>
      </c>
      <c r="HU187" t="e">
        <f>AND(Bills!K709,"AAAAAHt7HuQ=")</f>
        <v>#VALUE!</v>
      </c>
      <c r="HV187" t="e">
        <f>AND(Bills!L709,"AAAAAHt7HuU=")</f>
        <v>#VALUE!</v>
      </c>
      <c r="HW187" t="e">
        <f>AND(Bills!M709,"AAAAAHt7HuY=")</f>
        <v>#VALUE!</v>
      </c>
      <c r="HX187" t="e">
        <f>AND(Bills!N709,"AAAAAHt7Huc=")</f>
        <v>#VALUE!</v>
      </c>
      <c r="HY187" t="e">
        <f>AND(Bills!O709,"AAAAAHt7Hug=")</f>
        <v>#VALUE!</v>
      </c>
      <c r="HZ187" t="e">
        <f>AND(Bills!P709,"AAAAAHt7Huk=")</f>
        <v>#VALUE!</v>
      </c>
      <c r="IA187" t="e">
        <f>AND(Bills!Q709,"AAAAAHt7Huo=")</f>
        <v>#VALUE!</v>
      </c>
      <c r="IB187" t="e">
        <f>AND(Bills!R709,"AAAAAHt7Hus=")</f>
        <v>#VALUE!</v>
      </c>
      <c r="IC187" t="e">
        <f>AND(Bills!#REF!,"AAAAAHt7Huw=")</f>
        <v>#REF!</v>
      </c>
      <c r="ID187" t="e">
        <f>AND(Bills!S709,"AAAAAHt7Hu0=")</f>
        <v>#VALUE!</v>
      </c>
      <c r="IE187" t="e">
        <f>AND(Bills!T709,"AAAAAHt7Hu4=")</f>
        <v>#VALUE!</v>
      </c>
      <c r="IF187" t="e">
        <f>AND(Bills!U709,"AAAAAHt7Hu8=")</f>
        <v>#VALUE!</v>
      </c>
      <c r="IG187" t="e">
        <f>AND(Bills!#REF!,"AAAAAHt7HvA=")</f>
        <v>#REF!</v>
      </c>
      <c r="IH187" t="e">
        <f>AND(Bills!#REF!,"AAAAAHt7HvE=")</f>
        <v>#REF!</v>
      </c>
      <c r="II187" t="e">
        <f>AND(Bills!W709,"AAAAAHt7HvI=")</f>
        <v>#VALUE!</v>
      </c>
      <c r="IJ187" t="e">
        <f>AND(Bills!X709,"AAAAAHt7HvM=")</f>
        <v>#VALUE!</v>
      </c>
      <c r="IK187" t="e">
        <f>AND(Bills!#REF!,"AAAAAHt7HvQ=")</f>
        <v>#REF!</v>
      </c>
      <c r="IL187" t="e">
        <f>AND(Bills!#REF!,"AAAAAHt7HvU=")</f>
        <v>#REF!</v>
      </c>
      <c r="IM187" t="e">
        <f>AND(Bills!#REF!,"AAAAAHt7HvY=")</f>
        <v>#REF!</v>
      </c>
      <c r="IN187" t="e">
        <f>AND(Bills!#REF!,"AAAAAHt7Hvc=")</f>
        <v>#REF!</v>
      </c>
      <c r="IO187" t="e">
        <f>AND(Bills!#REF!,"AAAAAHt7Hvg=")</f>
        <v>#REF!</v>
      </c>
      <c r="IP187" t="e">
        <f>AND(Bills!#REF!,"AAAAAHt7Hvk=")</f>
        <v>#REF!</v>
      </c>
      <c r="IQ187" t="e">
        <f>AND(Bills!#REF!,"AAAAAHt7Hvo=")</f>
        <v>#REF!</v>
      </c>
      <c r="IR187" t="e">
        <f>AND(Bills!#REF!,"AAAAAHt7Hvs=")</f>
        <v>#REF!</v>
      </c>
      <c r="IS187" t="e">
        <f>AND(Bills!#REF!,"AAAAAHt7Hvw=")</f>
        <v>#REF!</v>
      </c>
      <c r="IT187" t="e">
        <f>AND(Bills!Y709,"AAAAAHt7Hv0=")</f>
        <v>#VALUE!</v>
      </c>
      <c r="IU187" t="e">
        <f>AND(Bills!Z709,"AAAAAHt7Hv4=")</f>
        <v>#VALUE!</v>
      </c>
      <c r="IV187" t="e">
        <f>AND(Bills!#REF!,"AAAAAHt7Hv8=")</f>
        <v>#REF!</v>
      </c>
    </row>
    <row r="188" spans="1:256">
      <c r="A188" t="e">
        <f>AND(Bills!#REF!,"AAAAAF2JeQA=")</f>
        <v>#REF!</v>
      </c>
      <c r="B188" t="e">
        <f>AND(Bills!#REF!,"AAAAAF2JeQE=")</f>
        <v>#REF!</v>
      </c>
      <c r="C188" t="e">
        <f>AND(Bills!AA709,"AAAAAF2JeQI=")</f>
        <v>#VALUE!</v>
      </c>
      <c r="D188" t="e">
        <f>AND(Bills!AB709,"AAAAAF2JeQM=")</f>
        <v>#VALUE!</v>
      </c>
      <c r="E188" t="e">
        <f>AND(Bills!#REF!,"AAAAAF2JeQQ=")</f>
        <v>#REF!</v>
      </c>
      <c r="F188">
        <f>IF(Bills!710:710,"AAAAAF2JeQU=",0)</f>
        <v>0</v>
      </c>
      <c r="G188" t="e">
        <f>AND(Bills!B710,"AAAAAF2JeQY=")</f>
        <v>#VALUE!</v>
      </c>
      <c r="H188" t="e">
        <f>AND(Bills!#REF!,"AAAAAF2JeQc=")</f>
        <v>#REF!</v>
      </c>
      <c r="I188" t="e">
        <f>AND(Bills!C710,"AAAAAF2JeQg=")</f>
        <v>#VALUE!</v>
      </c>
      <c r="J188" t="e">
        <f>AND(Bills!#REF!,"AAAAAF2JeQk=")</f>
        <v>#REF!</v>
      </c>
      <c r="K188" t="e">
        <f>AND(Bills!#REF!,"AAAAAF2JeQo=")</f>
        <v>#REF!</v>
      </c>
      <c r="L188" t="e">
        <f>AND(Bills!#REF!,"AAAAAF2JeQs=")</f>
        <v>#REF!</v>
      </c>
      <c r="M188" t="e">
        <f>AND(Bills!#REF!,"AAAAAF2JeQw=")</f>
        <v>#REF!</v>
      </c>
      <c r="N188" t="e">
        <f>AND(Bills!#REF!,"AAAAAF2JeQ0=")</f>
        <v>#REF!</v>
      </c>
      <c r="O188" t="e">
        <f>AND(Bills!D710,"AAAAAF2JeQ4=")</f>
        <v>#VALUE!</v>
      </c>
      <c r="P188" t="e">
        <f>AND(Bills!#REF!,"AAAAAF2JeQ8=")</f>
        <v>#REF!</v>
      </c>
      <c r="Q188" t="e">
        <f>AND(Bills!E710,"AAAAAF2JeRA=")</f>
        <v>#VALUE!</v>
      </c>
      <c r="R188" t="e">
        <f>AND(Bills!F710,"AAAAAF2JeRE=")</f>
        <v>#VALUE!</v>
      </c>
      <c r="S188" t="e">
        <f>AND(Bills!G710,"AAAAAF2JeRI=")</f>
        <v>#VALUE!</v>
      </c>
      <c r="T188" t="e">
        <f>AND(Bills!H710,"AAAAAF2JeRM=")</f>
        <v>#VALUE!</v>
      </c>
      <c r="U188" t="e">
        <f>AND(Bills!I710,"AAAAAF2JeRQ=")</f>
        <v>#VALUE!</v>
      </c>
      <c r="V188" t="e">
        <f>AND(Bills!J710,"AAAAAF2JeRU=")</f>
        <v>#VALUE!</v>
      </c>
      <c r="W188" t="e">
        <f>AND(Bills!#REF!,"AAAAAF2JeRY=")</f>
        <v>#REF!</v>
      </c>
      <c r="X188" t="e">
        <f>AND(Bills!K710,"AAAAAF2JeRc=")</f>
        <v>#VALUE!</v>
      </c>
      <c r="Y188" t="e">
        <f>AND(Bills!L710,"AAAAAF2JeRg=")</f>
        <v>#VALUE!</v>
      </c>
      <c r="Z188" t="e">
        <f>AND(Bills!M710,"AAAAAF2JeRk=")</f>
        <v>#VALUE!</v>
      </c>
      <c r="AA188" t="e">
        <f>AND(Bills!N710,"AAAAAF2JeRo=")</f>
        <v>#VALUE!</v>
      </c>
      <c r="AB188" t="e">
        <f>AND(Bills!O710,"AAAAAF2JeRs=")</f>
        <v>#VALUE!</v>
      </c>
      <c r="AC188" t="e">
        <f>AND(Bills!P710,"AAAAAF2JeRw=")</f>
        <v>#VALUE!</v>
      </c>
      <c r="AD188" t="e">
        <f>AND(Bills!Q710,"AAAAAF2JeR0=")</f>
        <v>#VALUE!</v>
      </c>
      <c r="AE188" t="e">
        <f>AND(Bills!R710,"AAAAAF2JeR4=")</f>
        <v>#VALUE!</v>
      </c>
      <c r="AF188" t="e">
        <f>AND(Bills!#REF!,"AAAAAF2JeR8=")</f>
        <v>#REF!</v>
      </c>
      <c r="AG188" t="e">
        <f>AND(Bills!S710,"AAAAAF2JeSA=")</f>
        <v>#VALUE!</v>
      </c>
      <c r="AH188" t="e">
        <f>AND(Bills!T710,"AAAAAF2JeSE=")</f>
        <v>#VALUE!</v>
      </c>
      <c r="AI188" t="e">
        <f>AND(Bills!U710,"AAAAAF2JeSI=")</f>
        <v>#VALUE!</v>
      </c>
      <c r="AJ188" t="e">
        <f>AND(Bills!#REF!,"AAAAAF2JeSM=")</f>
        <v>#REF!</v>
      </c>
      <c r="AK188" t="e">
        <f>AND(Bills!#REF!,"AAAAAF2JeSQ=")</f>
        <v>#REF!</v>
      </c>
      <c r="AL188" t="e">
        <f>AND(Bills!W710,"AAAAAF2JeSU=")</f>
        <v>#VALUE!</v>
      </c>
      <c r="AM188" t="e">
        <f>AND(Bills!X710,"AAAAAF2JeSY=")</f>
        <v>#VALUE!</v>
      </c>
      <c r="AN188" t="e">
        <f>AND(Bills!#REF!,"AAAAAF2JeSc=")</f>
        <v>#REF!</v>
      </c>
      <c r="AO188" t="e">
        <f>AND(Bills!#REF!,"AAAAAF2JeSg=")</f>
        <v>#REF!</v>
      </c>
      <c r="AP188" t="e">
        <f>AND(Bills!#REF!,"AAAAAF2JeSk=")</f>
        <v>#REF!</v>
      </c>
      <c r="AQ188" t="e">
        <f>AND(Bills!#REF!,"AAAAAF2JeSo=")</f>
        <v>#REF!</v>
      </c>
      <c r="AR188" t="e">
        <f>AND(Bills!#REF!,"AAAAAF2JeSs=")</f>
        <v>#REF!</v>
      </c>
      <c r="AS188" t="e">
        <f>AND(Bills!#REF!,"AAAAAF2JeSw=")</f>
        <v>#REF!</v>
      </c>
      <c r="AT188" t="e">
        <f>AND(Bills!#REF!,"AAAAAF2JeS0=")</f>
        <v>#REF!</v>
      </c>
      <c r="AU188" t="e">
        <f>AND(Bills!#REF!,"AAAAAF2JeS4=")</f>
        <v>#REF!</v>
      </c>
      <c r="AV188" t="e">
        <f>AND(Bills!#REF!,"AAAAAF2JeS8=")</f>
        <v>#REF!</v>
      </c>
      <c r="AW188" t="e">
        <f>AND(Bills!Y710,"AAAAAF2JeTA=")</f>
        <v>#VALUE!</v>
      </c>
      <c r="AX188" t="e">
        <f>AND(Bills!Z710,"AAAAAF2JeTE=")</f>
        <v>#VALUE!</v>
      </c>
      <c r="AY188" t="e">
        <f>AND(Bills!#REF!,"AAAAAF2JeTI=")</f>
        <v>#REF!</v>
      </c>
      <c r="AZ188" t="e">
        <f>AND(Bills!#REF!,"AAAAAF2JeTM=")</f>
        <v>#REF!</v>
      </c>
      <c r="BA188" t="e">
        <f>AND(Bills!#REF!,"AAAAAF2JeTQ=")</f>
        <v>#REF!</v>
      </c>
      <c r="BB188" t="e">
        <f>AND(Bills!AA710,"AAAAAF2JeTU=")</f>
        <v>#VALUE!</v>
      </c>
      <c r="BC188" t="e">
        <f>AND(Bills!AB710,"AAAAAF2JeTY=")</f>
        <v>#VALUE!</v>
      </c>
      <c r="BD188" t="e">
        <f>AND(Bills!#REF!,"AAAAAF2JeTc=")</f>
        <v>#REF!</v>
      </c>
      <c r="BE188">
        <f>IF(Bills!711:711,"AAAAAF2JeTg=",0)</f>
        <v>0</v>
      </c>
      <c r="BF188" t="e">
        <f>AND(Bills!B711,"AAAAAF2JeTk=")</f>
        <v>#VALUE!</v>
      </c>
      <c r="BG188" t="e">
        <f>AND(Bills!#REF!,"AAAAAF2JeTo=")</f>
        <v>#REF!</v>
      </c>
      <c r="BH188" t="e">
        <f>AND(Bills!C711,"AAAAAF2JeTs=")</f>
        <v>#VALUE!</v>
      </c>
      <c r="BI188" t="e">
        <f>AND(Bills!#REF!,"AAAAAF2JeTw=")</f>
        <v>#REF!</v>
      </c>
      <c r="BJ188" t="e">
        <f>AND(Bills!#REF!,"AAAAAF2JeT0=")</f>
        <v>#REF!</v>
      </c>
      <c r="BK188" t="e">
        <f>AND(Bills!#REF!,"AAAAAF2JeT4=")</f>
        <v>#REF!</v>
      </c>
      <c r="BL188" t="e">
        <f>AND(Bills!#REF!,"AAAAAF2JeT8=")</f>
        <v>#REF!</v>
      </c>
      <c r="BM188" t="e">
        <f>AND(Bills!#REF!,"AAAAAF2JeUA=")</f>
        <v>#REF!</v>
      </c>
      <c r="BN188" t="e">
        <f>AND(Bills!D711,"AAAAAF2JeUE=")</f>
        <v>#VALUE!</v>
      </c>
      <c r="BO188" t="e">
        <f>AND(Bills!#REF!,"AAAAAF2JeUI=")</f>
        <v>#REF!</v>
      </c>
      <c r="BP188" t="e">
        <f>AND(Bills!E711,"AAAAAF2JeUM=")</f>
        <v>#VALUE!</v>
      </c>
      <c r="BQ188" t="e">
        <f>AND(Bills!F711,"AAAAAF2JeUQ=")</f>
        <v>#VALUE!</v>
      </c>
      <c r="BR188" t="e">
        <f>AND(Bills!G711,"AAAAAF2JeUU=")</f>
        <v>#VALUE!</v>
      </c>
      <c r="BS188" t="e">
        <f>AND(Bills!H711,"AAAAAF2JeUY=")</f>
        <v>#VALUE!</v>
      </c>
      <c r="BT188" t="e">
        <f>AND(Bills!I711,"AAAAAF2JeUc=")</f>
        <v>#VALUE!</v>
      </c>
      <c r="BU188" t="e">
        <f>AND(Bills!J711,"AAAAAF2JeUg=")</f>
        <v>#VALUE!</v>
      </c>
      <c r="BV188" t="e">
        <f>AND(Bills!#REF!,"AAAAAF2JeUk=")</f>
        <v>#REF!</v>
      </c>
      <c r="BW188" t="e">
        <f>AND(Bills!K711,"AAAAAF2JeUo=")</f>
        <v>#VALUE!</v>
      </c>
      <c r="BX188" t="e">
        <f>AND(Bills!L711,"AAAAAF2JeUs=")</f>
        <v>#VALUE!</v>
      </c>
      <c r="BY188" t="e">
        <f>AND(Bills!M711,"AAAAAF2JeUw=")</f>
        <v>#VALUE!</v>
      </c>
      <c r="BZ188" t="e">
        <f>AND(Bills!N711,"AAAAAF2JeU0=")</f>
        <v>#VALUE!</v>
      </c>
      <c r="CA188" t="e">
        <f>AND(Bills!O711,"AAAAAF2JeU4=")</f>
        <v>#VALUE!</v>
      </c>
      <c r="CB188" t="e">
        <f>AND(Bills!P711,"AAAAAF2JeU8=")</f>
        <v>#VALUE!</v>
      </c>
      <c r="CC188" t="e">
        <f>AND(Bills!Q711,"AAAAAF2JeVA=")</f>
        <v>#VALUE!</v>
      </c>
      <c r="CD188" t="e">
        <f>AND(Bills!R711,"AAAAAF2JeVE=")</f>
        <v>#VALUE!</v>
      </c>
      <c r="CE188" t="e">
        <f>AND(Bills!#REF!,"AAAAAF2JeVI=")</f>
        <v>#REF!</v>
      </c>
      <c r="CF188" t="e">
        <f>AND(Bills!S711,"AAAAAF2JeVM=")</f>
        <v>#VALUE!</v>
      </c>
      <c r="CG188" t="e">
        <f>AND(Bills!T711,"AAAAAF2JeVQ=")</f>
        <v>#VALUE!</v>
      </c>
      <c r="CH188" t="e">
        <f>AND(Bills!U711,"AAAAAF2JeVU=")</f>
        <v>#VALUE!</v>
      </c>
      <c r="CI188" t="e">
        <f>AND(Bills!#REF!,"AAAAAF2JeVY=")</f>
        <v>#REF!</v>
      </c>
      <c r="CJ188" t="e">
        <f>AND(Bills!#REF!,"AAAAAF2JeVc=")</f>
        <v>#REF!</v>
      </c>
      <c r="CK188" t="e">
        <f>AND(Bills!W711,"AAAAAF2JeVg=")</f>
        <v>#VALUE!</v>
      </c>
      <c r="CL188" t="e">
        <f>AND(Bills!X711,"AAAAAF2JeVk=")</f>
        <v>#VALUE!</v>
      </c>
      <c r="CM188" t="e">
        <f>AND(Bills!#REF!,"AAAAAF2JeVo=")</f>
        <v>#REF!</v>
      </c>
      <c r="CN188" t="e">
        <f>AND(Bills!#REF!,"AAAAAF2JeVs=")</f>
        <v>#REF!</v>
      </c>
      <c r="CO188" t="e">
        <f>AND(Bills!#REF!,"AAAAAF2JeVw=")</f>
        <v>#REF!</v>
      </c>
      <c r="CP188" t="e">
        <f>AND(Bills!#REF!,"AAAAAF2JeV0=")</f>
        <v>#REF!</v>
      </c>
      <c r="CQ188" t="e">
        <f>AND(Bills!#REF!,"AAAAAF2JeV4=")</f>
        <v>#REF!</v>
      </c>
      <c r="CR188" t="e">
        <f>AND(Bills!#REF!,"AAAAAF2JeV8=")</f>
        <v>#REF!</v>
      </c>
      <c r="CS188" t="e">
        <f>AND(Bills!#REF!,"AAAAAF2JeWA=")</f>
        <v>#REF!</v>
      </c>
      <c r="CT188" t="e">
        <f>AND(Bills!#REF!,"AAAAAF2JeWE=")</f>
        <v>#REF!</v>
      </c>
      <c r="CU188" t="e">
        <f>AND(Bills!#REF!,"AAAAAF2JeWI=")</f>
        <v>#REF!</v>
      </c>
      <c r="CV188" t="e">
        <f>AND(Bills!Y711,"AAAAAF2JeWM=")</f>
        <v>#VALUE!</v>
      </c>
      <c r="CW188" t="e">
        <f>AND(Bills!Z711,"AAAAAF2JeWQ=")</f>
        <v>#VALUE!</v>
      </c>
      <c r="CX188" t="e">
        <f>AND(Bills!#REF!,"AAAAAF2JeWU=")</f>
        <v>#REF!</v>
      </c>
      <c r="CY188" t="e">
        <f>AND(Bills!#REF!,"AAAAAF2JeWY=")</f>
        <v>#REF!</v>
      </c>
      <c r="CZ188" t="e">
        <f>AND(Bills!#REF!,"AAAAAF2JeWc=")</f>
        <v>#REF!</v>
      </c>
      <c r="DA188" t="e">
        <f>AND(Bills!AA711,"AAAAAF2JeWg=")</f>
        <v>#VALUE!</v>
      </c>
      <c r="DB188" t="e">
        <f>AND(Bills!AB711,"AAAAAF2JeWk=")</f>
        <v>#VALUE!</v>
      </c>
      <c r="DC188" t="e">
        <f>AND(Bills!#REF!,"AAAAAF2JeWo=")</f>
        <v>#REF!</v>
      </c>
      <c r="DD188">
        <f>IF(Bills!712:712,"AAAAAF2JeWs=",0)</f>
        <v>0</v>
      </c>
      <c r="DE188" t="e">
        <f>AND(Bills!B712,"AAAAAF2JeWw=")</f>
        <v>#VALUE!</v>
      </c>
      <c r="DF188" t="e">
        <f>AND(Bills!#REF!,"AAAAAF2JeW0=")</f>
        <v>#REF!</v>
      </c>
      <c r="DG188" t="e">
        <f>AND(Bills!C712,"AAAAAF2JeW4=")</f>
        <v>#VALUE!</v>
      </c>
      <c r="DH188" t="e">
        <f>AND(Bills!#REF!,"AAAAAF2JeW8=")</f>
        <v>#REF!</v>
      </c>
      <c r="DI188" t="e">
        <f>AND(Bills!#REF!,"AAAAAF2JeXA=")</f>
        <v>#REF!</v>
      </c>
      <c r="DJ188" t="e">
        <f>AND(Bills!#REF!,"AAAAAF2JeXE=")</f>
        <v>#REF!</v>
      </c>
      <c r="DK188" t="e">
        <f>AND(Bills!#REF!,"AAAAAF2JeXI=")</f>
        <v>#REF!</v>
      </c>
      <c r="DL188" t="e">
        <f>AND(Bills!#REF!,"AAAAAF2JeXM=")</f>
        <v>#REF!</v>
      </c>
      <c r="DM188" t="e">
        <f>AND(Bills!D712,"AAAAAF2JeXQ=")</f>
        <v>#VALUE!</v>
      </c>
      <c r="DN188" t="e">
        <f>AND(Bills!#REF!,"AAAAAF2JeXU=")</f>
        <v>#REF!</v>
      </c>
      <c r="DO188" t="e">
        <f>AND(Bills!E712,"AAAAAF2JeXY=")</f>
        <v>#VALUE!</v>
      </c>
      <c r="DP188" t="e">
        <f>AND(Bills!F712,"AAAAAF2JeXc=")</f>
        <v>#VALUE!</v>
      </c>
      <c r="DQ188" t="e">
        <f>AND(Bills!G712,"AAAAAF2JeXg=")</f>
        <v>#VALUE!</v>
      </c>
      <c r="DR188" t="e">
        <f>AND(Bills!H712,"AAAAAF2JeXk=")</f>
        <v>#VALUE!</v>
      </c>
      <c r="DS188" t="e">
        <f>AND(Bills!I712,"AAAAAF2JeXo=")</f>
        <v>#VALUE!</v>
      </c>
      <c r="DT188" t="e">
        <f>AND(Bills!J712,"AAAAAF2JeXs=")</f>
        <v>#VALUE!</v>
      </c>
      <c r="DU188" t="e">
        <f>AND(Bills!#REF!,"AAAAAF2JeXw=")</f>
        <v>#REF!</v>
      </c>
      <c r="DV188" t="e">
        <f>AND(Bills!K712,"AAAAAF2JeX0=")</f>
        <v>#VALUE!</v>
      </c>
      <c r="DW188" t="e">
        <f>AND(Bills!L712,"AAAAAF2JeX4=")</f>
        <v>#VALUE!</v>
      </c>
      <c r="DX188" t="e">
        <f>AND(Bills!M712,"AAAAAF2JeX8=")</f>
        <v>#VALUE!</v>
      </c>
      <c r="DY188" t="e">
        <f>AND(Bills!N712,"AAAAAF2JeYA=")</f>
        <v>#VALUE!</v>
      </c>
      <c r="DZ188" t="e">
        <f>AND(Bills!O712,"AAAAAF2JeYE=")</f>
        <v>#VALUE!</v>
      </c>
      <c r="EA188" t="e">
        <f>AND(Bills!P712,"AAAAAF2JeYI=")</f>
        <v>#VALUE!</v>
      </c>
      <c r="EB188" t="e">
        <f>AND(Bills!Q712,"AAAAAF2JeYM=")</f>
        <v>#VALUE!</v>
      </c>
      <c r="EC188" t="e">
        <f>AND(Bills!R712,"AAAAAF2JeYQ=")</f>
        <v>#VALUE!</v>
      </c>
      <c r="ED188" t="e">
        <f>AND(Bills!#REF!,"AAAAAF2JeYU=")</f>
        <v>#REF!</v>
      </c>
      <c r="EE188" t="e">
        <f>AND(Bills!S712,"AAAAAF2JeYY=")</f>
        <v>#VALUE!</v>
      </c>
      <c r="EF188" t="e">
        <f>AND(Bills!T712,"AAAAAF2JeYc=")</f>
        <v>#VALUE!</v>
      </c>
      <c r="EG188" t="e">
        <f>AND(Bills!U712,"AAAAAF2JeYg=")</f>
        <v>#VALUE!</v>
      </c>
      <c r="EH188" t="e">
        <f>AND(Bills!#REF!,"AAAAAF2JeYk=")</f>
        <v>#REF!</v>
      </c>
      <c r="EI188" t="e">
        <f>AND(Bills!#REF!,"AAAAAF2JeYo=")</f>
        <v>#REF!</v>
      </c>
      <c r="EJ188" t="e">
        <f>AND(Bills!W712,"AAAAAF2JeYs=")</f>
        <v>#VALUE!</v>
      </c>
      <c r="EK188" t="e">
        <f>AND(Bills!X712,"AAAAAF2JeYw=")</f>
        <v>#VALUE!</v>
      </c>
      <c r="EL188" t="e">
        <f>AND(Bills!#REF!,"AAAAAF2JeY0=")</f>
        <v>#REF!</v>
      </c>
      <c r="EM188" t="e">
        <f>AND(Bills!#REF!,"AAAAAF2JeY4=")</f>
        <v>#REF!</v>
      </c>
      <c r="EN188" t="e">
        <f>AND(Bills!#REF!,"AAAAAF2JeY8=")</f>
        <v>#REF!</v>
      </c>
      <c r="EO188" t="e">
        <f>AND(Bills!#REF!,"AAAAAF2JeZA=")</f>
        <v>#REF!</v>
      </c>
      <c r="EP188" t="e">
        <f>AND(Bills!#REF!,"AAAAAF2JeZE=")</f>
        <v>#REF!</v>
      </c>
      <c r="EQ188" t="e">
        <f>AND(Bills!#REF!,"AAAAAF2JeZI=")</f>
        <v>#REF!</v>
      </c>
      <c r="ER188" t="e">
        <f>AND(Bills!#REF!,"AAAAAF2JeZM=")</f>
        <v>#REF!</v>
      </c>
      <c r="ES188" t="e">
        <f>AND(Bills!#REF!,"AAAAAF2JeZQ=")</f>
        <v>#REF!</v>
      </c>
      <c r="ET188" t="e">
        <f>AND(Bills!#REF!,"AAAAAF2JeZU=")</f>
        <v>#REF!</v>
      </c>
      <c r="EU188" t="e">
        <f>AND(Bills!Y712,"AAAAAF2JeZY=")</f>
        <v>#VALUE!</v>
      </c>
      <c r="EV188" t="e">
        <f>AND(Bills!Z712,"AAAAAF2JeZc=")</f>
        <v>#VALUE!</v>
      </c>
      <c r="EW188" t="e">
        <f>AND(Bills!#REF!,"AAAAAF2JeZg=")</f>
        <v>#REF!</v>
      </c>
      <c r="EX188" t="e">
        <f>AND(Bills!#REF!,"AAAAAF2JeZk=")</f>
        <v>#REF!</v>
      </c>
      <c r="EY188" t="e">
        <f>AND(Bills!#REF!,"AAAAAF2JeZo=")</f>
        <v>#REF!</v>
      </c>
      <c r="EZ188" t="e">
        <f>AND(Bills!AA712,"AAAAAF2JeZs=")</f>
        <v>#VALUE!</v>
      </c>
      <c r="FA188" t="e">
        <f>AND(Bills!AB712,"AAAAAF2JeZw=")</f>
        <v>#VALUE!</v>
      </c>
      <c r="FB188" t="e">
        <f>AND(Bills!#REF!,"AAAAAF2JeZ0=")</f>
        <v>#REF!</v>
      </c>
      <c r="FC188">
        <f>IF(Bills!713:713,"AAAAAF2JeZ4=",0)</f>
        <v>0</v>
      </c>
      <c r="FD188" t="e">
        <f>AND(Bills!B713,"AAAAAF2JeZ8=")</f>
        <v>#VALUE!</v>
      </c>
      <c r="FE188" t="e">
        <f>AND(Bills!#REF!,"AAAAAF2JeaA=")</f>
        <v>#REF!</v>
      </c>
      <c r="FF188" t="e">
        <f>AND(Bills!C713,"AAAAAF2JeaE=")</f>
        <v>#VALUE!</v>
      </c>
      <c r="FG188" t="e">
        <f>AND(Bills!#REF!,"AAAAAF2JeaI=")</f>
        <v>#REF!</v>
      </c>
      <c r="FH188" t="e">
        <f>AND(Bills!#REF!,"AAAAAF2JeaM=")</f>
        <v>#REF!</v>
      </c>
      <c r="FI188" t="e">
        <f>AND(Bills!#REF!,"AAAAAF2JeaQ=")</f>
        <v>#REF!</v>
      </c>
      <c r="FJ188" t="e">
        <f>AND(Bills!#REF!,"AAAAAF2JeaU=")</f>
        <v>#REF!</v>
      </c>
      <c r="FK188" t="e">
        <f>AND(Bills!#REF!,"AAAAAF2JeaY=")</f>
        <v>#REF!</v>
      </c>
      <c r="FL188" t="e">
        <f>AND(Bills!D713,"AAAAAF2Jeac=")</f>
        <v>#VALUE!</v>
      </c>
      <c r="FM188" t="e">
        <f>AND(Bills!#REF!,"AAAAAF2Jeag=")</f>
        <v>#REF!</v>
      </c>
      <c r="FN188" t="e">
        <f>AND(Bills!E713,"AAAAAF2Jeak=")</f>
        <v>#VALUE!</v>
      </c>
      <c r="FO188" t="e">
        <f>AND(Bills!F713,"AAAAAF2Jeao=")</f>
        <v>#VALUE!</v>
      </c>
      <c r="FP188" t="e">
        <f>AND(Bills!G713,"AAAAAF2Jeas=")</f>
        <v>#VALUE!</v>
      </c>
      <c r="FQ188" t="e">
        <f>AND(Bills!H713,"AAAAAF2Jeaw=")</f>
        <v>#VALUE!</v>
      </c>
      <c r="FR188" t="e">
        <f>AND(Bills!I713,"AAAAAF2Jea0=")</f>
        <v>#VALUE!</v>
      </c>
      <c r="FS188" t="e">
        <f>AND(Bills!J713,"AAAAAF2Jea4=")</f>
        <v>#VALUE!</v>
      </c>
      <c r="FT188" t="e">
        <f>AND(Bills!#REF!,"AAAAAF2Jea8=")</f>
        <v>#REF!</v>
      </c>
      <c r="FU188" t="e">
        <f>AND(Bills!K713,"AAAAAF2JebA=")</f>
        <v>#VALUE!</v>
      </c>
      <c r="FV188" t="e">
        <f>AND(Bills!L713,"AAAAAF2JebE=")</f>
        <v>#VALUE!</v>
      </c>
      <c r="FW188" t="e">
        <f>AND(Bills!M713,"AAAAAF2JebI=")</f>
        <v>#VALUE!</v>
      </c>
      <c r="FX188" t="e">
        <f>AND(Bills!N713,"AAAAAF2JebM=")</f>
        <v>#VALUE!</v>
      </c>
      <c r="FY188" t="e">
        <f>AND(Bills!O713,"AAAAAF2JebQ=")</f>
        <v>#VALUE!</v>
      </c>
      <c r="FZ188" t="e">
        <f>AND(Bills!P713,"AAAAAF2JebU=")</f>
        <v>#VALUE!</v>
      </c>
      <c r="GA188" t="e">
        <f>AND(Bills!Q713,"AAAAAF2JebY=")</f>
        <v>#VALUE!</v>
      </c>
      <c r="GB188" t="e">
        <f>AND(Bills!R713,"AAAAAF2Jebc=")</f>
        <v>#VALUE!</v>
      </c>
      <c r="GC188" t="e">
        <f>AND(Bills!#REF!,"AAAAAF2Jebg=")</f>
        <v>#REF!</v>
      </c>
      <c r="GD188" t="e">
        <f>AND(Bills!S713,"AAAAAF2Jebk=")</f>
        <v>#VALUE!</v>
      </c>
      <c r="GE188" t="e">
        <f>AND(Bills!T713,"AAAAAF2Jebo=")</f>
        <v>#VALUE!</v>
      </c>
      <c r="GF188" t="e">
        <f>AND(Bills!U713,"AAAAAF2Jebs=")</f>
        <v>#VALUE!</v>
      </c>
      <c r="GG188" t="e">
        <f>AND(Bills!#REF!,"AAAAAF2Jebw=")</f>
        <v>#REF!</v>
      </c>
      <c r="GH188" t="e">
        <f>AND(Bills!#REF!,"AAAAAF2Jeb0=")</f>
        <v>#REF!</v>
      </c>
      <c r="GI188" t="e">
        <f>AND(Bills!W713,"AAAAAF2Jeb4=")</f>
        <v>#VALUE!</v>
      </c>
      <c r="GJ188" t="e">
        <f>AND(Bills!X713,"AAAAAF2Jeb8=")</f>
        <v>#VALUE!</v>
      </c>
      <c r="GK188" t="e">
        <f>AND(Bills!#REF!,"AAAAAF2JecA=")</f>
        <v>#REF!</v>
      </c>
      <c r="GL188" t="e">
        <f>AND(Bills!#REF!,"AAAAAF2JecE=")</f>
        <v>#REF!</v>
      </c>
      <c r="GM188" t="e">
        <f>AND(Bills!#REF!,"AAAAAF2JecI=")</f>
        <v>#REF!</v>
      </c>
      <c r="GN188" t="e">
        <f>AND(Bills!#REF!,"AAAAAF2JecM=")</f>
        <v>#REF!</v>
      </c>
      <c r="GO188" t="e">
        <f>AND(Bills!#REF!,"AAAAAF2JecQ=")</f>
        <v>#REF!</v>
      </c>
      <c r="GP188" t="e">
        <f>AND(Bills!#REF!,"AAAAAF2JecU=")</f>
        <v>#REF!</v>
      </c>
      <c r="GQ188" t="e">
        <f>AND(Bills!#REF!,"AAAAAF2JecY=")</f>
        <v>#REF!</v>
      </c>
      <c r="GR188" t="e">
        <f>AND(Bills!#REF!,"AAAAAF2Jecc=")</f>
        <v>#REF!</v>
      </c>
      <c r="GS188" t="e">
        <f>AND(Bills!#REF!,"AAAAAF2Jecg=")</f>
        <v>#REF!</v>
      </c>
      <c r="GT188" t="e">
        <f>AND(Bills!Y713,"AAAAAF2Jeck=")</f>
        <v>#VALUE!</v>
      </c>
      <c r="GU188" t="e">
        <f>AND(Bills!Z713,"AAAAAF2Jeco=")</f>
        <v>#VALUE!</v>
      </c>
      <c r="GV188" t="e">
        <f>AND(Bills!#REF!,"AAAAAF2Jecs=")</f>
        <v>#REF!</v>
      </c>
      <c r="GW188" t="e">
        <f>AND(Bills!#REF!,"AAAAAF2Jecw=")</f>
        <v>#REF!</v>
      </c>
      <c r="GX188" t="e">
        <f>AND(Bills!#REF!,"AAAAAF2Jec0=")</f>
        <v>#REF!</v>
      </c>
      <c r="GY188" t="e">
        <f>AND(Bills!AA713,"AAAAAF2Jec4=")</f>
        <v>#VALUE!</v>
      </c>
      <c r="GZ188" t="e">
        <f>AND(Bills!AB713,"AAAAAF2Jec8=")</f>
        <v>#VALUE!</v>
      </c>
      <c r="HA188" t="e">
        <f>AND(Bills!#REF!,"AAAAAF2JedA=")</f>
        <v>#REF!</v>
      </c>
      <c r="HB188">
        <f>IF(Bills!714:714,"AAAAAF2JedE=",0)</f>
        <v>0</v>
      </c>
      <c r="HC188" t="e">
        <f>AND(Bills!B714,"AAAAAF2JedI=")</f>
        <v>#VALUE!</v>
      </c>
      <c r="HD188" t="e">
        <f>AND(Bills!#REF!,"AAAAAF2JedM=")</f>
        <v>#REF!</v>
      </c>
      <c r="HE188" t="e">
        <f>AND(Bills!C714,"AAAAAF2JedQ=")</f>
        <v>#VALUE!</v>
      </c>
      <c r="HF188" t="e">
        <f>AND(Bills!#REF!,"AAAAAF2JedU=")</f>
        <v>#REF!</v>
      </c>
      <c r="HG188" t="e">
        <f>AND(Bills!#REF!,"AAAAAF2JedY=")</f>
        <v>#REF!</v>
      </c>
      <c r="HH188" t="e">
        <f>AND(Bills!#REF!,"AAAAAF2Jedc=")</f>
        <v>#REF!</v>
      </c>
      <c r="HI188" t="e">
        <f>AND(Bills!#REF!,"AAAAAF2Jedg=")</f>
        <v>#REF!</v>
      </c>
      <c r="HJ188" t="e">
        <f>AND(Bills!#REF!,"AAAAAF2Jedk=")</f>
        <v>#REF!</v>
      </c>
      <c r="HK188" t="e">
        <f>AND(Bills!D714,"AAAAAF2Jedo=")</f>
        <v>#VALUE!</v>
      </c>
      <c r="HL188" t="e">
        <f>AND(Bills!#REF!,"AAAAAF2Jeds=")</f>
        <v>#REF!</v>
      </c>
      <c r="HM188" t="e">
        <f>AND(Bills!E714,"AAAAAF2Jedw=")</f>
        <v>#VALUE!</v>
      </c>
      <c r="HN188" t="e">
        <f>AND(Bills!F714,"AAAAAF2Jed0=")</f>
        <v>#VALUE!</v>
      </c>
      <c r="HO188" t="e">
        <f>AND(Bills!G714,"AAAAAF2Jed4=")</f>
        <v>#VALUE!</v>
      </c>
      <c r="HP188" t="e">
        <f>AND(Bills!H714,"AAAAAF2Jed8=")</f>
        <v>#VALUE!</v>
      </c>
      <c r="HQ188" t="e">
        <f>AND(Bills!I714,"AAAAAF2JeeA=")</f>
        <v>#VALUE!</v>
      </c>
      <c r="HR188" t="e">
        <f>AND(Bills!J714,"AAAAAF2JeeE=")</f>
        <v>#VALUE!</v>
      </c>
      <c r="HS188" t="e">
        <f>AND(Bills!#REF!,"AAAAAF2JeeI=")</f>
        <v>#REF!</v>
      </c>
      <c r="HT188" t="e">
        <f>AND(Bills!K714,"AAAAAF2JeeM=")</f>
        <v>#VALUE!</v>
      </c>
      <c r="HU188" t="e">
        <f>AND(Bills!L714,"AAAAAF2JeeQ=")</f>
        <v>#VALUE!</v>
      </c>
      <c r="HV188" t="e">
        <f>AND(Bills!M714,"AAAAAF2JeeU=")</f>
        <v>#VALUE!</v>
      </c>
      <c r="HW188" t="e">
        <f>AND(Bills!N714,"AAAAAF2JeeY=")</f>
        <v>#VALUE!</v>
      </c>
      <c r="HX188" t="e">
        <f>AND(Bills!O714,"AAAAAF2Jeec=")</f>
        <v>#VALUE!</v>
      </c>
      <c r="HY188" t="e">
        <f>AND(Bills!P714,"AAAAAF2Jeeg=")</f>
        <v>#VALUE!</v>
      </c>
      <c r="HZ188" t="e">
        <f>AND(Bills!Q714,"AAAAAF2Jeek=")</f>
        <v>#VALUE!</v>
      </c>
      <c r="IA188" t="e">
        <f>AND(Bills!R714,"AAAAAF2Jeeo=")</f>
        <v>#VALUE!</v>
      </c>
      <c r="IB188" t="e">
        <f>AND(Bills!#REF!,"AAAAAF2Jees=")</f>
        <v>#REF!</v>
      </c>
      <c r="IC188" t="e">
        <f>AND(Bills!S714,"AAAAAF2Jeew=")</f>
        <v>#VALUE!</v>
      </c>
      <c r="ID188" t="e">
        <f>AND(Bills!T714,"AAAAAF2Jee0=")</f>
        <v>#VALUE!</v>
      </c>
      <c r="IE188" t="e">
        <f>AND(Bills!U714,"AAAAAF2Jee4=")</f>
        <v>#VALUE!</v>
      </c>
      <c r="IF188" t="e">
        <f>AND(Bills!#REF!,"AAAAAF2Jee8=")</f>
        <v>#REF!</v>
      </c>
      <c r="IG188" t="e">
        <f>AND(Bills!#REF!,"AAAAAF2JefA=")</f>
        <v>#REF!</v>
      </c>
      <c r="IH188" t="e">
        <f>AND(Bills!W714,"AAAAAF2JefE=")</f>
        <v>#VALUE!</v>
      </c>
      <c r="II188" t="e">
        <f>AND(Bills!X714,"AAAAAF2JefI=")</f>
        <v>#VALUE!</v>
      </c>
      <c r="IJ188" t="e">
        <f>AND(Bills!#REF!,"AAAAAF2JefM=")</f>
        <v>#REF!</v>
      </c>
      <c r="IK188" t="e">
        <f>AND(Bills!#REF!,"AAAAAF2JefQ=")</f>
        <v>#REF!</v>
      </c>
      <c r="IL188" t="e">
        <f>AND(Bills!#REF!,"AAAAAF2JefU=")</f>
        <v>#REF!</v>
      </c>
      <c r="IM188" t="e">
        <f>AND(Bills!#REF!,"AAAAAF2JefY=")</f>
        <v>#REF!</v>
      </c>
      <c r="IN188" t="e">
        <f>AND(Bills!#REF!,"AAAAAF2Jefc=")</f>
        <v>#REF!</v>
      </c>
      <c r="IO188" t="e">
        <f>AND(Bills!#REF!,"AAAAAF2Jefg=")</f>
        <v>#REF!</v>
      </c>
      <c r="IP188" t="e">
        <f>AND(Bills!#REF!,"AAAAAF2Jefk=")</f>
        <v>#REF!</v>
      </c>
      <c r="IQ188" t="e">
        <f>AND(Bills!#REF!,"AAAAAF2Jefo=")</f>
        <v>#REF!</v>
      </c>
      <c r="IR188" t="e">
        <f>AND(Bills!#REF!,"AAAAAF2Jefs=")</f>
        <v>#REF!</v>
      </c>
      <c r="IS188" t="e">
        <f>AND(Bills!Y714,"AAAAAF2Jefw=")</f>
        <v>#VALUE!</v>
      </c>
      <c r="IT188" t="e">
        <f>AND(Bills!Z714,"AAAAAF2Jef0=")</f>
        <v>#VALUE!</v>
      </c>
      <c r="IU188" t="e">
        <f>AND(Bills!#REF!,"AAAAAF2Jef4=")</f>
        <v>#REF!</v>
      </c>
      <c r="IV188" t="e">
        <f>AND(Bills!#REF!,"AAAAAF2Jef8=")</f>
        <v>#REF!</v>
      </c>
    </row>
    <row r="189" spans="1:256">
      <c r="A189" t="e">
        <f>AND(Bills!#REF!,"AAAAABv+TwA=")</f>
        <v>#REF!</v>
      </c>
      <c r="B189" t="e">
        <f>AND(Bills!AA714,"AAAAABv+TwE=")</f>
        <v>#VALUE!</v>
      </c>
      <c r="C189" t="e">
        <f>AND(Bills!AB714,"AAAAABv+TwI=")</f>
        <v>#VALUE!</v>
      </c>
      <c r="D189" t="e">
        <f>AND(Bills!#REF!,"AAAAABv+TwM=")</f>
        <v>#REF!</v>
      </c>
      <c r="E189">
        <f>IF(Bills!715:715,"AAAAABv+TwQ=",0)</f>
        <v>0</v>
      </c>
      <c r="F189" t="e">
        <f>AND(Bills!B715,"AAAAABv+TwU=")</f>
        <v>#VALUE!</v>
      </c>
      <c r="G189" t="e">
        <f>AND(Bills!#REF!,"AAAAABv+TwY=")</f>
        <v>#REF!</v>
      </c>
      <c r="H189" t="e">
        <f>AND(Bills!C715,"AAAAABv+Twc=")</f>
        <v>#VALUE!</v>
      </c>
      <c r="I189" t="e">
        <f>AND(Bills!#REF!,"AAAAABv+Twg=")</f>
        <v>#REF!</v>
      </c>
      <c r="J189" t="e">
        <f>AND(Bills!#REF!,"AAAAABv+Twk=")</f>
        <v>#REF!</v>
      </c>
      <c r="K189" t="e">
        <f>AND(Bills!#REF!,"AAAAABv+Two=")</f>
        <v>#REF!</v>
      </c>
      <c r="L189" t="e">
        <f>AND(Bills!#REF!,"AAAAABv+Tws=")</f>
        <v>#REF!</v>
      </c>
      <c r="M189" t="e">
        <f>AND(Bills!#REF!,"AAAAABv+Tww=")</f>
        <v>#REF!</v>
      </c>
      <c r="N189" t="e">
        <f>AND(Bills!D715,"AAAAABv+Tw0=")</f>
        <v>#VALUE!</v>
      </c>
      <c r="O189" t="e">
        <f>AND(Bills!#REF!,"AAAAABv+Tw4=")</f>
        <v>#REF!</v>
      </c>
      <c r="P189" t="e">
        <f>AND(Bills!E715,"AAAAABv+Tw8=")</f>
        <v>#VALUE!</v>
      </c>
      <c r="Q189" t="e">
        <f>AND(Bills!F715,"AAAAABv+TxA=")</f>
        <v>#VALUE!</v>
      </c>
      <c r="R189" t="e">
        <f>AND(Bills!G715,"AAAAABv+TxE=")</f>
        <v>#VALUE!</v>
      </c>
      <c r="S189" t="e">
        <f>AND(Bills!H715,"AAAAABv+TxI=")</f>
        <v>#VALUE!</v>
      </c>
      <c r="T189" t="e">
        <f>AND(Bills!I715,"AAAAABv+TxM=")</f>
        <v>#VALUE!</v>
      </c>
      <c r="U189" t="e">
        <f>AND(Bills!J715,"AAAAABv+TxQ=")</f>
        <v>#VALUE!</v>
      </c>
      <c r="V189" t="e">
        <f>AND(Bills!#REF!,"AAAAABv+TxU=")</f>
        <v>#REF!</v>
      </c>
      <c r="W189" t="e">
        <f>AND(Bills!K715,"AAAAABv+TxY=")</f>
        <v>#VALUE!</v>
      </c>
      <c r="X189" t="e">
        <f>AND(Bills!L715,"AAAAABv+Txc=")</f>
        <v>#VALUE!</v>
      </c>
      <c r="Y189" t="e">
        <f>AND(Bills!M715,"AAAAABv+Txg=")</f>
        <v>#VALUE!</v>
      </c>
      <c r="Z189" t="e">
        <f>AND(Bills!N715,"AAAAABv+Txk=")</f>
        <v>#VALUE!</v>
      </c>
      <c r="AA189" t="e">
        <f>AND(Bills!O715,"AAAAABv+Txo=")</f>
        <v>#VALUE!</v>
      </c>
      <c r="AB189" t="e">
        <f>AND(Bills!P715,"AAAAABv+Txs=")</f>
        <v>#VALUE!</v>
      </c>
      <c r="AC189" t="e">
        <f>AND(Bills!Q715,"AAAAABv+Txw=")</f>
        <v>#VALUE!</v>
      </c>
      <c r="AD189" t="e">
        <f>AND(Bills!R715,"AAAAABv+Tx0=")</f>
        <v>#VALUE!</v>
      </c>
      <c r="AE189" t="e">
        <f>AND(Bills!#REF!,"AAAAABv+Tx4=")</f>
        <v>#REF!</v>
      </c>
      <c r="AF189" t="e">
        <f>AND(Bills!S715,"AAAAABv+Tx8=")</f>
        <v>#VALUE!</v>
      </c>
      <c r="AG189" t="e">
        <f>AND(Bills!T715,"AAAAABv+TyA=")</f>
        <v>#VALUE!</v>
      </c>
      <c r="AH189" t="e">
        <f>AND(Bills!U715,"AAAAABv+TyE=")</f>
        <v>#VALUE!</v>
      </c>
      <c r="AI189" t="e">
        <f>AND(Bills!#REF!,"AAAAABv+TyI=")</f>
        <v>#REF!</v>
      </c>
      <c r="AJ189" t="e">
        <f>AND(Bills!#REF!,"AAAAABv+TyM=")</f>
        <v>#REF!</v>
      </c>
      <c r="AK189" t="e">
        <f>AND(Bills!W715,"AAAAABv+TyQ=")</f>
        <v>#VALUE!</v>
      </c>
      <c r="AL189" t="e">
        <f>AND(Bills!X715,"AAAAABv+TyU=")</f>
        <v>#VALUE!</v>
      </c>
      <c r="AM189" t="e">
        <f>AND(Bills!#REF!,"AAAAABv+TyY=")</f>
        <v>#REF!</v>
      </c>
      <c r="AN189" t="e">
        <f>AND(Bills!#REF!,"AAAAABv+Tyc=")</f>
        <v>#REF!</v>
      </c>
      <c r="AO189" t="e">
        <f>AND(Bills!#REF!,"AAAAABv+Tyg=")</f>
        <v>#REF!</v>
      </c>
      <c r="AP189" t="e">
        <f>AND(Bills!#REF!,"AAAAABv+Tyk=")</f>
        <v>#REF!</v>
      </c>
      <c r="AQ189" t="e">
        <f>AND(Bills!#REF!,"AAAAABv+Tyo=")</f>
        <v>#REF!</v>
      </c>
      <c r="AR189" t="e">
        <f>AND(Bills!#REF!,"AAAAABv+Tys=")</f>
        <v>#REF!</v>
      </c>
      <c r="AS189" t="e">
        <f>AND(Bills!#REF!,"AAAAABv+Tyw=")</f>
        <v>#REF!</v>
      </c>
      <c r="AT189" t="e">
        <f>AND(Bills!#REF!,"AAAAABv+Ty0=")</f>
        <v>#REF!</v>
      </c>
      <c r="AU189" t="e">
        <f>AND(Bills!#REF!,"AAAAABv+Ty4=")</f>
        <v>#REF!</v>
      </c>
      <c r="AV189" t="e">
        <f>AND(Bills!Y715,"AAAAABv+Ty8=")</f>
        <v>#VALUE!</v>
      </c>
      <c r="AW189" t="e">
        <f>AND(Bills!Z715,"AAAAABv+TzA=")</f>
        <v>#VALUE!</v>
      </c>
      <c r="AX189" t="e">
        <f>AND(Bills!#REF!,"AAAAABv+TzE=")</f>
        <v>#REF!</v>
      </c>
      <c r="AY189" t="e">
        <f>AND(Bills!#REF!,"AAAAABv+TzI=")</f>
        <v>#REF!</v>
      </c>
      <c r="AZ189" t="e">
        <f>AND(Bills!#REF!,"AAAAABv+TzM=")</f>
        <v>#REF!</v>
      </c>
      <c r="BA189" t="e">
        <f>AND(Bills!AA715,"AAAAABv+TzQ=")</f>
        <v>#VALUE!</v>
      </c>
      <c r="BB189" t="e">
        <f>AND(Bills!AB715,"AAAAABv+TzU=")</f>
        <v>#VALUE!</v>
      </c>
      <c r="BC189" t="e">
        <f>AND(Bills!#REF!,"AAAAABv+TzY=")</f>
        <v>#REF!</v>
      </c>
      <c r="BD189">
        <f>IF(Bills!716:716,"AAAAABv+Tzc=",0)</f>
        <v>0</v>
      </c>
      <c r="BE189" t="e">
        <f>AND(Bills!B716,"AAAAABv+Tzg=")</f>
        <v>#VALUE!</v>
      </c>
      <c r="BF189" t="e">
        <f>AND(Bills!#REF!,"AAAAABv+Tzk=")</f>
        <v>#REF!</v>
      </c>
      <c r="BG189" t="e">
        <f>AND(Bills!C716,"AAAAABv+Tzo=")</f>
        <v>#VALUE!</v>
      </c>
      <c r="BH189" t="e">
        <f>AND(Bills!#REF!,"AAAAABv+Tzs=")</f>
        <v>#REF!</v>
      </c>
      <c r="BI189" t="e">
        <f>AND(Bills!#REF!,"AAAAABv+Tzw=")</f>
        <v>#REF!</v>
      </c>
      <c r="BJ189" t="e">
        <f>AND(Bills!#REF!,"AAAAABv+Tz0=")</f>
        <v>#REF!</v>
      </c>
      <c r="BK189" t="e">
        <f>AND(Bills!#REF!,"AAAAABv+Tz4=")</f>
        <v>#REF!</v>
      </c>
      <c r="BL189" t="e">
        <f>AND(Bills!#REF!,"AAAAABv+Tz8=")</f>
        <v>#REF!</v>
      </c>
      <c r="BM189" t="e">
        <f>AND(Bills!D716,"AAAAABv+T0A=")</f>
        <v>#VALUE!</v>
      </c>
      <c r="BN189" t="e">
        <f>AND(Bills!#REF!,"AAAAABv+T0E=")</f>
        <v>#REF!</v>
      </c>
      <c r="BO189" t="e">
        <f>AND(Bills!E716,"AAAAABv+T0I=")</f>
        <v>#VALUE!</v>
      </c>
      <c r="BP189" t="e">
        <f>AND(Bills!F716,"AAAAABv+T0M=")</f>
        <v>#VALUE!</v>
      </c>
      <c r="BQ189" t="e">
        <f>AND(Bills!G716,"AAAAABv+T0Q=")</f>
        <v>#VALUE!</v>
      </c>
      <c r="BR189" t="e">
        <f>AND(Bills!H716,"AAAAABv+T0U=")</f>
        <v>#VALUE!</v>
      </c>
      <c r="BS189" t="e">
        <f>AND(Bills!I716,"AAAAABv+T0Y=")</f>
        <v>#VALUE!</v>
      </c>
      <c r="BT189" t="e">
        <f>AND(Bills!J716,"AAAAABv+T0c=")</f>
        <v>#VALUE!</v>
      </c>
      <c r="BU189" t="e">
        <f>AND(Bills!#REF!,"AAAAABv+T0g=")</f>
        <v>#REF!</v>
      </c>
      <c r="BV189" t="e">
        <f>AND(Bills!K716,"AAAAABv+T0k=")</f>
        <v>#VALUE!</v>
      </c>
      <c r="BW189" t="e">
        <f>AND(Bills!L716,"AAAAABv+T0o=")</f>
        <v>#VALUE!</v>
      </c>
      <c r="BX189" t="e">
        <f>AND(Bills!M716,"AAAAABv+T0s=")</f>
        <v>#VALUE!</v>
      </c>
      <c r="BY189" t="e">
        <f>AND(Bills!N716,"AAAAABv+T0w=")</f>
        <v>#VALUE!</v>
      </c>
      <c r="BZ189" t="e">
        <f>AND(Bills!O716,"AAAAABv+T00=")</f>
        <v>#VALUE!</v>
      </c>
      <c r="CA189" t="e">
        <f>AND(Bills!P716,"AAAAABv+T04=")</f>
        <v>#VALUE!</v>
      </c>
      <c r="CB189" t="e">
        <f>AND(Bills!Q716,"AAAAABv+T08=")</f>
        <v>#VALUE!</v>
      </c>
      <c r="CC189" t="e">
        <f>AND(Bills!R716,"AAAAABv+T1A=")</f>
        <v>#VALUE!</v>
      </c>
      <c r="CD189" t="e">
        <f>AND(Bills!#REF!,"AAAAABv+T1E=")</f>
        <v>#REF!</v>
      </c>
      <c r="CE189" t="e">
        <f>AND(Bills!S716,"AAAAABv+T1I=")</f>
        <v>#VALUE!</v>
      </c>
      <c r="CF189" t="e">
        <f>AND(Bills!T716,"AAAAABv+T1M=")</f>
        <v>#VALUE!</v>
      </c>
      <c r="CG189" t="e">
        <f>AND(Bills!U716,"AAAAABv+T1Q=")</f>
        <v>#VALUE!</v>
      </c>
      <c r="CH189" t="e">
        <f>AND(Bills!#REF!,"AAAAABv+T1U=")</f>
        <v>#REF!</v>
      </c>
      <c r="CI189" t="e">
        <f>AND(Bills!#REF!,"AAAAABv+T1Y=")</f>
        <v>#REF!</v>
      </c>
      <c r="CJ189" t="e">
        <f>AND(Bills!W716,"AAAAABv+T1c=")</f>
        <v>#VALUE!</v>
      </c>
      <c r="CK189" t="e">
        <f>AND(Bills!X716,"AAAAABv+T1g=")</f>
        <v>#VALUE!</v>
      </c>
      <c r="CL189" t="e">
        <f>AND(Bills!#REF!,"AAAAABv+T1k=")</f>
        <v>#REF!</v>
      </c>
      <c r="CM189" t="e">
        <f>AND(Bills!#REF!,"AAAAABv+T1o=")</f>
        <v>#REF!</v>
      </c>
      <c r="CN189" t="e">
        <f>AND(Bills!#REF!,"AAAAABv+T1s=")</f>
        <v>#REF!</v>
      </c>
      <c r="CO189" t="e">
        <f>AND(Bills!#REF!,"AAAAABv+T1w=")</f>
        <v>#REF!</v>
      </c>
      <c r="CP189" t="e">
        <f>AND(Bills!#REF!,"AAAAABv+T10=")</f>
        <v>#REF!</v>
      </c>
      <c r="CQ189" t="e">
        <f>AND(Bills!#REF!,"AAAAABv+T14=")</f>
        <v>#REF!</v>
      </c>
      <c r="CR189" t="e">
        <f>AND(Bills!#REF!,"AAAAABv+T18=")</f>
        <v>#REF!</v>
      </c>
      <c r="CS189" t="e">
        <f>AND(Bills!#REF!,"AAAAABv+T2A=")</f>
        <v>#REF!</v>
      </c>
      <c r="CT189" t="e">
        <f>AND(Bills!#REF!,"AAAAABv+T2E=")</f>
        <v>#REF!</v>
      </c>
      <c r="CU189" t="e">
        <f>AND(Bills!Y716,"AAAAABv+T2I=")</f>
        <v>#VALUE!</v>
      </c>
      <c r="CV189" t="e">
        <f>AND(Bills!Z716,"AAAAABv+T2M=")</f>
        <v>#VALUE!</v>
      </c>
      <c r="CW189" t="e">
        <f>AND(Bills!#REF!,"AAAAABv+T2Q=")</f>
        <v>#REF!</v>
      </c>
      <c r="CX189" t="e">
        <f>AND(Bills!#REF!,"AAAAABv+T2U=")</f>
        <v>#REF!</v>
      </c>
      <c r="CY189" t="e">
        <f>AND(Bills!#REF!,"AAAAABv+T2Y=")</f>
        <v>#REF!</v>
      </c>
      <c r="CZ189" t="e">
        <f>AND(Bills!AA716,"AAAAABv+T2c=")</f>
        <v>#VALUE!</v>
      </c>
      <c r="DA189" t="e">
        <f>AND(Bills!AB716,"AAAAABv+T2g=")</f>
        <v>#VALUE!</v>
      </c>
      <c r="DB189" t="e">
        <f>AND(Bills!#REF!,"AAAAABv+T2k=")</f>
        <v>#REF!</v>
      </c>
      <c r="DC189">
        <f>IF(Bills!717:717,"AAAAABv+T2o=",0)</f>
        <v>0</v>
      </c>
      <c r="DD189" t="e">
        <f>AND(Bills!B717,"AAAAABv+T2s=")</f>
        <v>#VALUE!</v>
      </c>
      <c r="DE189" t="e">
        <f>AND(Bills!#REF!,"AAAAABv+T2w=")</f>
        <v>#REF!</v>
      </c>
      <c r="DF189" t="e">
        <f>AND(Bills!C717,"AAAAABv+T20=")</f>
        <v>#VALUE!</v>
      </c>
      <c r="DG189" t="e">
        <f>AND(Bills!#REF!,"AAAAABv+T24=")</f>
        <v>#REF!</v>
      </c>
      <c r="DH189" t="e">
        <f>AND(Bills!#REF!,"AAAAABv+T28=")</f>
        <v>#REF!</v>
      </c>
      <c r="DI189" t="e">
        <f>AND(Bills!#REF!,"AAAAABv+T3A=")</f>
        <v>#REF!</v>
      </c>
      <c r="DJ189" t="e">
        <f>AND(Bills!#REF!,"AAAAABv+T3E=")</f>
        <v>#REF!</v>
      </c>
      <c r="DK189" t="e">
        <f>AND(Bills!#REF!,"AAAAABv+T3I=")</f>
        <v>#REF!</v>
      </c>
      <c r="DL189" t="e">
        <f>AND(Bills!D717,"AAAAABv+T3M=")</f>
        <v>#VALUE!</v>
      </c>
      <c r="DM189" t="e">
        <f>AND(Bills!#REF!,"AAAAABv+T3Q=")</f>
        <v>#REF!</v>
      </c>
      <c r="DN189" t="e">
        <f>AND(Bills!E717,"AAAAABv+T3U=")</f>
        <v>#VALUE!</v>
      </c>
      <c r="DO189" t="e">
        <f>AND(Bills!F717,"AAAAABv+T3Y=")</f>
        <v>#VALUE!</v>
      </c>
      <c r="DP189" t="e">
        <f>AND(Bills!G717,"AAAAABv+T3c=")</f>
        <v>#VALUE!</v>
      </c>
      <c r="DQ189" t="e">
        <f>AND(Bills!H717,"AAAAABv+T3g=")</f>
        <v>#VALUE!</v>
      </c>
      <c r="DR189" t="e">
        <f>AND(Bills!I717,"AAAAABv+T3k=")</f>
        <v>#VALUE!</v>
      </c>
      <c r="DS189" t="e">
        <f>AND(Bills!J717,"AAAAABv+T3o=")</f>
        <v>#VALUE!</v>
      </c>
      <c r="DT189" t="e">
        <f>AND(Bills!#REF!,"AAAAABv+T3s=")</f>
        <v>#REF!</v>
      </c>
      <c r="DU189" t="e">
        <f>AND(Bills!K717,"AAAAABv+T3w=")</f>
        <v>#VALUE!</v>
      </c>
      <c r="DV189" t="e">
        <f>AND(Bills!L717,"AAAAABv+T30=")</f>
        <v>#VALUE!</v>
      </c>
      <c r="DW189" t="e">
        <f>AND(Bills!M717,"AAAAABv+T34=")</f>
        <v>#VALUE!</v>
      </c>
      <c r="DX189" t="e">
        <f>AND(Bills!N717,"AAAAABv+T38=")</f>
        <v>#VALUE!</v>
      </c>
      <c r="DY189" t="e">
        <f>AND(Bills!O717,"AAAAABv+T4A=")</f>
        <v>#VALUE!</v>
      </c>
      <c r="DZ189" t="e">
        <f>AND(Bills!P717,"AAAAABv+T4E=")</f>
        <v>#VALUE!</v>
      </c>
      <c r="EA189" t="e">
        <f>AND(Bills!Q717,"AAAAABv+T4I=")</f>
        <v>#VALUE!</v>
      </c>
      <c r="EB189" t="e">
        <f>AND(Bills!R717,"AAAAABv+T4M=")</f>
        <v>#VALUE!</v>
      </c>
      <c r="EC189" t="e">
        <f>AND(Bills!#REF!,"AAAAABv+T4Q=")</f>
        <v>#REF!</v>
      </c>
      <c r="ED189" t="e">
        <f>AND(Bills!S717,"AAAAABv+T4U=")</f>
        <v>#VALUE!</v>
      </c>
      <c r="EE189" t="e">
        <f>AND(Bills!T717,"AAAAABv+T4Y=")</f>
        <v>#VALUE!</v>
      </c>
      <c r="EF189" t="e">
        <f>AND(Bills!U717,"AAAAABv+T4c=")</f>
        <v>#VALUE!</v>
      </c>
      <c r="EG189" t="e">
        <f>AND(Bills!#REF!,"AAAAABv+T4g=")</f>
        <v>#REF!</v>
      </c>
      <c r="EH189" t="e">
        <f>AND(Bills!#REF!,"AAAAABv+T4k=")</f>
        <v>#REF!</v>
      </c>
      <c r="EI189" t="e">
        <f>AND(Bills!W717,"AAAAABv+T4o=")</f>
        <v>#VALUE!</v>
      </c>
      <c r="EJ189" t="e">
        <f>AND(Bills!X717,"AAAAABv+T4s=")</f>
        <v>#VALUE!</v>
      </c>
      <c r="EK189" t="e">
        <f>AND(Bills!#REF!,"AAAAABv+T4w=")</f>
        <v>#REF!</v>
      </c>
      <c r="EL189" t="e">
        <f>AND(Bills!#REF!,"AAAAABv+T40=")</f>
        <v>#REF!</v>
      </c>
      <c r="EM189" t="e">
        <f>AND(Bills!#REF!,"AAAAABv+T44=")</f>
        <v>#REF!</v>
      </c>
      <c r="EN189" t="e">
        <f>AND(Bills!#REF!,"AAAAABv+T48=")</f>
        <v>#REF!</v>
      </c>
      <c r="EO189" t="e">
        <f>AND(Bills!#REF!,"AAAAABv+T5A=")</f>
        <v>#REF!</v>
      </c>
      <c r="EP189" t="e">
        <f>AND(Bills!#REF!,"AAAAABv+T5E=")</f>
        <v>#REF!</v>
      </c>
      <c r="EQ189" t="e">
        <f>AND(Bills!#REF!,"AAAAABv+T5I=")</f>
        <v>#REF!</v>
      </c>
      <c r="ER189" t="e">
        <f>AND(Bills!#REF!,"AAAAABv+T5M=")</f>
        <v>#REF!</v>
      </c>
      <c r="ES189" t="e">
        <f>AND(Bills!#REF!,"AAAAABv+T5Q=")</f>
        <v>#REF!</v>
      </c>
      <c r="ET189" t="e">
        <f>AND(Bills!Y717,"AAAAABv+T5U=")</f>
        <v>#VALUE!</v>
      </c>
      <c r="EU189" t="e">
        <f>AND(Bills!Z717,"AAAAABv+T5Y=")</f>
        <v>#VALUE!</v>
      </c>
      <c r="EV189" t="e">
        <f>AND(Bills!#REF!,"AAAAABv+T5c=")</f>
        <v>#REF!</v>
      </c>
      <c r="EW189" t="e">
        <f>AND(Bills!#REF!,"AAAAABv+T5g=")</f>
        <v>#REF!</v>
      </c>
      <c r="EX189" t="e">
        <f>AND(Bills!#REF!,"AAAAABv+T5k=")</f>
        <v>#REF!</v>
      </c>
      <c r="EY189" t="e">
        <f>AND(Bills!AA717,"AAAAABv+T5o=")</f>
        <v>#VALUE!</v>
      </c>
      <c r="EZ189" t="e">
        <f>AND(Bills!AB717,"AAAAABv+T5s=")</f>
        <v>#VALUE!</v>
      </c>
      <c r="FA189" t="e">
        <f>AND(Bills!#REF!,"AAAAABv+T5w=")</f>
        <v>#REF!</v>
      </c>
      <c r="FB189">
        <f>IF(Bills!718:718,"AAAAABv+T50=",0)</f>
        <v>0</v>
      </c>
      <c r="FC189" t="e">
        <f>AND(Bills!B718,"AAAAABv+T54=")</f>
        <v>#VALUE!</v>
      </c>
      <c r="FD189" t="e">
        <f>AND(Bills!#REF!,"AAAAABv+T58=")</f>
        <v>#REF!</v>
      </c>
      <c r="FE189" t="e">
        <f>AND(Bills!C718,"AAAAABv+T6A=")</f>
        <v>#VALUE!</v>
      </c>
      <c r="FF189" t="e">
        <f>AND(Bills!#REF!,"AAAAABv+T6E=")</f>
        <v>#REF!</v>
      </c>
      <c r="FG189" t="e">
        <f>AND(Bills!#REF!,"AAAAABv+T6I=")</f>
        <v>#REF!</v>
      </c>
      <c r="FH189" t="e">
        <f>AND(Bills!#REF!,"AAAAABv+T6M=")</f>
        <v>#REF!</v>
      </c>
      <c r="FI189" t="e">
        <f>AND(Bills!#REF!,"AAAAABv+T6Q=")</f>
        <v>#REF!</v>
      </c>
      <c r="FJ189" t="e">
        <f>AND(Bills!#REF!,"AAAAABv+T6U=")</f>
        <v>#REF!</v>
      </c>
      <c r="FK189" t="e">
        <f>AND(Bills!D718,"AAAAABv+T6Y=")</f>
        <v>#VALUE!</v>
      </c>
      <c r="FL189" t="e">
        <f>AND(Bills!#REF!,"AAAAABv+T6c=")</f>
        <v>#REF!</v>
      </c>
      <c r="FM189" t="e">
        <f>AND(Bills!E718,"AAAAABv+T6g=")</f>
        <v>#VALUE!</v>
      </c>
      <c r="FN189" t="e">
        <f>AND(Bills!F718,"AAAAABv+T6k=")</f>
        <v>#VALUE!</v>
      </c>
      <c r="FO189" t="e">
        <f>AND(Bills!G718,"AAAAABv+T6o=")</f>
        <v>#VALUE!</v>
      </c>
      <c r="FP189" t="e">
        <f>AND(Bills!H718,"AAAAABv+T6s=")</f>
        <v>#VALUE!</v>
      </c>
      <c r="FQ189" t="e">
        <f>AND(Bills!I718,"AAAAABv+T6w=")</f>
        <v>#VALUE!</v>
      </c>
      <c r="FR189" t="e">
        <f>AND(Bills!J718,"AAAAABv+T60=")</f>
        <v>#VALUE!</v>
      </c>
      <c r="FS189" t="e">
        <f>AND(Bills!#REF!,"AAAAABv+T64=")</f>
        <v>#REF!</v>
      </c>
      <c r="FT189" t="e">
        <f>AND(Bills!K718,"AAAAABv+T68=")</f>
        <v>#VALUE!</v>
      </c>
      <c r="FU189" t="e">
        <f>AND(Bills!L718,"AAAAABv+T7A=")</f>
        <v>#VALUE!</v>
      </c>
      <c r="FV189" t="e">
        <f>AND(Bills!M718,"AAAAABv+T7E=")</f>
        <v>#VALUE!</v>
      </c>
      <c r="FW189" t="e">
        <f>AND(Bills!N718,"AAAAABv+T7I=")</f>
        <v>#VALUE!</v>
      </c>
      <c r="FX189" t="e">
        <f>AND(Bills!O718,"AAAAABv+T7M=")</f>
        <v>#VALUE!</v>
      </c>
      <c r="FY189" t="e">
        <f>AND(Bills!P718,"AAAAABv+T7Q=")</f>
        <v>#VALUE!</v>
      </c>
      <c r="FZ189" t="e">
        <f>AND(Bills!Q718,"AAAAABv+T7U=")</f>
        <v>#VALUE!</v>
      </c>
      <c r="GA189" t="e">
        <f>AND(Bills!R718,"AAAAABv+T7Y=")</f>
        <v>#VALUE!</v>
      </c>
      <c r="GB189" t="e">
        <f>AND(Bills!#REF!,"AAAAABv+T7c=")</f>
        <v>#REF!</v>
      </c>
      <c r="GC189" t="e">
        <f>AND(Bills!S718,"AAAAABv+T7g=")</f>
        <v>#VALUE!</v>
      </c>
      <c r="GD189" t="e">
        <f>AND(Bills!T718,"AAAAABv+T7k=")</f>
        <v>#VALUE!</v>
      </c>
      <c r="GE189" t="e">
        <f>AND(Bills!U718,"AAAAABv+T7o=")</f>
        <v>#VALUE!</v>
      </c>
      <c r="GF189" t="e">
        <f>AND(Bills!#REF!,"AAAAABv+T7s=")</f>
        <v>#REF!</v>
      </c>
      <c r="GG189" t="e">
        <f>AND(Bills!#REF!,"AAAAABv+T7w=")</f>
        <v>#REF!</v>
      </c>
      <c r="GH189" t="e">
        <f>AND(Bills!W718,"AAAAABv+T70=")</f>
        <v>#VALUE!</v>
      </c>
      <c r="GI189" t="e">
        <f>AND(Bills!X718,"AAAAABv+T74=")</f>
        <v>#VALUE!</v>
      </c>
      <c r="GJ189" t="e">
        <f>AND(Bills!#REF!,"AAAAABv+T78=")</f>
        <v>#REF!</v>
      </c>
      <c r="GK189" t="e">
        <f>AND(Bills!#REF!,"AAAAABv+T8A=")</f>
        <v>#REF!</v>
      </c>
      <c r="GL189" t="e">
        <f>AND(Bills!#REF!,"AAAAABv+T8E=")</f>
        <v>#REF!</v>
      </c>
      <c r="GM189" t="e">
        <f>AND(Bills!#REF!,"AAAAABv+T8I=")</f>
        <v>#REF!</v>
      </c>
      <c r="GN189" t="e">
        <f>AND(Bills!#REF!,"AAAAABv+T8M=")</f>
        <v>#REF!</v>
      </c>
      <c r="GO189" t="e">
        <f>AND(Bills!#REF!,"AAAAABv+T8Q=")</f>
        <v>#REF!</v>
      </c>
      <c r="GP189" t="e">
        <f>AND(Bills!#REF!,"AAAAABv+T8U=")</f>
        <v>#REF!</v>
      </c>
      <c r="GQ189" t="e">
        <f>AND(Bills!#REF!,"AAAAABv+T8Y=")</f>
        <v>#REF!</v>
      </c>
      <c r="GR189" t="e">
        <f>AND(Bills!#REF!,"AAAAABv+T8c=")</f>
        <v>#REF!</v>
      </c>
      <c r="GS189" t="e">
        <f>AND(Bills!Y718,"AAAAABv+T8g=")</f>
        <v>#VALUE!</v>
      </c>
      <c r="GT189" t="e">
        <f>AND(Bills!Z718,"AAAAABv+T8k=")</f>
        <v>#VALUE!</v>
      </c>
      <c r="GU189" t="e">
        <f>AND(Bills!#REF!,"AAAAABv+T8o=")</f>
        <v>#REF!</v>
      </c>
      <c r="GV189" t="e">
        <f>AND(Bills!#REF!,"AAAAABv+T8s=")</f>
        <v>#REF!</v>
      </c>
      <c r="GW189" t="e">
        <f>AND(Bills!#REF!,"AAAAABv+T8w=")</f>
        <v>#REF!</v>
      </c>
      <c r="GX189" t="e">
        <f>AND(Bills!AA718,"AAAAABv+T80=")</f>
        <v>#VALUE!</v>
      </c>
      <c r="GY189" t="e">
        <f>AND(Bills!AB718,"AAAAABv+T84=")</f>
        <v>#VALUE!</v>
      </c>
      <c r="GZ189" t="e">
        <f>AND(Bills!#REF!,"AAAAABv+T88=")</f>
        <v>#REF!</v>
      </c>
      <c r="HA189">
        <f>IF(Bills!719:719,"AAAAABv+T9A=",0)</f>
        <v>0</v>
      </c>
      <c r="HB189" t="e">
        <f>AND(Bills!B719,"AAAAABv+T9E=")</f>
        <v>#VALUE!</v>
      </c>
      <c r="HC189" t="e">
        <f>AND(Bills!#REF!,"AAAAABv+T9I=")</f>
        <v>#REF!</v>
      </c>
      <c r="HD189" t="e">
        <f>AND(Bills!C719,"AAAAABv+T9M=")</f>
        <v>#VALUE!</v>
      </c>
      <c r="HE189" t="e">
        <f>AND(Bills!#REF!,"AAAAABv+T9Q=")</f>
        <v>#REF!</v>
      </c>
      <c r="HF189" t="e">
        <f>AND(Bills!#REF!,"AAAAABv+T9U=")</f>
        <v>#REF!</v>
      </c>
      <c r="HG189" t="e">
        <f>AND(Bills!#REF!,"AAAAABv+T9Y=")</f>
        <v>#REF!</v>
      </c>
      <c r="HH189" t="e">
        <f>AND(Bills!#REF!,"AAAAABv+T9c=")</f>
        <v>#REF!</v>
      </c>
      <c r="HI189" t="e">
        <f>AND(Bills!#REF!,"AAAAABv+T9g=")</f>
        <v>#REF!</v>
      </c>
      <c r="HJ189" t="e">
        <f>AND(Bills!D719,"AAAAABv+T9k=")</f>
        <v>#VALUE!</v>
      </c>
      <c r="HK189" t="e">
        <f>AND(Bills!#REF!,"AAAAABv+T9o=")</f>
        <v>#REF!</v>
      </c>
      <c r="HL189" t="e">
        <f>AND(Bills!E719,"AAAAABv+T9s=")</f>
        <v>#VALUE!</v>
      </c>
      <c r="HM189" t="e">
        <f>AND(Bills!F719,"AAAAABv+T9w=")</f>
        <v>#VALUE!</v>
      </c>
      <c r="HN189" t="e">
        <f>AND(Bills!G719,"AAAAABv+T90=")</f>
        <v>#VALUE!</v>
      </c>
      <c r="HO189" t="e">
        <f>AND(Bills!H719,"AAAAABv+T94=")</f>
        <v>#VALUE!</v>
      </c>
      <c r="HP189" t="e">
        <f>AND(Bills!I719,"AAAAABv+T98=")</f>
        <v>#VALUE!</v>
      </c>
      <c r="HQ189" t="e">
        <f>AND(Bills!J719,"AAAAABv+T+A=")</f>
        <v>#VALUE!</v>
      </c>
      <c r="HR189" t="e">
        <f>AND(Bills!#REF!,"AAAAABv+T+E=")</f>
        <v>#REF!</v>
      </c>
      <c r="HS189" t="e">
        <f>AND(Bills!K719,"AAAAABv+T+I=")</f>
        <v>#VALUE!</v>
      </c>
      <c r="HT189" t="e">
        <f>AND(Bills!L719,"AAAAABv+T+M=")</f>
        <v>#VALUE!</v>
      </c>
      <c r="HU189" t="e">
        <f>AND(Bills!M719,"AAAAABv+T+Q=")</f>
        <v>#VALUE!</v>
      </c>
      <c r="HV189" t="e">
        <f>AND(Bills!N719,"AAAAABv+T+U=")</f>
        <v>#VALUE!</v>
      </c>
      <c r="HW189" t="e">
        <f>AND(Bills!O719,"AAAAABv+T+Y=")</f>
        <v>#VALUE!</v>
      </c>
      <c r="HX189" t="e">
        <f>AND(Bills!P719,"AAAAABv+T+c=")</f>
        <v>#VALUE!</v>
      </c>
      <c r="HY189" t="e">
        <f>AND(Bills!Q719,"AAAAABv+T+g=")</f>
        <v>#VALUE!</v>
      </c>
      <c r="HZ189" t="e">
        <f>AND(Bills!R719,"AAAAABv+T+k=")</f>
        <v>#VALUE!</v>
      </c>
      <c r="IA189" t="e">
        <f>AND(Bills!#REF!,"AAAAABv+T+o=")</f>
        <v>#REF!</v>
      </c>
      <c r="IB189" t="e">
        <f>AND(Bills!S719,"AAAAABv+T+s=")</f>
        <v>#VALUE!</v>
      </c>
      <c r="IC189" t="e">
        <f>AND(Bills!T719,"AAAAABv+T+w=")</f>
        <v>#VALUE!</v>
      </c>
      <c r="ID189" t="e">
        <f>AND(Bills!U719,"AAAAABv+T+0=")</f>
        <v>#VALUE!</v>
      </c>
      <c r="IE189" t="e">
        <f>AND(Bills!#REF!,"AAAAABv+T+4=")</f>
        <v>#REF!</v>
      </c>
      <c r="IF189" t="e">
        <f>AND(Bills!#REF!,"AAAAABv+T+8=")</f>
        <v>#REF!</v>
      </c>
      <c r="IG189" t="e">
        <f>AND(Bills!W719,"AAAAABv+T/A=")</f>
        <v>#VALUE!</v>
      </c>
      <c r="IH189" t="e">
        <f>AND(Bills!X719,"AAAAABv+T/E=")</f>
        <v>#VALUE!</v>
      </c>
      <c r="II189" t="e">
        <f>AND(Bills!#REF!,"AAAAABv+T/I=")</f>
        <v>#REF!</v>
      </c>
      <c r="IJ189" t="e">
        <f>AND(Bills!#REF!,"AAAAABv+T/M=")</f>
        <v>#REF!</v>
      </c>
      <c r="IK189" t="e">
        <f>AND(Bills!#REF!,"AAAAABv+T/Q=")</f>
        <v>#REF!</v>
      </c>
      <c r="IL189" t="e">
        <f>AND(Bills!#REF!,"AAAAABv+T/U=")</f>
        <v>#REF!</v>
      </c>
      <c r="IM189" t="e">
        <f>AND(Bills!#REF!,"AAAAABv+T/Y=")</f>
        <v>#REF!</v>
      </c>
      <c r="IN189" t="e">
        <f>AND(Bills!#REF!,"AAAAABv+T/c=")</f>
        <v>#REF!</v>
      </c>
      <c r="IO189" t="e">
        <f>AND(Bills!#REF!,"AAAAABv+T/g=")</f>
        <v>#REF!</v>
      </c>
      <c r="IP189" t="e">
        <f>AND(Bills!#REF!,"AAAAABv+T/k=")</f>
        <v>#REF!</v>
      </c>
      <c r="IQ189" t="e">
        <f>AND(Bills!#REF!,"AAAAABv+T/o=")</f>
        <v>#REF!</v>
      </c>
      <c r="IR189" t="e">
        <f>AND(Bills!Y719,"AAAAABv+T/s=")</f>
        <v>#VALUE!</v>
      </c>
      <c r="IS189" t="e">
        <f>AND(Bills!Z719,"AAAAABv+T/w=")</f>
        <v>#VALUE!</v>
      </c>
      <c r="IT189" t="e">
        <f>AND(Bills!#REF!,"AAAAABv+T/0=")</f>
        <v>#REF!</v>
      </c>
      <c r="IU189" t="e">
        <f>AND(Bills!#REF!,"AAAAABv+T/4=")</f>
        <v>#REF!</v>
      </c>
      <c r="IV189" t="e">
        <f>AND(Bills!#REF!,"AAAAABv+T/8=")</f>
        <v>#REF!</v>
      </c>
    </row>
    <row r="190" spans="1:256">
      <c r="A190" t="e">
        <f>AND(Bills!AA719,"AAAAAH9/mwA=")</f>
        <v>#VALUE!</v>
      </c>
      <c r="B190" t="e">
        <f>AND(Bills!AB719,"AAAAAH9/mwE=")</f>
        <v>#VALUE!</v>
      </c>
      <c r="C190" t="e">
        <f>AND(Bills!#REF!,"AAAAAH9/mwI=")</f>
        <v>#REF!</v>
      </c>
      <c r="D190">
        <f>IF(Bills!720:720,"AAAAAH9/mwM=",0)</f>
        <v>0</v>
      </c>
      <c r="E190" t="e">
        <f>AND(Bills!B720,"AAAAAH9/mwQ=")</f>
        <v>#VALUE!</v>
      </c>
      <c r="F190" t="e">
        <f>AND(Bills!#REF!,"AAAAAH9/mwU=")</f>
        <v>#REF!</v>
      </c>
      <c r="G190" t="e">
        <f>AND(Bills!C720,"AAAAAH9/mwY=")</f>
        <v>#VALUE!</v>
      </c>
      <c r="H190" t="e">
        <f>AND(Bills!#REF!,"AAAAAH9/mwc=")</f>
        <v>#REF!</v>
      </c>
      <c r="I190" t="e">
        <f>AND(Bills!#REF!,"AAAAAH9/mwg=")</f>
        <v>#REF!</v>
      </c>
      <c r="J190" t="e">
        <f>AND(Bills!#REF!,"AAAAAH9/mwk=")</f>
        <v>#REF!</v>
      </c>
      <c r="K190" t="e">
        <f>AND(Bills!#REF!,"AAAAAH9/mwo=")</f>
        <v>#REF!</v>
      </c>
      <c r="L190" t="e">
        <f>AND(Bills!#REF!,"AAAAAH9/mws=")</f>
        <v>#REF!</v>
      </c>
      <c r="M190" t="e">
        <f>AND(Bills!D720,"AAAAAH9/mww=")</f>
        <v>#VALUE!</v>
      </c>
      <c r="N190" t="e">
        <f>AND(Bills!#REF!,"AAAAAH9/mw0=")</f>
        <v>#REF!</v>
      </c>
      <c r="O190" t="e">
        <f>AND(Bills!E720,"AAAAAH9/mw4=")</f>
        <v>#VALUE!</v>
      </c>
      <c r="P190" t="e">
        <f>AND(Bills!F720,"AAAAAH9/mw8=")</f>
        <v>#VALUE!</v>
      </c>
      <c r="Q190" t="e">
        <f>AND(Bills!G720,"AAAAAH9/mxA=")</f>
        <v>#VALUE!</v>
      </c>
      <c r="R190" t="e">
        <f>AND(Bills!H720,"AAAAAH9/mxE=")</f>
        <v>#VALUE!</v>
      </c>
      <c r="S190" t="e">
        <f>AND(Bills!I720,"AAAAAH9/mxI=")</f>
        <v>#VALUE!</v>
      </c>
      <c r="T190" t="e">
        <f>AND(Bills!J720,"AAAAAH9/mxM=")</f>
        <v>#VALUE!</v>
      </c>
      <c r="U190" t="e">
        <f>AND(Bills!#REF!,"AAAAAH9/mxQ=")</f>
        <v>#REF!</v>
      </c>
      <c r="V190" t="e">
        <f>AND(Bills!K720,"AAAAAH9/mxU=")</f>
        <v>#VALUE!</v>
      </c>
      <c r="W190" t="e">
        <f>AND(Bills!L720,"AAAAAH9/mxY=")</f>
        <v>#VALUE!</v>
      </c>
      <c r="X190" t="e">
        <f>AND(Bills!M720,"AAAAAH9/mxc=")</f>
        <v>#VALUE!</v>
      </c>
      <c r="Y190" t="e">
        <f>AND(Bills!N720,"AAAAAH9/mxg=")</f>
        <v>#VALUE!</v>
      </c>
      <c r="Z190" t="e">
        <f>AND(Bills!O720,"AAAAAH9/mxk=")</f>
        <v>#VALUE!</v>
      </c>
      <c r="AA190" t="e">
        <f>AND(Bills!P720,"AAAAAH9/mxo=")</f>
        <v>#VALUE!</v>
      </c>
      <c r="AB190" t="e">
        <f>AND(Bills!Q720,"AAAAAH9/mxs=")</f>
        <v>#VALUE!</v>
      </c>
      <c r="AC190" t="e">
        <f>AND(Bills!R720,"AAAAAH9/mxw=")</f>
        <v>#VALUE!</v>
      </c>
      <c r="AD190" t="e">
        <f>AND(Bills!#REF!,"AAAAAH9/mx0=")</f>
        <v>#REF!</v>
      </c>
      <c r="AE190" t="e">
        <f>AND(Bills!S720,"AAAAAH9/mx4=")</f>
        <v>#VALUE!</v>
      </c>
      <c r="AF190" t="e">
        <f>AND(Bills!T720,"AAAAAH9/mx8=")</f>
        <v>#VALUE!</v>
      </c>
      <c r="AG190" t="e">
        <f>AND(Bills!U720,"AAAAAH9/myA=")</f>
        <v>#VALUE!</v>
      </c>
      <c r="AH190" t="e">
        <f>AND(Bills!#REF!,"AAAAAH9/myE=")</f>
        <v>#REF!</v>
      </c>
      <c r="AI190" t="e">
        <f>AND(Bills!#REF!,"AAAAAH9/myI=")</f>
        <v>#REF!</v>
      </c>
      <c r="AJ190" t="e">
        <f>AND(Bills!W720,"AAAAAH9/myM=")</f>
        <v>#VALUE!</v>
      </c>
      <c r="AK190" t="e">
        <f>AND(Bills!X720,"AAAAAH9/myQ=")</f>
        <v>#VALUE!</v>
      </c>
      <c r="AL190" t="e">
        <f>AND(Bills!#REF!,"AAAAAH9/myU=")</f>
        <v>#REF!</v>
      </c>
      <c r="AM190" t="e">
        <f>AND(Bills!#REF!,"AAAAAH9/myY=")</f>
        <v>#REF!</v>
      </c>
      <c r="AN190" t="e">
        <f>AND(Bills!#REF!,"AAAAAH9/myc=")</f>
        <v>#REF!</v>
      </c>
      <c r="AO190" t="e">
        <f>AND(Bills!#REF!,"AAAAAH9/myg=")</f>
        <v>#REF!</v>
      </c>
      <c r="AP190" t="e">
        <f>AND(Bills!#REF!,"AAAAAH9/myk=")</f>
        <v>#REF!</v>
      </c>
      <c r="AQ190" t="e">
        <f>AND(Bills!#REF!,"AAAAAH9/myo=")</f>
        <v>#REF!</v>
      </c>
      <c r="AR190" t="e">
        <f>AND(Bills!#REF!,"AAAAAH9/mys=")</f>
        <v>#REF!</v>
      </c>
      <c r="AS190" t="e">
        <f>AND(Bills!#REF!,"AAAAAH9/myw=")</f>
        <v>#REF!</v>
      </c>
      <c r="AT190" t="e">
        <f>AND(Bills!#REF!,"AAAAAH9/my0=")</f>
        <v>#REF!</v>
      </c>
      <c r="AU190" t="e">
        <f>AND(Bills!Y720,"AAAAAH9/my4=")</f>
        <v>#VALUE!</v>
      </c>
      <c r="AV190" t="e">
        <f>AND(Bills!Z720,"AAAAAH9/my8=")</f>
        <v>#VALUE!</v>
      </c>
      <c r="AW190" t="e">
        <f>AND(Bills!#REF!,"AAAAAH9/mzA=")</f>
        <v>#REF!</v>
      </c>
      <c r="AX190" t="e">
        <f>AND(Bills!#REF!,"AAAAAH9/mzE=")</f>
        <v>#REF!</v>
      </c>
      <c r="AY190" t="e">
        <f>AND(Bills!#REF!,"AAAAAH9/mzI=")</f>
        <v>#REF!</v>
      </c>
      <c r="AZ190" t="e">
        <f>AND(Bills!AA720,"AAAAAH9/mzM=")</f>
        <v>#VALUE!</v>
      </c>
      <c r="BA190" t="e">
        <f>AND(Bills!AB720,"AAAAAH9/mzQ=")</f>
        <v>#VALUE!</v>
      </c>
      <c r="BB190" t="e">
        <f>AND(Bills!#REF!,"AAAAAH9/mzU=")</f>
        <v>#REF!</v>
      </c>
      <c r="BC190">
        <f>IF(Bills!721:721,"AAAAAH9/mzY=",0)</f>
        <v>0</v>
      </c>
      <c r="BD190" t="e">
        <f>AND(Bills!B721,"AAAAAH9/mzc=")</f>
        <v>#VALUE!</v>
      </c>
      <c r="BE190" t="e">
        <f>AND(Bills!#REF!,"AAAAAH9/mzg=")</f>
        <v>#REF!</v>
      </c>
      <c r="BF190" t="e">
        <f>AND(Bills!C721,"AAAAAH9/mzk=")</f>
        <v>#VALUE!</v>
      </c>
      <c r="BG190" t="e">
        <f>AND(Bills!#REF!,"AAAAAH9/mzo=")</f>
        <v>#REF!</v>
      </c>
      <c r="BH190" t="e">
        <f>AND(Bills!#REF!,"AAAAAH9/mzs=")</f>
        <v>#REF!</v>
      </c>
      <c r="BI190" t="e">
        <f>AND(Bills!#REF!,"AAAAAH9/mzw=")</f>
        <v>#REF!</v>
      </c>
      <c r="BJ190" t="e">
        <f>AND(Bills!#REF!,"AAAAAH9/mz0=")</f>
        <v>#REF!</v>
      </c>
      <c r="BK190" t="e">
        <f>AND(Bills!#REF!,"AAAAAH9/mz4=")</f>
        <v>#REF!</v>
      </c>
      <c r="BL190" t="e">
        <f>AND(Bills!D721,"AAAAAH9/mz8=")</f>
        <v>#VALUE!</v>
      </c>
      <c r="BM190" t="e">
        <f>AND(Bills!#REF!,"AAAAAH9/m0A=")</f>
        <v>#REF!</v>
      </c>
      <c r="BN190" t="e">
        <f>AND(Bills!E721,"AAAAAH9/m0E=")</f>
        <v>#VALUE!</v>
      </c>
      <c r="BO190" t="e">
        <f>AND(Bills!F721,"AAAAAH9/m0I=")</f>
        <v>#VALUE!</v>
      </c>
      <c r="BP190" t="e">
        <f>AND(Bills!G721,"AAAAAH9/m0M=")</f>
        <v>#VALUE!</v>
      </c>
      <c r="BQ190" t="e">
        <f>AND(Bills!H721,"AAAAAH9/m0Q=")</f>
        <v>#VALUE!</v>
      </c>
      <c r="BR190" t="e">
        <f>AND(Bills!I721,"AAAAAH9/m0U=")</f>
        <v>#VALUE!</v>
      </c>
      <c r="BS190" t="e">
        <f>AND(Bills!J721,"AAAAAH9/m0Y=")</f>
        <v>#VALUE!</v>
      </c>
      <c r="BT190" t="e">
        <f>AND(Bills!#REF!,"AAAAAH9/m0c=")</f>
        <v>#REF!</v>
      </c>
      <c r="BU190" t="e">
        <f>AND(Bills!K721,"AAAAAH9/m0g=")</f>
        <v>#VALUE!</v>
      </c>
      <c r="BV190" t="e">
        <f>AND(Bills!L721,"AAAAAH9/m0k=")</f>
        <v>#VALUE!</v>
      </c>
      <c r="BW190" t="e">
        <f>AND(Bills!M721,"AAAAAH9/m0o=")</f>
        <v>#VALUE!</v>
      </c>
      <c r="BX190" t="e">
        <f>AND(Bills!N721,"AAAAAH9/m0s=")</f>
        <v>#VALUE!</v>
      </c>
      <c r="BY190" t="e">
        <f>AND(Bills!O721,"AAAAAH9/m0w=")</f>
        <v>#VALUE!</v>
      </c>
      <c r="BZ190" t="e">
        <f>AND(Bills!P721,"AAAAAH9/m00=")</f>
        <v>#VALUE!</v>
      </c>
      <c r="CA190" t="e">
        <f>AND(Bills!Q721,"AAAAAH9/m04=")</f>
        <v>#VALUE!</v>
      </c>
      <c r="CB190" t="e">
        <f>AND(Bills!R721,"AAAAAH9/m08=")</f>
        <v>#VALUE!</v>
      </c>
      <c r="CC190" t="e">
        <f>AND(Bills!#REF!,"AAAAAH9/m1A=")</f>
        <v>#REF!</v>
      </c>
      <c r="CD190" t="e">
        <f>AND(Bills!S721,"AAAAAH9/m1E=")</f>
        <v>#VALUE!</v>
      </c>
      <c r="CE190" t="e">
        <f>AND(Bills!T721,"AAAAAH9/m1I=")</f>
        <v>#VALUE!</v>
      </c>
      <c r="CF190" t="e">
        <f>AND(Bills!U721,"AAAAAH9/m1M=")</f>
        <v>#VALUE!</v>
      </c>
      <c r="CG190" t="e">
        <f>AND(Bills!#REF!,"AAAAAH9/m1Q=")</f>
        <v>#REF!</v>
      </c>
      <c r="CH190" t="e">
        <f>AND(Bills!#REF!,"AAAAAH9/m1U=")</f>
        <v>#REF!</v>
      </c>
      <c r="CI190" t="e">
        <f>AND(Bills!W721,"AAAAAH9/m1Y=")</f>
        <v>#VALUE!</v>
      </c>
      <c r="CJ190" t="e">
        <f>AND(Bills!X721,"AAAAAH9/m1c=")</f>
        <v>#VALUE!</v>
      </c>
      <c r="CK190" t="e">
        <f>AND(Bills!#REF!,"AAAAAH9/m1g=")</f>
        <v>#REF!</v>
      </c>
      <c r="CL190" t="e">
        <f>AND(Bills!#REF!,"AAAAAH9/m1k=")</f>
        <v>#REF!</v>
      </c>
      <c r="CM190" t="e">
        <f>AND(Bills!#REF!,"AAAAAH9/m1o=")</f>
        <v>#REF!</v>
      </c>
      <c r="CN190" t="e">
        <f>AND(Bills!#REF!,"AAAAAH9/m1s=")</f>
        <v>#REF!</v>
      </c>
      <c r="CO190" t="e">
        <f>AND(Bills!#REF!,"AAAAAH9/m1w=")</f>
        <v>#REF!</v>
      </c>
      <c r="CP190" t="e">
        <f>AND(Bills!#REF!,"AAAAAH9/m10=")</f>
        <v>#REF!</v>
      </c>
      <c r="CQ190" t="e">
        <f>AND(Bills!#REF!,"AAAAAH9/m14=")</f>
        <v>#REF!</v>
      </c>
      <c r="CR190" t="e">
        <f>AND(Bills!#REF!,"AAAAAH9/m18=")</f>
        <v>#REF!</v>
      </c>
      <c r="CS190" t="e">
        <f>AND(Bills!#REF!,"AAAAAH9/m2A=")</f>
        <v>#REF!</v>
      </c>
      <c r="CT190" t="e">
        <f>AND(Bills!Y721,"AAAAAH9/m2E=")</f>
        <v>#VALUE!</v>
      </c>
      <c r="CU190" t="e">
        <f>AND(Bills!Z721,"AAAAAH9/m2I=")</f>
        <v>#VALUE!</v>
      </c>
      <c r="CV190" t="e">
        <f>AND(Bills!#REF!,"AAAAAH9/m2M=")</f>
        <v>#REF!</v>
      </c>
      <c r="CW190" t="e">
        <f>AND(Bills!#REF!,"AAAAAH9/m2Q=")</f>
        <v>#REF!</v>
      </c>
      <c r="CX190" t="e">
        <f>AND(Bills!#REF!,"AAAAAH9/m2U=")</f>
        <v>#REF!</v>
      </c>
      <c r="CY190" t="e">
        <f>AND(Bills!AA721,"AAAAAH9/m2Y=")</f>
        <v>#VALUE!</v>
      </c>
      <c r="CZ190" t="e">
        <f>AND(Bills!AB721,"AAAAAH9/m2c=")</f>
        <v>#VALUE!</v>
      </c>
      <c r="DA190" t="e">
        <f>AND(Bills!#REF!,"AAAAAH9/m2g=")</f>
        <v>#REF!</v>
      </c>
      <c r="DB190">
        <f>IF(Bills!722:722,"AAAAAH9/m2k=",0)</f>
        <v>0</v>
      </c>
      <c r="DC190" t="e">
        <f>AND(Bills!B722,"AAAAAH9/m2o=")</f>
        <v>#VALUE!</v>
      </c>
      <c r="DD190" t="e">
        <f>AND(Bills!#REF!,"AAAAAH9/m2s=")</f>
        <v>#REF!</v>
      </c>
      <c r="DE190" t="e">
        <f>AND(Bills!C722,"AAAAAH9/m2w=")</f>
        <v>#VALUE!</v>
      </c>
      <c r="DF190" t="e">
        <f>AND(Bills!#REF!,"AAAAAH9/m20=")</f>
        <v>#REF!</v>
      </c>
      <c r="DG190" t="e">
        <f>AND(Bills!#REF!,"AAAAAH9/m24=")</f>
        <v>#REF!</v>
      </c>
      <c r="DH190" t="e">
        <f>AND(Bills!#REF!,"AAAAAH9/m28=")</f>
        <v>#REF!</v>
      </c>
      <c r="DI190" t="e">
        <f>AND(Bills!#REF!,"AAAAAH9/m3A=")</f>
        <v>#REF!</v>
      </c>
      <c r="DJ190" t="e">
        <f>AND(Bills!#REF!,"AAAAAH9/m3E=")</f>
        <v>#REF!</v>
      </c>
      <c r="DK190" t="e">
        <f>AND(Bills!D722,"AAAAAH9/m3I=")</f>
        <v>#VALUE!</v>
      </c>
      <c r="DL190" t="e">
        <f>AND(Bills!#REF!,"AAAAAH9/m3M=")</f>
        <v>#REF!</v>
      </c>
      <c r="DM190" t="e">
        <f>AND(Bills!E722,"AAAAAH9/m3Q=")</f>
        <v>#VALUE!</v>
      </c>
      <c r="DN190" t="e">
        <f>AND(Bills!F722,"AAAAAH9/m3U=")</f>
        <v>#VALUE!</v>
      </c>
      <c r="DO190" t="e">
        <f>AND(Bills!G722,"AAAAAH9/m3Y=")</f>
        <v>#VALUE!</v>
      </c>
      <c r="DP190" t="e">
        <f>AND(Bills!H722,"AAAAAH9/m3c=")</f>
        <v>#VALUE!</v>
      </c>
      <c r="DQ190" t="e">
        <f>AND(Bills!I722,"AAAAAH9/m3g=")</f>
        <v>#VALUE!</v>
      </c>
      <c r="DR190" t="e">
        <f>AND(Bills!J722,"AAAAAH9/m3k=")</f>
        <v>#VALUE!</v>
      </c>
      <c r="DS190" t="e">
        <f>AND(Bills!#REF!,"AAAAAH9/m3o=")</f>
        <v>#REF!</v>
      </c>
      <c r="DT190" t="e">
        <f>AND(Bills!K722,"AAAAAH9/m3s=")</f>
        <v>#VALUE!</v>
      </c>
      <c r="DU190" t="e">
        <f>AND(Bills!L722,"AAAAAH9/m3w=")</f>
        <v>#VALUE!</v>
      </c>
      <c r="DV190" t="e">
        <f>AND(Bills!M722,"AAAAAH9/m30=")</f>
        <v>#VALUE!</v>
      </c>
      <c r="DW190" t="e">
        <f>AND(Bills!N722,"AAAAAH9/m34=")</f>
        <v>#VALUE!</v>
      </c>
      <c r="DX190" t="e">
        <f>AND(Bills!O722,"AAAAAH9/m38=")</f>
        <v>#VALUE!</v>
      </c>
      <c r="DY190" t="e">
        <f>AND(Bills!P722,"AAAAAH9/m4A=")</f>
        <v>#VALUE!</v>
      </c>
      <c r="DZ190" t="e">
        <f>AND(Bills!Q722,"AAAAAH9/m4E=")</f>
        <v>#VALUE!</v>
      </c>
      <c r="EA190" t="e">
        <f>AND(Bills!R722,"AAAAAH9/m4I=")</f>
        <v>#VALUE!</v>
      </c>
      <c r="EB190" t="e">
        <f>AND(Bills!#REF!,"AAAAAH9/m4M=")</f>
        <v>#REF!</v>
      </c>
      <c r="EC190" t="e">
        <f>AND(Bills!S722,"AAAAAH9/m4Q=")</f>
        <v>#VALUE!</v>
      </c>
      <c r="ED190" t="e">
        <f>AND(Bills!T722,"AAAAAH9/m4U=")</f>
        <v>#VALUE!</v>
      </c>
      <c r="EE190" t="e">
        <f>AND(Bills!U722,"AAAAAH9/m4Y=")</f>
        <v>#VALUE!</v>
      </c>
      <c r="EF190" t="e">
        <f>AND(Bills!#REF!,"AAAAAH9/m4c=")</f>
        <v>#REF!</v>
      </c>
      <c r="EG190" t="e">
        <f>AND(Bills!#REF!,"AAAAAH9/m4g=")</f>
        <v>#REF!</v>
      </c>
      <c r="EH190" t="e">
        <f>AND(Bills!W722,"AAAAAH9/m4k=")</f>
        <v>#VALUE!</v>
      </c>
      <c r="EI190" t="e">
        <f>AND(Bills!X722,"AAAAAH9/m4o=")</f>
        <v>#VALUE!</v>
      </c>
      <c r="EJ190" t="e">
        <f>AND(Bills!#REF!,"AAAAAH9/m4s=")</f>
        <v>#REF!</v>
      </c>
      <c r="EK190" t="e">
        <f>AND(Bills!#REF!,"AAAAAH9/m4w=")</f>
        <v>#REF!</v>
      </c>
      <c r="EL190" t="e">
        <f>AND(Bills!#REF!,"AAAAAH9/m40=")</f>
        <v>#REF!</v>
      </c>
      <c r="EM190" t="e">
        <f>AND(Bills!#REF!,"AAAAAH9/m44=")</f>
        <v>#REF!</v>
      </c>
      <c r="EN190" t="e">
        <f>AND(Bills!#REF!,"AAAAAH9/m48=")</f>
        <v>#REF!</v>
      </c>
      <c r="EO190" t="e">
        <f>AND(Bills!#REF!,"AAAAAH9/m5A=")</f>
        <v>#REF!</v>
      </c>
      <c r="EP190" t="e">
        <f>AND(Bills!#REF!,"AAAAAH9/m5E=")</f>
        <v>#REF!</v>
      </c>
      <c r="EQ190" t="e">
        <f>AND(Bills!#REF!,"AAAAAH9/m5I=")</f>
        <v>#REF!</v>
      </c>
      <c r="ER190" t="e">
        <f>AND(Bills!#REF!,"AAAAAH9/m5M=")</f>
        <v>#REF!</v>
      </c>
      <c r="ES190" t="e">
        <f>AND(Bills!Y722,"AAAAAH9/m5Q=")</f>
        <v>#VALUE!</v>
      </c>
      <c r="ET190" t="e">
        <f>AND(Bills!Z722,"AAAAAH9/m5U=")</f>
        <v>#VALUE!</v>
      </c>
      <c r="EU190" t="e">
        <f>AND(Bills!#REF!,"AAAAAH9/m5Y=")</f>
        <v>#REF!</v>
      </c>
      <c r="EV190" t="e">
        <f>AND(Bills!#REF!,"AAAAAH9/m5c=")</f>
        <v>#REF!</v>
      </c>
      <c r="EW190" t="e">
        <f>AND(Bills!#REF!,"AAAAAH9/m5g=")</f>
        <v>#REF!</v>
      </c>
      <c r="EX190" t="e">
        <f>AND(Bills!AA722,"AAAAAH9/m5k=")</f>
        <v>#VALUE!</v>
      </c>
      <c r="EY190" t="e">
        <f>AND(Bills!AB722,"AAAAAH9/m5o=")</f>
        <v>#VALUE!</v>
      </c>
      <c r="EZ190" t="e">
        <f>AND(Bills!#REF!,"AAAAAH9/m5s=")</f>
        <v>#REF!</v>
      </c>
      <c r="FA190">
        <f>IF(Bills!723:723,"AAAAAH9/m5w=",0)</f>
        <v>0</v>
      </c>
      <c r="FB190" t="e">
        <f>AND(Bills!B723,"AAAAAH9/m50=")</f>
        <v>#VALUE!</v>
      </c>
      <c r="FC190" t="e">
        <f>AND(Bills!#REF!,"AAAAAH9/m54=")</f>
        <v>#REF!</v>
      </c>
      <c r="FD190" t="e">
        <f>AND(Bills!C723,"AAAAAH9/m58=")</f>
        <v>#VALUE!</v>
      </c>
      <c r="FE190" t="e">
        <f>AND(Bills!#REF!,"AAAAAH9/m6A=")</f>
        <v>#REF!</v>
      </c>
      <c r="FF190" t="e">
        <f>AND(Bills!#REF!,"AAAAAH9/m6E=")</f>
        <v>#REF!</v>
      </c>
      <c r="FG190" t="e">
        <f>AND(Bills!#REF!,"AAAAAH9/m6I=")</f>
        <v>#REF!</v>
      </c>
      <c r="FH190" t="e">
        <f>AND(Bills!#REF!,"AAAAAH9/m6M=")</f>
        <v>#REF!</v>
      </c>
      <c r="FI190" t="e">
        <f>AND(Bills!#REF!,"AAAAAH9/m6Q=")</f>
        <v>#REF!</v>
      </c>
      <c r="FJ190" t="e">
        <f>AND(Bills!D723,"AAAAAH9/m6U=")</f>
        <v>#VALUE!</v>
      </c>
      <c r="FK190" t="e">
        <f>AND(Bills!#REF!,"AAAAAH9/m6Y=")</f>
        <v>#REF!</v>
      </c>
      <c r="FL190" t="e">
        <f>AND(Bills!E723,"AAAAAH9/m6c=")</f>
        <v>#VALUE!</v>
      </c>
      <c r="FM190" t="e">
        <f>AND(Bills!F723,"AAAAAH9/m6g=")</f>
        <v>#VALUE!</v>
      </c>
      <c r="FN190" t="e">
        <f>AND(Bills!G723,"AAAAAH9/m6k=")</f>
        <v>#VALUE!</v>
      </c>
      <c r="FO190" t="e">
        <f>AND(Bills!H723,"AAAAAH9/m6o=")</f>
        <v>#VALUE!</v>
      </c>
      <c r="FP190" t="e">
        <f>AND(Bills!I723,"AAAAAH9/m6s=")</f>
        <v>#VALUE!</v>
      </c>
      <c r="FQ190" t="e">
        <f>AND(Bills!J723,"AAAAAH9/m6w=")</f>
        <v>#VALUE!</v>
      </c>
      <c r="FR190" t="e">
        <f>AND(Bills!#REF!,"AAAAAH9/m60=")</f>
        <v>#REF!</v>
      </c>
      <c r="FS190" t="e">
        <f>AND(Bills!K723,"AAAAAH9/m64=")</f>
        <v>#VALUE!</v>
      </c>
      <c r="FT190" t="e">
        <f>AND(Bills!L723,"AAAAAH9/m68=")</f>
        <v>#VALUE!</v>
      </c>
      <c r="FU190" t="e">
        <f>AND(Bills!M723,"AAAAAH9/m7A=")</f>
        <v>#VALUE!</v>
      </c>
      <c r="FV190" t="e">
        <f>AND(Bills!N723,"AAAAAH9/m7E=")</f>
        <v>#VALUE!</v>
      </c>
      <c r="FW190" t="e">
        <f>AND(Bills!O723,"AAAAAH9/m7I=")</f>
        <v>#VALUE!</v>
      </c>
      <c r="FX190" t="e">
        <f>AND(Bills!P723,"AAAAAH9/m7M=")</f>
        <v>#VALUE!</v>
      </c>
      <c r="FY190" t="e">
        <f>AND(Bills!Q723,"AAAAAH9/m7Q=")</f>
        <v>#VALUE!</v>
      </c>
      <c r="FZ190" t="e">
        <f>AND(Bills!R723,"AAAAAH9/m7U=")</f>
        <v>#VALUE!</v>
      </c>
      <c r="GA190" t="e">
        <f>AND(Bills!#REF!,"AAAAAH9/m7Y=")</f>
        <v>#REF!</v>
      </c>
      <c r="GB190" t="e">
        <f>AND(Bills!S723,"AAAAAH9/m7c=")</f>
        <v>#VALUE!</v>
      </c>
      <c r="GC190" t="e">
        <f>AND(Bills!T723,"AAAAAH9/m7g=")</f>
        <v>#VALUE!</v>
      </c>
      <c r="GD190" t="e">
        <f>AND(Bills!U723,"AAAAAH9/m7k=")</f>
        <v>#VALUE!</v>
      </c>
      <c r="GE190" t="e">
        <f>AND(Bills!#REF!,"AAAAAH9/m7o=")</f>
        <v>#REF!</v>
      </c>
      <c r="GF190" t="e">
        <f>AND(Bills!#REF!,"AAAAAH9/m7s=")</f>
        <v>#REF!</v>
      </c>
      <c r="GG190" t="e">
        <f>AND(Bills!W723,"AAAAAH9/m7w=")</f>
        <v>#VALUE!</v>
      </c>
      <c r="GH190" t="e">
        <f>AND(Bills!X723,"AAAAAH9/m70=")</f>
        <v>#VALUE!</v>
      </c>
      <c r="GI190" t="e">
        <f>AND(Bills!#REF!,"AAAAAH9/m74=")</f>
        <v>#REF!</v>
      </c>
      <c r="GJ190" t="e">
        <f>AND(Bills!#REF!,"AAAAAH9/m78=")</f>
        <v>#REF!</v>
      </c>
      <c r="GK190" t="e">
        <f>AND(Bills!#REF!,"AAAAAH9/m8A=")</f>
        <v>#REF!</v>
      </c>
      <c r="GL190" t="e">
        <f>AND(Bills!#REF!,"AAAAAH9/m8E=")</f>
        <v>#REF!</v>
      </c>
      <c r="GM190" t="e">
        <f>AND(Bills!#REF!,"AAAAAH9/m8I=")</f>
        <v>#REF!</v>
      </c>
      <c r="GN190" t="e">
        <f>AND(Bills!#REF!,"AAAAAH9/m8M=")</f>
        <v>#REF!</v>
      </c>
      <c r="GO190" t="e">
        <f>AND(Bills!#REF!,"AAAAAH9/m8Q=")</f>
        <v>#REF!</v>
      </c>
      <c r="GP190" t="e">
        <f>AND(Bills!#REF!,"AAAAAH9/m8U=")</f>
        <v>#REF!</v>
      </c>
      <c r="GQ190" t="e">
        <f>AND(Bills!#REF!,"AAAAAH9/m8Y=")</f>
        <v>#REF!</v>
      </c>
      <c r="GR190" t="e">
        <f>AND(Bills!Y723,"AAAAAH9/m8c=")</f>
        <v>#VALUE!</v>
      </c>
      <c r="GS190" t="e">
        <f>AND(Bills!Z723,"AAAAAH9/m8g=")</f>
        <v>#VALUE!</v>
      </c>
      <c r="GT190" t="e">
        <f>AND(Bills!#REF!,"AAAAAH9/m8k=")</f>
        <v>#REF!</v>
      </c>
      <c r="GU190" t="e">
        <f>AND(Bills!#REF!,"AAAAAH9/m8o=")</f>
        <v>#REF!</v>
      </c>
      <c r="GV190" t="e">
        <f>AND(Bills!#REF!,"AAAAAH9/m8s=")</f>
        <v>#REF!</v>
      </c>
      <c r="GW190" t="e">
        <f>AND(Bills!AA723,"AAAAAH9/m8w=")</f>
        <v>#VALUE!</v>
      </c>
      <c r="GX190" t="e">
        <f>AND(Bills!AB723,"AAAAAH9/m80=")</f>
        <v>#VALUE!</v>
      </c>
      <c r="GY190" t="e">
        <f>AND(Bills!#REF!,"AAAAAH9/m84=")</f>
        <v>#REF!</v>
      </c>
      <c r="GZ190">
        <f>IF(Bills!724:724,"AAAAAH9/m88=",0)</f>
        <v>0</v>
      </c>
      <c r="HA190" t="e">
        <f>AND(Bills!B724,"AAAAAH9/m9A=")</f>
        <v>#VALUE!</v>
      </c>
      <c r="HB190" t="e">
        <f>AND(Bills!#REF!,"AAAAAH9/m9E=")</f>
        <v>#REF!</v>
      </c>
      <c r="HC190" t="e">
        <f>AND(Bills!C724,"AAAAAH9/m9I=")</f>
        <v>#VALUE!</v>
      </c>
      <c r="HD190" t="e">
        <f>AND(Bills!#REF!,"AAAAAH9/m9M=")</f>
        <v>#REF!</v>
      </c>
      <c r="HE190" t="e">
        <f>AND(Bills!#REF!,"AAAAAH9/m9Q=")</f>
        <v>#REF!</v>
      </c>
      <c r="HF190" t="e">
        <f>AND(Bills!#REF!,"AAAAAH9/m9U=")</f>
        <v>#REF!</v>
      </c>
      <c r="HG190" t="e">
        <f>AND(Bills!#REF!,"AAAAAH9/m9Y=")</f>
        <v>#REF!</v>
      </c>
      <c r="HH190" t="e">
        <f>AND(Bills!#REF!,"AAAAAH9/m9c=")</f>
        <v>#REF!</v>
      </c>
      <c r="HI190" t="e">
        <f>AND(Bills!D724,"AAAAAH9/m9g=")</f>
        <v>#VALUE!</v>
      </c>
      <c r="HJ190" t="e">
        <f>AND(Bills!#REF!,"AAAAAH9/m9k=")</f>
        <v>#REF!</v>
      </c>
      <c r="HK190" t="e">
        <f>AND(Bills!E724,"AAAAAH9/m9o=")</f>
        <v>#VALUE!</v>
      </c>
      <c r="HL190" t="e">
        <f>AND(Bills!F724,"AAAAAH9/m9s=")</f>
        <v>#VALUE!</v>
      </c>
      <c r="HM190" t="e">
        <f>AND(Bills!G724,"AAAAAH9/m9w=")</f>
        <v>#VALUE!</v>
      </c>
      <c r="HN190" t="e">
        <f>AND(Bills!H724,"AAAAAH9/m90=")</f>
        <v>#VALUE!</v>
      </c>
      <c r="HO190" t="e">
        <f>AND(Bills!I724,"AAAAAH9/m94=")</f>
        <v>#VALUE!</v>
      </c>
      <c r="HP190" t="e">
        <f>AND(Bills!J724,"AAAAAH9/m98=")</f>
        <v>#VALUE!</v>
      </c>
      <c r="HQ190" t="e">
        <f>AND(Bills!#REF!,"AAAAAH9/m+A=")</f>
        <v>#REF!</v>
      </c>
      <c r="HR190" t="e">
        <f>AND(Bills!K724,"AAAAAH9/m+E=")</f>
        <v>#VALUE!</v>
      </c>
      <c r="HS190" t="e">
        <f>AND(Bills!L724,"AAAAAH9/m+I=")</f>
        <v>#VALUE!</v>
      </c>
      <c r="HT190" t="e">
        <f>AND(Bills!M724,"AAAAAH9/m+M=")</f>
        <v>#VALUE!</v>
      </c>
      <c r="HU190" t="e">
        <f>AND(Bills!N724,"AAAAAH9/m+Q=")</f>
        <v>#VALUE!</v>
      </c>
      <c r="HV190" t="e">
        <f>AND(Bills!O724,"AAAAAH9/m+U=")</f>
        <v>#VALUE!</v>
      </c>
      <c r="HW190" t="e">
        <f>AND(Bills!P724,"AAAAAH9/m+Y=")</f>
        <v>#VALUE!</v>
      </c>
      <c r="HX190" t="e">
        <f>AND(Bills!Q724,"AAAAAH9/m+c=")</f>
        <v>#VALUE!</v>
      </c>
      <c r="HY190" t="e">
        <f>AND(Bills!R724,"AAAAAH9/m+g=")</f>
        <v>#VALUE!</v>
      </c>
      <c r="HZ190" t="e">
        <f>AND(Bills!#REF!,"AAAAAH9/m+k=")</f>
        <v>#REF!</v>
      </c>
      <c r="IA190" t="e">
        <f>AND(Bills!S724,"AAAAAH9/m+o=")</f>
        <v>#VALUE!</v>
      </c>
      <c r="IB190" t="e">
        <f>AND(Bills!T724,"AAAAAH9/m+s=")</f>
        <v>#VALUE!</v>
      </c>
      <c r="IC190" t="e">
        <f>AND(Bills!U724,"AAAAAH9/m+w=")</f>
        <v>#VALUE!</v>
      </c>
      <c r="ID190" t="e">
        <f>AND(Bills!#REF!,"AAAAAH9/m+0=")</f>
        <v>#REF!</v>
      </c>
      <c r="IE190" t="e">
        <f>AND(Bills!#REF!,"AAAAAH9/m+4=")</f>
        <v>#REF!</v>
      </c>
      <c r="IF190" t="e">
        <f>AND(Bills!W724,"AAAAAH9/m+8=")</f>
        <v>#VALUE!</v>
      </c>
      <c r="IG190" t="e">
        <f>AND(Bills!X724,"AAAAAH9/m/A=")</f>
        <v>#VALUE!</v>
      </c>
      <c r="IH190" t="e">
        <f>AND(Bills!#REF!,"AAAAAH9/m/E=")</f>
        <v>#REF!</v>
      </c>
      <c r="II190" t="e">
        <f>AND(Bills!#REF!,"AAAAAH9/m/I=")</f>
        <v>#REF!</v>
      </c>
      <c r="IJ190" t="e">
        <f>AND(Bills!#REF!,"AAAAAH9/m/M=")</f>
        <v>#REF!</v>
      </c>
      <c r="IK190" t="e">
        <f>AND(Bills!#REF!,"AAAAAH9/m/Q=")</f>
        <v>#REF!</v>
      </c>
      <c r="IL190" t="e">
        <f>AND(Bills!#REF!,"AAAAAH9/m/U=")</f>
        <v>#REF!</v>
      </c>
      <c r="IM190" t="e">
        <f>AND(Bills!#REF!,"AAAAAH9/m/Y=")</f>
        <v>#REF!</v>
      </c>
      <c r="IN190" t="e">
        <f>AND(Bills!#REF!,"AAAAAH9/m/c=")</f>
        <v>#REF!</v>
      </c>
      <c r="IO190" t="e">
        <f>AND(Bills!#REF!,"AAAAAH9/m/g=")</f>
        <v>#REF!</v>
      </c>
      <c r="IP190" t="e">
        <f>AND(Bills!#REF!,"AAAAAH9/m/k=")</f>
        <v>#REF!</v>
      </c>
      <c r="IQ190" t="e">
        <f>AND(Bills!Y724,"AAAAAH9/m/o=")</f>
        <v>#VALUE!</v>
      </c>
      <c r="IR190" t="e">
        <f>AND(Bills!Z724,"AAAAAH9/m/s=")</f>
        <v>#VALUE!</v>
      </c>
      <c r="IS190" t="e">
        <f>AND(Bills!#REF!,"AAAAAH9/m/w=")</f>
        <v>#REF!</v>
      </c>
      <c r="IT190" t="e">
        <f>AND(Bills!#REF!,"AAAAAH9/m/0=")</f>
        <v>#REF!</v>
      </c>
      <c r="IU190" t="e">
        <f>AND(Bills!#REF!,"AAAAAH9/m/4=")</f>
        <v>#REF!</v>
      </c>
      <c r="IV190" t="e">
        <f>AND(Bills!AA724,"AAAAAH9/m/8=")</f>
        <v>#VALUE!</v>
      </c>
    </row>
    <row r="191" spans="1:256">
      <c r="A191" t="e">
        <f>AND(Bills!AB724,"AAAAAHO2LwA=")</f>
        <v>#VALUE!</v>
      </c>
      <c r="B191" t="e">
        <f>AND(Bills!#REF!,"AAAAAHO2LwE=")</f>
        <v>#REF!</v>
      </c>
      <c r="C191">
        <f>IF(Bills!725:725,"AAAAAHO2LwI=",0)</f>
        <v>0</v>
      </c>
      <c r="D191" t="e">
        <f>AND(Bills!B725,"AAAAAHO2LwM=")</f>
        <v>#VALUE!</v>
      </c>
      <c r="E191" t="e">
        <f>AND(Bills!#REF!,"AAAAAHO2LwQ=")</f>
        <v>#REF!</v>
      </c>
      <c r="F191" t="e">
        <f>AND(Bills!C725,"AAAAAHO2LwU=")</f>
        <v>#VALUE!</v>
      </c>
      <c r="G191" t="e">
        <f>AND(Bills!#REF!,"AAAAAHO2LwY=")</f>
        <v>#REF!</v>
      </c>
      <c r="H191" t="e">
        <f>AND(Bills!#REF!,"AAAAAHO2Lwc=")</f>
        <v>#REF!</v>
      </c>
      <c r="I191" t="e">
        <f>AND(Bills!#REF!,"AAAAAHO2Lwg=")</f>
        <v>#REF!</v>
      </c>
      <c r="J191" t="e">
        <f>AND(Bills!#REF!,"AAAAAHO2Lwk=")</f>
        <v>#REF!</v>
      </c>
      <c r="K191" t="e">
        <f>AND(Bills!#REF!,"AAAAAHO2Lwo=")</f>
        <v>#REF!</v>
      </c>
      <c r="L191" t="e">
        <f>AND(Bills!D725,"AAAAAHO2Lws=")</f>
        <v>#VALUE!</v>
      </c>
      <c r="M191" t="e">
        <f>AND(Bills!#REF!,"AAAAAHO2Lww=")</f>
        <v>#REF!</v>
      </c>
      <c r="N191" t="e">
        <f>AND(Bills!E725,"AAAAAHO2Lw0=")</f>
        <v>#VALUE!</v>
      </c>
      <c r="O191" t="e">
        <f>AND(Bills!F725,"AAAAAHO2Lw4=")</f>
        <v>#VALUE!</v>
      </c>
      <c r="P191" t="e">
        <f>AND(Bills!G725,"AAAAAHO2Lw8=")</f>
        <v>#VALUE!</v>
      </c>
      <c r="Q191" t="e">
        <f>AND(Bills!H725,"AAAAAHO2LxA=")</f>
        <v>#VALUE!</v>
      </c>
      <c r="R191" t="e">
        <f>AND(Bills!I725,"AAAAAHO2LxE=")</f>
        <v>#VALUE!</v>
      </c>
      <c r="S191" t="e">
        <f>AND(Bills!J725,"AAAAAHO2LxI=")</f>
        <v>#VALUE!</v>
      </c>
      <c r="T191" t="e">
        <f>AND(Bills!#REF!,"AAAAAHO2LxM=")</f>
        <v>#REF!</v>
      </c>
      <c r="U191" t="e">
        <f>AND(Bills!K725,"AAAAAHO2LxQ=")</f>
        <v>#VALUE!</v>
      </c>
      <c r="V191" t="e">
        <f>AND(Bills!L725,"AAAAAHO2LxU=")</f>
        <v>#VALUE!</v>
      </c>
      <c r="W191" t="e">
        <f>AND(Bills!M725,"AAAAAHO2LxY=")</f>
        <v>#VALUE!</v>
      </c>
      <c r="X191" t="e">
        <f>AND(Bills!N725,"AAAAAHO2Lxc=")</f>
        <v>#VALUE!</v>
      </c>
      <c r="Y191" t="e">
        <f>AND(Bills!O725,"AAAAAHO2Lxg=")</f>
        <v>#VALUE!</v>
      </c>
      <c r="Z191" t="e">
        <f>AND(Bills!P725,"AAAAAHO2Lxk=")</f>
        <v>#VALUE!</v>
      </c>
      <c r="AA191" t="e">
        <f>AND(Bills!Q725,"AAAAAHO2Lxo=")</f>
        <v>#VALUE!</v>
      </c>
      <c r="AB191" t="e">
        <f>AND(Bills!R725,"AAAAAHO2Lxs=")</f>
        <v>#VALUE!</v>
      </c>
      <c r="AC191" t="e">
        <f>AND(Bills!#REF!,"AAAAAHO2Lxw=")</f>
        <v>#REF!</v>
      </c>
      <c r="AD191" t="e">
        <f>AND(Bills!S725,"AAAAAHO2Lx0=")</f>
        <v>#VALUE!</v>
      </c>
      <c r="AE191" t="e">
        <f>AND(Bills!T725,"AAAAAHO2Lx4=")</f>
        <v>#VALUE!</v>
      </c>
      <c r="AF191" t="e">
        <f>AND(Bills!U725,"AAAAAHO2Lx8=")</f>
        <v>#VALUE!</v>
      </c>
      <c r="AG191" t="e">
        <f>AND(Bills!#REF!,"AAAAAHO2LyA=")</f>
        <v>#REF!</v>
      </c>
      <c r="AH191" t="e">
        <f>AND(Bills!#REF!,"AAAAAHO2LyE=")</f>
        <v>#REF!</v>
      </c>
      <c r="AI191" t="e">
        <f>AND(Bills!W725,"AAAAAHO2LyI=")</f>
        <v>#VALUE!</v>
      </c>
      <c r="AJ191" t="e">
        <f>AND(Bills!X725,"AAAAAHO2LyM=")</f>
        <v>#VALUE!</v>
      </c>
      <c r="AK191" t="e">
        <f>AND(Bills!#REF!,"AAAAAHO2LyQ=")</f>
        <v>#REF!</v>
      </c>
      <c r="AL191" t="e">
        <f>AND(Bills!#REF!,"AAAAAHO2LyU=")</f>
        <v>#REF!</v>
      </c>
      <c r="AM191" t="e">
        <f>AND(Bills!#REF!,"AAAAAHO2LyY=")</f>
        <v>#REF!</v>
      </c>
      <c r="AN191" t="e">
        <f>AND(Bills!#REF!,"AAAAAHO2Lyc=")</f>
        <v>#REF!</v>
      </c>
      <c r="AO191" t="e">
        <f>AND(Bills!#REF!,"AAAAAHO2Lyg=")</f>
        <v>#REF!</v>
      </c>
      <c r="AP191" t="e">
        <f>AND(Bills!#REF!,"AAAAAHO2Lyk=")</f>
        <v>#REF!</v>
      </c>
      <c r="AQ191" t="e">
        <f>AND(Bills!#REF!,"AAAAAHO2Lyo=")</f>
        <v>#REF!</v>
      </c>
      <c r="AR191" t="e">
        <f>AND(Bills!#REF!,"AAAAAHO2Lys=")</f>
        <v>#REF!</v>
      </c>
      <c r="AS191" t="e">
        <f>AND(Bills!#REF!,"AAAAAHO2Lyw=")</f>
        <v>#REF!</v>
      </c>
      <c r="AT191" t="e">
        <f>AND(Bills!Y725,"AAAAAHO2Ly0=")</f>
        <v>#VALUE!</v>
      </c>
      <c r="AU191" t="e">
        <f>AND(Bills!Z725,"AAAAAHO2Ly4=")</f>
        <v>#VALUE!</v>
      </c>
      <c r="AV191" t="e">
        <f>AND(Bills!#REF!,"AAAAAHO2Ly8=")</f>
        <v>#REF!</v>
      </c>
      <c r="AW191" t="e">
        <f>AND(Bills!#REF!,"AAAAAHO2LzA=")</f>
        <v>#REF!</v>
      </c>
      <c r="AX191" t="e">
        <f>AND(Bills!#REF!,"AAAAAHO2LzE=")</f>
        <v>#REF!</v>
      </c>
      <c r="AY191" t="e">
        <f>AND(Bills!AA725,"AAAAAHO2LzI=")</f>
        <v>#VALUE!</v>
      </c>
      <c r="AZ191" t="e">
        <f>AND(Bills!AB725,"AAAAAHO2LzM=")</f>
        <v>#VALUE!</v>
      </c>
      <c r="BA191" t="e">
        <f>AND(Bills!#REF!,"AAAAAHO2LzQ=")</f>
        <v>#REF!</v>
      </c>
      <c r="BB191">
        <f>IF(Bills!726:726,"AAAAAHO2LzU=",0)</f>
        <v>0</v>
      </c>
      <c r="BC191" t="e">
        <f>AND(Bills!B726,"AAAAAHO2LzY=")</f>
        <v>#VALUE!</v>
      </c>
      <c r="BD191" t="e">
        <f>AND(Bills!#REF!,"AAAAAHO2Lzc=")</f>
        <v>#REF!</v>
      </c>
      <c r="BE191" t="e">
        <f>AND(Bills!C726,"AAAAAHO2Lzg=")</f>
        <v>#VALUE!</v>
      </c>
      <c r="BF191" t="e">
        <f>AND(Bills!#REF!,"AAAAAHO2Lzk=")</f>
        <v>#REF!</v>
      </c>
      <c r="BG191" t="e">
        <f>AND(Bills!#REF!,"AAAAAHO2Lzo=")</f>
        <v>#REF!</v>
      </c>
      <c r="BH191" t="e">
        <f>AND(Bills!#REF!,"AAAAAHO2Lzs=")</f>
        <v>#REF!</v>
      </c>
      <c r="BI191" t="e">
        <f>AND(Bills!#REF!,"AAAAAHO2Lzw=")</f>
        <v>#REF!</v>
      </c>
      <c r="BJ191" t="e">
        <f>AND(Bills!#REF!,"AAAAAHO2Lz0=")</f>
        <v>#REF!</v>
      </c>
      <c r="BK191" t="e">
        <f>AND(Bills!D726,"AAAAAHO2Lz4=")</f>
        <v>#VALUE!</v>
      </c>
      <c r="BL191" t="e">
        <f>AND(Bills!#REF!,"AAAAAHO2Lz8=")</f>
        <v>#REF!</v>
      </c>
      <c r="BM191" t="e">
        <f>AND(Bills!E726,"AAAAAHO2L0A=")</f>
        <v>#VALUE!</v>
      </c>
      <c r="BN191" t="e">
        <f>AND(Bills!F726,"AAAAAHO2L0E=")</f>
        <v>#VALUE!</v>
      </c>
      <c r="BO191" t="e">
        <f>AND(Bills!G726,"AAAAAHO2L0I=")</f>
        <v>#VALUE!</v>
      </c>
      <c r="BP191" t="e">
        <f>AND(Bills!H726,"AAAAAHO2L0M=")</f>
        <v>#VALUE!</v>
      </c>
      <c r="BQ191" t="e">
        <f>AND(Bills!I726,"AAAAAHO2L0Q=")</f>
        <v>#VALUE!</v>
      </c>
      <c r="BR191" t="e">
        <f>AND(Bills!J726,"AAAAAHO2L0U=")</f>
        <v>#VALUE!</v>
      </c>
      <c r="BS191" t="e">
        <f>AND(Bills!#REF!,"AAAAAHO2L0Y=")</f>
        <v>#REF!</v>
      </c>
      <c r="BT191" t="e">
        <f>AND(Bills!K726,"AAAAAHO2L0c=")</f>
        <v>#VALUE!</v>
      </c>
      <c r="BU191" t="e">
        <f>AND(Bills!L726,"AAAAAHO2L0g=")</f>
        <v>#VALUE!</v>
      </c>
      <c r="BV191" t="e">
        <f>AND(Bills!M726,"AAAAAHO2L0k=")</f>
        <v>#VALUE!</v>
      </c>
      <c r="BW191" t="e">
        <f>AND(Bills!N726,"AAAAAHO2L0o=")</f>
        <v>#VALUE!</v>
      </c>
      <c r="BX191" t="e">
        <f>AND(Bills!O726,"AAAAAHO2L0s=")</f>
        <v>#VALUE!</v>
      </c>
      <c r="BY191" t="e">
        <f>AND(Bills!P726,"AAAAAHO2L0w=")</f>
        <v>#VALUE!</v>
      </c>
      <c r="BZ191" t="e">
        <f>AND(Bills!Q726,"AAAAAHO2L00=")</f>
        <v>#VALUE!</v>
      </c>
      <c r="CA191" t="e">
        <f>AND(Bills!R726,"AAAAAHO2L04=")</f>
        <v>#VALUE!</v>
      </c>
      <c r="CB191" t="e">
        <f>AND(Bills!#REF!,"AAAAAHO2L08=")</f>
        <v>#REF!</v>
      </c>
      <c r="CC191" t="e">
        <f>AND(Bills!S726,"AAAAAHO2L1A=")</f>
        <v>#VALUE!</v>
      </c>
      <c r="CD191" t="e">
        <f>AND(Bills!T726,"AAAAAHO2L1E=")</f>
        <v>#VALUE!</v>
      </c>
      <c r="CE191" t="e">
        <f>AND(Bills!U726,"AAAAAHO2L1I=")</f>
        <v>#VALUE!</v>
      </c>
      <c r="CF191" t="e">
        <f>AND(Bills!#REF!,"AAAAAHO2L1M=")</f>
        <v>#REF!</v>
      </c>
      <c r="CG191" t="e">
        <f>AND(Bills!#REF!,"AAAAAHO2L1Q=")</f>
        <v>#REF!</v>
      </c>
      <c r="CH191" t="e">
        <f>AND(Bills!W726,"AAAAAHO2L1U=")</f>
        <v>#VALUE!</v>
      </c>
      <c r="CI191" t="e">
        <f>AND(Bills!X726,"AAAAAHO2L1Y=")</f>
        <v>#VALUE!</v>
      </c>
      <c r="CJ191" t="e">
        <f>AND(Bills!#REF!,"AAAAAHO2L1c=")</f>
        <v>#REF!</v>
      </c>
      <c r="CK191" t="e">
        <f>AND(Bills!#REF!,"AAAAAHO2L1g=")</f>
        <v>#REF!</v>
      </c>
      <c r="CL191" t="e">
        <f>AND(Bills!#REF!,"AAAAAHO2L1k=")</f>
        <v>#REF!</v>
      </c>
      <c r="CM191" t="e">
        <f>AND(Bills!#REF!,"AAAAAHO2L1o=")</f>
        <v>#REF!</v>
      </c>
      <c r="CN191" t="e">
        <f>AND(Bills!#REF!,"AAAAAHO2L1s=")</f>
        <v>#REF!</v>
      </c>
      <c r="CO191" t="e">
        <f>AND(Bills!#REF!,"AAAAAHO2L1w=")</f>
        <v>#REF!</v>
      </c>
      <c r="CP191" t="e">
        <f>AND(Bills!#REF!,"AAAAAHO2L10=")</f>
        <v>#REF!</v>
      </c>
      <c r="CQ191" t="e">
        <f>AND(Bills!#REF!,"AAAAAHO2L14=")</f>
        <v>#REF!</v>
      </c>
      <c r="CR191" t="e">
        <f>AND(Bills!#REF!,"AAAAAHO2L18=")</f>
        <v>#REF!</v>
      </c>
      <c r="CS191" t="e">
        <f>AND(Bills!Y726,"AAAAAHO2L2A=")</f>
        <v>#VALUE!</v>
      </c>
      <c r="CT191" t="e">
        <f>AND(Bills!Z726,"AAAAAHO2L2E=")</f>
        <v>#VALUE!</v>
      </c>
      <c r="CU191" t="e">
        <f>AND(Bills!#REF!,"AAAAAHO2L2I=")</f>
        <v>#REF!</v>
      </c>
      <c r="CV191" t="e">
        <f>AND(Bills!#REF!,"AAAAAHO2L2M=")</f>
        <v>#REF!</v>
      </c>
      <c r="CW191" t="e">
        <f>AND(Bills!#REF!,"AAAAAHO2L2Q=")</f>
        <v>#REF!</v>
      </c>
      <c r="CX191" t="e">
        <f>AND(Bills!AA726,"AAAAAHO2L2U=")</f>
        <v>#VALUE!</v>
      </c>
      <c r="CY191" t="e">
        <f>AND(Bills!AB726,"AAAAAHO2L2Y=")</f>
        <v>#VALUE!</v>
      </c>
      <c r="CZ191" t="e">
        <f>AND(Bills!#REF!,"AAAAAHO2L2c=")</f>
        <v>#REF!</v>
      </c>
      <c r="DA191">
        <f>IF(Bills!727:727,"AAAAAHO2L2g=",0)</f>
        <v>0</v>
      </c>
      <c r="DB191" t="e">
        <f>AND(Bills!B727,"AAAAAHO2L2k=")</f>
        <v>#VALUE!</v>
      </c>
      <c r="DC191" t="e">
        <f>AND(Bills!#REF!,"AAAAAHO2L2o=")</f>
        <v>#REF!</v>
      </c>
      <c r="DD191" t="e">
        <f>AND(Bills!C727,"AAAAAHO2L2s=")</f>
        <v>#VALUE!</v>
      </c>
      <c r="DE191" t="e">
        <f>AND(Bills!#REF!,"AAAAAHO2L2w=")</f>
        <v>#REF!</v>
      </c>
      <c r="DF191" t="e">
        <f>AND(Bills!#REF!,"AAAAAHO2L20=")</f>
        <v>#REF!</v>
      </c>
      <c r="DG191" t="e">
        <f>AND(Bills!#REF!,"AAAAAHO2L24=")</f>
        <v>#REF!</v>
      </c>
      <c r="DH191" t="e">
        <f>AND(Bills!#REF!,"AAAAAHO2L28=")</f>
        <v>#REF!</v>
      </c>
      <c r="DI191" t="e">
        <f>AND(Bills!#REF!,"AAAAAHO2L3A=")</f>
        <v>#REF!</v>
      </c>
      <c r="DJ191" t="e">
        <f>AND(Bills!D727,"AAAAAHO2L3E=")</f>
        <v>#VALUE!</v>
      </c>
      <c r="DK191" t="e">
        <f>AND(Bills!#REF!,"AAAAAHO2L3I=")</f>
        <v>#REF!</v>
      </c>
      <c r="DL191" t="e">
        <f>AND(Bills!E727,"AAAAAHO2L3M=")</f>
        <v>#VALUE!</v>
      </c>
      <c r="DM191" t="e">
        <f>AND(Bills!F727,"AAAAAHO2L3Q=")</f>
        <v>#VALUE!</v>
      </c>
      <c r="DN191" t="e">
        <f>AND(Bills!G727,"AAAAAHO2L3U=")</f>
        <v>#VALUE!</v>
      </c>
      <c r="DO191" t="e">
        <f>AND(Bills!H727,"AAAAAHO2L3Y=")</f>
        <v>#VALUE!</v>
      </c>
      <c r="DP191" t="e">
        <f>AND(Bills!I727,"AAAAAHO2L3c=")</f>
        <v>#VALUE!</v>
      </c>
      <c r="DQ191" t="e">
        <f>AND(Bills!J727,"AAAAAHO2L3g=")</f>
        <v>#VALUE!</v>
      </c>
      <c r="DR191" t="e">
        <f>AND(Bills!#REF!,"AAAAAHO2L3k=")</f>
        <v>#REF!</v>
      </c>
      <c r="DS191" t="e">
        <f>AND(Bills!K727,"AAAAAHO2L3o=")</f>
        <v>#VALUE!</v>
      </c>
      <c r="DT191" t="e">
        <f>AND(Bills!L727,"AAAAAHO2L3s=")</f>
        <v>#VALUE!</v>
      </c>
      <c r="DU191" t="e">
        <f>AND(Bills!M727,"AAAAAHO2L3w=")</f>
        <v>#VALUE!</v>
      </c>
      <c r="DV191" t="e">
        <f>AND(Bills!N727,"AAAAAHO2L30=")</f>
        <v>#VALUE!</v>
      </c>
      <c r="DW191" t="e">
        <f>AND(Bills!O727,"AAAAAHO2L34=")</f>
        <v>#VALUE!</v>
      </c>
      <c r="DX191" t="e">
        <f>AND(Bills!P727,"AAAAAHO2L38=")</f>
        <v>#VALUE!</v>
      </c>
      <c r="DY191" t="e">
        <f>AND(Bills!Q727,"AAAAAHO2L4A=")</f>
        <v>#VALUE!</v>
      </c>
      <c r="DZ191" t="e">
        <f>AND(Bills!R727,"AAAAAHO2L4E=")</f>
        <v>#VALUE!</v>
      </c>
      <c r="EA191" t="e">
        <f>AND(Bills!#REF!,"AAAAAHO2L4I=")</f>
        <v>#REF!</v>
      </c>
      <c r="EB191" t="e">
        <f>AND(Bills!S727,"AAAAAHO2L4M=")</f>
        <v>#VALUE!</v>
      </c>
      <c r="EC191" t="e">
        <f>AND(Bills!T727,"AAAAAHO2L4Q=")</f>
        <v>#VALUE!</v>
      </c>
      <c r="ED191" t="e">
        <f>AND(Bills!U727,"AAAAAHO2L4U=")</f>
        <v>#VALUE!</v>
      </c>
      <c r="EE191" t="e">
        <f>AND(Bills!#REF!,"AAAAAHO2L4Y=")</f>
        <v>#REF!</v>
      </c>
      <c r="EF191" t="e">
        <f>AND(Bills!#REF!,"AAAAAHO2L4c=")</f>
        <v>#REF!</v>
      </c>
      <c r="EG191" t="e">
        <f>AND(Bills!W727,"AAAAAHO2L4g=")</f>
        <v>#VALUE!</v>
      </c>
      <c r="EH191" t="e">
        <f>AND(Bills!X727,"AAAAAHO2L4k=")</f>
        <v>#VALUE!</v>
      </c>
      <c r="EI191" t="e">
        <f>AND(Bills!#REF!,"AAAAAHO2L4o=")</f>
        <v>#REF!</v>
      </c>
      <c r="EJ191" t="e">
        <f>AND(Bills!#REF!,"AAAAAHO2L4s=")</f>
        <v>#REF!</v>
      </c>
      <c r="EK191" t="e">
        <f>AND(Bills!#REF!,"AAAAAHO2L4w=")</f>
        <v>#REF!</v>
      </c>
      <c r="EL191" t="e">
        <f>AND(Bills!#REF!,"AAAAAHO2L40=")</f>
        <v>#REF!</v>
      </c>
      <c r="EM191" t="e">
        <f>AND(Bills!#REF!,"AAAAAHO2L44=")</f>
        <v>#REF!</v>
      </c>
      <c r="EN191" t="e">
        <f>AND(Bills!#REF!,"AAAAAHO2L48=")</f>
        <v>#REF!</v>
      </c>
      <c r="EO191" t="e">
        <f>AND(Bills!#REF!,"AAAAAHO2L5A=")</f>
        <v>#REF!</v>
      </c>
      <c r="EP191" t="e">
        <f>AND(Bills!#REF!,"AAAAAHO2L5E=")</f>
        <v>#REF!</v>
      </c>
      <c r="EQ191" t="e">
        <f>AND(Bills!#REF!,"AAAAAHO2L5I=")</f>
        <v>#REF!</v>
      </c>
      <c r="ER191" t="e">
        <f>AND(Bills!Y727,"AAAAAHO2L5M=")</f>
        <v>#VALUE!</v>
      </c>
      <c r="ES191" t="e">
        <f>AND(Bills!Z727,"AAAAAHO2L5Q=")</f>
        <v>#VALUE!</v>
      </c>
      <c r="ET191" t="e">
        <f>AND(Bills!#REF!,"AAAAAHO2L5U=")</f>
        <v>#REF!</v>
      </c>
      <c r="EU191" t="e">
        <f>AND(Bills!#REF!,"AAAAAHO2L5Y=")</f>
        <v>#REF!</v>
      </c>
      <c r="EV191" t="e">
        <f>AND(Bills!#REF!,"AAAAAHO2L5c=")</f>
        <v>#REF!</v>
      </c>
      <c r="EW191" t="e">
        <f>AND(Bills!AA727,"AAAAAHO2L5g=")</f>
        <v>#VALUE!</v>
      </c>
      <c r="EX191" t="e">
        <f>AND(Bills!AB727,"AAAAAHO2L5k=")</f>
        <v>#VALUE!</v>
      </c>
      <c r="EY191" t="e">
        <f>AND(Bills!#REF!,"AAAAAHO2L5o=")</f>
        <v>#REF!</v>
      </c>
      <c r="EZ191">
        <f>IF(Bills!728:728,"AAAAAHO2L5s=",0)</f>
        <v>0</v>
      </c>
      <c r="FA191" t="e">
        <f>AND(Bills!B728,"AAAAAHO2L5w=")</f>
        <v>#VALUE!</v>
      </c>
      <c r="FB191" t="e">
        <f>AND(Bills!#REF!,"AAAAAHO2L50=")</f>
        <v>#REF!</v>
      </c>
      <c r="FC191" t="e">
        <f>AND(Bills!C728,"AAAAAHO2L54=")</f>
        <v>#VALUE!</v>
      </c>
      <c r="FD191" t="e">
        <f>AND(Bills!#REF!,"AAAAAHO2L58=")</f>
        <v>#REF!</v>
      </c>
      <c r="FE191" t="e">
        <f>AND(Bills!#REF!,"AAAAAHO2L6A=")</f>
        <v>#REF!</v>
      </c>
      <c r="FF191" t="e">
        <f>AND(Bills!#REF!,"AAAAAHO2L6E=")</f>
        <v>#REF!</v>
      </c>
      <c r="FG191" t="e">
        <f>AND(Bills!#REF!,"AAAAAHO2L6I=")</f>
        <v>#REF!</v>
      </c>
      <c r="FH191" t="e">
        <f>AND(Bills!#REF!,"AAAAAHO2L6M=")</f>
        <v>#REF!</v>
      </c>
      <c r="FI191" t="e">
        <f>AND(Bills!D728,"AAAAAHO2L6Q=")</f>
        <v>#VALUE!</v>
      </c>
      <c r="FJ191" t="e">
        <f>AND(Bills!#REF!,"AAAAAHO2L6U=")</f>
        <v>#REF!</v>
      </c>
      <c r="FK191" t="e">
        <f>AND(Bills!E728,"AAAAAHO2L6Y=")</f>
        <v>#VALUE!</v>
      </c>
      <c r="FL191" t="e">
        <f>AND(Bills!F728,"AAAAAHO2L6c=")</f>
        <v>#VALUE!</v>
      </c>
      <c r="FM191" t="e">
        <f>AND(Bills!G728,"AAAAAHO2L6g=")</f>
        <v>#VALUE!</v>
      </c>
      <c r="FN191" t="e">
        <f>AND(Bills!H728,"AAAAAHO2L6k=")</f>
        <v>#VALUE!</v>
      </c>
      <c r="FO191" t="e">
        <f>AND(Bills!I728,"AAAAAHO2L6o=")</f>
        <v>#VALUE!</v>
      </c>
      <c r="FP191" t="e">
        <f>AND(Bills!J728,"AAAAAHO2L6s=")</f>
        <v>#VALUE!</v>
      </c>
      <c r="FQ191" t="e">
        <f>AND(Bills!#REF!,"AAAAAHO2L6w=")</f>
        <v>#REF!</v>
      </c>
      <c r="FR191" t="e">
        <f>AND(Bills!K728,"AAAAAHO2L60=")</f>
        <v>#VALUE!</v>
      </c>
      <c r="FS191" t="e">
        <f>AND(Bills!L728,"AAAAAHO2L64=")</f>
        <v>#VALUE!</v>
      </c>
      <c r="FT191" t="e">
        <f>AND(Bills!M728,"AAAAAHO2L68=")</f>
        <v>#VALUE!</v>
      </c>
      <c r="FU191" t="e">
        <f>AND(Bills!N728,"AAAAAHO2L7A=")</f>
        <v>#VALUE!</v>
      </c>
      <c r="FV191" t="e">
        <f>AND(Bills!O728,"AAAAAHO2L7E=")</f>
        <v>#VALUE!</v>
      </c>
      <c r="FW191" t="e">
        <f>AND(Bills!P728,"AAAAAHO2L7I=")</f>
        <v>#VALUE!</v>
      </c>
      <c r="FX191" t="e">
        <f>AND(Bills!Q728,"AAAAAHO2L7M=")</f>
        <v>#VALUE!</v>
      </c>
      <c r="FY191" t="e">
        <f>AND(Bills!R728,"AAAAAHO2L7Q=")</f>
        <v>#VALUE!</v>
      </c>
      <c r="FZ191" t="e">
        <f>AND(Bills!#REF!,"AAAAAHO2L7U=")</f>
        <v>#REF!</v>
      </c>
      <c r="GA191" t="e">
        <f>AND(Bills!S728,"AAAAAHO2L7Y=")</f>
        <v>#VALUE!</v>
      </c>
      <c r="GB191" t="e">
        <f>AND(Bills!T728,"AAAAAHO2L7c=")</f>
        <v>#VALUE!</v>
      </c>
      <c r="GC191" t="e">
        <f>AND(Bills!U728,"AAAAAHO2L7g=")</f>
        <v>#VALUE!</v>
      </c>
      <c r="GD191" t="e">
        <f>AND(Bills!#REF!,"AAAAAHO2L7k=")</f>
        <v>#REF!</v>
      </c>
      <c r="GE191" t="e">
        <f>AND(Bills!#REF!,"AAAAAHO2L7o=")</f>
        <v>#REF!</v>
      </c>
      <c r="GF191" t="e">
        <f>AND(Bills!W728,"AAAAAHO2L7s=")</f>
        <v>#VALUE!</v>
      </c>
      <c r="GG191" t="e">
        <f>AND(Bills!X728,"AAAAAHO2L7w=")</f>
        <v>#VALUE!</v>
      </c>
      <c r="GH191" t="e">
        <f>AND(Bills!#REF!,"AAAAAHO2L70=")</f>
        <v>#REF!</v>
      </c>
      <c r="GI191" t="e">
        <f>AND(Bills!#REF!,"AAAAAHO2L74=")</f>
        <v>#REF!</v>
      </c>
      <c r="GJ191" t="e">
        <f>AND(Bills!#REF!,"AAAAAHO2L78=")</f>
        <v>#REF!</v>
      </c>
      <c r="GK191" t="e">
        <f>AND(Bills!#REF!,"AAAAAHO2L8A=")</f>
        <v>#REF!</v>
      </c>
      <c r="GL191" t="e">
        <f>AND(Bills!#REF!,"AAAAAHO2L8E=")</f>
        <v>#REF!</v>
      </c>
      <c r="GM191" t="e">
        <f>AND(Bills!#REF!,"AAAAAHO2L8I=")</f>
        <v>#REF!</v>
      </c>
      <c r="GN191" t="e">
        <f>AND(Bills!#REF!,"AAAAAHO2L8M=")</f>
        <v>#REF!</v>
      </c>
      <c r="GO191" t="e">
        <f>AND(Bills!#REF!,"AAAAAHO2L8Q=")</f>
        <v>#REF!</v>
      </c>
      <c r="GP191" t="e">
        <f>AND(Bills!#REF!,"AAAAAHO2L8U=")</f>
        <v>#REF!</v>
      </c>
      <c r="GQ191" t="e">
        <f>AND(Bills!Y728,"AAAAAHO2L8Y=")</f>
        <v>#VALUE!</v>
      </c>
      <c r="GR191" t="e">
        <f>AND(Bills!Z728,"AAAAAHO2L8c=")</f>
        <v>#VALUE!</v>
      </c>
      <c r="GS191" t="e">
        <f>AND(Bills!#REF!,"AAAAAHO2L8g=")</f>
        <v>#REF!</v>
      </c>
      <c r="GT191" t="e">
        <f>AND(Bills!#REF!,"AAAAAHO2L8k=")</f>
        <v>#REF!</v>
      </c>
      <c r="GU191" t="e">
        <f>AND(Bills!#REF!,"AAAAAHO2L8o=")</f>
        <v>#REF!</v>
      </c>
      <c r="GV191" t="e">
        <f>AND(Bills!AA728,"AAAAAHO2L8s=")</f>
        <v>#VALUE!</v>
      </c>
      <c r="GW191" t="e">
        <f>AND(Bills!AB728,"AAAAAHO2L8w=")</f>
        <v>#VALUE!</v>
      </c>
      <c r="GX191" t="e">
        <f>AND(Bills!#REF!,"AAAAAHO2L80=")</f>
        <v>#REF!</v>
      </c>
      <c r="GY191">
        <f>IF(Bills!729:729,"AAAAAHO2L84=",0)</f>
        <v>0</v>
      </c>
      <c r="GZ191" t="e">
        <f>AND(Bills!B729,"AAAAAHO2L88=")</f>
        <v>#VALUE!</v>
      </c>
      <c r="HA191" t="e">
        <f>AND(Bills!#REF!,"AAAAAHO2L9A=")</f>
        <v>#REF!</v>
      </c>
      <c r="HB191" t="e">
        <f>AND(Bills!C729,"AAAAAHO2L9E=")</f>
        <v>#VALUE!</v>
      </c>
      <c r="HC191" t="e">
        <f>AND(Bills!#REF!,"AAAAAHO2L9I=")</f>
        <v>#REF!</v>
      </c>
      <c r="HD191" t="e">
        <f>AND(Bills!#REF!,"AAAAAHO2L9M=")</f>
        <v>#REF!</v>
      </c>
      <c r="HE191" t="e">
        <f>AND(Bills!#REF!,"AAAAAHO2L9Q=")</f>
        <v>#REF!</v>
      </c>
      <c r="HF191" t="e">
        <f>AND(Bills!#REF!,"AAAAAHO2L9U=")</f>
        <v>#REF!</v>
      </c>
      <c r="HG191" t="e">
        <f>AND(Bills!#REF!,"AAAAAHO2L9Y=")</f>
        <v>#REF!</v>
      </c>
      <c r="HH191" t="e">
        <f>AND(Bills!D729,"AAAAAHO2L9c=")</f>
        <v>#VALUE!</v>
      </c>
      <c r="HI191" t="e">
        <f>AND(Bills!#REF!,"AAAAAHO2L9g=")</f>
        <v>#REF!</v>
      </c>
      <c r="HJ191" t="e">
        <f>AND(Bills!E729,"AAAAAHO2L9k=")</f>
        <v>#VALUE!</v>
      </c>
      <c r="HK191" t="e">
        <f>AND(Bills!F729,"AAAAAHO2L9o=")</f>
        <v>#VALUE!</v>
      </c>
      <c r="HL191" t="e">
        <f>AND(Bills!G729,"AAAAAHO2L9s=")</f>
        <v>#VALUE!</v>
      </c>
      <c r="HM191" t="e">
        <f>AND(Bills!H729,"AAAAAHO2L9w=")</f>
        <v>#VALUE!</v>
      </c>
      <c r="HN191" t="e">
        <f>AND(Bills!I729,"AAAAAHO2L90=")</f>
        <v>#VALUE!</v>
      </c>
      <c r="HO191" t="e">
        <f>AND(Bills!J729,"AAAAAHO2L94=")</f>
        <v>#VALUE!</v>
      </c>
      <c r="HP191" t="e">
        <f>AND(Bills!#REF!,"AAAAAHO2L98=")</f>
        <v>#REF!</v>
      </c>
      <c r="HQ191" t="e">
        <f>AND(Bills!K729,"AAAAAHO2L+A=")</f>
        <v>#VALUE!</v>
      </c>
      <c r="HR191" t="e">
        <f>AND(Bills!L729,"AAAAAHO2L+E=")</f>
        <v>#VALUE!</v>
      </c>
      <c r="HS191" t="e">
        <f>AND(Bills!M729,"AAAAAHO2L+I=")</f>
        <v>#VALUE!</v>
      </c>
      <c r="HT191" t="e">
        <f>AND(Bills!N729,"AAAAAHO2L+M=")</f>
        <v>#VALUE!</v>
      </c>
      <c r="HU191" t="e">
        <f>AND(Bills!O729,"AAAAAHO2L+Q=")</f>
        <v>#VALUE!</v>
      </c>
      <c r="HV191" t="e">
        <f>AND(Bills!P729,"AAAAAHO2L+U=")</f>
        <v>#VALUE!</v>
      </c>
      <c r="HW191" t="e">
        <f>AND(Bills!Q729,"AAAAAHO2L+Y=")</f>
        <v>#VALUE!</v>
      </c>
      <c r="HX191" t="e">
        <f>AND(Bills!R729,"AAAAAHO2L+c=")</f>
        <v>#VALUE!</v>
      </c>
      <c r="HY191" t="e">
        <f>AND(Bills!#REF!,"AAAAAHO2L+g=")</f>
        <v>#REF!</v>
      </c>
      <c r="HZ191" t="e">
        <f>AND(Bills!S729,"AAAAAHO2L+k=")</f>
        <v>#VALUE!</v>
      </c>
      <c r="IA191" t="e">
        <f>AND(Bills!T729,"AAAAAHO2L+o=")</f>
        <v>#VALUE!</v>
      </c>
      <c r="IB191" t="e">
        <f>AND(Bills!U729,"AAAAAHO2L+s=")</f>
        <v>#VALUE!</v>
      </c>
      <c r="IC191" t="e">
        <f>AND(Bills!#REF!,"AAAAAHO2L+w=")</f>
        <v>#REF!</v>
      </c>
      <c r="ID191" t="e">
        <f>AND(Bills!#REF!,"AAAAAHO2L+0=")</f>
        <v>#REF!</v>
      </c>
      <c r="IE191" t="e">
        <f>AND(Bills!W729,"AAAAAHO2L+4=")</f>
        <v>#VALUE!</v>
      </c>
      <c r="IF191" t="e">
        <f>AND(Bills!X729,"AAAAAHO2L+8=")</f>
        <v>#VALUE!</v>
      </c>
      <c r="IG191" t="e">
        <f>AND(Bills!#REF!,"AAAAAHO2L/A=")</f>
        <v>#REF!</v>
      </c>
      <c r="IH191" t="e">
        <f>AND(Bills!#REF!,"AAAAAHO2L/E=")</f>
        <v>#REF!</v>
      </c>
      <c r="II191" t="e">
        <f>AND(Bills!#REF!,"AAAAAHO2L/I=")</f>
        <v>#REF!</v>
      </c>
      <c r="IJ191" t="e">
        <f>AND(Bills!#REF!,"AAAAAHO2L/M=")</f>
        <v>#REF!</v>
      </c>
      <c r="IK191" t="e">
        <f>AND(Bills!#REF!,"AAAAAHO2L/Q=")</f>
        <v>#REF!</v>
      </c>
      <c r="IL191" t="e">
        <f>AND(Bills!#REF!,"AAAAAHO2L/U=")</f>
        <v>#REF!</v>
      </c>
      <c r="IM191" t="e">
        <f>AND(Bills!#REF!,"AAAAAHO2L/Y=")</f>
        <v>#REF!</v>
      </c>
      <c r="IN191" t="e">
        <f>AND(Bills!#REF!,"AAAAAHO2L/c=")</f>
        <v>#REF!</v>
      </c>
      <c r="IO191" t="e">
        <f>AND(Bills!#REF!,"AAAAAHO2L/g=")</f>
        <v>#REF!</v>
      </c>
      <c r="IP191" t="e">
        <f>AND(Bills!Y729,"AAAAAHO2L/k=")</f>
        <v>#VALUE!</v>
      </c>
      <c r="IQ191" t="e">
        <f>AND(Bills!Z729,"AAAAAHO2L/o=")</f>
        <v>#VALUE!</v>
      </c>
      <c r="IR191" t="e">
        <f>AND(Bills!#REF!,"AAAAAHO2L/s=")</f>
        <v>#REF!</v>
      </c>
      <c r="IS191" t="e">
        <f>AND(Bills!#REF!,"AAAAAHO2L/w=")</f>
        <v>#REF!</v>
      </c>
      <c r="IT191" t="e">
        <f>AND(Bills!#REF!,"AAAAAHO2L/0=")</f>
        <v>#REF!</v>
      </c>
      <c r="IU191" t="e">
        <f>AND(Bills!AA729,"AAAAAHO2L/4=")</f>
        <v>#VALUE!</v>
      </c>
      <c r="IV191" t="e">
        <f>AND(Bills!AB729,"AAAAAHO2L/8=")</f>
        <v>#VALUE!</v>
      </c>
    </row>
    <row r="192" spans="1:256">
      <c r="A192" t="e">
        <f>AND(Bills!#REF!,"AAAAADtK9gA=")</f>
        <v>#REF!</v>
      </c>
      <c r="B192">
        <f>IF(Bills!730:730,"AAAAADtK9gE=",0)</f>
        <v>0</v>
      </c>
      <c r="C192" t="e">
        <f>AND(Bills!B730,"AAAAADtK9gI=")</f>
        <v>#VALUE!</v>
      </c>
      <c r="D192" t="e">
        <f>AND(Bills!#REF!,"AAAAADtK9gM=")</f>
        <v>#REF!</v>
      </c>
      <c r="E192" t="e">
        <f>AND(Bills!C730,"AAAAADtK9gQ=")</f>
        <v>#VALUE!</v>
      </c>
      <c r="F192" t="e">
        <f>AND(Bills!#REF!,"AAAAADtK9gU=")</f>
        <v>#REF!</v>
      </c>
      <c r="G192" t="e">
        <f>AND(Bills!#REF!,"AAAAADtK9gY=")</f>
        <v>#REF!</v>
      </c>
      <c r="H192" t="e">
        <f>AND(Bills!#REF!,"AAAAADtK9gc=")</f>
        <v>#REF!</v>
      </c>
      <c r="I192" t="e">
        <f>AND(Bills!#REF!,"AAAAADtK9gg=")</f>
        <v>#REF!</v>
      </c>
      <c r="J192" t="e">
        <f>AND(Bills!#REF!,"AAAAADtK9gk=")</f>
        <v>#REF!</v>
      </c>
      <c r="K192" t="e">
        <f>AND(Bills!D730,"AAAAADtK9go=")</f>
        <v>#VALUE!</v>
      </c>
      <c r="L192" t="e">
        <f>AND(Bills!#REF!,"AAAAADtK9gs=")</f>
        <v>#REF!</v>
      </c>
      <c r="M192" t="e">
        <f>AND(Bills!E730,"AAAAADtK9gw=")</f>
        <v>#VALUE!</v>
      </c>
      <c r="N192" t="e">
        <f>AND(Bills!F730,"AAAAADtK9g0=")</f>
        <v>#VALUE!</v>
      </c>
      <c r="O192" t="e">
        <f>AND(Bills!G730,"AAAAADtK9g4=")</f>
        <v>#VALUE!</v>
      </c>
      <c r="P192" t="e">
        <f>AND(Bills!H730,"AAAAADtK9g8=")</f>
        <v>#VALUE!</v>
      </c>
      <c r="Q192" t="e">
        <f>AND(Bills!I730,"AAAAADtK9hA=")</f>
        <v>#VALUE!</v>
      </c>
      <c r="R192" t="e">
        <f>AND(Bills!J730,"AAAAADtK9hE=")</f>
        <v>#VALUE!</v>
      </c>
      <c r="S192" t="e">
        <f>AND(Bills!#REF!,"AAAAADtK9hI=")</f>
        <v>#REF!</v>
      </c>
      <c r="T192" t="e">
        <f>AND(Bills!K730,"AAAAADtK9hM=")</f>
        <v>#VALUE!</v>
      </c>
      <c r="U192" t="e">
        <f>AND(Bills!L730,"AAAAADtK9hQ=")</f>
        <v>#VALUE!</v>
      </c>
      <c r="V192" t="e">
        <f>AND(Bills!M730,"AAAAADtK9hU=")</f>
        <v>#VALUE!</v>
      </c>
      <c r="W192" t="e">
        <f>AND(Bills!N730,"AAAAADtK9hY=")</f>
        <v>#VALUE!</v>
      </c>
      <c r="X192" t="e">
        <f>AND(Bills!O730,"AAAAADtK9hc=")</f>
        <v>#VALUE!</v>
      </c>
      <c r="Y192" t="e">
        <f>AND(Bills!P730,"AAAAADtK9hg=")</f>
        <v>#VALUE!</v>
      </c>
      <c r="Z192" t="e">
        <f>AND(Bills!Q730,"AAAAADtK9hk=")</f>
        <v>#VALUE!</v>
      </c>
      <c r="AA192" t="e">
        <f>AND(Bills!R730,"AAAAADtK9ho=")</f>
        <v>#VALUE!</v>
      </c>
      <c r="AB192" t="e">
        <f>AND(Bills!#REF!,"AAAAADtK9hs=")</f>
        <v>#REF!</v>
      </c>
      <c r="AC192" t="e">
        <f>AND(Bills!S730,"AAAAADtK9hw=")</f>
        <v>#VALUE!</v>
      </c>
      <c r="AD192" t="e">
        <f>AND(Bills!T730,"AAAAADtK9h0=")</f>
        <v>#VALUE!</v>
      </c>
      <c r="AE192" t="e">
        <f>AND(Bills!U730,"AAAAADtK9h4=")</f>
        <v>#VALUE!</v>
      </c>
      <c r="AF192" t="e">
        <f>AND(Bills!#REF!,"AAAAADtK9h8=")</f>
        <v>#REF!</v>
      </c>
      <c r="AG192" t="e">
        <f>AND(Bills!#REF!,"AAAAADtK9iA=")</f>
        <v>#REF!</v>
      </c>
      <c r="AH192" t="e">
        <f>AND(Bills!W730,"AAAAADtK9iE=")</f>
        <v>#VALUE!</v>
      </c>
      <c r="AI192" t="e">
        <f>AND(Bills!X730,"AAAAADtK9iI=")</f>
        <v>#VALUE!</v>
      </c>
      <c r="AJ192" t="e">
        <f>AND(Bills!#REF!,"AAAAADtK9iM=")</f>
        <v>#REF!</v>
      </c>
      <c r="AK192" t="e">
        <f>AND(Bills!#REF!,"AAAAADtK9iQ=")</f>
        <v>#REF!</v>
      </c>
      <c r="AL192" t="e">
        <f>AND(Bills!#REF!,"AAAAADtK9iU=")</f>
        <v>#REF!</v>
      </c>
      <c r="AM192" t="e">
        <f>AND(Bills!#REF!,"AAAAADtK9iY=")</f>
        <v>#REF!</v>
      </c>
      <c r="AN192" t="e">
        <f>AND(Bills!#REF!,"AAAAADtK9ic=")</f>
        <v>#REF!</v>
      </c>
      <c r="AO192" t="e">
        <f>AND(Bills!#REF!,"AAAAADtK9ig=")</f>
        <v>#REF!</v>
      </c>
      <c r="AP192" t="e">
        <f>AND(Bills!#REF!,"AAAAADtK9ik=")</f>
        <v>#REF!</v>
      </c>
      <c r="AQ192" t="e">
        <f>AND(Bills!#REF!,"AAAAADtK9io=")</f>
        <v>#REF!</v>
      </c>
      <c r="AR192" t="e">
        <f>AND(Bills!#REF!,"AAAAADtK9is=")</f>
        <v>#REF!</v>
      </c>
      <c r="AS192" t="e">
        <f>AND(Bills!Y730,"AAAAADtK9iw=")</f>
        <v>#VALUE!</v>
      </c>
      <c r="AT192" t="e">
        <f>AND(Bills!Z730,"AAAAADtK9i0=")</f>
        <v>#VALUE!</v>
      </c>
      <c r="AU192" t="e">
        <f>AND(Bills!#REF!,"AAAAADtK9i4=")</f>
        <v>#REF!</v>
      </c>
      <c r="AV192" t="e">
        <f>AND(Bills!#REF!,"AAAAADtK9i8=")</f>
        <v>#REF!</v>
      </c>
      <c r="AW192" t="e">
        <f>AND(Bills!#REF!,"AAAAADtK9jA=")</f>
        <v>#REF!</v>
      </c>
      <c r="AX192" t="e">
        <f>AND(Bills!AA730,"AAAAADtK9jE=")</f>
        <v>#VALUE!</v>
      </c>
      <c r="AY192" t="e">
        <f>AND(Bills!AB730,"AAAAADtK9jI=")</f>
        <v>#VALUE!</v>
      </c>
      <c r="AZ192" t="e">
        <f>AND(Bills!#REF!,"AAAAADtK9jM=")</f>
        <v>#REF!</v>
      </c>
      <c r="BA192">
        <f>IF(Bills!731:731,"AAAAADtK9jQ=",0)</f>
        <v>0</v>
      </c>
      <c r="BB192" t="e">
        <f>AND(Bills!B731,"AAAAADtK9jU=")</f>
        <v>#VALUE!</v>
      </c>
      <c r="BC192" t="e">
        <f>AND(Bills!#REF!,"AAAAADtK9jY=")</f>
        <v>#REF!</v>
      </c>
      <c r="BD192" t="e">
        <f>AND(Bills!C731,"AAAAADtK9jc=")</f>
        <v>#VALUE!</v>
      </c>
      <c r="BE192" t="e">
        <f>AND(Bills!#REF!,"AAAAADtK9jg=")</f>
        <v>#REF!</v>
      </c>
      <c r="BF192" t="e">
        <f>AND(Bills!#REF!,"AAAAADtK9jk=")</f>
        <v>#REF!</v>
      </c>
      <c r="BG192" t="e">
        <f>AND(Bills!#REF!,"AAAAADtK9jo=")</f>
        <v>#REF!</v>
      </c>
      <c r="BH192" t="e">
        <f>AND(Bills!#REF!,"AAAAADtK9js=")</f>
        <v>#REF!</v>
      </c>
      <c r="BI192" t="e">
        <f>AND(Bills!#REF!,"AAAAADtK9jw=")</f>
        <v>#REF!</v>
      </c>
      <c r="BJ192" t="e">
        <f>AND(Bills!D731,"AAAAADtK9j0=")</f>
        <v>#VALUE!</v>
      </c>
      <c r="BK192" t="e">
        <f>AND(Bills!#REF!,"AAAAADtK9j4=")</f>
        <v>#REF!</v>
      </c>
      <c r="BL192" t="e">
        <f>AND(Bills!E731,"AAAAADtK9j8=")</f>
        <v>#VALUE!</v>
      </c>
      <c r="BM192" t="e">
        <f>AND(Bills!F731,"AAAAADtK9kA=")</f>
        <v>#VALUE!</v>
      </c>
      <c r="BN192" t="e">
        <f>AND(Bills!G731,"AAAAADtK9kE=")</f>
        <v>#VALUE!</v>
      </c>
      <c r="BO192" t="e">
        <f>AND(Bills!H731,"AAAAADtK9kI=")</f>
        <v>#VALUE!</v>
      </c>
      <c r="BP192" t="e">
        <f>AND(Bills!I731,"AAAAADtK9kM=")</f>
        <v>#VALUE!</v>
      </c>
      <c r="BQ192" t="e">
        <f>AND(Bills!J731,"AAAAADtK9kQ=")</f>
        <v>#VALUE!</v>
      </c>
      <c r="BR192" t="e">
        <f>AND(Bills!#REF!,"AAAAADtK9kU=")</f>
        <v>#REF!</v>
      </c>
      <c r="BS192" t="e">
        <f>AND(Bills!K731,"AAAAADtK9kY=")</f>
        <v>#VALUE!</v>
      </c>
      <c r="BT192" t="e">
        <f>AND(Bills!L731,"AAAAADtK9kc=")</f>
        <v>#VALUE!</v>
      </c>
      <c r="BU192" t="e">
        <f>AND(Bills!M731,"AAAAADtK9kg=")</f>
        <v>#VALUE!</v>
      </c>
      <c r="BV192" t="e">
        <f>AND(Bills!N731,"AAAAADtK9kk=")</f>
        <v>#VALUE!</v>
      </c>
      <c r="BW192" t="e">
        <f>AND(Bills!O731,"AAAAADtK9ko=")</f>
        <v>#VALUE!</v>
      </c>
      <c r="BX192" t="e">
        <f>AND(Bills!P731,"AAAAADtK9ks=")</f>
        <v>#VALUE!</v>
      </c>
      <c r="BY192" t="e">
        <f>AND(Bills!Q731,"AAAAADtK9kw=")</f>
        <v>#VALUE!</v>
      </c>
      <c r="BZ192" t="e">
        <f>AND(Bills!R731,"AAAAADtK9k0=")</f>
        <v>#VALUE!</v>
      </c>
      <c r="CA192" t="e">
        <f>AND(Bills!#REF!,"AAAAADtK9k4=")</f>
        <v>#REF!</v>
      </c>
      <c r="CB192" t="e">
        <f>AND(Bills!S731,"AAAAADtK9k8=")</f>
        <v>#VALUE!</v>
      </c>
      <c r="CC192" t="e">
        <f>AND(Bills!T731,"AAAAADtK9lA=")</f>
        <v>#VALUE!</v>
      </c>
      <c r="CD192" t="e">
        <f>AND(Bills!U731,"AAAAADtK9lE=")</f>
        <v>#VALUE!</v>
      </c>
      <c r="CE192" t="e">
        <f>AND(Bills!#REF!,"AAAAADtK9lI=")</f>
        <v>#REF!</v>
      </c>
      <c r="CF192" t="e">
        <f>AND(Bills!#REF!,"AAAAADtK9lM=")</f>
        <v>#REF!</v>
      </c>
      <c r="CG192" t="e">
        <f>AND(Bills!W731,"AAAAADtK9lQ=")</f>
        <v>#VALUE!</v>
      </c>
      <c r="CH192" t="e">
        <f>AND(Bills!X731,"AAAAADtK9lU=")</f>
        <v>#VALUE!</v>
      </c>
      <c r="CI192" t="e">
        <f>AND(Bills!#REF!,"AAAAADtK9lY=")</f>
        <v>#REF!</v>
      </c>
      <c r="CJ192" t="e">
        <f>AND(Bills!#REF!,"AAAAADtK9lc=")</f>
        <v>#REF!</v>
      </c>
      <c r="CK192" t="e">
        <f>AND(Bills!#REF!,"AAAAADtK9lg=")</f>
        <v>#REF!</v>
      </c>
      <c r="CL192" t="e">
        <f>AND(Bills!#REF!,"AAAAADtK9lk=")</f>
        <v>#REF!</v>
      </c>
      <c r="CM192" t="e">
        <f>AND(Bills!#REF!,"AAAAADtK9lo=")</f>
        <v>#REF!</v>
      </c>
      <c r="CN192" t="e">
        <f>AND(Bills!#REF!,"AAAAADtK9ls=")</f>
        <v>#REF!</v>
      </c>
      <c r="CO192" t="e">
        <f>AND(Bills!#REF!,"AAAAADtK9lw=")</f>
        <v>#REF!</v>
      </c>
      <c r="CP192" t="e">
        <f>AND(Bills!#REF!,"AAAAADtK9l0=")</f>
        <v>#REF!</v>
      </c>
      <c r="CQ192" t="e">
        <f>AND(Bills!#REF!,"AAAAADtK9l4=")</f>
        <v>#REF!</v>
      </c>
      <c r="CR192" t="e">
        <f>AND(Bills!Y731,"AAAAADtK9l8=")</f>
        <v>#VALUE!</v>
      </c>
      <c r="CS192" t="e">
        <f>AND(Bills!Z731,"AAAAADtK9mA=")</f>
        <v>#VALUE!</v>
      </c>
      <c r="CT192" t="e">
        <f>AND(Bills!#REF!,"AAAAADtK9mE=")</f>
        <v>#REF!</v>
      </c>
      <c r="CU192" t="e">
        <f>AND(Bills!#REF!,"AAAAADtK9mI=")</f>
        <v>#REF!</v>
      </c>
      <c r="CV192" t="e">
        <f>AND(Bills!#REF!,"AAAAADtK9mM=")</f>
        <v>#REF!</v>
      </c>
      <c r="CW192" t="e">
        <f>AND(Bills!AA731,"AAAAADtK9mQ=")</f>
        <v>#VALUE!</v>
      </c>
      <c r="CX192" t="e">
        <f>AND(Bills!AB731,"AAAAADtK9mU=")</f>
        <v>#VALUE!</v>
      </c>
      <c r="CY192" t="e">
        <f>AND(Bills!#REF!,"AAAAADtK9mY=")</f>
        <v>#REF!</v>
      </c>
      <c r="CZ192">
        <f>IF(Bills!732:732,"AAAAADtK9mc=",0)</f>
        <v>0</v>
      </c>
      <c r="DA192" t="e">
        <f>AND(Bills!B732,"AAAAADtK9mg=")</f>
        <v>#VALUE!</v>
      </c>
      <c r="DB192" t="e">
        <f>AND(Bills!#REF!,"AAAAADtK9mk=")</f>
        <v>#REF!</v>
      </c>
      <c r="DC192" t="e">
        <f>AND(Bills!C732,"AAAAADtK9mo=")</f>
        <v>#VALUE!</v>
      </c>
      <c r="DD192" t="e">
        <f>AND(Bills!#REF!,"AAAAADtK9ms=")</f>
        <v>#REF!</v>
      </c>
      <c r="DE192" t="e">
        <f>AND(Bills!#REF!,"AAAAADtK9mw=")</f>
        <v>#REF!</v>
      </c>
      <c r="DF192" t="e">
        <f>AND(Bills!#REF!,"AAAAADtK9m0=")</f>
        <v>#REF!</v>
      </c>
      <c r="DG192" t="e">
        <f>AND(Bills!#REF!,"AAAAADtK9m4=")</f>
        <v>#REF!</v>
      </c>
      <c r="DH192" t="e">
        <f>AND(Bills!#REF!,"AAAAADtK9m8=")</f>
        <v>#REF!</v>
      </c>
      <c r="DI192" t="e">
        <f>AND(Bills!D732,"AAAAADtK9nA=")</f>
        <v>#VALUE!</v>
      </c>
      <c r="DJ192" t="e">
        <f>AND(Bills!#REF!,"AAAAADtK9nE=")</f>
        <v>#REF!</v>
      </c>
      <c r="DK192" t="e">
        <f>AND(Bills!E732,"AAAAADtK9nI=")</f>
        <v>#VALUE!</v>
      </c>
      <c r="DL192" t="e">
        <f>AND(Bills!F732,"AAAAADtK9nM=")</f>
        <v>#VALUE!</v>
      </c>
      <c r="DM192" t="e">
        <f>AND(Bills!G732,"AAAAADtK9nQ=")</f>
        <v>#VALUE!</v>
      </c>
      <c r="DN192" t="e">
        <f>AND(Bills!H732,"AAAAADtK9nU=")</f>
        <v>#VALUE!</v>
      </c>
      <c r="DO192" t="e">
        <f>AND(Bills!I732,"AAAAADtK9nY=")</f>
        <v>#VALUE!</v>
      </c>
      <c r="DP192" t="e">
        <f>AND(Bills!J732,"AAAAADtK9nc=")</f>
        <v>#VALUE!</v>
      </c>
      <c r="DQ192" t="e">
        <f>AND(Bills!#REF!,"AAAAADtK9ng=")</f>
        <v>#REF!</v>
      </c>
      <c r="DR192" t="e">
        <f>AND(Bills!K732,"AAAAADtK9nk=")</f>
        <v>#VALUE!</v>
      </c>
      <c r="DS192" t="e">
        <f>AND(Bills!L732,"AAAAADtK9no=")</f>
        <v>#VALUE!</v>
      </c>
      <c r="DT192" t="e">
        <f>AND(Bills!M732,"AAAAADtK9ns=")</f>
        <v>#VALUE!</v>
      </c>
      <c r="DU192" t="e">
        <f>AND(Bills!N732,"AAAAADtK9nw=")</f>
        <v>#VALUE!</v>
      </c>
      <c r="DV192" t="e">
        <f>AND(Bills!O732,"AAAAADtK9n0=")</f>
        <v>#VALUE!</v>
      </c>
      <c r="DW192" t="e">
        <f>AND(Bills!P732,"AAAAADtK9n4=")</f>
        <v>#VALUE!</v>
      </c>
      <c r="DX192" t="e">
        <f>AND(Bills!Q732,"AAAAADtK9n8=")</f>
        <v>#VALUE!</v>
      </c>
      <c r="DY192" t="e">
        <f>AND(Bills!R732,"AAAAADtK9oA=")</f>
        <v>#VALUE!</v>
      </c>
      <c r="DZ192" t="e">
        <f>AND(Bills!#REF!,"AAAAADtK9oE=")</f>
        <v>#REF!</v>
      </c>
      <c r="EA192" t="e">
        <f>AND(Bills!S732,"AAAAADtK9oI=")</f>
        <v>#VALUE!</v>
      </c>
      <c r="EB192" t="e">
        <f>AND(Bills!T732,"AAAAADtK9oM=")</f>
        <v>#VALUE!</v>
      </c>
      <c r="EC192" t="e">
        <f>AND(Bills!U732,"AAAAADtK9oQ=")</f>
        <v>#VALUE!</v>
      </c>
      <c r="ED192" t="e">
        <f>AND(Bills!#REF!,"AAAAADtK9oU=")</f>
        <v>#REF!</v>
      </c>
      <c r="EE192" t="e">
        <f>AND(Bills!#REF!,"AAAAADtK9oY=")</f>
        <v>#REF!</v>
      </c>
      <c r="EF192" t="e">
        <f>AND(Bills!W732,"AAAAADtK9oc=")</f>
        <v>#VALUE!</v>
      </c>
      <c r="EG192" t="e">
        <f>AND(Bills!X732,"AAAAADtK9og=")</f>
        <v>#VALUE!</v>
      </c>
      <c r="EH192" t="e">
        <f>AND(Bills!#REF!,"AAAAADtK9ok=")</f>
        <v>#REF!</v>
      </c>
      <c r="EI192" t="e">
        <f>AND(Bills!#REF!,"AAAAADtK9oo=")</f>
        <v>#REF!</v>
      </c>
      <c r="EJ192" t="e">
        <f>AND(Bills!#REF!,"AAAAADtK9os=")</f>
        <v>#REF!</v>
      </c>
      <c r="EK192" t="e">
        <f>AND(Bills!#REF!,"AAAAADtK9ow=")</f>
        <v>#REF!</v>
      </c>
      <c r="EL192" t="e">
        <f>AND(Bills!#REF!,"AAAAADtK9o0=")</f>
        <v>#REF!</v>
      </c>
      <c r="EM192" t="e">
        <f>AND(Bills!#REF!,"AAAAADtK9o4=")</f>
        <v>#REF!</v>
      </c>
      <c r="EN192" t="e">
        <f>AND(Bills!#REF!,"AAAAADtK9o8=")</f>
        <v>#REF!</v>
      </c>
      <c r="EO192" t="e">
        <f>AND(Bills!#REF!,"AAAAADtK9pA=")</f>
        <v>#REF!</v>
      </c>
      <c r="EP192" t="e">
        <f>AND(Bills!#REF!,"AAAAADtK9pE=")</f>
        <v>#REF!</v>
      </c>
      <c r="EQ192" t="e">
        <f>AND(Bills!Y732,"AAAAADtK9pI=")</f>
        <v>#VALUE!</v>
      </c>
      <c r="ER192" t="e">
        <f>AND(Bills!Z732,"AAAAADtK9pM=")</f>
        <v>#VALUE!</v>
      </c>
      <c r="ES192" t="e">
        <f>AND(Bills!#REF!,"AAAAADtK9pQ=")</f>
        <v>#REF!</v>
      </c>
      <c r="ET192" t="e">
        <f>AND(Bills!#REF!,"AAAAADtK9pU=")</f>
        <v>#REF!</v>
      </c>
      <c r="EU192" t="e">
        <f>AND(Bills!#REF!,"AAAAADtK9pY=")</f>
        <v>#REF!</v>
      </c>
      <c r="EV192" t="e">
        <f>AND(Bills!AA732,"AAAAADtK9pc=")</f>
        <v>#VALUE!</v>
      </c>
      <c r="EW192" t="e">
        <f>AND(Bills!AB732,"AAAAADtK9pg=")</f>
        <v>#VALUE!</v>
      </c>
      <c r="EX192" t="e">
        <f>AND(Bills!#REF!,"AAAAADtK9pk=")</f>
        <v>#REF!</v>
      </c>
      <c r="EY192">
        <f>IF(Bills!733:733,"AAAAADtK9po=",0)</f>
        <v>0</v>
      </c>
      <c r="EZ192" t="e">
        <f>AND(Bills!B733,"AAAAADtK9ps=")</f>
        <v>#VALUE!</v>
      </c>
      <c r="FA192" t="e">
        <f>AND(Bills!#REF!,"AAAAADtK9pw=")</f>
        <v>#REF!</v>
      </c>
      <c r="FB192" t="e">
        <f>AND(Bills!C733,"AAAAADtK9p0=")</f>
        <v>#VALUE!</v>
      </c>
      <c r="FC192" t="e">
        <f>AND(Bills!#REF!,"AAAAADtK9p4=")</f>
        <v>#REF!</v>
      </c>
      <c r="FD192" t="e">
        <f>AND(Bills!#REF!,"AAAAADtK9p8=")</f>
        <v>#REF!</v>
      </c>
      <c r="FE192" t="e">
        <f>AND(Bills!#REF!,"AAAAADtK9qA=")</f>
        <v>#REF!</v>
      </c>
      <c r="FF192" t="e">
        <f>AND(Bills!#REF!,"AAAAADtK9qE=")</f>
        <v>#REF!</v>
      </c>
      <c r="FG192" t="e">
        <f>AND(Bills!#REF!,"AAAAADtK9qI=")</f>
        <v>#REF!</v>
      </c>
      <c r="FH192" t="e">
        <f>AND(Bills!D733,"AAAAADtK9qM=")</f>
        <v>#VALUE!</v>
      </c>
      <c r="FI192" t="e">
        <f>AND(Bills!#REF!,"AAAAADtK9qQ=")</f>
        <v>#REF!</v>
      </c>
      <c r="FJ192" t="e">
        <f>AND(Bills!E733,"AAAAADtK9qU=")</f>
        <v>#VALUE!</v>
      </c>
      <c r="FK192" t="e">
        <f>AND(Bills!F733,"AAAAADtK9qY=")</f>
        <v>#VALUE!</v>
      </c>
      <c r="FL192" t="e">
        <f>AND(Bills!G733,"AAAAADtK9qc=")</f>
        <v>#VALUE!</v>
      </c>
      <c r="FM192" t="e">
        <f>AND(Bills!H733,"AAAAADtK9qg=")</f>
        <v>#VALUE!</v>
      </c>
      <c r="FN192" t="e">
        <f>AND(Bills!I733,"AAAAADtK9qk=")</f>
        <v>#VALUE!</v>
      </c>
      <c r="FO192" t="e">
        <f>AND(Bills!J733,"AAAAADtK9qo=")</f>
        <v>#VALUE!</v>
      </c>
      <c r="FP192" t="e">
        <f>AND(Bills!#REF!,"AAAAADtK9qs=")</f>
        <v>#REF!</v>
      </c>
      <c r="FQ192" t="e">
        <f>AND(Bills!K733,"AAAAADtK9qw=")</f>
        <v>#VALUE!</v>
      </c>
      <c r="FR192" t="e">
        <f>AND(Bills!L733,"AAAAADtK9q0=")</f>
        <v>#VALUE!</v>
      </c>
      <c r="FS192" t="e">
        <f>AND(Bills!M733,"AAAAADtK9q4=")</f>
        <v>#VALUE!</v>
      </c>
      <c r="FT192" t="e">
        <f>AND(Bills!N733,"AAAAADtK9q8=")</f>
        <v>#VALUE!</v>
      </c>
      <c r="FU192" t="e">
        <f>AND(Bills!O733,"AAAAADtK9rA=")</f>
        <v>#VALUE!</v>
      </c>
      <c r="FV192" t="e">
        <f>AND(Bills!P733,"AAAAADtK9rE=")</f>
        <v>#VALUE!</v>
      </c>
      <c r="FW192" t="e">
        <f>AND(Bills!Q733,"AAAAADtK9rI=")</f>
        <v>#VALUE!</v>
      </c>
      <c r="FX192" t="e">
        <f>AND(Bills!R733,"AAAAADtK9rM=")</f>
        <v>#VALUE!</v>
      </c>
      <c r="FY192" t="e">
        <f>AND(Bills!#REF!,"AAAAADtK9rQ=")</f>
        <v>#REF!</v>
      </c>
      <c r="FZ192" t="e">
        <f>AND(Bills!S733,"AAAAADtK9rU=")</f>
        <v>#VALUE!</v>
      </c>
      <c r="GA192" t="e">
        <f>AND(Bills!T733,"AAAAADtK9rY=")</f>
        <v>#VALUE!</v>
      </c>
      <c r="GB192" t="e">
        <f>AND(Bills!U733,"AAAAADtK9rc=")</f>
        <v>#VALUE!</v>
      </c>
      <c r="GC192" t="e">
        <f>AND(Bills!#REF!,"AAAAADtK9rg=")</f>
        <v>#REF!</v>
      </c>
      <c r="GD192" t="e">
        <f>AND(Bills!#REF!,"AAAAADtK9rk=")</f>
        <v>#REF!</v>
      </c>
      <c r="GE192" t="e">
        <f>AND(Bills!W733,"AAAAADtK9ro=")</f>
        <v>#VALUE!</v>
      </c>
      <c r="GF192" t="e">
        <f>AND(Bills!X733,"AAAAADtK9rs=")</f>
        <v>#VALUE!</v>
      </c>
      <c r="GG192" t="e">
        <f>AND(Bills!#REF!,"AAAAADtK9rw=")</f>
        <v>#REF!</v>
      </c>
      <c r="GH192" t="e">
        <f>AND(Bills!#REF!,"AAAAADtK9r0=")</f>
        <v>#REF!</v>
      </c>
      <c r="GI192" t="e">
        <f>AND(Bills!#REF!,"AAAAADtK9r4=")</f>
        <v>#REF!</v>
      </c>
      <c r="GJ192" t="e">
        <f>AND(Bills!#REF!,"AAAAADtK9r8=")</f>
        <v>#REF!</v>
      </c>
      <c r="GK192" t="e">
        <f>AND(Bills!#REF!,"AAAAADtK9sA=")</f>
        <v>#REF!</v>
      </c>
      <c r="GL192" t="e">
        <f>AND(Bills!#REF!,"AAAAADtK9sE=")</f>
        <v>#REF!</v>
      </c>
      <c r="GM192" t="e">
        <f>AND(Bills!#REF!,"AAAAADtK9sI=")</f>
        <v>#REF!</v>
      </c>
      <c r="GN192" t="e">
        <f>AND(Bills!#REF!,"AAAAADtK9sM=")</f>
        <v>#REF!</v>
      </c>
      <c r="GO192" t="e">
        <f>AND(Bills!#REF!,"AAAAADtK9sQ=")</f>
        <v>#REF!</v>
      </c>
      <c r="GP192" t="e">
        <f>AND(Bills!Y733,"AAAAADtK9sU=")</f>
        <v>#VALUE!</v>
      </c>
      <c r="GQ192" t="e">
        <f>AND(Bills!Z733,"AAAAADtK9sY=")</f>
        <v>#VALUE!</v>
      </c>
      <c r="GR192" t="e">
        <f>AND(Bills!#REF!,"AAAAADtK9sc=")</f>
        <v>#REF!</v>
      </c>
      <c r="GS192" t="e">
        <f>AND(Bills!#REF!,"AAAAADtK9sg=")</f>
        <v>#REF!</v>
      </c>
      <c r="GT192" t="e">
        <f>AND(Bills!#REF!,"AAAAADtK9sk=")</f>
        <v>#REF!</v>
      </c>
      <c r="GU192" t="e">
        <f>AND(Bills!AA733,"AAAAADtK9so=")</f>
        <v>#VALUE!</v>
      </c>
      <c r="GV192" t="e">
        <f>AND(Bills!AB733,"AAAAADtK9ss=")</f>
        <v>#VALUE!</v>
      </c>
      <c r="GW192" t="e">
        <f>AND(Bills!#REF!,"AAAAADtK9sw=")</f>
        <v>#REF!</v>
      </c>
      <c r="GX192">
        <f>IF(Bills!734:734,"AAAAADtK9s0=",0)</f>
        <v>0</v>
      </c>
      <c r="GY192" t="e">
        <f>AND(Bills!B734,"AAAAADtK9s4=")</f>
        <v>#VALUE!</v>
      </c>
      <c r="GZ192" t="e">
        <f>AND(Bills!#REF!,"AAAAADtK9s8=")</f>
        <v>#REF!</v>
      </c>
      <c r="HA192" t="e">
        <f>AND(Bills!C734,"AAAAADtK9tA=")</f>
        <v>#VALUE!</v>
      </c>
      <c r="HB192" t="e">
        <f>AND(Bills!#REF!,"AAAAADtK9tE=")</f>
        <v>#REF!</v>
      </c>
      <c r="HC192" t="e">
        <f>AND(Bills!#REF!,"AAAAADtK9tI=")</f>
        <v>#REF!</v>
      </c>
      <c r="HD192" t="e">
        <f>AND(Bills!#REF!,"AAAAADtK9tM=")</f>
        <v>#REF!</v>
      </c>
      <c r="HE192" t="e">
        <f>AND(Bills!#REF!,"AAAAADtK9tQ=")</f>
        <v>#REF!</v>
      </c>
      <c r="HF192" t="e">
        <f>AND(Bills!#REF!,"AAAAADtK9tU=")</f>
        <v>#REF!</v>
      </c>
      <c r="HG192" t="e">
        <f>AND(Bills!D734,"AAAAADtK9tY=")</f>
        <v>#VALUE!</v>
      </c>
      <c r="HH192" t="e">
        <f>AND(Bills!#REF!,"AAAAADtK9tc=")</f>
        <v>#REF!</v>
      </c>
      <c r="HI192" t="e">
        <f>AND(Bills!E734,"AAAAADtK9tg=")</f>
        <v>#VALUE!</v>
      </c>
      <c r="HJ192" t="e">
        <f>AND(Bills!F734,"AAAAADtK9tk=")</f>
        <v>#VALUE!</v>
      </c>
      <c r="HK192" t="e">
        <f>AND(Bills!G734,"AAAAADtK9to=")</f>
        <v>#VALUE!</v>
      </c>
      <c r="HL192" t="e">
        <f>AND(Bills!H734,"AAAAADtK9ts=")</f>
        <v>#VALUE!</v>
      </c>
      <c r="HM192" t="e">
        <f>AND(Bills!I734,"AAAAADtK9tw=")</f>
        <v>#VALUE!</v>
      </c>
      <c r="HN192" t="e">
        <f>AND(Bills!J734,"AAAAADtK9t0=")</f>
        <v>#VALUE!</v>
      </c>
      <c r="HO192" t="e">
        <f>AND(Bills!#REF!,"AAAAADtK9t4=")</f>
        <v>#REF!</v>
      </c>
      <c r="HP192" t="e">
        <f>AND(Bills!K734,"AAAAADtK9t8=")</f>
        <v>#VALUE!</v>
      </c>
      <c r="HQ192" t="e">
        <f>AND(Bills!L734,"AAAAADtK9uA=")</f>
        <v>#VALUE!</v>
      </c>
      <c r="HR192" t="e">
        <f>AND(Bills!M734,"AAAAADtK9uE=")</f>
        <v>#VALUE!</v>
      </c>
      <c r="HS192" t="e">
        <f>AND(Bills!N734,"AAAAADtK9uI=")</f>
        <v>#VALUE!</v>
      </c>
      <c r="HT192" t="e">
        <f>AND(Bills!O734,"AAAAADtK9uM=")</f>
        <v>#VALUE!</v>
      </c>
      <c r="HU192" t="e">
        <f>AND(Bills!P734,"AAAAADtK9uQ=")</f>
        <v>#VALUE!</v>
      </c>
      <c r="HV192" t="e">
        <f>AND(Bills!Q734,"AAAAADtK9uU=")</f>
        <v>#VALUE!</v>
      </c>
      <c r="HW192" t="e">
        <f>AND(Bills!R734,"AAAAADtK9uY=")</f>
        <v>#VALUE!</v>
      </c>
      <c r="HX192" t="e">
        <f>AND(Bills!#REF!,"AAAAADtK9uc=")</f>
        <v>#REF!</v>
      </c>
      <c r="HY192" t="e">
        <f>AND(Bills!S734,"AAAAADtK9ug=")</f>
        <v>#VALUE!</v>
      </c>
      <c r="HZ192" t="e">
        <f>AND(Bills!T734,"AAAAADtK9uk=")</f>
        <v>#VALUE!</v>
      </c>
      <c r="IA192" t="e">
        <f>AND(Bills!U734,"AAAAADtK9uo=")</f>
        <v>#VALUE!</v>
      </c>
      <c r="IB192" t="e">
        <f>AND(Bills!#REF!,"AAAAADtK9us=")</f>
        <v>#REF!</v>
      </c>
      <c r="IC192" t="e">
        <f>AND(Bills!#REF!,"AAAAADtK9uw=")</f>
        <v>#REF!</v>
      </c>
      <c r="ID192" t="e">
        <f>AND(Bills!W734,"AAAAADtK9u0=")</f>
        <v>#VALUE!</v>
      </c>
      <c r="IE192" t="e">
        <f>AND(Bills!X734,"AAAAADtK9u4=")</f>
        <v>#VALUE!</v>
      </c>
      <c r="IF192" t="e">
        <f>AND(Bills!#REF!,"AAAAADtK9u8=")</f>
        <v>#REF!</v>
      </c>
      <c r="IG192" t="e">
        <f>AND(Bills!#REF!,"AAAAADtK9vA=")</f>
        <v>#REF!</v>
      </c>
      <c r="IH192" t="e">
        <f>AND(Bills!#REF!,"AAAAADtK9vE=")</f>
        <v>#REF!</v>
      </c>
      <c r="II192" t="e">
        <f>AND(Bills!#REF!,"AAAAADtK9vI=")</f>
        <v>#REF!</v>
      </c>
      <c r="IJ192" t="e">
        <f>AND(Bills!#REF!,"AAAAADtK9vM=")</f>
        <v>#REF!</v>
      </c>
      <c r="IK192" t="e">
        <f>AND(Bills!#REF!,"AAAAADtK9vQ=")</f>
        <v>#REF!</v>
      </c>
      <c r="IL192" t="e">
        <f>AND(Bills!#REF!,"AAAAADtK9vU=")</f>
        <v>#REF!</v>
      </c>
      <c r="IM192" t="e">
        <f>AND(Bills!#REF!,"AAAAADtK9vY=")</f>
        <v>#REF!</v>
      </c>
      <c r="IN192" t="e">
        <f>AND(Bills!#REF!,"AAAAADtK9vc=")</f>
        <v>#REF!</v>
      </c>
      <c r="IO192" t="e">
        <f>AND(Bills!Y734,"AAAAADtK9vg=")</f>
        <v>#VALUE!</v>
      </c>
      <c r="IP192" t="e">
        <f>AND(Bills!Z734,"AAAAADtK9vk=")</f>
        <v>#VALUE!</v>
      </c>
      <c r="IQ192" t="e">
        <f>AND(Bills!#REF!,"AAAAADtK9vo=")</f>
        <v>#REF!</v>
      </c>
      <c r="IR192" t="e">
        <f>AND(Bills!#REF!,"AAAAADtK9vs=")</f>
        <v>#REF!</v>
      </c>
      <c r="IS192" t="e">
        <f>AND(Bills!#REF!,"AAAAADtK9vw=")</f>
        <v>#REF!</v>
      </c>
      <c r="IT192" t="e">
        <f>AND(Bills!AA734,"AAAAADtK9v0=")</f>
        <v>#VALUE!</v>
      </c>
      <c r="IU192" t="e">
        <f>AND(Bills!AB734,"AAAAADtK9v4=")</f>
        <v>#VALUE!</v>
      </c>
      <c r="IV192" t="e">
        <f>AND(Bills!#REF!,"AAAAADtK9v8=")</f>
        <v>#REF!</v>
      </c>
    </row>
    <row r="193" spans="1:256">
      <c r="A193">
        <f>IF(Bills!735:735,"AAAAAHl+fQA=",0)</f>
        <v>0</v>
      </c>
      <c r="B193" t="e">
        <f>AND(Bills!B735,"AAAAAHl+fQE=")</f>
        <v>#VALUE!</v>
      </c>
      <c r="C193" t="e">
        <f>AND(Bills!#REF!,"AAAAAHl+fQI=")</f>
        <v>#REF!</v>
      </c>
      <c r="D193" t="e">
        <f>AND(Bills!C735,"AAAAAHl+fQM=")</f>
        <v>#VALUE!</v>
      </c>
      <c r="E193" t="e">
        <f>AND(Bills!#REF!,"AAAAAHl+fQQ=")</f>
        <v>#REF!</v>
      </c>
      <c r="F193" t="e">
        <f>AND(Bills!#REF!,"AAAAAHl+fQU=")</f>
        <v>#REF!</v>
      </c>
      <c r="G193" t="e">
        <f>AND(Bills!#REF!,"AAAAAHl+fQY=")</f>
        <v>#REF!</v>
      </c>
      <c r="H193" t="e">
        <f>AND(Bills!#REF!,"AAAAAHl+fQc=")</f>
        <v>#REF!</v>
      </c>
      <c r="I193" t="e">
        <f>AND(Bills!#REF!,"AAAAAHl+fQg=")</f>
        <v>#REF!</v>
      </c>
      <c r="J193" t="e">
        <f>AND(Bills!D735,"AAAAAHl+fQk=")</f>
        <v>#VALUE!</v>
      </c>
      <c r="K193" t="e">
        <f>AND(Bills!#REF!,"AAAAAHl+fQo=")</f>
        <v>#REF!</v>
      </c>
      <c r="L193" t="e">
        <f>AND(Bills!E735,"AAAAAHl+fQs=")</f>
        <v>#VALUE!</v>
      </c>
      <c r="M193" t="e">
        <f>AND(Bills!F735,"AAAAAHl+fQw=")</f>
        <v>#VALUE!</v>
      </c>
      <c r="N193" t="e">
        <f>AND(Bills!G735,"AAAAAHl+fQ0=")</f>
        <v>#VALUE!</v>
      </c>
      <c r="O193" t="e">
        <f>AND(Bills!H735,"AAAAAHl+fQ4=")</f>
        <v>#VALUE!</v>
      </c>
      <c r="P193" t="e">
        <f>AND(Bills!I735,"AAAAAHl+fQ8=")</f>
        <v>#VALUE!</v>
      </c>
      <c r="Q193" t="e">
        <f>AND(Bills!J735,"AAAAAHl+fRA=")</f>
        <v>#VALUE!</v>
      </c>
      <c r="R193" t="e">
        <f>AND(Bills!#REF!,"AAAAAHl+fRE=")</f>
        <v>#REF!</v>
      </c>
      <c r="S193" t="e">
        <f>AND(Bills!K735,"AAAAAHl+fRI=")</f>
        <v>#VALUE!</v>
      </c>
      <c r="T193" t="e">
        <f>AND(Bills!L735,"AAAAAHl+fRM=")</f>
        <v>#VALUE!</v>
      </c>
      <c r="U193" t="e">
        <f>AND(Bills!M735,"AAAAAHl+fRQ=")</f>
        <v>#VALUE!</v>
      </c>
      <c r="V193" t="e">
        <f>AND(Bills!N735,"AAAAAHl+fRU=")</f>
        <v>#VALUE!</v>
      </c>
      <c r="W193" t="e">
        <f>AND(Bills!O735,"AAAAAHl+fRY=")</f>
        <v>#VALUE!</v>
      </c>
      <c r="X193" t="e">
        <f>AND(Bills!P735,"AAAAAHl+fRc=")</f>
        <v>#VALUE!</v>
      </c>
      <c r="Y193" t="e">
        <f>AND(Bills!Q735,"AAAAAHl+fRg=")</f>
        <v>#VALUE!</v>
      </c>
      <c r="Z193" t="e">
        <f>AND(Bills!R735,"AAAAAHl+fRk=")</f>
        <v>#VALUE!</v>
      </c>
      <c r="AA193" t="e">
        <f>AND(Bills!#REF!,"AAAAAHl+fRo=")</f>
        <v>#REF!</v>
      </c>
      <c r="AB193" t="e">
        <f>AND(Bills!S735,"AAAAAHl+fRs=")</f>
        <v>#VALUE!</v>
      </c>
      <c r="AC193" t="e">
        <f>AND(Bills!T735,"AAAAAHl+fRw=")</f>
        <v>#VALUE!</v>
      </c>
      <c r="AD193" t="e">
        <f>AND(Bills!U735,"AAAAAHl+fR0=")</f>
        <v>#VALUE!</v>
      </c>
      <c r="AE193" t="e">
        <f>AND(Bills!#REF!,"AAAAAHl+fR4=")</f>
        <v>#REF!</v>
      </c>
      <c r="AF193" t="e">
        <f>AND(Bills!#REF!,"AAAAAHl+fR8=")</f>
        <v>#REF!</v>
      </c>
      <c r="AG193" t="e">
        <f>AND(Bills!W735,"AAAAAHl+fSA=")</f>
        <v>#VALUE!</v>
      </c>
      <c r="AH193" t="e">
        <f>AND(Bills!X735,"AAAAAHl+fSE=")</f>
        <v>#VALUE!</v>
      </c>
      <c r="AI193" t="e">
        <f>AND(Bills!#REF!,"AAAAAHl+fSI=")</f>
        <v>#REF!</v>
      </c>
      <c r="AJ193" t="e">
        <f>AND(Bills!#REF!,"AAAAAHl+fSM=")</f>
        <v>#REF!</v>
      </c>
      <c r="AK193" t="e">
        <f>AND(Bills!#REF!,"AAAAAHl+fSQ=")</f>
        <v>#REF!</v>
      </c>
      <c r="AL193" t="e">
        <f>AND(Bills!#REF!,"AAAAAHl+fSU=")</f>
        <v>#REF!</v>
      </c>
      <c r="AM193" t="e">
        <f>AND(Bills!#REF!,"AAAAAHl+fSY=")</f>
        <v>#REF!</v>
      </c>
      <c r="AN193" t="e">
        <f>AND(Bills!#REF!,"AAAAAHl+fSc=")</f>
        <v>#REF!</v>
      </c>
      <c r="AO193" t="e">
        <f>AND(Bills!#REF!,"AAAAAHl+fSg=")</f>
        <v>#REF!</v>
      </c>
      <c r="AP193" t="e">
        <f>AND(Bills!#REF!,"AAAAAHl+fSk=")</f>
        <v>#REF!</v>
      </c>
      <c r="AQ193" t="e">
        <f>AND(Bills!#REF!,"AAAAAHl+fSo=")</f>
        <v>#REF!</v>
      </c>
      <c r="AR193" t="e">
        <f>AND(Bills!Y735,"AAAAAHl+fSs=")</f>
        <v>#VALUE!</v>
      </c>
      <c r="AS193" t="e">
        <f>AND(Bills!Z735,"AAAAAHl+fSw=")</f>
        <v>#VALUE!</v>
      </c>
      <c r="AT193" t="e">
        <f>AND(Bills!#REF!,"AAAAAHl+fS0=")</f>
        <v>#REF!</v>
      </c>
      <c r="AU193" t="e">
        <f>AND(Bills!#REF!,"AAAAAHl+fS4=")</f>
        <v>#REF!</v>
      </c>
      <c r="AV193" t="e">
        <f>AND(Bills!#REF!,"AAAAAHl+fS8=")</f>
        <v>#REF!</v>
      </c>
      <c r="AW193" t="e">
        <f>AND(Bills!AA735,"AAAAAHl+fTA=")</f>
        <v>#VALUE!</v>
      </c>
      <c r="AX193" t="e">
        <f>AND(Bills!AB735,"AAAAAHl+fTE=")</f>
        <v>#VALUE!</v>
      </c>
      <c r="AY193" t="e">
        <f>AND(Bills!#REF!,"AAAAAHl+fTI=")</f>
        <v>#REF!</v>
      </c>
      <c r="AZ193">
        <f>IF(Bills!736:736,"AAAAAHl+fTM=",0)</f>
        <v>0</v>
      </c>
      <c r="BA193" t="e">
        <f>AND(Bills!B736,"AAAAAHl+fTQ=")</f>
        <v>#VALUE!</v>
      </c>
      <c r="BB193" t="e">
        <f>AND(Bills!#REF!,"AAAAAHl+fTU=")</f>
        <v>#REF!</v>
      </c>
      <c r="BC193" t="e">
        <f>AND(Bills!C736,"AAAAAHl+fTY=")</f>
        <v>#VALUE!</v>
      </c>
      <c r="BD193" t="e">
        <f>AND(Bills!#REF!,"AAAAAHl+fTc=")</f>
        <v>#REF!</v>
      </c>
      <c r="BE193" t="e">
        <f>AND(Bills!#REF!,"AAAAAHl+fTg=")</f>
        <v>#REF!</v>
      </c>
      <c r="BF193" t="e">
        <f>AND(Bills!#REF!,"AAAAAHl+fTk=")</f>
        <v>#REF!</v>
      </c>
      <c r="BG193" t="e">
        <f>AND(Bills!#REF!,"AAAAAHl+fTo=")</f>
        <v>#REF!</v>
      </c>
      <c r="BH193" t="e">
        <f>AND(Bills!#REF!,"AAAAAHl+fTs=")</f>
        <v>#REF!</v>
      </c>
      <c r="BI193" t="e">
        <f>AND(Bills!D736,"AAAAAHl+fTw=")</f>
        <v>#VALUE!</v>
      </c>
      <c r="BJ193" t="e">
        <f>AND(Bills!#REF!,"AAAAAHl+fT0=")</f>
        <v>#REF!</v>
      </c>
      <c r="BK193" t="e">
        <f>AND(Bills!E736,"AAAAAHl+fT4=")</f>
        <v>#VALUE!</v>
      </c>
      <c r="BL193" t="e">
        <f>AND(Bills!F736,"AAAAAHl+fT8=")</f>
        <v>#VALUE!</v>
      </c>
      <c r="BM193" t="e">
        <f>AND(Bills!G736,"AAAAAHl+fUA=")</f>
        <v>#VALUE!</v>
      </c>
      <c r="BN193" t="e">
        <f>AND(Bills!H736,"AAAAAHl+fUE=")</f>
        <v>#VALUE!</v>
      </c>
      <c r="BO193" t="e">
        <f>AND(Bills!I736,"AAAAAHl+fUI=")</f>
        <v>#VALUE!</v>
      </c>
      <c r="BP193" t="e">
        <f>AND(Bills!J736,"AAAAAHl+fUM=")</f>
        <v>#VALUE!</v>
      </c>
      <c r="BQ193" t="e">
        <f>AND(Bills!#REF!,"AAAAAHl+fUQ=")</f>
        <v>#REF!</v>
      </c>
      <c r="BR193" t="e">
        <f>AND(Bills!K736,"AAAAAHl+fUU=")</f>
        <v>#VALUE!</v>
      </c>
      <c r="BS193" t="e">
        <f>AND(Bills!L736,"AAAAAHl+fUY=")</f>
        <v>#VALUE!</v>
      </c>
      <c r="BT193" t="e">
        <f>AND(Bills!M736,"AAAAAHl+fUc=")</f>
        <v>#VALUE!</v>
      </c>
      <c r="BU193" t="e">
        <f>AND(Bills!N736,"AAAAAHl+fUg=")</f>
        <v>#VALUE!</v>
      </c>
      <c r="BV193" t="e">
        <f>AND(Bills!O736,"AAAAAHl+fUk=")</f>
        <v>#VALUE!</v>
      </c>
      <c r="BW193" t="e">
        <f>AND(Bills!P736,"AAAAAHl+fUo=")</f>
        <v>#VALUE!</v>
      </c>
      <c r="BX193" t="e">
        <f>AND(Bills!Q736,"AAAAAHl+fUs=")</f>
        <v>#VALUE!</v>
      </c>
      <c r="BY193" t="e">
        <f>AND(Bills!R736,"AAAAAHl+fUw=")</f>
        <v>#VALUE!</v>
      </c>
      <c r="BZ193" t="e">
        <f>AND(Bills!#REF!,"AAAAAHl+fU0=")</f>
        <v>#REF!</v>
      </c>
      <c r="CA193" t="e">
        <f>AND(Bills!S736,"AAAAAHl+fU4=")</f>
        <v>#VALUE!</v>
      </c>
      <c r="CB193" t="e">
        <f>AND(Bills!T736,"AAAAAHl+fU8=")</f>
        <v>#VALUE!</v>
      </c>
      <c r="CC193" t="e">
        <f>AND(Bills!U736,"AAAAAHl+fVA=")</f>
        <v>#VALUE!</v>
      </c>
      <c r="CD193" t="e">
        <f>AND(Bills!#REF!,"AAAAAHl+fVE=")</f>
        <v>#REF!</v>
      </c>
      <c r="CE193" t="e">
        <f>AND(Bills!#REF!,"AAAAAHl+fVI=")</f>
        <v>#REF!</v>
      </c>
      <c r="CF193" t="e">
        <f>AND(Bills!W736,"AAAAAHl+fVM=")</f>
        <v>#VALUE!</v>
      </c>
      <c r="CG193" t="e">
        <f>AND(Bills!X736,"AAAAAHl+fVQ=")</f>
        <v>#VALUE!</v>
      </c>
      <c r="CH193" t="e">
        <f>AND(Bills!#REF!,"AAAAAHl+fVU=")</f>
        <v>#REF!</v>
      </c>
      <c r="CI193" t="e">
        <f>AND(Bills!#REF!,"AAAAAHl+fVY=")</f>
        <v>#REF!</v>
      </c>
      <c r="CJ193" t="e">
        <f>AND(Bills!#REF!,"AAAAAHl+fVc=")</f>
        <v>#REF!</v>
      </c>
      <c r="CK193" t="e">
        <f>AND(Bills!#REF!,"AAAAAHl+fVg=")</f>
        <v>#REF!</v>
      </c>
      <c r="CL193" t="e">
        <f>AND(Bills!#REF!,"AAAAAHl+fVk=")</f>
        <v>#REF!</v>
      </c>
      <c r="CM193" t="e">
        <f>AND(Bills!#REF!,"AAAAAHl+fVo=")</f>
        <v>#REF!</v>
      </c>
      <c r="CN193" t="e">
        <f>AND(Bills!#REF!,"AAAAAHl+fVs=")</f>
        <v>#REF!</v>
      </c>
      <c r="CO193" t="e">
        <f>AND(Bills!#REF!,"AAAAAHl+fVw=")</f>
        <v>#REF!</v>
      </c>
      <c r="CP193" t="e">
        <f>AND(Bills!#REF!,"AAAAAHl+fV0=")</f>
        <v>#REF!</v>
      </c>
      <c r="CQ193" t="e">
        <f>AND(Bills!Y736,"AAAAAHl+fV4=")</f>
        <v>#VALUE!</v>
      </c>
      <c r="CR193" t="e">
        <f>AND(Bills!Z736,"AAAAAHl+fV8=")</f>
        <v>#VALUE!</v>
      </c>
      <c r="CS193" t="e">
        <f>AND(Bills!#REF!,"AAAAAHl+fWA=")</f>
        <v>#REF!</v>
      </c>
      <c r="CT193" t="e">
        <f>AND(Bills!#REF!,"AAAAAHl+fWE=")</f>
        <v>#REF!</v>
      </c>
      <c r="CU193" t="e">
        <f>AND(Bills!#REF!,"AAAAAHl+fWI=")</f>
        <v>#REF!</v>
      </c>
      <c r="CV193" t="e">
        <f>AND(Bills!AA736,"AAAAAHl+fWM=")</f>
        <v>#VALUE!</v>
      </c>
      <c r="CW193" t="e">
        <f>AND(Bills!AB736,"AAAAAHl+fWQ=")</f>
        <v>#VALUE!</v>
      </c>
      <c r="CX193" t="e">
        <f>AND(Bills!#REF!,"AAAAAHl+fWU=")</f>
        <v>#REF!</v>
      </c>
      <c r="CY193">
        <f>IF(Bills!737:737,"AAAAAHl+fWY=",0)</f>
        <v>0</v>
      </c>
      <c r="CZ193" t="e">
        <f>AND(Bills!B737,"AAAAAHl+fWc=")</f>
        <v>#VALUE!</v>
      </c>
      <c r="DA193" t="e">
        <f>AND(Bills!#REF!,"AAAAAHl+fWg=")</f>
        <v>#REF!</v>
      </c>
      <c r="DB193" t="e">
        <f>AND(Bills!C737,"AAAAAHl+fWk=")</f>
        <v>#VALUE!</v>
      </c>
      <c r="DC193" t="e">
        <f>AND(Bills!#REF!,"AAAAAHl+fWo=")</f>
        <v>#REF!</v>
      </c>
      <c r="DD193" t="e">
        <f>AND(Bills!#REF!,"AAAAAHl+fWs=")</f>
        <v>#REF!</v>
      </c>
      <c r="DE193" t="e">
        <f>AND(Bills!#REF!,"AAAAAHl+fWw=")</f>
        <v>#REF!</v>
      </c>
      <c r="DF193" t="e">
        <f>AND(Bills!#REF!,"AAAAAHl+fW0=")</f>
        <v>#REF!</v>
      </c>
      <c r="DG193" t="e">
        <f>AND(Bills!#REF!,"AAAAAHl+fW4=")</f>
        <v>#REF!</v>
      </c>
      <c r="DH193" t="e">
        <f>AND(Bills!D737,"AAAAAHl+fW8=")</f>
        <v>#VALUE!</v>
      </c>
      <c r="DI193" t="e">
        <f>AND(Bills!#REF!,"AAAAAHl+fXA=")</f>
        <v>#REF!</v>
      </c>
      <c r="DJ193" t="e">
        <f>AND(Bills!E737,"AAAAAHl+fXE=")</f>
        <v>#VALUE!</v>
      </c>
      <c r="DK193" t="e">
        <f>AND(Bills!F737,"AAAAAHl+fXI=")</f>
        <v>#VALUE!</v>
      </c>
      <c r="DL193" t="e">
        <f>AND(Bills!G737,"AAAAAHl+fXM=")</f>
        <v>#VALUE!</v>
      </c>
      <c r="DM193" t="e">
        <f>AND(Bills!H737,"AAAAAHl+fXQ=")</f>
        <v>#VALUE!</v>
      </c>
      <c r="DN193" t="e">
        <f>AND(Bills!I737,"AAAAAHl+fXU=")</f>
        <v>#VALUE!</v>
      </c>
      <c r="DO193" t="e">
        <f>AND(Bills!J737,"AAAAAHl+fXY=")</f>
        <v>#VALUE!</v>
      </c>
      <c r="DP193" t="e">
        <f>AND(Bills!#REF!,"AAAAAHl+fXc=")</f>
        <v>#REF!</v>
      </c>
      <c r="DQ193" t="e">
        <f>AND(Bills!K737,"AAAAAHl+fXg=")</f>
        <v>#VALUE!</v>
      </c>
      <c r="DR193" t="e">
        <f>AND(Bills!L737,"AAAAAHl+fXk=")</f>
        <v>#VALUE!</v>
      </c>
      <c r="DS193" t="e">
        <f>AND(Bills!M737,"AAAAAHl+fXo=")</f>
        <v>#VALUE!</v>
      </c>
      <c r="DT193" t="e">
        <f>AND(Bills!N737,"AAAAAHl+fXs=")</f>
        <v>#VALUE!</v>
      </c>
      <c r="DU193" t="e">
        <f>AND(Bills!O737,"AAAAAHl+fXw=")</f>
        <v>#VALUE!</v>
      </c>
      <c r="DV193" t="e">
        <f>AND(Bills!P737,"AAAAAHl+fX0=")</f>
        <v>#VALUE!</v>
      </c>
      <c r="DW193" t="e">
        <f>AND(Bills!Q737,"AAAAAHl+fX4=")</f>
        <v>#VALUE!</v>
      </c>
      <c r="DX193" t="e">
        <f>AND(Bills!R737,"AAAAAHl+fX8=")</f>
        <v>#VALUE!</v>
      </c>
      <c r="DY193" t="e">
        <f>AND(Bills!#REF!,"AAAAAHl+fYA=")</f>
        <v>#REF!</v>
      </c>
      <c r="DZ193" t="e">
        <f>AND(Bills!S737,"AAAAAHl+fYE=")</f>
        <v>#VALUE!</v>
      </c>
      <c r="EA193" t="e">
        <f>AND(Bills!T737,"AAAAAHl+fYI=")</f>
        <v>#VALUE!</v>
      </c>
      <c r="EB193" t="e">
        <f>AND(Bills!U737,"AAAAAHl+fYM=")</f>
        <v>#VALUE!</v>
      </c>
      <c r="EC193" t="e">
        <f>AND(Bills!#REF!,"AAAAAHl+fYQ=")</f>
        <v>#REF!</v>
      </c>
      <c r="ED193" t="e">
        <f>AND(Bills!#REF!,"AAAAAHl+fYU=")</f>
        <v>#REF!</v>
      </c>
      <c r="EE193" t="e">
        <f>AND(Bills!W737,"AAAAAHl+fYY=")</f>
        <v>#VALUE!</v>
      </c>
      <c r="EF193" t="e">
        <f>AND(Bills!X737,"AAAAAHl+fYc=")</f>
        <v>#VALUE!</v>
      </c>
      <c r="EG193" t="e">
        <f>AND(Bills!#REF!,"AAAAAHl+fYg=")</f>
        <v>#REF!</v>
      </c>
      <c r="EH193" t="e">
        <f>AND(Bills!#REF!,"AAAAAHl+fYk=")</f>
        <v>#REF!</v>
      </c>
      <c r="EI193" t="e">
        <f>AND(Bills!#REF!,"AAAAAHl+fYo=")</f>
        <v>#REF!</v>
      </c>
      <c r="EJ193" t="e">
        <f>AND(Bills!#REF!,"AAAAAHl+fYs=")</f>
        <v>#REF!</v>
      </c>
      <c r="EK193" t="e">
        <f>AND(Bills!#REF!,"AAAAAHl+fYw=")</f>
        <v>#REF!</v>
      </c>
      <c r="EL193" t="e">
        <f>AND(Bills!#REF!,"AAAAAHl+fY0=")</f>
        <v>#REF!</v>
      </c>
      <c r="EM193" t="e">
        <f>AND(Bills!#REF!,"AAAAAHl+fY4=")</f>
        <v>#REF!</v>
      </c>
      <c r="EN193" t="e">
        <f>AND(Bills!#REF!,"AAAAAHl+fY8=")</f>
        <v>#REF!</v>
      </c>
      <c r="EO193" t="e">
        <f>AND(Bills!#REF!,"AAAAAHl+fZA=")</f>
        <v>#REF!</v>
      </c>
      <c r="EP193" t="e">
        <f>AND(Bills!Y737,"AAAAAHl+fZE=")</f>
        <v>#VALUE!</v>
      </c>
      <c r="EQ193" t="e">
        <f>AND(Bills!Z737,"AAAAAHl+fZI=")</f>
        <v>#VALUE!</v>
      </c>
      <c r="ER193" t="e">
        <f>AND(Bills!#REF!,"AAAAAHl+fZM=")</f>
        <v>#REF!</v>
      </c>
      <c r="ES193" t="e">
        <f>AND(Bills!#REF!,"AAAAAHl+fZQ=")</f>
        <v>#REF!</v>
      </c>
      <c r="ET193" t="e">
        <f>AND(Bills!#REF!,"AAAAAHl+fZU=")</f>
        <v>#REF!</v>
      </c>
      <c r="EU193" t="e">
        <f>AND(Bills!AA737,"AAAAAHl+fZY=")</f>
        <v>#VALUE!</v>
      </c>
      <c r="EV193" t="e">
        <f>AND(Bills!AB737,"AAAAAHl+fZc=")</f>
        <v>#VALUE!</v>
      </c>
      <c r="EW193" t="e">
        <f>AND(Bills!#REF!,"AAAAAHl+fZg=")</f>
        <v>#REF!</v>
      </c>
      <c r="EX193">
        <f>IF(Bills!738:738,"AAAAAHl+fZk=",0)</f>
        <v>0</v>
      </c>
      <c r="EY193" t="e">
        <f>AND(Bills!B738,"AAAAAHl+fZo=")</f>
        <v>#VALUE!</v>
      </c>
      <c r="EZ193" t="e">
        <f>AND(Bills!#REF!,"AAAAAHl+fZs=")</f>
        <v>#REF!</v>
      </c>
      <c r="FA193" t="e">
        <f>AND(Bills!C738,"AAAAAHl+fZw=")</f>
        <v>#VALUE!</v>
      </c>
      <c r="FB193" t="e">
        <f>AND(Bills!#REF!,"AAAAAHl+fZ0=")</f>
        <v>#REF!</v>
      </c>
      <c r="FC193" t="e">
        <f>AND(Bills!#REF!,"AAAAAHl+fZ4=")</f>
        <v>#REF!</v>
      </c>
      <c r="FD193" t="e">
        <f>AND(Bills!#REF!,"AAAAAHl+fZ8=")</f>
        <v>#REF!</v>
      </c>
      <c r="FE193" t="e">
        <f>AND(Bills!#REF!,"AAAAAHl+faA=")</f>
        <v>#REF!</v>
      </c>
      <c r="FF193" t="e">
        <f>AND(Bills!#REF!,"AAAAAHl+faE=")</f>
        <v>#REF!</v>
      </c>
      <c r="FG193" t="e">
        <f>AND(Bills!D738,"AAAAAHl+faI=")</f>
        <v>#VALUE!</v>
      </c>
      <c r="FH193" t="e">
        <f>AND(Bills!#REF!,"AAAAAHl+faM=")</f>
        <v>#REF!</v>
      </c>
      <c r="FI193" t="e">
        <f>AND(Bills!E738,"AAAAAHl+faQ=")</f>
        <v>#VALUE!</v>
      </c>
      <c r="FJ193" t="e">
        <f>AND(Bills!F738,"AAAAAHl+faU=")</f>
        <v>#VALUE!</v>
      </c>
      <c r="FK193" t="e">
        <f>AND(Bills!G738,"AAAAAHl+faY=")</f>
        <v>#VALUE!</v>
      </c>
      <c r="FL193" t="e">
        <f>AND(Bills!H738,"AAAAAHl+fac=")</f>
        <v>#VALUE!</v>
      </c>
      <c r="FM193" t="e">
        <f>AND(Bills!I738,"AAAAAHl+fag=")</f>
        <v>#VALUE!</v>
      </c>
      <c r="FN193" t="e">
        <f>AND(Bills!J738,"AAAAAHl+fak=")</f>
        <v>#VALUE!</v>
      </c>
      <c r="FO193" t="e">
        <f>AND(Bills!#REF!,"AAAAAHl+fao=")</f>
        <v>#REF!</v>
      </c>
      <c r="FP193" t="e">
        <f>AND(Bills!K738,"AAAAAHl+fas=")</f>
        <v>#VALUE!</v>
      </c>
      <c r="FQ193" t="e">
        <f>AND(Bills!L738,"AAAAAHl+faw=")</f>
        <v>#VALUE!</v>
      </c>
      <c r="FR193" t="e">
        <f>AND(Bills!M738,"AAAAAHl+fa0=")</f>
        <v>#VALUE!</v>
      </c>
      <c r="FS193" t="e">
        <f>AND(Bills!N738,"AAAAAHl+fa4=")</f>
        <v>#VALUE!</v>
      </c>
      <c r="FT193" t="e">
        <f>AND(Bills!O738,"AAAAAHl+fa8=")</f>
        <v>#VALUE!</v>
      </c>
      <c r="FU193" t="e">
        <f>AND(Bills!P738,"AAAAAHl+fbA=")</f>
        <v>#VALUE!</v>
      </c>
      <c r="FV193" t="e">
        <f>AND(Bills!Q738,"AAAAAHl+fbE=")</f>
        <v>#VALUE!</v>
      </c>
      <c r="FW193" t="e">
        <f>AND(Bills!R738,"AAAAAHl+fbI=")</f>
        <v>#VALUE!</v>
      </c>
      <c r="FX193" t="e">
        <f>AND(Bills!#REF!,"AAAAAHl+fbM=")</f>
        <v>#REF!</v>
      </c>
      <c r="FY193" t="e">
        <f>AND(Bills!S738,"AAAAAHl+fbQ=")</f>
        <v>#VALUE!</v>
      </c>
      <c r="FZ193" t="e">
        <f>AND(Bills!T738,"AAAAAHl+fbU=")</f>
        <v>#VALUE!</v>
      </c>
      <c r="GA193" t="e">
        <f>AND(Bills!U738,"AAAAAHl+fbY=")</f>
        <v>#VALUE!</v>
      </c>
      <c r="GB193" t="e">
        <f>AND(Bills!#REF!,"AAAAAHl+fbc=")</f>
        <v>#REF!</v>
      </c>
      <c r="GC193" t="e">
        <f>AND(Bills!#REF!,"AAAAAHl+fbg=")</f>
        <v>#REF!</v>
      </c>
      <c r="GD193" t="e">
        <f>AND(Bills!W738,"AAAAAHl+fbk=")</f>
        <v>#VALUE!</v>
      </c>
      <c r="GE193" t="e">
        <f>AND(Bills!X738,"AAAAAHl+fbo=")</f>
        <v>#VALUE!</v>
      </c>
      <c r="GF193" t="e">
        <f>AND(Bills!#REF!,"AAAAAHl+fbs=")</f>
        <v>#REF!</v>
      </c>
      <c r="GG193" t="e">
        <f>AND(Bills!#REF!,"AAAAAHl+fbw=")</f>
        <v>#REF!</v>
      </c>
      <c r="GH193" t="e">
        <f>AND(Bills!#REF!,"AAAAAHl+fb0=")</f>
        <v>#REF!</v>
      </c>
      <c r="GI193" t="e">
        <f>AND(Bills!#REF!,"AAAAAHl+fb4=")</f>
        <v>#REF!</v>
      </c>
      <c r="GJ193" t="e">
        <f>AND(Bills!#REF!,"AAAAAHl+fb8=")</f>
        <v>#REF!</v>
      </c>
      <c r="GK193" t="e">
        <f>AND(Bills!#REF!,"AAAAAHl+fcA=")</f>
        <v>#REF!</v>
      </c>
      <c r="GL193" t="e">
        <f>AND(Bills!#REF!,"AAAAAHl+fcE=")</f>
        <v>#REF!</v>
      </c>
      <c r="GM193" t="e">
        <f>AND(Bills!#REF!,"AAAAAHl+fcI=")</f>
        <v>#REF!</v>
      </c>
      <c r="GN193" t="e">
        <f>AND(Bills!#REF!,"AAAAAHl+fcM=")</f>
        <v>#REF!</v>
      </c>
      <c r="GO193" t="e">
        <f>AND(Bills!Y738,"AAAAAHl+fcQ=")</f>
        <v>#VALUE!</v>
      </c>
      <c r="GP193" t="e">
        <f>AND(Bills!Z738,"AAAAAHl+fcU=")</f>
        <v>#VALUE!</v>
      </c>
      <c r="GQ193" t="e">
        <f>AND(Bills!#REF!,"AAAAAHl+fcY=")</f>
        <v>#REF!</v>
      </c>
      <c r="GR193" t="e">
        <f>AND(Bills!#REF!,"AAAAAHl+fcc=")</f>
        <v>#REF!</v>
      </c>
      <c r="GS193" t="e">
        <f>AND(Bills!#REF!,"AAAAAHl+fcg=")</f>
        <v>#REF!</v>
      </c>
      <c r="GT193" t="e">
        <f>AND(Bills!AA738,"AAAAAHl+fck=")</f>
        <v>#VALUE!</v>
      </c>
      <c r="GU193" t="e">
        <f>AND(Bills!AB738,"AAAAAHl+fco=")</f>
        <v>#VALUE!</v>
      </c>
      <c r="GV193" t="e">
        <f>AND(Bills!#REF!,"AAAAAHl+fcs=")</f>
        <v>#REF!</v>
      </c>
      <c r="GW193">
        <f>IF(Bills!739:739,"AAAAAHl+fcw=",0)</f>
        <v>0</v>
      </c>
      <c r="GX193" t="e">
        <f>AND(Bills!B739,"AAAAAHl+fc0=")</f>
        <v>#VALUE!</v>
      </c>
      <c r="GY193" t="e">
        <f>AND(Bills!#REF!,"AAAAAHl+fc4=")</f>
        <v>#REF!</v>
      </c>
      <c r="GZ193" t="e">
        <f>AND(Bills!C739,"AAAAAHl+fc8=")</f>
        <v>#VALUE!</v>
      </c>
      <c r="HA193" t="e">
        <f>AND(Bills!#REF!,"AAAAAHl+fdA=")</f>
        <v>#REF!</v>
      </c>
      <c r="HB193" t="e">
        <f>AND(Bills!#REF!,"AAAAAHl+fdE=")</f>
        <v>#REF!</v>
      </c>
      <c r="HC193" t="e">
        <f>AND(Bills!#REF!,"AAAAAHl+fdI=")</f>
        <v>#REF!</v>
      </c>
      <c r="HD193" t="e">
        <f>AND(Bills!#REF!,"AAAAAHl+fdM=")</f>
        <v>#REF!</v>
      </c>
      <c r="HE193" t="e">
        <f>AND(Bills!#REF!,"AAAAAHl+fdQ=")</f>
        <v>#REF!</v>
      </c>
      <c r="HF193" t="e">
        <f>AND(Bills!D739,"AAAAAHl+fdU=")</f>
        <v>#VALUE!</v>
      </c>
      <c r="HG193" t="e">
        <f>AND(Bills!#REF!,"AAAAAHl+fdY=")</f>
        <v>#REF!</v>
      </c>
      <c r="HH193" t="e">
        <f>AND(Bills!E739,"AAAAAHl+fdc=")</f>
        <v>#VALUE!</v>
      </c>
      <c r="HI193" t="e">
        <f>AND(Bills!F739,"AAAAAHl+fdg=")</f>
        <v>#VALUE!</v>
      </c>
      <c r="HJ193" t="e">
        <f>AND(Bills!G739,"AAAAAHl+fdk=")</f>
        <v>#VALUE!</v>
      </c>
      <c r="HK193" t="e">
        <f>AND(Bills!H739,"AAAAAHl+fdo=")</f>
        <v>#VALUE!</v>
      </c>
      <c r="HL193" t="e">
        <f>AND(Bills!I739,"AAAAAHl+fds=")</f>
        <v>#VALUE!</v>
      </c>
      <c r="HM193" t="e">
        <f>AND(Bills!J739,"AAAAAHl+fdw=")</f>
        <v>#VALUE!</v>
      </c>
      <c r="HN193" t="e">
        <f>AND(Bills!#REF!,"AAAAAHl+fd0=")</f>
        <v>#REF!</v>
      </c>
      <c r="HO193" t="e">
        <f>AND(Bills!K739,"AAAAAHl+fd4=")</f>
        <v>#VALUE!</v>
      </c>
      <c r="HP193" t="e">
        <f>AND(Bills!L739,"AAAAAHl+fd8=")</f>
        <v>#VALUE!</v>
      </c>
      <c r="HQ193" t="e">
        <f>AND(Bills!M739,"AAAAAHl+feA=")</f>
        <v>#VALUE!</v>
      </c>
      <c r="HR193" t="e">
        <f>AND(Bills!N739,"AAAAAHl+feE=")</f>
        <v>#VALUE!</v>
      </c>
      <c r="HS193" t="e">
        <f>AND(Bills!O739,"AAAAAHl+feI=")</f>
        <v>#VALUE!</v>
      </c>
      <c r="HT193" t="e">
        <f>AND(Bills!P739,"AAAAAHl+feM=")</f>
        <v>#VALUE!</v>
      </c>
      <c r="HU193" t="e">
        <f>AND(Bills!Q739,"AAAAAHl+feQ=")</f>
        <v>#VALUE!</v>
      </c>
      <c r="HV193" t="e">
        <f>AND(Bills!R739,"AAAAAHl+feU=")</f>
        <v>#VALUE!</v>
      </c>
      <c r="HW193" t="e">
        <f>AND(Bills!#REF!,"AAAAAHl+feY=")</f>
        <v>#REF!</v>
      </c>
      <c r="HX193" t="e">
        <f>AND(Bills!S739,"AAAAAHl+fec=")</f>
        <v>#VALUE!</v>
      </c>
      <c r="HY193" t="e">
        <f>AND(Bills!T739,"AAAAAHl+feg=")</f>
        <v>#VALUE!</v>
      </c>
      <c r="HZ193" t="e">
        <f>AND(Bills!U739,"AAAAAHl+fek=")</f>
        <v>#VALUE!</v>
      </c>
      <c r="IA193" t="e">
        <f>AND(Bills!#REF!,"AAAAAHl+feo=")</f>
        <v>#REF!</v>
      </c>
      <c r="IB193" t="e">
        <f>AND(Bills!#REF!,"AAAAAHl+fes=")</f>
        <v>#REF!</v>
      </c>
      <c r="IC193" t="e">
        <f>AND(Bills!W739,"AAAAAHl+few=")</f>
        <v>#VALUE!</v>
      </c>
      <c r="ID193" t="e">
        <f>AND(Bills!X739,"AAAAAHl+fe0=")</f>
        <v>#VALUE!</v>
      </c>
      <c r="IE193" t="e">
        <f>AND(Bills!#REF!,"AAAAAHl+fe4=")</f>
        <v>#REF!</v>
      </c>
      <c r="IF193" t="e">
        <f>AND(Bills!#REF!,"AAAAAHl+fe8=")</f>
        <v>#REF!</v>
      </c>
      <c r="IG193" t="e">
        <f>AND(Bills!#REF!,"AAAAAHl+ffA=")</f>
        <v>#REF!</v>
      </c>
      <c r="IH193" t="e">
        <f>AND(Bills!#REF!,"AAAAAHl+ffE=")</f>
        <v>#REF!</v>
      </c>
      <c r="II193" t="e">
        <f>AND(Bills!#REF!,"AAAAAHl+ffI=")</f>
        <v>#REF!</v>
      </c>
      <c r="IJ193" t="e">
        <f>AND(Bills!#REF!,"AAAAAHl+ffM=")</f>
        <v>#REF!</v>
      </c>
      <c r="IK193" t="e">
        <f>AND(Bills!#REF!,"AAAAAHl+ffQ=")</f>
        <v>#REF!</v>
      </c>
      <c r="IL193" t="e">
        <f>AND(Bills!#REF!,"AAAAAHl+ffU=")</f>
        <v>#REF!</v>
      </c>
      <c r="IM193" t="e">
        <f>AND(Bills!#REF!,"AAAAAHl+ffY=")</f>
        <v>#REF!</v>
      </c>
      <c r="IN193" t="e">
        <f>AND(Bills!Y739,"AAAAAHl+ffc=")</f>
        <v>#VALUE!</v>
      </c>
      <c r="IO193" t="e">
        <f>AND(Bills!Z739,"AAAAAHl+ffg=")</f>
        <v>#VALUE!</v>
      </c>
      <c r="IP193" t="e">
        <f>AND(Bills!#REF!,"AAAAAHl+ffk=")</f>
        <v>#REF!</v>
      </c>
      <c r="IQ193" t="e">
        <f>AND(Bills!#REF!,"AAAAAHl+ffo=")</f>
        <v>#REF!</v>
      </c>
      <c r="IR193" t="e">
        <f>AND(Bills!#REF!,"AAAAAHl+ffs=")</f>
        <v>#REF!</v>
      </c>
      <c r="IS193" t="e">
        <f>AND(Bills!AA739,"AAAAAHl+ffw=")</f>
        <v>#VALUE!</v>
      </c>
      <c r="IT193" t="e">
        <f>AND(Bills!AB739,"AAAAAHl+ff0=")</f>
        <v>#VALUE!</v>
      </c>
      <c r="IU193" t="e">
        <f>AND(Bills!#REF!,"AAAAAHl+ff4=")</f>
        <v>#REF!</v>
      </c>
      <c r="IV193">
        <f>IF(Bills!740:740,"AAAAAHl+ff8=",0)</f>
        <v>0</v>
      </c>
    </row>
    <row r="194" spans="1:256">
      <c r="A194" t="e">
        <f>AND(Bills!B740,"AAAAAD/wzgA=")</f>
        <v>#VALUE!</v>
      </c>
      <c r="B194" t="e">
        <f>AND(Bills!#REF!,"AAAAAD/wzgE=")</f>
        <v>#REF!</v>
      </c>
      <c r="C194" t="e">
        <f>AND(Bills!C740,"AAAAAD/wzgI=")</f>
        <v>#VALUE!</v>
      </c>
      <c r="D194" t="e">
        <f>AND(Bills!#REF!,"AAAAAD/wzgM=")</f>
        <v>#REF!</v>
      </c>
      <c r="E194" t="e">
        <f>AND(Bills!#REF!,"AAAAAD/wzgQ=")</f>
        <v>#REF!</v>
      </c>
      <c r="F194" t="e">
        <f>AND(Bills!#REF!,"AAAAAD/wzgU=")</f>
        <v>#REF!</v>
      </c>
      <c r="G194" t="e">
        <f>AND(Bills!#REF!,"AAAAAD/wzgY=")</f>
        <v>#REF!</v>
      </c>
      <c r="H194" t="e">
        <f>AND(Bills!#REF!,"AAAAAD/wzgc=")</f>
        <v>#REF!</v>
      </c>
      <c r="I194" t="e">
        <f>AND(Bills!D740,"AAAAAD/wzgg=")</f>
        <v>#VALUE!</v>
      </c>
      <c r="J194" t="e">
        <f>AND(Bills!#REF!,"AAAAAD/wzgk=")</f>
        <v>#REF!</v>
      </c>
      <c r="K194" t="e">
        <f>AND(Bills!E740,"AAAAAD/wzgo=")</f>
        <v>#VALUE!</v>
      </c>
      <c r="L194" t="e">
        <f>AND(Bills!F740,"AAAAAD/wzgs=")</f>
        <v>#VALUE!</v>
      </c>
      <c r="M194" t="e">
        <f>AND(Bills!G740,"AAAAAD/wzgw=")</f>
        <v>#VALUE!</v>
      </c>
      <c r="N194" t="e">
        <f>AND(Bills!H740,"AAAAAD/wzg0=")</f>
        <v>#VALUE!</v>
      </c>
      <c r="O194" t="e">
        <f>AND(Bills!I740,"AAAAAD/wzg4=")</f>
        <v>#VALUE!</v>
      </c>
      <c r="P194" t="e">
        <f>AND(Bills!J740,"AAAAAD/wzg8=")</f>
        <v>#VALUE!</v>
      </c>
      <c r="Q194" t="e">
        <f>AND(Bills!#REF!,"AAAAAD/wzhA=")</f>
        <v>#REF!</v>
      </c>
      <c r="R194" t="e">
        <f>AND(Bills!K740,"AAAAAD/wzhE=")</f>
        <v>#VALUE!</v>
      </c>
      <c r="S194" t="e">
        <f>AND(Bills!L740,"AAAAAD/wzhI=")</f>
        <v>#VALUE!</v>
      </c>
      <c r="T194" t="e">
        <f>AND(Bills!M740,"AAAAAD/wzhM=")</f>
        <v>#VALUE!</v>
      </c>
      <c r="U194" t="e">
        <f>AND(Bills!N740,"AAAAAD/wzhQ=")</f>
        <v>#VALUE!</v>
      </c>
      <c r="V194" t="e">
        <f>AND(Bills!O740,"AAAAAD/wzhU=")</f>
        <v>#VALUE!</v>
      </c>
      <c r="W194" t="e">
        <f>AND(Bills!P740,"AAAAAD/wzhY=")</f>
        <v>#VALUE!</v>
      </c>
      <c r="X194" t="e">
        <f>AND(Bills!Q740,"AAAAAD/wzhc=")</f>
        <v>#VALUE!</v>
      </c>
      <c r="Y194" t="e">
        <f>AND(Bills!R740,"AAAAAD/wzhg=")</f>
        <v>#VALUE!</v>
      </c>
      <c r="Z194" t="e">
        <f>AND(Bills!#REF!,"AAAAAD/wzhk=")</f>
        <v>#REF!</v>
      </c>
      <c r="AA194" t="e">
        <f>AND(Bills!S740,"AAAAAD/wzho=")</f>
        <v>#VALUE!</v>
      </c>
      <c r="AB194" t="e">
        <f>AND(Bills!T740,"AAAAAD/wzhs=")</f>
        <v>#VALUE!</v>
      </c>
      <c r="AC194" t="e">
        <f>AND(Bills!U740,"AAAAAD/wzhw=")</f>
        <v>#VALUE!</v>
      </c>
      <c r="AD194" t="e">
        <f>AND(Bills!#REF!,"AAAAAD/wzh0=")</f>
        <v>#REF!</v>
      </c>
      <c r="AE194" t="e">
        <f>AND(Bills!#REF!,"AAAAAD/wzh4=")</f>
        <v>#REF!</v>
      </c>
      <c r="AF194" t="e">
        <f>AND(Bills!W740,"AAAAAD/wzh8=")</f>
        <v>#VALUE!</v>
      </c>
      <c r="AG194" t="e">
        <f>AND(Bills!X740,"AAAAAD/wziA=")</f>
        <v>#VALUE!</v>
      </c>
      <c r="AH194" t="e">
        <f>AND(Bills!#REF!,"AAAAAD/wziE=")</f>
        <v>#REF!</v>
      </c>
      <c r="AI194" t="e">
        <f>AND(Bills!#REF!,"AAAAAD/wziI=")</f>
        <v>#REF!</v>
      </c>
      <c r="AJ194" t="e">
        <f>AND(Bills!#REF!,"AAAAAD/wziM=")</f>
        <v>#REF!</v>
      </c>
      <c r="AK194" t="e">
        <f>AND(Bills!#REF!,"AAAAAD/wziQ=")</f>
        <v>#REF!</v>
      </c>
      <c r="AL194" t="e">
        <f>AND(Bills!#REF!,"AAAAAD/wziU=")</f>
        <v>#REF!</v>
      </c>
      <c r="AM194" t="e">
        <f>AND(Bills!#REF!,"AAAAAD/wziY=")</f>
        <v>#REF!</v>
      </c>
      <c r="AN194" t="e">
        <f>AND(Bills!#REF!,"AAAAAD/wzic=")</f>
        <v>#REF!</v>
      </c>
      <c r="AO194" t="e">
        <f>AND(Bills!#REF!,"AAAAAD/wzig=")</f>
        <v>#REF!</v>
      </c>
      <c r="AP194" t="e">
        <f>AND(Bills!#REF!,"AAAAAD/wzik=")</f>
        <v>#REF!</v>
      </c>
      <c r="AQ194" t="e">
        <f>AND(Bills!Y740,"AAAAAD/wzio=")</f>
        <v>#VALUE!</v>
      </c>
      <c r="AR194" t="e">
        <f>AND(Bills!Z740,"AAAAAD/wzis=")</f>
        <v>#VALUE!</v>
      </c>
      <c r="AS194" t="e">
        <f>AND(Bills!#REF!,"AAAAAD/wziw=")</f>
        <v>#REF!</v>
      </c>
      <c r="AT194" t="e">
        <f>AND(Bills!#REF!,"AAAAAD/wzi0=")</f>
        <v>#REF!</v>
      </c>
      <c r="AU194" t="e">
        <f>AND(Bills!#REF!,"AAAAAD/wzi4=")</f>
        <v>#REF!</v>
      </c>
      <c r="AV194" t="e">
        <f>AND(Bills!AA740,"AAAAAD/wzi8=")</f>
        <v>#VALUE!</v>
      </c>
      <c r="AW194" t="e">
        <f>AND(Bills!AB740,"AAAAAD/wzjA=")</f>
        <v>#VALUE!</v>
      </c>
      <c r="AX194" t="e">
        <f>AND(Bills!#REF!,"AAAAAD/wzjE=")</f>
        <v>#REF!</v>
      </c>
      <c r="AY194">
        <f>IF(Bills!741:741,"AAAAAD/wzjI=",0)</f>
        <v>0</v>
      </c>
      <c r="AZ194" t="e">
        <f>AND(Bills!B741,"AAAAAD/wzjM=")</f>
        <v>#VALUE!</v>
      </c>
      <c r="BA194" t="e">
        <f>AND(Bills!#REF!,"AAAAAD/wzjQ=")</f>
        <v>#REF!</v>
      </c>
      <c r="BB194" t="e">
        <f>AND(Bills!C741,"AAAAAD/wzjU=")</f>
        <v>#VALUE!</v>
      </c>
      <c r="BC194" t="e">
        <f>AND(Bills!#REF!,"AAAAAD/wzjY=")</f>
        <v>#REF!</v>
      </c>
      <c r="BD194" t="e">
        <f>AND(Bills!#REF!,"AAAAAD/wzjc=")</f>
        <v>#REF!</v>
      </c>
      <c r="BE194" t="e">
        <f>AND(Bills!#REF!,"AAAAAD/wzjg=")</f>
        <v>#REF!</v>
      </c>
      <c r="BF194" t="e">
        <f>AND(Bills!#REF!,"AAAAAD/wzjk=")</f>
        <v>#REF!</v>
      </c>
      <c r="BG194" t="e">
        <f>AND(Bills!#REF!,"AAAAAD/wzjo=")</f>
        <v>#REF!</v>
      </c>
      <c r="BH194" t="e">
        <f>AND(Bills!D741,"AAAAAD/wzjs=")</f>
        <v>#VALUE!</v>
      </c>
      <c r="BI194" t="e">
        <f>AND(Bills!#REF!,"AAAAAD/wzjw=")</f>
        <v>#REF!</v>
      </c>
      <c r="BJ194" t="e">
        <f>AND(Bills!E741,"AAAAAD/wzj0=")</f>
        <v>#VALUE!</v>
      </c>
      <c r="BK194" t="e">
        <f>AND(Bills!F741,"AAAAAD/wzj4=")</f>
        <v>#VALUE!</v>
      </c>
      <c r="BL194" t="e">
        <f>AND(Bills!G741,"AAAAAD/wzj8=")</f>
        <v>#VALUE!</v>
      </c>
      <c r="BM194" t="e">
        <f>AND(Bills!H741,"AAAAAD/wzkA=")</f>
        <v>#VALUE!</v>
      </c>
      <c r="BN194" t="e">
        <f>AND(Bills!I741,"AAAAAD/wzkE=")</f>
        <v>#VALUE!</v>
      </c>
      <c r="BO194" t="e">
        <f>AND(Bills!J741,"AAAAAD/wzkI=")</f>
        <v>#VALUE!</v>
      </c>
      <c r="BP194" t="e">
        <f>AND(Bills!#REF!,"AAAAAD/wzkM=")</f>
        <v>#REF!</v>
      </c>
      <c r="BQ194" t="e">
        <f>AND(Bills!K741,"AAAAAD/wzkQ=")</f>
        <v>#VALUE!</v>
      </c>
      <c r="BR194" t="e">
        <f>AND(Bills!L741,"AAAAAD/wzkU=")</f>
        <v>#VALUE!</v>
      </c>
      <c r="BS194" t="e">
        <f>AND(Bills!M741,"AAAAAD/wzkY=")</f>
        <v>#VALUE!</v>
      </c>
      <c r="BT194" t="e">
        <f>AND(Bills!N741,"AAAAAD/wzkc=")</f>
        <v>#VALUE!</v>
      </c>
      <c r="BU194" t="e">
        <f>AND(Bills!O741,"AAAAAD/wzkg=")</f>
        <v>#VALUE!</v>
      </c>
      <c r="BV194" t="e">
        <f>AND(Bills!P741,"AAAAAD/wzkk=")</f>
        <v>#VALUE!</v>
      </c>
      <c r="BW194" t="e">
        <f>AND(Bills!Q741,"AAAAAD/wzko=")</f>
        <v>#VALUE!</v>
      </c>
      <c r="BX194" t="e">
        <f>AND(Bills!R741,"AAAAAD/wzks=")</f>
        <v>#VALUE!</v>
      </c>
      <c r="BY194" t="e">
        <f>AND(Bills!#REF!,"AAAAAD/wzkw=")</f>
        <v>#REF!</v>
      </c>
      <c r="BZ194" t="e">
        <f>AND(Bills!S741,"AAAAAD/wzk0=")</f>
        <v>#VALUE!</v>
      </c>
      <c r="CA194" t="e">
        <f>AND(Bills!T741,"AAAAAD/wzk4=")</f>
        <v>#VALUE!</v>
      </c>
      <c r="CB194" t="e">
        <f>AND(Bills!U741,"AAAAAD/wzk8=")</f>
        <v>#VALUE!</v>
      </c>
      <c r="CC194" t="e">
        <f>AND(Bills!#REF!,"AAAAAD/wzlA=")</f>
        <v>#REF!</v>
      </c>
      <c r="CD194" t="e">
        <f>AND(Bills!#REF!,"AAAAAD/wzlE=")</f>
        <v>#REF!</v>
      </c>
      <c r="CE194" t="e">
        <f>AND(Bills!W741,"AAAAAD/wzlI=")</f>
        <v>#VALUE!</v>
      </c>
      <c r="CF194" t="e">
        <f>AND(Bills!X741,"AAAAAD/wzlM=")</f>
        <v>#VALUE!</v>
      </c>
      <c r="CG194" t="e">
        <f>AND(Bills!#REF!,"AAAAAD/wzlQ=")</f>
        <v>#REF!</v>
      </c>
      <c r="CH194" t="e">
        <f>AND(Bills!#REF!,"AAAAAD/wzlU=")</f>
        <v>#REF!</v>
      </c>
      <c r="CI194" t="e">
        <f>AND(Bills!#REF!,"AAAAAD/wzlY=")</f>
        <v>#REF!</v>
      </c>
      <c r="CJ194" t="e">
        <f>AND(Bills!#REF!,"AAAAAD/wzlc=")</f>
        <v>#REF!</v>
      </c>
      <c r="CK194" t="e">
        <f>AND(Bills!#REF!,"AAAAAD/wzlg=")</f>
        <v>#REF!</v>
      </c>
      <c r="CL194" t="e">
        <f>AND(Bills!#REF!,"AAAAAD/wzlk=")</f>
        <v>#REF!</v>
      </c>
      <c r="CM194" t="e">
        <f>AND(Bills!#REF!,"AAAAAD/wzlo=")</f>
        <v>#REF!</v>
      </c>
      <c r="CN194" t="e">
        <f>AND(Bills!#REF!,"AAAAAD/wzls=")</f>
        <v>#REF!</v>
      </c>
      <c r="CO194" t="e">
        <f>AND(Bills!#REF!,"AAAAAD/wzlw=")</f>
        <v>#REF!</v>
      </c>
      <c r="CP194" t="e">
        <f>AND(Bills!Y741,"AAAAAD/wzl0=")</f>
        <v>#VALUE!</v>
      </c>
      <c r="CQ194" t="e">
        <f>AND(Bills!Z741,"AAAAAD/wzl4=")</f>
        <v>#VALUE!</v>
      </c>
      <c r="CR194" t="e">
        <f>AND(Bills!#REF!,"AAAAAD/wzl8=")</f>
        <v>#REF!</v>
      </c>
      <c r="CS194" t="e">
        <f>AND(Bills!#REF!,"AAAAAD/wzmA=")</f>
        <v>#REF!</v>
      </c>
      <c r="CT194" t="e">
        <f>AND(Bills!#REF!,"AAAAAD/wzmE=")</f>
        <v>#REF!</v>
      </c>
      <c r="CU194" t="e">
        <f>AND(Bills!AA741,"AAAAAD/wzmI=")</f>
        <v>#VALUE!</v>
      </c>
      <c r="CV194" t="e">
        <f>AND(Bills!AB741,"AAAAAD/wzmM=")</f>
        <v>#VALUE!</v>
      </c>
      <c r="CW194" t="e">
        <f>AND(Bills!#REF!,"AAAAAD/wzmQ=")</f>
        <v>#REF!</v>
      </c>
      <c r="CX194">
        <f>IF(Bills!742:742,"AAAAAD/wzmU=",0)</f>
        <v>0</v>
      </c>
      <c r="CY194" t="e">
        <f>AND(Bills!B742,"AAAAAD/wzmY=")</f>
        <v>#VALUE!</v>
      </c>
      <c r="CZ194" t="e">
        <f>AND(Bills!#REF!,"AAAAAD/wzmc=")</f>
        <v>#REF!</v>
      </c>
      <c r="DA194" t="e">
        <f>AND(Bills!C742,"AAAAAD/wzmg=")</f>
        <v>#VALUE!</v>
      </c>
      <c r="DB194" t="e">
        <f>AND(Bills!#REF!,"AAAAAD/wzmk=")</f>
        <v>#REF!</v>
      </c>
      <c r="DC194" t="e">
        <f>AND(Bills!#REF!,"AAAAAD/wzmo=")</f>
        <v>#REF!</v>
      </c>
      <c r="DD194" t="e">
        <f>AND(Bills!#REF!,"AAAAAD/wzms=")</f>
        <v>#REF!</v>
      </c>
      <c r="DE194" t="e">
        <f>AND(Bills!#REF!,"AAAAAD/wzmw=")</f>
        <v>#REF!</v>
      </c>
      <c r="DF194" t="e">
        <f>AND(Bills!#REF!,"AAAAAD/wzm0=")</f>
        <v>#REF!</v>
      </c>
      <c r="DG194" t="e">
        <f>AND(Bills!D742,"AAAAAD/wzm4=")</f>
        <v>#VALUE!</v>
      </c>
      <c r="DH194" t="e">
        <f>AND(Bills!#REF!,"AAAAAD/wzm8=")</f>
        <v>#REF!</v>
      </c>
      <c r="DI194" t="e">
        <f>AND(Bills!E742,"AAAAAD/wznA=")</f>
        <v>#VALUE!</v>
      </c>
      <c r="DJ194" t="e">
        <f>AND(Bills!F742,"AAAAAD/wznE=")</f>
        <v>#VALUE!</v>
      </c>
      <c r="DK194" t="e">
        <f>AND(Bills!G742,"AAAAAD/wznI=")</f>
        <v>#VALUE!</v>
      </c>
      <c r="DL194" t="e">
        <f>AND(Bills!H742,"AAAAAD/wznM=")</f>
        <v>#VALUE!</v>
      </c>
      <c r="DM194" t="e">
        <f>AND(Bills!I742,"AAAAAD/wznQ=")</f>
        <v>#VALUE!</v>
      </c>
      <c r="DN194" t="e">
        <f>AND(Bills!J742,"AAAAAD/wznU=")</f>
        <v>#VALUE!</v>
      </c>
      <c r="DO194" t="e">
        <f>AND(Bills!#REF!,"AAAAAD/wznY=")</f>
        <v>#REF!</v>
      </c>
      <c r="DP194" t="e">
        <f>AND(Bills!K742,"AAAAAD/wznc=")</f>
        <v>#VALUE!</v>
      </c>
      <c r="DQ194" t="e">
        <f>AND(Bills!L742,"AAAAAD/wzng=")</f>
        <v>#VALUE!</v>
      </c>
      <c r="DR194" t="e">
        <f>AND(Bills!M742,"AAAAAD/wznk=")</f>
        <v>#VALUE!</v>
      </c>
      <c r="DS194" t="e">
        <f>AND(Bills!N742,"AAAAAD/wzno=")</f>
        <v>#VALUE!</v>
      </c>
      <c r="DT194" t="e">
        <f>AND(Bills!O742,"AAAAAD/wzns=")</f>
        <v>#VALUE!</v>
      </c>
      <c r="DU194" t="e">
        <f>AND(Bills!P742,"AAAAAD/wznw=")</f>
        <v>#VALUE!</v>
      </c>
      <c r="DV194" t="e">
        <f>AND(Bills!Q742,"AAAAAD/wzn0=")</f>
        <v>#VALUE!</v>
      </c>
      <c r="DW194" t="e">
        <f>AND(Bills!R742,"AAAAAD/wzn4=")</f>
        <v>#VALUE!</v>
      </c>
      <c r="DX194" t="e">
        <f>AND(Bills!#REF!,"AAAAAD/wzn8=")</f>
        <v>#REF!</v>
      </c>
      <c r="DY194" t="e">
        <f>AND(Bills!S742,"AAAAAD/wzoA=")</f>
        <v>#VALUE!</v>
      </c>
      <c r="DZ194" t="e">
        <f>AND(Bills!T742,"AAAAAD/wzoE=")</f>
        <v>#VALUE!</v>
      </c>
      <c r="EA194" t="e">
        <f>AND(Bills!U742,"AAAAAD/wzoI=")</f>
        <v>#VALUE!</v>
      </c>
      <c r="EB194" t="e">
        <f>AND(Bills!#REF!,"AAAAAD/wzoM=")</f>
        <v>#REF!</v>
      </c>
      <c r="EC194" t="e">
        <f>AND(Bills!#REF!,"AAAAAD/wzoQ=")</f>
        <v>#REF!</v>
      </c>
      <c r="ED194" t="e">
        <f>AND(Bills!W742,"AAAAAD/wzoU=")</f>
        <v>#VALUE!</v>
      </c>
      <c r="EE194" t="e">
        <f>AND(Bills!X742,"AAAAAD/wzoY=")</f>
        <v>#VALUE!</v>
      </c>
      <c r="EF194" t="e">
        <f>AND(Bills!#REF!,"AAAAAD/wzoc=")</f>
        <v>#REF!</v>
      </c>
      <c r="EG194" t="e">
        <f>AND(Bills!#REF!,"AAAAAD/wzog=")</f>
        <v>#REF!</v>
      </c>
      <c r="EH194" t="e">
        <f>AND(Bills!#REF!,"AAAAAD/wzok=")</f>
        <v>#REF!</v>
      </c>
      <c r="EI194" t="e">
        <f>AND(Bills!#REF!,"AAAAAD/wzoo=")</f>
        <v>#REF!</v>
      </c>
      <c r="EJ194" t="e">
        <f>AND(Bills!#REF!,"AAAAAD/wzos=")</f>
        <v>#REF!</v>
      </c>
      <c r="EK194" t="e">
        <f>AND(Bills!#REF!,"AAAAAD/wzow=")</f>
        <v>#REF!</v>
      </c>
      <c r="EL194" t="e">
        <f>AND(Bills!#REF!,"AAAAAD/wzo0=")</f>
        <v>#REF!</v>
      </c>
      <c r="EM194" t="e">
        <f>AND(Bills!#REF!,"AAAAAD/wzo4=")</f>
        <v>#REF!</v>
      </c>
      <c r="EN194" t="e">
        <f>AND(Bills!#REF!,"AAAAAD/wzo8=")</f>
        <v>#REF!</v>
      </c>
      <c r="EO194" t="e">
        <f>AND(Bills!Y742,"AAAAAD/wzpA=")</f>
        <v>#VALUE!</v>
      </c>
      <c r="EP194" t="e">
        <f>AND(Bills!Z742,"AAAAAD/wzpE=")</f>
        <v>#VALUE!</v>
      </c>
      <c r="EQ194" t="e">
        <f>AND(Bills!#REF!,"AAAAAD/wzpI=")</f>
        <v>#REF!</v>
      </c>
      <c r="ER194" t="e">
        <f>AND(Bills!#REF!,"AAAAAD/wzpM=")</f>
        <v>#REF!</v>
      </c>
      <c r="ES194" t="e">
        <f>AND(Bills!#REF!,"AAAAAD/wzpQ=")</f>
        <v>#REF!</v>
      </c>
      <c r="ET194" t="e">
        <f>AND(Bills!AA742,"AAAAAD/wzpU=")</f>
        <v>#VALUE!</v>
      </c>
      <c r="EU194" t="e">
        <f>AND(Bills!AB742,"AAAAAD/wzpY=")</f>
        <v>#VALUE!</v>
      </c>
      <c r="EV194" t="e">
        <f>AND(Bills!#REF!,"AAAAAD/wzpc=")</f>
        <v>#REF!</v>
      </c>
      <c r="EW194">
        <f>IF(Bills!743:743,"AAAAAD/wzpg=",0)</f>
        <v>0</v>
      </c>
      <c r="EX194" t="e">
        <f>AND(Bills!B743,"AAAAAD/wzpk=")</f>
        <v>#VALUE!</v>
      </c>
      <c r="EY194" t="e">
        <f>AND(Bills!#REF!,"AAAAAD/wzpo=")</f>
        <v>#REF!</v>
      </c>
      <c r="EZ194" t="e">
        <f>AND(Bills!C743,"AAAAAD/wzps=")</f>
        <v>#VALUE!</v>
      </c>
      <c r="FA194" t="e">
        <f>AND(Bills!#REF!,"AAAAAD/wzpw=")</f>
        <v>#REF!</v>
      </c>
      <c r="FB194" t="e">
        <f>AND(Bills!#REF!,"AAAAAD/wzp0=")</f>
        <v>#REF!</v>
      </c>
      <c r="FC194" t="e">
        <f>AND(Bills!#REF!,"AAAAAD/wzp4=")</f>
        <v>#REF!</v>
      </c>
      <c r="FD194" t="e">
        <f>AND(Bills!#REF!,"AAAAAD/wzp8=")</f>
        <v>#REF!</v>
      </c>
      <c r="FE194" t="e">
        <f>AND(Bills!#REF!,"AAAAAD/wzqA=")</f>
        <v>#REF!</v>
      </c>
      <c r="FF194" t="e">
        <f>AND(Bills!D743,"AAAAAD/wzqE=")</f>
        <v>#VALUE!</v>
      </c>
      <c r="FG194" t="e">
        <f>AND(Bills!#REF!,"AAAAAD/wzqI=")</f>
        <v>#REF!</v>
      </c>
      <c r="FH194" t="e">
        <f>AND(Bills!E743,"AAAAAD/wzqM=")</f>
        <v>#VALUE!</v>
      </c>
      <c r="FI194" t="e">
        <f>AND(Bills!F743,"AAAAAD/wzqQ=")</f>
        <v>#VALUE!</v>
      </c>
      <c r="FJ194" t="e">
        <f>AND(Bills!G743,"AAAAAD/wzqU=")</f>
        <v>#VALUE!</v>
      </c>
      <c r="FK194" t="e">
        <f>AND(Bills!H743,"AAAAAD/wzqY=")</f>
        <v>#VALUE!</v>
      </c>
      <c r="FL194" t="e">
        <f>AND(Bills!I743,"AAAAAD/wzqc=")</f>
        <v>#VALUE!</v>
      </c>
      <c r="FM194" t="e">
        <f>AND(Bills!J743,"AAAAAD/wzqg=")</f>
        <v>#VALUE!</v>
      </c>
      <c r="FN194" t="e">
        <f>AND(Bills!#REF!,"AAAAAD/wzqk=")</f>
        <v>#REF!</v>
      </c>
      <c r="FO194" t="e">
        <f>AND(Bills!K743,"AAAAAD/wzqo=")</f>
        <v>#VALUE!</v>
      </c>
      <c r="FP194" t="e">
        <f>AND(Bills!L743,"AAAAAD/wzqs=")</f>
        <v>#VALUE!</v>
      </c>
      <c r="FQ194" t="e">
        <f>AND(Bills!M743,"AAAAAD/wzqw=")</f>
        <v>#VALUE!</v>
      </c>
      <c r="FR194" t="e">
        <f>AND(Bills!N743,"AAAAAD/wzq0=")</f>
        <v>#VALUE!</v>
      </c>
      <c r="FS194" t="e">
        <f>AND(Bills!O743,"AAAAAD/wzq4=")</f>
        <v>#VALUE!</v>
      </c>
      <c r="FT194" t="e">
        <f>AND(Bills!P743,"AAAAAD/wzq8=")</f>
        <v>#VALUE!</v>
      </c>
      <c r="FU194" t="e">
        <f>AND(Bills!Q743,"AAAAAD/wzrA=")</f>
        <v>#VALUE!</v>
      </c>
      <c r="FV194" t="e">
        <f>AND(Bills!R743,"AAAAAD/wzrE=")</f>
        <v>#VALUE!</v>
      </c>
      <c r="FW194" t="e">
        <f>AND(Bills!#REF!,"AAAAAD/wzrI=")</f>
        <v>#REF!</v>
      </c>
      <c r="FX194" t="e">
        <f>AND(Bills!S743,"AAAAAD/wzrM=")</f>
        <v>#VALUE!</v>
      </c>
      <c r="FY194" t="e">
        <f>AND(Bills!T743,"AAAAAD/wzrQ=")</f>
        <v>#VALUE!</v>
      </c>
      <c r="FZ194" t="e">
        <f>AND(Bills!U743,"AAAAAD/wzrU=")</f>
        <v>#VALUE!</v>
      </c>
      <c r="GA194" t="e">
        <f>AND(Bills!#REF!,"AAAAAD/wzrY=")</f>
        <v>#REF!</v>
      </c>
      <c r="GB194" t="e">
        <f>AND(Bills!#REF!,"AAAAAD/wzrc=")</f>
        <v>#REF!</v>
      </c>
      <c r="GC194" t="e">
        <f>AND(Bills!W743,"AAAAAD/wzrg=")</f>
        <v>#VALUE!</v>
      </c>
      <c r="GD194" t="e">
        <f>AND(Bills!X743,"AAAAAD/wzrk=")</f>
        <v>#VALUE!</v>
      </c>
      <c r="GE194" t="e">
        <f>AND(Bills!#REF!,"AAAAAD/wzro=")</f>
        <v>#REF!</v>
      </c>
      <c r="GF194" t="e">
        <f>AND(Bills!#REF!,"AAAAAD/wzrs=")</f>
        <v>#REF!</v>
      </c>
      <c r="GG194" t="e">
        <f>AND(Bills!#REF!,"AAAAAD/wzrw=")</f>
        <v>#REF!</v>
      </c>
      <c r="GH194" t="e">
        <f>AND(Bills!#REF!,"AAAAAD/wzr0=")</f>
        <v>#REF!</v>
      </c>
      <c r="GI194" t="e">
        <f>AND(Bills!#REF!,"AAAAAD/wzr4=")</f>
        <v>#REF!</v>
      </c>
      <c r="GJ194" t="e">
        <f>AND(Bills!#REF!,"AAAAAD/wzr8=")</f>
        <v>#REF!</v>
      </c>
      <c r="GK194" t="e">
        <f>AND(Bills!#REF!,"AAAAAD/wzsA=")</f>
        <v>#REF!</v>
      </c>
      <c r="GL194" t="e">
        <f>AND(Bills!#REF!,"AAAAAD/wzsE=")</f>
        <v>#REF!</v>
      </c>
      <c r="GM194" t="e">
        <f>AND(Bills!#REF!,"AAAAAD/wzsI=")</f>
        <v>#REF!</v>
      </c>
      <c r="GN194" t="e">
        <f>AND(Bills!Y743,"AAAAAD/wzsM=")</f>
        <v>#VALUE!</v>
      </c>
      <c r="GO194" t="e">
        <f>AND(Bills!Z743,"AAAAAD/wzsQ=")</f>
        <v>#VALUE!</v>
      </c>
      <c r="GP194" t="e">
        <f>AND(Bills!#REF!,"AAAAAD/wzsU=")</f>
        <v>#REF!</v>
      </c>
      <c r="GQ194" t="e">
        <f>AND(Bills!#REF!,"AAAAAD/wzsY=")</f>
        <v>#REF!</v>
      </c>
      <c r="GR194" t="e">
        <f>AND(Bills!#REF!,"AAAAAD/wzsc=")</f>
        <v>#REF!</v>
      </c>
      <c r="GS194" t="e">
        <f>AND(Bills!AA743,"AAAAAD/wzsg=")</f>
        <v>#VALUE!</v>
      </c>
      <c r="GT194" t="e">
        <f>AND(Bills!AB743,"AAAAAD/wzsk=")</f>
        <v>#VALUE!</v>
      </c>
      <c r="GU194" t="e">
        <f>AND(Bills!#REF!,"AAAAAD/wzso=")</f>
        <v>#REF!</v>
      </c>
      <c r="GV194">
        <f>IF(Bills!744:744,"AAAAAD/wzss=",0)</f>
        <v>0</v>
      </c>
      <c r="GW194" t="e">
        <f>AND(Bills!B744,"AAAAAD/wzsw=")</f>
        <v>#VALUE!</v>
      </c>
      <c r="GX194" t="e">
        <f>AND(Bills!#REF!,"AAAAAD/wzs0=")</f>
        <v>#REF!</v>
      </c>
      <c r="GY194" t="e">
        <f>AND(Bills!C744,"AAAAAD/wzs4=")</f>
        <v>#VALUE!</v>
      </c>
      <c r="GZ194" t="e">
        <f>AND(Bills!#REF!,"AAAAAD/wzs8=")</f>
        <v>#REF!</v>
      </c>
      <c r="HA194" t="e">
        <f>AND(Bills!#REF!,"AAAAAD/wztA=")</f>
        <v>#REF!</v>
      </c>
      <c r="HB194" t="e">
        <f>AND(Bills!#REF!,"AAAAAD/wztE=")</f>
        <v>#REF!</v>
      </c>
      <c r="HC194" t="e">
        <f>AND(Bills!#REF!,"AAAAAD/wztI=")</f>
        <v>#REF!</v>
      </c>
      <c r="HD194" t="e">
        <f>AND(Bills!#REF!,"AAAAAD/wztM=")</f>
        <v>#REF!</v>
      </c>
      <c r="HE194" t="e">
        <f>AND(Bills!D744,"AAAAAD/wztQ=")</f>
        <v>#VALUE!</v>
      </c>
      <c r="HF194" t="e">
        <f>AND(Bills!#REF!,"AAAAAD/wztU=")</f>
        <v>#REF!</v>
      </c>
      <c r="HG194" t="e">
        <f>AND(Bills!E744,"AAAAAD/wztY=")</f>
        <v>#VALUE!</v>
      </c>
      <c r="HH194" t="e">
        <f>AND(Bills!F744,"AAAAAD/wztc=")</f>
        <v>#VALUE!</v>
      </c>
      <c r="HI194" t="e">
        <f>AND(Bills!G744,"AAAAAD/wztg=")</f>
        <v>#VALUE!</v>
      </c>
      <c r="HJ194" t="e">
        <f>AND(Bills!H744,"AAAAAD/wztk=")</f>
        <v>#VALUE!</v>
      </c>
      <c r="HK194" t="e">
        <f>AND(Bills!I744,"AAAAAD/wzto=")</f>
        <v>#VALUE!</v>
      </c>
      <c r="HL194" t="e">
        <f>AND(Bills!J744,"AAAAAD/wzts=")</f>
        <v>#VALUE!</v>
      </c>
      <c r="HM194" t="e">
        <f>AND(Bills!#REF!,"AAAAAD/wztw=")</f>
        <v>#REF!</v>
      </c>
      <c r="HN194" t="e">
        <f>AND(Bills!K744,"AAAAAD/wzt0=")</f>
        <v>#VALUE!</v>
      </c>
      <c r="HO194" t="e">
        <f>AND(Bills!L744,"AAAAAD/wzt4=")</f>
        <v>#VALUE!</v>
      </c>
      <c r="HP194" t="e">
        <f>AND(Bills!M744,"AAAAAD/wzt8=")</f>
        <v>#VALUE!</v>
      </c>
      <c r="HQ194" t="e">
        <f>AND(Bills!N744,"AAAAAD/wzuA=")</f>
        <v>#VALUE!</v>
      </c>
      <c r="HR194" t="e">
        <f>AND(Bills!O744,"AAAAAD/wzuE=")</f>
        <v>#VALUE!</v>
      </c>
      <c r="HS194" t="e">
        <f>AND(Bills!P744,"AAAAAD/wzuI=")</f>
        <v>#VALUE!</v>
      </c>
      <c r="HT194" t="e">
        <f>AND(Bills!Q744,"AAAAAD/wzuM=")</f>
        <v>#VALUE!</v>
      </c>
      <c r="HU194" t="e">
        <f>AND(Bills!R744,"AAAAAD/wzuQ=")</f>
        <v>#VALUE!</v>
      </c>
      <c r="HV194" t="e">
        <f>AND(Bills!#REF!,"AAAAAD/wzuU=")</f>
        <v>#REF!</v>
      </c>
      <c r="HW194" t="e">
        <f>AND(Bills!S744,"AAAAAD/wzuY=")</f>
        <v>#VALUE!</v>
      </c>
      <c r="HX194" t="e">
        <f>AND(Bills!T744,"AAAAAD/wzuc=")</f>
        <v>#VALUE!</v>
      </c>
      <c r="HY194" t="e">
        <f>AND(Bills!U744,"AAAAAD/wzug=")</f>
        <v>#VALUE!</v>
      </c>
      <c r="HZ194" t="e">
        <f>AND(Bills!#REF!,"AAAAAD/wzuk=")</f>
        <v>#REF!</v>
      </c>
      <c r="IA194" t="e">
        <f>AND(Bills!#REF!,"AAAAAD/wzuo=")</f>
        <v>#REF!</v>
      </c>
      <c r="IB194" t="e">
        <f>AND(Bills!W744,"AAAAAD/wzus=")</f>
        <v>#VALUE!</v>
      </c>
      <c r="IC194" t="e">
        <f>AND(Bills!X744,"AAAAAD/wzuw=")</f>
        <v>#VALUE!</v>
      </c>
      <c r="ID194" t="e">
        <f>AND(Bills!#REF!,"AAAAAD/wzu0=")</f>
        <v>#REF!</v>
      </c>
      <c r="IE194" t="e">
        <f>AND(Bills!#REF!,"AAAAAD/wzu4=")</f>
        <v>#REF!</v>
      </c>
      <c r="IF194" t="e">
        <f>AND(Bills!#REF!,"AAAAAD/wzu8=")</f>
        <v>#REF!</v>
      </c>
      <c r="IG194" t="e">
        <f>AND(Bills!#REF!,"AAAAAD/wzvA=")</f>
        <v>#REF!</v>
      </c>
      <c r="IH194" t="e">
        <f>AND(Bills!#REF!,"AAAAAD/wzvE=")</f>
        <v>#REF!</v>
      </c>
      <c r="II194" t="e">
        <f>AND(Bills!#REF!,"AAAAAD/wzvI=")</f>
        <v>#REF!</v>
      </c>
      <c r="IJ194" t="e">
        <f>AND(Bills!#REF!,"AAAAAD/wzvM=")</f>
        <v>#REF!</v>
      </c>
      <c r="IK194" t="e">
        <f>AND(Bills!#REF!,"AAAAAD/wzvQ=")</f>
        <v>#REF!</v>
      </c>
      <c r="IL194" t="e">
        <f>AND(Bills!#REF!,"AAAAAD/wzvU=")</f>
        <v>#REF!</v>
      </c>
      <c r="IM194" t="e">
        <f>AND(Bills!Y744,"AAAAAD/wzvY=")</f>
        <v>#VALUE!</v>
      </c>
      <c r="IN194" t="e">
        <f>AND(Bills!Z744,"AAAAAD/wzvc=")</f>
        <v>#VALUE!</v>
      </c>
      <c r="IO194" t="e">
        <f>AND(Bills!#REF!,"AAAAAD/wzvg=")</f>
        <v>#REF!</v>
      </c>
      <c r="IP194" t="e">
        <f>AND(Bills!#REF!,"AAAAAD/wzvk=")</f>
        <v>#REF!</v>
      </c>
      <c r="IQ194" t="e">
        <f>AND(Bills!#REF!,"AAAAAD/wzvo=")</f>
        <v>#REF!</v>
      </c>
      <c r="IR194" t="e">
        <f>AND(Bills!AA744,"AAAAAD/wzvs=")</f>
        <v>#VALUE!</v>
      </c>
      <c r="IS194" t="e">
        <f>AND(Bills!AB744,"AAAAAD/wzvw=")</f>
        <v>#VALUE!</v>
      </c>
      <c r="IT194" t="e">
        <f>AND(Bills!#REF!,"AAAAAD/wzv0=")</f>
        <v>#REF!</v>
      </c>
      <c r="IU194">
        <f>IF(Bills!745:745,"AAAAAD/wzv4=",0)</f>
        <v>0</v>
      </c>
      <c r="IV194" t="e">
        <f>AND(Bills!B745,"AAAAAD/wzv8=")</f>
        <v>#VALUE!</v>
      </c>
    </row>
    <row r="195" spans="1:256">
      <c r="A195" t="e">
        <f>AND(Bills!#REF!,"AAAAAF7q/wA=")</f>
        <v>#REF!</v>
      </c>
      <c r="B195" t="e">
        <f>AND(Bills!C745,"AAAAAF7q/wE=")</f>
        <v>#VALUE!</v>
      </c>
      <c r="C195" t="e">
        <f>AND(Bills!#REF!,"AAAAAF7q/wI=")</f>
        <v>#REF!</v>
      </c>
      <c r="D195" t="e">
        <f>AND(Bills!#REF!,"AAAAAF7q/wM=")</f>
        <v>#REF!</v>
      </c>
      <c r="E195" t="e">
        <f>AND(Bills!#REF!,"AAAAAF7q/wQ=")</f>
        <v>#REF!</v>
      </c>
      <c r="F195" t="e">
        <f>AND(Bills!#REF!,"AAAAAF7q/wU=")</f>
        <v>#REF!</v>
      </c>
      <c r="G195" t="e">
        <f>AND(Bills!#REF!,"AAAAAF7q/wY=")</f>
        <v>#REF!</v>
      </c>
      <c r="H195" t="e">
        <f>AND(Bills!D745,"AAAAAF7q/wc=")</f>
        <v>#VALUE!</v>
      </c>
      <c r="I195" t="e">
        <f>AND(Bills!#REF!,"AAAAAF7q/wg=")</f>
        <v>#REF!</v>
      </c>
      <c r="J195" t="e">
        <f>AND(Bills!E745,"AAAAAF7q/wk=")</f>
        <v>#VALUE!</v>
      </c>
      <c r="K195" t="e">
        <f>AND(Bills!F745,"AAAAAF7q/wo=")</f>
        <v>#VALUE!</v>
      </c>
      <c r="L195" t="e">
        <f>AND(Bills!G745,"AAAAAF7q/ws=")</f>
        <v>#VALUE!</v>
      </c>
      <c r="M195" t="e">
        <f>AND(Bills!H745,"AAAAAF7q/ww=")</f>
        <v>#VALUE!</v>
      </c>
      <c r="N195" t="e">
        <f>AND(Bills!I745,"AAAAAF7q/w0=")</f>
        <v>#VALUE!</v>
      </c>
      <c r="O195" t="e">
        <f>AND(Bills!J745,"AAAAAF7q/w4=")</f>
        <v>#VALUE!</v>
      </c>
      <c r="P195" t="e">
        <f>AND(Bills!#REF!,"AAAAAF7q/w8=")</f>
        <v>#REF!</v>
      </c>
      <c r="Q195" t="e">
        <f>AND(Bills!K745,"AAAAAF7q/xA=")</f>
        <v>#VALUE!</v>
      </c>
      <c r="R195" t="e">
        <f>AND(Bills!L745,"AAAAAF7q/xE=")</f>
        <v>#VALUE!</v>
      </c>
      <c r="S195" t="e">
        <f>AND(Bills!M745,"AAAAAF7q/xI=")</f>
        <v>#VALUE!</v>
      </c>
      <c r="T195" t="e">
        <f>AND(Bills!N745,"AAAAAF7q/xM=")</f>
        <v>#VALUE!</v>
      </c>
      <c r="U195" t="e">
        <f>AND(Bills!O745,"AAAAAF7q/xQ=")</f>
        <v>#VALUE!</v>
      </c>
      <c r="V195" t="e">
        <f>AND(Bills!P745,"AAAAAF7q/xU=")</f>
        <v>#VALUE!</v>
      </c>
      <c r="W195" t="e">
        <f>AND(Bills!Q745,"AAAAAF7q/xY=")</f>
        <v>#VALUE!</v>
      </c>
      <c r="X195" t="e">
        <f>AND(Bills!R745,"AAAAAF7q/xc=")</f>
        <v>#VALUE!</v>
      </c>
      <c r="Y195" t="e">
        <f>AND(Bills!#REF!,"AAAAAF7q/xg=")</f>
        <v>#REF!</v>
      </c>
      <c r="Z195" t="e">
        <f>AND(Bills!S745,"AAAAAF7q/xk=")</f>
        <v>#VALUE!</v>
      </c>
      <c r="AA195" t="e">
        <f>AND(Bills!T745,"AAAAAF7q/xo=")</f>
        <v>#VALUE!</v>
      </c>
      <c r="AB195" t="e">
        <f>AND(Bills!U745,"AAAAAF7q/xs=")</f>
        <v>#VALUE!</v>
      </c>
      <c r="AC195" t="e">
        <f>AND(Bills!#REF!,"AAAAAF7q/xw=")</f>
        <v>#REF!</v>
      </c>
      <c r="AD195" t="e">
        <f>AND(Bills!#REF!,"AAAAAF7q/x0=")</f>
        <v>#REF!</v>
      </c>
      <c r="AE195" t="e">
        <f>AND(Bills!W745,"AAAAAF7q/x4=")</f>
        <v>#VALUE!</v>
      </c>
      <c r="AF195" t="e">
        <f>AND(Bills!X745,"AAAAAF7q/x8=")</f>
        <v>#VALUE!</v>
      </c>
      <c r="AG195" t="e">
        <f>AND(Bills!#REF!,"AAAAAF7q/yA=")</f>
        <v>#REF!</v>
      </c>
      <c r="AH195" t="e">
        <f>AND(Bills!#REF!,"AAAAAF7q/yE=")</f>
        <v>#REF!</v>
      </c>
      <c r="AI195" t="e">
        <f>AND(Bills!#REF!,"AAAAAF7q/yI=")</f>
        <v>#REF!</v>
      </c>
      <c r="AJ195" t="e">
        <f>AND(Bills!#REF!,"AAAAAF7q/yM=")</f>
        <v>#REF!</v>
      </c>
      <c r="AK195" t="e">
        <f>AND(Bills!#REF!,"AAAAAF7q/yQ=")</f>
        <v>#REF!</v>
      </c>
      <c r="AL195" t="e">
        <f>AND(Bills!#REF!,"AAAAAF7q/yU=")</f>
        <v>#REF!</v>
      </c>
      <c r="AM195" t="e">
        <f>AND(Bills!#REF!,"AAAAAF7q/yY=")</f>
        <v>#REF!</v>
      </c>
      <c r="AN195" t="e">
        <f>AND(Bills!#REF!,"AAAAAF7q/yc=")</f>
        <v>#REF!</v>
      </c>
      <c r="AO195" t="e">
        <f>AND(Bills!#REF!,"AAAAAF7q/yg=")</f>
        <v>#REF!</v>
      </c>
      <c r="AP195" t="e">
        <f>AND(Bills!Y745,"AAAAAF7q/yk=")</f>
        <v>#VALUE!</v>
      </c>
      <c r="AQ195" t="e">
        <f>AND(Bills!Z745,"AAAAAF7q/yo=")</f>
        <v>#VALUE!</v>
      </c>
      <c r="AR195" t="e">
        <f>AND(Bills!#REF!,"AAAAAF7q/ys=")</f>
        <v>#REF!</v>
      </c>
      <c r="AS195" t="e">
        <f>AND(Bills!#REF!,"AAAAAF7q/yw=")</f>
        <v>#REF!</v>
      </c>
      <c r="AT195" t="e">
        <f>AND(Bills!#REF!,"AAAAAF7q/y0=")</f>
        <v>#REF!</v>
      </c>
      <c r="AU195" t="e">
        <f>AND(Bills!AA745,"AAAAAF7q/y4=")</f>
        <v>#VALUE!</v>
      </c>
      <c r="AV195" t="e">
        <f>AND(Bills!AB745,"AAAAAF7q/y8=")</f>
        <v>#VALUE!</v>
      </c>
      <c r="AW195" t="e">
        <f>AND(Bills!#REF!,"AAAAAF7q/zA=")</f>
        <v>#REF!</v>
      </c>
      <c r="AX195">
        <f>IF(Bills!746:746,"AAAAAF7q/zE=",0)</f>
        <v>0</v>
      </c>
      <c r="AY195" t="e">
        <f>AND(Bills!B746,"AAAAAF7q/zI=")</f>
        <v>#VALUE!</v>
      </c>
      <c r="AZ195" t="e">
        <f>AND(Bills!#REF!,"AAAAAF7q/zM=")</f>
        <v>#REF!</v>
      </c>
      <c r="BA195" t="e">
        <f>AND(Bills!C746,"AAAAAF7q/zQ=")</f>
        <v>#VALUE!</v>
      </c>
      <c r="BB195" t="e">
        <f>AND(Bills!#REF!,"AAAAAF7q/zU=")</f>
        <v>#REF!</v>
      </c>
      <c r="BC195" t="e">
        <f>AND(Bills!#REF!,"AAAAAF7q/zY=")</f>
        <v>#REF!</v>
      </c>
      <c r="BD195" t="e">
        <f>AND(Bills!#REF!,"AAAAAF7q/zc=")</f>
        <v>#REF!</v>
      </c>
      <c r="BE195" t="e">
        <f>AND(Bills!#REF!,"AAAAAF7q/zg=")</f>
        <v>#REF!</v>
      </c>
      <c r="BF195" t="e">
        <f>AND(Bills!#REF!,"AAAAAF7q/zk=")</f>
        <v>#REF!</v>
      </c>
      <c r="BG195" t="e">
        <f>AND(Bills!D746,"AAAAAF7q/zo=")</f>
        <v>#VALUE!</v>
      </c>
      <c r="BH195" t="e">
        <f>AND(Bills!#REF!,"AAAAAF7q/zs=")</f>
        <v>#REF!</v>
      </c>
      <c r="BI195" t="e">
        <f>AND(Bills!E746,"AAAAAF7q/zw=")</f>
        <v>#VALUE!</v>
      </c>
      <c r="BJ195" t="e">
        <f>AND(Bills!F746,"AAAAAF7q/z0=")</f>
        <v>#VALUE!</v>
      </c>
      <c r="BK195" t="e">
        <f>AND(Bills!G746,"AAAAAF7q/z4=")</f>
        <v>#VALUE!</v>
      </c>
      <c r="BL195" t="e">
        <f>AND(Bills!H746,"AAAAAF7q/z8=")</f>
        <v>#VALUE!</v>
      </c>
      <c r="BM195" t="e">
        <f>AND(Bills!I746,"AAAAAF7q/0A=")</f>
        <v>#VALUE!</v>
      </c>
      <c r="BN195" t="e">
        <f>AND(Bills!J746,"AAAAAF7q/0E=")</f>
        <v>#VALUE!</v>
      </c>
      <c r="BO195" t="e">
        <f>AND(Bills!#REF!,"AAAAAF7q/0I=")</f>
        <v>#REF!</v>
      </c>
      <c r="BP195" t="e">
        <f>AND(Bills!K746,"AAAAAF7q/0M=")</f>
        <v>#VALUE!</v>
      </c>
      <c r="BQ195" t="e">
        <f>AND(Bills!L746,"AAAAAF7q/0Q=")</f>
        <v>#VALUE!</v>
      </c>
      <c r="BR195" t="e">
        <f>AND(Bills!M746,"AAAAAF7q/0U=")</f>
        <v>#VALUE!</v>
      </c>
      <c r="BS195" t="e">
        <f>AND(Bills!N746,"AAAAAF7q/0Y=")</f>
        <v>#VALUE!</v>
      </c>
      <c r="BT195" t="e">
        <f>AND(Bills!O746,"AAAAAF7q/0c=")</f>
        <v>#VALUE!</v>
      </c>
      <c r="BU195" t="e">
        <f>AND(Bills!P746,"AAAAAF7q/0g=")</f>
        <v>#VALUE!</v>
      </c>
      <c r="BV195" t="e">
        <f>AND(Bills!Q746,"AAAAAF7q/0k=")</f>
        <v>#VALUE!</v>
      </c>
      <c r="BW195" t="e">
        <f>AND(Bills!R746,"AAAAAF7q/0o=")</f>
        <v>#VALUE!</v>
      </c>
      <c r="BX195" t="e">
        <f>AND(Bills!#REF!,"AAAAAF7q/0s=")</f>
        <v>#REF!</v>
      </c>
      <c r="BY195" t="e">
        <f>AND(Bills!S746,"AAAAAF7q/0w=")</f>
        <v>#VALUE!</v>
      </c>
      <c r="BZ195" t="e">
        <f>AND(Bills!T746,"AAAAAF7q/00=")</f>
        <v>#VALUE!</v>
      </c>
      <c r="CA195" t="e">
        <f>AND(Bills!U746,"AAAAAF7q/04=")</f>
        <v>#VALUE!</v>
      </c>
      <c r="CB195" t="e">
        <f>AND(Bills!#REF!,"AAAAAF7q/08=")</f>
        <v>#REF!</v>
      </c>
      <c r="CC195" t="e">
        <f>AND(Bills!#REF!,"AAAAAF7q/1A=")</f>
        <v>#REF!</v>
      </c>
      <c r="CD195" t="e">
        <f>AND(Bills!W746,"AAAAAF7q/1E=")</f>
        <v>#VALUE!</v>
      </c>
      <c r="CE195" t="e">
        <f>AND(Bills!X746,"AAAAAF7q/1I=")</f>
        <v>#VALUE!</v>
      </c>
      <c r="CF195" t="e">
        <f>AND(Bills!#REF!,"AAAAAF7q/1M=")</f>
        <v>#REF!</v>
      </c>
      <c r="CG195" t="e">
        <f>AND(Bills!#REF!,"AAAAAF7q/1Q=")</f>
        <v>#REF!</v>
      </c>
      <c r="CH195" t="e">
        <f>AND(Bills!#REF!,"AAAAAF7q/1U=")</f>
        <v>#REF!</v>
      </c>
      <c r="CI195" t="e">
        <f>AND(Bills!#REF!,"AAAAAF7q/1Y=")</f>
        <v>#REF!</v>
      </c>
      <c r="CJ195" t="e">
        <f>AND(Bills!#REF!,"AAAAAF7q/1c=")</f>
        <v>#REF!</v>
      </c>
      <c r="CK195" t="e">
        <f>AND(Bills!#REF!,"AAAAAF7q/1g=")</f>
        <v>#REF!</v>
      </c>
      <c r="CL195" t="e">
        <f>AND(Bills!#REF!,"AAAAAF7q/1k=")</f>
        <v>#REF!</v>
      </c>
      <c r="CM195" t="e">
        <f>AND(Bills!#REF!,"AAAAAF7q/1o=")</f>
        <v>#REF!</v>
      </c>
      <c r="CN195" t="e">
        <f>AND(Bills!#REF!,"AAAAAF7q/1s=")</f>
        <v>#REF!</v>
      </c>
      <c r="CO195" t="e">
        <f>AND(Bills!Y746,"AAAAAF7q/1w=")</f>
        <v>#VALUE!</v>
      </c>
      <c r="CP195" t="e">
        <f>AND(Bills!Z746,"AAAAAF7q/10=")</f>
        <v>#VALUE!</v>
      </c>
      <c r="CQ195" t="e">
        <f>AND(Bills!#REF!,"AAAAAF7q/14=")</f>
        <v>#REF!</v>
      </c>
      <c r="CR195" t="e">
        <f>AND(Bills!#REF!,"AAAAAF7q/18=")</f>
        <v>#REF!</v>
      </c>
      <c r="CS195" t="e">
        <f>AND(Bills!#REF!,"AAAAAF7q/2A=")</f>
        <v>#REF!</v>
      </c>
      <c r="CT195" t="e">
        <f>AND(Bills!AA746,"AAAAAF7q/2E=")</f>
        <v>#VALUE!</v>
      </c>
      <c r="CU195" t="e">
        <f>AND(Bills!AB746,"AAAAAF7q/2I=")</f>
        <v>#VALUE!</v>
      </c>
      <c r="CV195" t="e">
        <f>AND(Bills!#REF!,"AAAAAF7q/2M=")</f>
        <v>#REF!</v>
      </c>
      <c r="CW195">
        <f>IF(Bills!747:747,"AAAAAF7q/2Q=",0)</f>
        <v>0</v>
      </c>
      <c r="CX195" t="e">
        <f>AND(Bills!B747,"AAAAAF7q/2U=")</f>
        <v>#VALUE!</v>
      </c>
      <c r="CY195" t="e">
        <f>AND(Bills!#REF!,"AAAAAF7q/2Y=")</f>
        <v>#REF!</v>
      </c>
      <c r="CZ195" t="e">
        <f>AND(Bills!C747,"AAAAAF7q/2c=")</f>
        <v>#VALUE!</v>
      </c>
      <c r="DA195" t="e">
        <f>AND(Bills!#REF!,"AAAAAF7q/2g=")</f>
        <v>#REF!</v>
      </c>
      <c r="DB195" t="e">
        <f>AND(Bills!#REF!,"AAAAAF7q/2k=")</f>
        <v>#REF!</v>
      </c>
      <c r="DC195" t="e">
        <f>AND(Bills!#REF!,"AAAAAF7q/2o=")</f>
        <v>#REF!</v>
      </c>
      <c r="DD195" t="e">
        <f>AND(Bills!#REF!,"AAAAAF7q/2s=")</f>
        <v>#REF!</v>
      </c>
      <c r="DE195" t="e">
        <f>AND(Bills!#REF!,"AAAAAF7q/2w=")</f>
        <v>#REF!</v>
      </c>
      <c r="DF195" t="e">
        <f>AND(Bills!D747,"AAAAAF7q/20=")</f>
        <v>#VALUE!</v>
      </c>
      <c r="DG195" t="e">
        <f>AND(Bills!#REF!,"AAAAAF7q/24=")</f>
        <v>#REF!</v>
      </c>
      <c r="DH195" t="e">
        <f>AND(Bills!E747,"AAAAAF7q/28=")</f>
        <v>#VALUE!</v>
      </c>
      <c r="DI195" t="e">
        <f>AND(Bills!F747,"AAAAAF7q/3A=")</f>
        <v>#VALUE!</v>
      </c>
      <c r="DJ195" t="e">
        <f>AND(Bills!G747,"AAAAAF7q/3E=")</f>
        <v>#VALUE!</v>
      </c>
      <c r="DK195" t="e">
        <f>AND(Bills!H747,"AAAAAF7q/3I=")</f>
        <v>#VALUE!</v>
      </c>
      <c r="DL195" t="e">
        <f>AND(Bills!I747,"AAAAAF7q/3M=")</f>
        <v>#VALUE!</v>
      </c>
      <c r="DM195" t="e">
        <f>AND(Bills!J747,"AAAAAF7q/3Q=")</f>
        <v>#VALUE!</v>
      </c>
      <c r="DN195" t="e">
        <f>AND(Bills!#REF!,"AAAAAF7q/3U=")</f>
        <v>#REF!</v>
      </c>
      <c r="DO195" t="e">
        <f>AND(Bills!K747,"AAAAAF7q/3Y=")</f>
        <v>#VALUE!</v>
      </c>
      <c r="DP195" t="e">
        <f>AND(Bills!L747,"AAAAAF7q/3c=")</f>
        <v>#VALUE!</v>
      </c>
      <c r="DQ195" t="e">
        <f>AND(Bills!M747,"AAAAAF7q/3g=")</f>
        <v>#VALUE!</v>
      </c>
      <c r="DR195" t="e">
        <f>AND(Bills!N747,"AAAAAF7q/3k=")</f>
        <v>#VALUE!</v>
      </c>
      <c r="DS195" t="e">
        <f>AND(Bills!O747,"AAAAAF7q/3o=")</f>
        <v>#VALUE!</v>
      </c>
      <c r="DT195" t="e">
        <f>AND(Bills!P747,"AAAAAF7q/3s=")</f>
        <v>#VALUE!</v>
      </c>
      <c r="DU195" t="e">
        <f>AND(Bills!Q747,"AAAAAF7q/3w=")</f>
        <v>#VALUE!</v>
      </c>
      <c r="DV195" t="e">
        <f>AND(Bills!R747,"AAAAAF7q/30=")</f>
        <v>#VALUE!</v>
      </c>
      <c r="DW195" t="e">
        <f>AND(Bills!#REF!,"AAAAAF7q/34=")</f>
        <v>#REF!</v>
      </c>
      <c r="DX195" t="e">
        <f>AND(Bills!S747,"AAAAAF7q/38=")</f>
        <v>#VALUE!</v>
      </c>
      <c r="DY195" t="e">
        <f>AND(Bills!T747,"AAAAAF7q/4A=")</f>
        <v>#VALUE!</v>
      </c>
      <c r="DZ195" t="e">
        <f>AND(Bills!U747,"AAAAAF7q/4E=")</f>
        <v>#VALUE!</v>
      </c>
      <c r="EA195" t="e">
        <f>AND(Bills!#REF!,"AAAAAF7q/4I=")</f>
        <v>#REF!</v>
      </c>
      <c r="EB195" t="e">
        <f>AND(Bills!#REF!,"AAAAAF7q/4M=")</f>
        <v>#REF!</v>
      </c>
      <c r="EC195" t="e">
        <f>AND(Bills!W747,"AAAAAF7q/4Q=")</f>
        <v>#VALUE!</v>
      </c>
      <c r="ED195" t="e">
        <f>AND(Bills!X747,"AAAAAF7q/4U=")</f>
        <v>#VALUE!</v>
      </c>
      <c r="EE195" t="e">
        <f>AND(Bills!#REF!,"AAAAAF7q/4Y=")</f>
        <v>#REF!</v>
      </c>
      <c r="EF195" t="e">
        <f>AND(Bills!#REF!,"AAAAAF7q/4c=")</f>
        <v>#REF!</v>
      </c>
      <c r="EG195" t="e">
        <f>AND(Bills!#REF!,"AAAAAF7q/4g=")</f>
        <v>#REF!</v>
      </c>
      <c r="EH195" t="e">
        <f>AND(Bills!#REF!,"AAAAAF7q/4k=")</f>
        <v>#REF!</v>
      </c>
      <c r="EI195" t="e">
        <f>AND(Bills!#REF!,"AAAAAF7q/4o=")</f>
        <v>#REF!</v>
      </c>
      <c r="EJ195" t="e">
        <f>AND(Bills!#REF!,"AAAAAF7q/4s=")</f>
        <v>#REF!</v>
      </c>
      <c r="EK195" t="e">
        <f>AND(Bills!#REF!,"AAAAAF7q/4w=")</f>
        <v>#REF!</v>
      </c>
      <c r="EL195" t="e">
        <f>AND(Bills!#REF!,"AAAAAF7q/40=")</f>
        <v>#REF!</v>
      </c>
      <c r="EM195" t="e">
        <f>AND(Bills!#REF!,"AAAAAF7q/44=")</f>
        <v>#REF!</v>
      </c>
      <c r="EN195" t="e">
        <f>AND(Bills!Y747,"AAAAAF7q/48=")</f>
        <v>#VALUE!</v>
      </c>
      <c r="EO195" t="e">
        <f>AND(Bills!Z747,"AAAAAF7q/5A=")</f>
        <v>#VALUE!</v>
      </c>
      <c r="EP195" t="e">
        <f>AND(Bills!#REF!,"AAAAAF7q/5E=")</f>
        <v>#REF!</v>
      </c>
      <c r="EQ195" t="e">
        <f>AND(Bills!#REF!,"AAAAAF7q/5I=")</f>
        <v>#REF!</v>
      </c>
      <c r="ER195" t="e">
        <f>AND(Bills!#REF!,"AAAAAF7q/5M=")</f>
        <v>#REF!</v>
      </c>
      <c r="ES195" t="e">
        <f>AND(Bills!AA747,"AAAAAF7q/5Q=")</f>
        <v>#VALUE!</v>
      </c>
      <c r="ET195" t="e">
        <f>AND(Bills!AB747,"AAAAAF7q/5U=")</f>
        <v>#VALUE!</v>
      </c>
      <c r="EU195" t="e">
        <f>AND(Bills!#REF!,"AAAAAF7q/5Y=")</f>
        <v>#REF!</v>
      </c>
      <c r="EV195">
        <f>IF(Bills!748:748,"AAAAAF7q/5c=",0)</f>
        <v>0</v>
      </c>
      <c r="EW195" t="e">
        <f>AND(Bills!B748,"AAAAAF7q/5g=")</f>
        <v>#VALUE!</v>
      </c>
      <c r="EX195" t="e">
        <f>AND(Bills!#REF!,"AAAAAF7q/5k=")</f>
        <v>#REF!</v>
      </c>
      <c r="EY195" t="e">
        <f>AND(Bills!C748,"AAAAAF7q/5o=")</f>
        <v>#VALUE!</v>
      </c>
      <c r="EZ195" t="e">
        <f>AND(Bills!#REF!,"AAAAAF7q/5s=")</f>
        <v>#REF!</v>
      </c>
      <c r="FA195" t="e">
        <f>AND(Bills!#REF!,"AAAAAF7q/5w=")</f>
        <v>#REF!</v>
      </c>
      <c r="FB195" t="e">
        <f>AND(Bills!#REF!,"AAAAAF7q/50=")</f>
        <v>#REF!</v>
      </c>
      <c r="FC195" t="e">
        <f>AND(Bills!#REF!,"AAAAAF7q/54=")</f>
        <v>#REF!</v>
      </c>
      <c r="FD195" t="e">
        <f>AND(Bills!#REF!,"AAAAAF7q/58=")</f>
        <v>#REF!</v>
      </c>
      <c r="FE195" t="e">
        <f>AND(Bills!D748,"AAAAAF7q/6A=")</f>
        <v>#VALUE!</v>
      </c>
      <c r="FF195" t="e">
        <f>AND(Bills!#REF!,"AAAAAF7q/6E=")</f>
        <v>#REF!</v>
      </c>
      <c r="FG195" t="e">
        <f>AND(Bills!E748,"AAAAAF7q/6I=")</f>
        <v>#VALUE!</v>
      </c>
      <c r="FH195" t="e">
        <f>AND(Bills!F748,"AAAAAF7q/6M=")</f>
        <v>#VALUE!</v>
      </c>
      <c r="FI195" t="e">
        <f>AND(Bills!G748,"AAAAAF7q/6Q=")</f>
        <v>#VALUE!</v>
      </c>
      <c r="FJ195" t="e">
        <f>AND(Bills!H748,"AAAAAF7q/6U=")</f>
        <v>#VALUE!</v>
      </c>
      <c r="FK195" t="e">
        <f>AND(Bills!I748,"AAAAAF7q/6Y=")</f>
        <v>#VALUE!</v>
      </c>
      <c r="FL195" t="e">
        <f>AND(Bills!J748,"AAAAAF7q/6c=")</f>
        <v>#VALUE!</v>
      </c>
      <c r="FM195" t="e">
        <f>AND(Bills!#REF!,"AAAAAF7q/6g=")</f>
        <v>#REF!</v>
      </c>
      <c r="FN195" t="e">
        <f>AND(Bills!K748,"AAAAAF7q/6k=")</f>
        <v>#VALUE!</v>
      </c>
      <c r="FO195" t="e">
        <f>AND(Bills!L748,"AAAAAF7q/6o=")</f>
        <v>#VALUE!</v>
      </c>
      <c r="FP195" t="e">
        <f>AND(Bills!M748,"AAAAAF7q/6s=")</f>
        <v>#VALUE!</v>
      </c>
      <c r="FQ195" t="e">
        <f>AND(Bills!N748,"AAAAAF7q/6w=")</f>
        <v>#VALUE!</v>
      </c>
      <c r="FR195" t="e">
        <f>AND(Bills!O748,"AAAAAF7q/60=")</f>
        <v>#VALUE!</v>
      </c>
      <c r="FS195" t="e">
        <f>AND(Bills!P748,"AAAAAF7q/64=")</f>
        <v>#VALUE!</v>
      </c>
      <c r="FT195" t="e">
        <f>AND(Bills!Q748,"AAAAAF7q/68=")</f>
        <v>#VALUE!</v>
      </c>
      <c r="FU195" t="e">
        <f>AND(Bills!R748,"AAAAAF7q/7A=")</f>
        <v>#VALUE!</v>
      </c>
      <c r="FV195" t="e">
        <f>AND(Bills!#REF!,"AAAAAF7q/7E=")</f>
        <v>#REF!</v>
      </c>
      <c r="FW195" t="e">
        <f>AND(Bills!S748,"AAAAAF7q/7I=")</f>
        <v>#VALUE!</v>
      </c>
      <c r="FX195" t="e">
        <f>AND(Bills!T748,"AAAAAF7q/7M=")</f>
        <v>#VALUE!</v>
      </c>
      <c r="FY195" t="e">
        <f>AND(Bills!U748,"AAAAAF7q/7Q=")</f>
        <v>#VALUE!</v>
      </c>
      <c r="FZ195" t="e">
        <f>AND(Bills!#REF!,"AAAAAF7q/7U=")</f>
        <v>#REF!</v>
      </c>
      <c r="GA195" t="e">
        <f>AND(Bills!#REF!,"AAAAAF7q/7Y=")</f>
        <v>#REF!</v>
      </c>
      <c r="GB195" t="e">
        <f>AND(Bills!W748,"AAAAAF7q/7c=")</f>
        <v>#VALUE!</v>
      </c>
      <c r="GC195" t="e">
        <f>AND(Bills!X748,"AAAAAF7q/7g=")</f>
        <v>#VALUE!</v>
      </c>
      <c r="GD195" t="e">
        <f>AND(Bills!#REF!,"AAAAAF7q/7k=")</f>
        <v>#REF!</v>
      </c>
      <c r="GE195" t="e">
        <f>AND(Bills!#REF!,"AAAAAF7q/7o=")</f>
        <v>#REF!</v>
      </c>
      <c r="GF195" t="e">
        <f>AND(Bills!#REF!,"AAAAAF7q/7s=")</f>
        <v>#REF!</v>
      </c>
      <c r="GG195" t="e">
        <f>AND(Bills!#REF!,"AAAAAF7q/7w=")</f>
        <v>#REF!</v>
      </c>
      <c r="GH195" t="e">
        <f>AND(Bills!#REF!,"AAAAAF7q/70=")</f>
        <v>#REF!</v>
      </c>
      <c r="GI195" t="e">
        <f>AND(Bills!#REF!,"AAAAAF7q/74=")</f>
        <v>#REF!</v>
      </c>
      <c r="GJ195" t="e">
        <f>AND(Bills!#REF!,"AAAAAF7q/78=")</f>
        <v>#REF!</v>
      </c>
      <c r="GK195" t="e">
        <f>AND(Bills!#REF!,"AAAAAF7q/8A=")</f>
        <v>#REF!</v>
      </c>
      <c r="GL195" t="e">
        <f>AND(Bills!#REF!,"AAAAAF7q/8E=")</f>
        <v>#REF!</v>
      </c>
      <c r="GM195" t="e">
        <f>AND(Bills!Y748,"AAAAAF7q/8I=")</f>
        <v>#VALUE!</v>
      </c>
      <c r="GN195" t="e">
        <f>AND(Bills!Z748,"AAAAAF7q/8M=")</f>
        <v>#VALUE!</v>
      </c>
      <c r="GO195" t="e">
        <f>AND(Bills!#REF!,"AAAAAF7q/8Q=")</f>
        <v>#REF!</v>
      </c>
      <c r="GP195" t="e">
        <f>AND(Bills!#REF!,"AAAAAF7q/8U=")</f>
        <v>#REF!</v>
      </c>
      <c r="GQ195" t="e">
        <f>AND(Bills!#REF!,"AAAAAF7q/8Y=")</f>
        <v>#REF!</v>
      </c>
      <c r="GR195" t="e">
        <f>AND(Bills!AA748,"AAAAAF7q/8c=")</f>
        <v>#VALUE!</v>
      </c>
      <c r="GS195" t="e">
        <f>AND(Bills!AB748,"AAAAAF7q/8g=")</f>
        <v>#VALUE!</v>
      </c>
      <c r="GT195" t="e">
        <f>AND(Bills!#REF!,"AAAAAF7q/8k=")</f>
        <v>#REF!</v>
      </c>
      <c r="GU195">
        <f>IF(Bills!749:749,"AAAAAF7q/8o=",0)</f>
        <v>0</v>
      </c>
      <c r="GV195" t="e">
        <f>AND(Bills!B749,"AAAAAF7q/8s=")</f>
        <v>#VALUE!</v>
      </c>
      <c r="GW195" t="e">
        <f>AND(Bills!#REF!,"AAAAAF7q/8w=")</f>
        <v>#REF!</v>
      </c>
      <c r="GX195" t="e">
        <f>AND(Bills!C749,"AAAAAF7q/80=")</f>
        <v>#VALUE!</v>
      </c>
      <c r="GY195" t="e">
        <f>AND(Bills!#REF!,"AAAAAF7q/84=")</f>
        <v>#REF!</v>
      </c>
      <c r="GZ195" t="e">
        <f>AND(Bills!#REF!,"AAAAAF7q/88=")</f>
        <v>#REF!</v>
      </c>
      <c r="HA195" t="e">
        <f>AND(Bills!#REF!,"AAAAAF7q/9A=")</f>
        <v>#REF!</v>
      </c>
      <c r="HB195" t="e">
        <f>AND(Bills!#REF!,"AAAAAF7q/9E=")</f>
        <v>#REF!</v>
      </c>
      <c r="HC195" t="e">
        <f>AND(Bills!#REF!,"AAAAAF7q/9I=")</f>
        <v>#REF!</v>
      </c>
      <c r="HD195" t="e">
        <f>AND(Bills!D749,"AAAAAF7q/9M=")</f>
        <v>#VALUE!</v>
      </c>
      <c r="HE195" t="e">
        <f>AND(Bills!#REF!,"AAAAAF7q/9Q=")</f>
        <v>#REF!</v>
      </c>
      <c r="HF195" t="e">
        <f>AND(Bills!E749,"AAAAAF7q/9U=")</f>
        <v>#VALUE!</v>
      </c>
      <c r="HG195" t="e">
        <f>AND(Bills!F749,"AAAAAF7q/9Y=")</f>
        <v>#VALUE!</v>
      </c>
      <c r="HH195" t="e">
        <f>AND(Bills!G749,"AAAAAF7q/9c=")</f>
        <v>#VALUE!</v>
      </c>
      <c r="HI195" t="e">
        <f>AND(Bills!H749,"AAAAAF7q/9g=")</f>
        <v>#VALUE!</v>
      </c>
      <c r="HJ195" t="e">
        <f>AND(Bills!I749,"AAAAAF7q/9k=")</f>
        <v>#VALUE!</v>
      </c>
      <c r="HK195" t="e">
        <f>AND(Bills!J749,"AAAAAF7q/9o=")</f>
        <v>#VALUE!</v>
      </c>
      <c r="HL195" t="e">
        <f>AND(Bills!#REF!,"AAAAAF7q/9s=")</f>
        <v>#REF!</v>
      </c>
      <c r="HM195" t="e">
        <f>AND(Bills!K749,"AAAAAF7q/9w=")</f>
        <v>#VALUE!</v>
      </c>
      <c r="HN195" t="e">
        <f>AND(Bills!L749,"AAAAAF7q/90=")</f>
        <v>#VALUE!</v>
      </c>
      <c r="HO195" t="e">
        <f>AND(Bills!M749,"AAAAAF7q/94=")</f>
        <v>#VALUE!</v>
      </c>
      <c r="HP195" t="e">
        <f>AND(Bills!N749,"AAAAAF7q/98=")</f>
        <v>#VALUE!</v>
      </c>
      <c r="HQ195" t="e">
        <f>AND(Bills!O749,"AAAAAF7q/+A=")</f>
        <v>#VALUE!</v>
      </c>
      <c r="HR195" t="e">
        <f>AND(Bills!P749,"AAAAAF7q/+E=")</f>
        <v>#VALUE!</v>
      </c>
      <c r="HS195" t="e">
        <f>AND(Bills!Q749,"AAAAAF7q/+I=")</f>
        <v>#VALUE!</v>
      </c>
      <c r="HT195" t="e">
        <f>AND(Bills!R749,"AAAAAF7q/+M=")</f>
        <v>#VALUE!</v>
      </c>
      <c r="HU195" t="e">
        <f>AND(Bills!#REF!,"AAAAAF7q/+Q=")</f>
        <v>#REF!</v>
      </c>
      <c r="HV195" t="e">
        <f>AND(Bills!S749,"AAAAAF7q/+U=")</f>
        <v>#VALUE!</v>
      </c>
      <c r="HW195" t="e">
        <f>AND(Bills!T749,"AAAAAF7q/+Y=")</f>
        <v>#VALUE!</v>
      </c>
      <c r="HX195" t="e">
        <f>AND(Bills!U749,"AAAAAF7q/+c=")</f>
        <v>#VALUE!</v>
      </c>
      <c r="HY195" t="e">
        <f>AND(Bills!#REF!,"AAAAAF7q/+g=")</f>
        <v>#REF!</v>
      </c>
      <c r="HZ195" t="e">
        <f>AND(Bills!#REF!,"AAAAAF7q/+k=")</f>
        <v>#REF!</v>
      </c>
      <c r="IA195" t="e">
        <f>AND(Bills!W749,"AAAAAF7q/+o=")</f>
        <v>#VALUE!</v>
      </c>
      <c r="IB195" t="e">
        <f>AND(Bills!X749,"AAAAAF7q/+s=")</f>
        <v>#VALUE!</v>
      </c>
      <c r="IC195" t="e">
        <f>AND(Bills!#REF!,"AAAAAF7q/+w=")</f>
        <v>#REF!</v>
      </c>
      <c r="ID195" t="e">
        <f>AND(Bills!#REF!,"AAAAAF7q/+0=")</f>
        <v>#REF!</v>
      </c>
      <c r="IE195" t="e">
        <f>AND(Bills!#REF!,"AAAAAF7q/+4=")</f>
        <v>#REF!</v>
      </c>
      <c r="IF195" t="e">
        <f>AND(Bills!#REF!,"AAAAAF7q/+8=")</f>
        <v>#REF!</v>
      </c>
      <c r="IG195" t="e">
        <f>AND(Bills!#REF!,"AAAAAF7q//A=")</f>
        <v>#REF!</v>
      </c>
      <c r="IH195" t="e">
        <f>AND(Bills!#REF!,"AAAAAF7q//E=")</f>
        <v>#REF!</v>
      </c>
      <c r="II195" t="e">
        <f>AND(Bills!#REF!,"AAAAAF7q//I=")</f>
        <v>#REF!</v>
      </c>
      <c r="IJ195" t="e">
        <f>AND(Bills!#REF!,"AAAAAF7q//M=")</f>
        <v>#REF!</v>
      </c>
      <c r="IK195" t="e">
        <f>AND(Bills!#REF!,"AAAAAF7q//Q=")</f>
        <v>#REF!</v>
      </c>
      <c r="IL195" t="e">
        <f>AND(Bills!Y749,"AAAAAF7q//U=")</f>
        <v>#VALUE!</v>
      </c>
      <c r="IM195" t="e">
        <f>AND(Bills!Z749,"AAAAAF7q//Y=")</f>
        <v>#VALUE!</v>
      </c>
      <c r="IN195" t="e">
        <f>AND(Bills!#REF!,"AAAAAF7q//c=")</f>
        <v>#REF!</v>
      </c>
      <c r="IO195" t="e">
        <f>AND(Bills!#REF!,"AAAAAF7q//g=")</f>
        <v>#REF!</v>
      </c>
      <c r="IP195" t="e">
        <f>AND(Bills!#REF!,"AAAAAF7q//k=")</f>
        <v>#REF!</v>
      </c>
      <c r="IQ195" t="e">
        <f>AND(Bills!AA749,"AAAAAF7q//o=")</f>
        <v>#VALUE!</v>
      </c>
      <c r="IR195" t="e">
        <f>AND(Bills!AB749,"AAAAAF7q//s=")</f>
        <v>#VALUE!</v>
      </c>
      <c r="IS195" t="e">
        <f>AND(Bills!#REF!,"AAAAAF7q//w=")</f>
        <v>#REF!</v>
      </c>
      <c r="IT195">
        <f>IF(Bills!750:750,"AAAAAF7q//0=",0)</f>
        <v>0</v>
      </c>
      <c r="IU195" t="e">
        <f>AND(Bills!B750,"AAAAAF7q//4=")</f>
        <v>#VALUE!</v>
      </c>
      <c r="IV195" t="e">
        <f>AND(Bills!#REF!,"AAAAAF7q//8=")</f>
        <v>#REF!</v>
      </c>
    </row>
    <row r="196" spans="1:256">
      <c r="A196" t="e">
        <f>AND(Bills!C750,"AAAAAGfYXwA=")</f>
        <v>#VALUE!</v>
      </c>
      <c r="B196" t="e">
        <f>AND(Bills!#REF!,"AAAAAGfYXwE=")</f>
        <v>#REF!</v>
      </c>
      <c r="C196" t="e">
        <f>AND(Bills!#REF!,"AAAAAGfYXwI=")</f>
        <v>#REF!</v>
      </c>
      <c r="D196" t="e">
        <f>AND(Bills!#REF!,"AAAAAGfYXwM=")</f>
        <v>#REF!</v>
      </c>
      <c r="E196" t="e">
        <f>AND(Bills!#REF!,"AAAAAGfYXwQ=")</f>
        <v>#REF!</v>
      </c>
      <c r="F196" t="e">
        <f>AND(Bills!#REF!,"AAAAAGfYXwU=")</f>
        <v>#REF!</v>
      </c>
      <c r="G196" t="e">
        <f>AND(Bills!D750,"AAAAAGfYXwY=")</f>
        <v>#VALUE!</v>
      </c>
      <c r="H196" t="e">
        <f>AND(Bills!#REF!,"AAAAAGfYXwc=")</f>
        <v>#REF!</v>
      </c>
      <c r="I196" t="e">
        <f>AND(Bills!E750,"AAAAAGfYXwg=")</f>
        <v>#VALUE!</v>
      </c>
      <c r="J196" t="e">
        <f>AND(Bills!F750,"AAAAAGfYXwk=")</f>
        <v>#VALUE!</v>
      </c>
      <c r="K196" t="e">
        <f>AND(Bills!G750,"AAAAAGfYXwo=")</f>
        <v>#VALUE!</v>
      </c>
      <c r="L196" t="e">
        <f>AND(Bills!H750,"AAAAAGfYXws=")</f>
        <v>#VALUE!</v>
      </c>
      <c r="M196" t="e">
        <f>AND(Bills!I750,"AAAAAGfYXww=")</f>
        <v>#VALUE!</v>
      </c>
      <c r="N196" t="e">
        <f>AND(Bills!J750,"AAAAAGfYXw0=")</f>
        <v>#VALUE!</v>
      </c>
      <c r="O196" t="e">
        <f>AND(Bills!#REF!,"AAAAAGfYXw4=")</f>
        <v>#REF!</v>
      </c>
      <c r="P196" t="e">
        <f>AND(Bills!K750,"AAAAAGfYXw8=")</f>
        <v>#VALUE!</v>
      </c>
      <c r="Q196" t="e">
        <f>AND(Bills!L750,"AAAAAGfYXxA=")</f>
        <v>#VALUE!</v>
      </c>
      <c r="R196" t="e">
        <f>AND(Bills!M750,"AAAAAGfYXxE=")</f>
        <v>#VALUE!</v>
      </c>
      <c r="S196" t="e">
        <f>AND(Bills!N750,"AAAAAGfYXxI=")</f>
        <v>#VALUE!</v>
      </c>
      <c r="T196" t="e">
        <f>AND(Bills!O750,"AAAAAGfYXxM=")</f>
        <v>#VALUE!</v>
      </c>
      <c r="U196" t="e">
        <f>AND(Bills!P750,"AAAAAGfYXxQ=")</f>
        <v>#VALUE!</v>
      </c>
      <c r="V196" t="e">
        <f>AND(Bills!Q750,"AAAAAGfYXxU=")</f>
        <v>#VALUE!</v>
      </c>
      <c r="W196" t="e">
        <f>AND(Bills!R750,"AAAAAGfYXxY=")</f>
        <v>#VALUE!</v>
      </c>
      <c r="X196" t="e">
        <f>AND(Bills!#REF!,"AAAAAGfYXxc=")</f>
        <v>#REF!</v>
      </c>
      <c r="Y196" t="e">
        <f>AND(Bills!S750,"AAAAAGfYXxg=")</f>
        <v>#VALUE!</v>
      </c>
      <c r="Z196" t="e">
        <f>AND(Bills!T750,"AAAAAGfYXxk=")</f>
        <v>#VALUE!</v>
      </c>
      <c r="AA196" t="e">
        <f>AND(Bills!U750,"AAAAAGfYXxo=")</f>
        <v>#VALUE!</v>
      </c>
      <c r="AB196" t="e">
        <f>AND(Bills!#REF!,"AAAAAGfYXxs=")</f>
        <v>#REF!</v>
      </c>
      <c r="AC196" t="e">
        <f>AND(Bills!#REF!,"AAAAAGfYXxw=")</f>
        <v>#REF!</v>
      </c>
      <c r="AD196" t="e">
        <f>AND(Bills!W750,"AAAAAGfYXx0=")</f>
        <v>#VALUE!</v>
      </c>
      <c r="AE196" t="e">
        <f>AND(Bills!X750,"AAAAAGfYXx4=")</f>
        <v>#VALUE!</v>
      </c>
      <c r="AF196" t="e">
        <f>AND(Bills!#REF!,"AAAAAGfYXx8=")</f>
        <v>#REF!</v>
      </c>
      <c r="AG196" t="e">
        <f>AND(Bills!#REF!,"AAAAAGfYXyA=")</f>
        <v>#REF!</v>
      </c>
      <c r="AH196" t="e">
        <f>AND(Bills!#REF!,"AAAAAGfYXyE=")</f>
        <v>#REF!</v>
      </c>
      <c r="AI196" t="e">
        <f>AND(Bills!#REF!,"AAAAAGfYXyI=")</f>
        <v>#REF!</v>
      </c>
      <c r="AJ196" t="e">
        <f>AND(Bills!#REF!,"AAAAAGfYXyM=")</f>
        <v>#REF!</v>
      </c>
      <c r="AK196" t="e">
        <f>AND(Bills!#REF!,"AAAAAGfYXyQ=")</f>
        <v>#REF!</v>
      </c>
      <c r="AL196" t="e">
        <f>AND(Bills!#REF!,"AAAAAGfYXyU=")</f>
        <v>#REF!</v>
      </c>
      <c r="AM196" t="e">
        <f>AND(Bills!#REF!,"AAAAAGfYXyY=")</f>
        <v>#REF!</v>
      </c>
      <c r="AN196" t="e">
        <f>AND(Bills!#REF!,"AAAAAGfYXyc=")</f>
        <v>#REF!</v>
      </c>
      <c r="AO196" t="e">
        <f>AND(Bills!Y750,"AAAAAGfYXyg=")</f>
        <v>#VALUE!</v>
      </c>
      <c r="AP196" t="e">
        <f>AND(Bills!Z750,"AAAAAGfYXyk=")</f>
        <v>#VALUE!</v>
      </c>
      <c r="AQ196" t="e">
        <f>AND(Bills!#REF!,"AAAAAGfYXyo=")</f>
        <v>#REF!</v>
      </c>
      <c r="AR196" t="e">
        <f>AND(Bills!#REF!,"AAAAAGfYXys=")</f>
        <v>#REF!</v>
      </c>
      <c r="AS196" t="e">
        <f>AND(Bills!#REF!,"AAAAAGfYXyw=")</f>
        <v>#REF!</v>
      </c>
      <c r="AT196" t="e">
        <f>AND(Bills!AA750,"AAAAAGfYXy0=")</f>
        <v>#VALUE!</v>
      </c>
      <c r="AU196" t="e">
        <f>AND(Bills!AB750,"AAAAAGfYXy4=")</f>
        <v>#VALUE!</v>
      </c>
      <c r="AV196" t="e">
        <f>AND(Bills!#REF!,"AAAAAGfYXy8=")</f>
        <v>#REF!</v>
      </c>
      <c r="AW196">
        <f>IF(Bills!751:751,"AAAAAGfYXzA=",0)</f>
        <v>0</v>
      </c>
      <c r="AX196" t="e">
        <f>AND(Bills!B751,"AAAAAGfYXzE=")</f>
        <v>#VALUE!</v>
      </c>
      <c r="AY196" t="e">
        <f>AND(Bills!#REF!,"AAAAAGfYXzI=")</f>
        <v>#REF!</v>
      </c>
      <c r="AZ196" t="e">
        <f>AND(Bills!C751,"AAAAAGfYXzM=")</f>
        <v>#VALUE!</v>
      </c>
      <c r="BA196" t="e">
        <f>AND(Bills!#REF!,"AAAAAGfYXzQ=")</f>
        <v>#REF!</v>
      </c>
      <c r="BB196" t="e">
        <f>AND(Bills!#REF!,"AAAAAGfYXzU=")</f>
        <v>#REF!</v>
      </c>
      <c r="BC196" t="e">
        <f>AND(Bills!#REF!,"AAAAAGfYXzY=")</f>
        <v>#REF!</v>
      </c>
      <c r="BD196" t="e">
        <f>AND(Bills!#REF!,"AAAAAGfYXzc=")</f>
        <v>#REF!</v>
      </c>
      <c r="BE196" t="e">
        <f>AND(Bills!#REF!,"AAAAAGfYXzg=")</f>
        <v>#REF!</v>
      </c>
      <c r="BF196" t="e">
        <f>AND(Bills!D751,"AAAAAGfYXzk=")</f>
        <v>#VALUE!</v>
      </c>
      <c r="BG196" t="e">
        <f>AND(Bills!#REF!,"AAAAAGfYXzo=")</f>
        <v>#REF!</v>
      </c>
      <c r="BH196" t="e">
        <f>AND(Bills!E751,"AAAAAGfYXzs=")</f>
        <v>#VALUE!</v>
      </c>
      <c r="BI196" t="e">
        <f>AND(Bills!F751,"AAAAAGfYXzw=")</f>
        <v>#VALUE!</v>
      </c>
      <c r="BJ196" t="e">
        <f>AND(Bills!G751,"AAAAAGfYXz0=")</f>
        <v>#VALUE!</v>
      </c>
      <c r="BK196" t="e">
        <f>AND(Bills!H751,"AAAAAGfYXz4=")</f>
        <v>#VALUE!</v>
      </c>
      <c r="BL196" t="e">
        <f>AND(Bills!I751,"AAAAAGfYXz8=")</f>
        <v>#VALUE!</v>
      </c>
      <c r="BM196" t="e">
        <f>AND(Bills!J751,"AAAAAGfYX0A=")</f>
        <v>#VALUE!</v>
      </c>
      <c r="BN196" t="e">
        <f>AND(Bills!#REF!,"AAAAAGfYX0E=")</f>
        <v>#REF!</v>
      </c>
      <c r="BO196" t="e">
        <f>AND(Bills!K751,"AAAAAGfYX0I=")</f>
        <v>#VALUE!</v>
      </c>
      <c r="BP196" t="e">
        <f>AND(Bills!L751,"AAAAAGfYX0M=")</f>
        <v>#VALUE!</v>
      </c>
      <c r="BQ196" t="e">
        <f>AND(Bills!M751,"AAAAAGfYX0Q=")</f>
        <v>#VALUE!</v>
      </c>
      <c r="BR196" t="e">
        <f>AND(Bills!N751,"AAAAAGfYX0U=")</f>
        <v>#VALUE!</v>
      </c>
      <c r="BS196" t="e">
        <f>AND(Bills!O751,"AAAAAGfYX0Y=")</f>
        <v>#VALUE!</v>
      </c>
      <c r="BT196" t="e">
        <f>AND(Bills!P751,"AAAAAGfYX0c=")</f>
        <v>#VALUE!</v>
      </c>
      <c r="BU196" t="e">
        <f>AND(Bills!Q751,"AAAAAGfYX0g=")</f>
        <v>#VALUE!</v>
      </c>
      <c r="BV196" t="e">
        <f>AND(Bills!R751,"AAAAAGfYX0k=")</f>
        <v>#VALUE!</v>
      </c>
      <c r="BW196" t="e">
        <f>AND(Bills!#REF!,"AAAAAGfYX0o=")</f>
        <v>#REF!</v>
      </c>
      <c r="BX196" t="e">
        <f>AND(Bills!S751,"AAAAAGfYX0s=")</f>
        <v>#VALUE!</v>
      </c>
      <c r="BY196" t="e">
        <f>AND(Bills!T751,"AAAAAGfYX0w=")</f>
        <v>#VALUE!</v>
      </c>
      <c r="BZ196" t="e">
        <f>AND(Bills!U751,"AAAAAGfYX00=")</f>
        <v>#VALUE!</v>
      </c>
      <c r="CA196" t="e">
        <f>AND(Bills!#REF!,"AAAAAGfYX04=")</f>
        <v>#REF!</v>
      </c>
      <c r="CB196" t="e">
        <f>AND(Bills!#REF!,"AAAAAGfYX08=")</f>
        <v>#REF!</v>
      </c>
      <c r="CC196" t="e">
        <f>AND(Bills!W751,"AAAAAGfYX1A=")</f>
        <v>#VALUE!</v>
      </c>
      <c r="CD196" t="e">
        <f>AND(Bills!X751,"AAAAAGfYX1E=")</f>
        <v>#VALUE!</v>
      </c>
      <c r="CE196" t="e">
        <f>AND(Bills!#REF!,"AAAAAGfYX1I=")</f>
        <v>#REF!</v>
      </c>
      <c r="CF196" t="e">
        <f>AND(Bills!#REF!,"AAAAAGfYX1M=")</f>
        <v>#REF!</v>
      </c>
      <c r="CG196" t="e">
        <f>AND(Bills!#REF!,"AAAAAGfYX1Q=")</f>
        <v>#REF!</v>
      </c>
      <c r="CH196" t="e">
        <f>AND(Bills!#REF!,"AAAAAGfYX1U=")</f>
        <v>#REF!</v>
      </c>
      <c r="CI196" t="e">
        <f>AND(Bills!#REF!,"AAAAAGfYX1Y=")</f>
        <v>#REF!</v>
      </c>
      <c r="CJ196" t="e">
        <f>AND(Bills!#REF!,"AAAAAGfYX1c=")</f>
        <v>#REF!</v>
      </c>
      <c r="CK196" t="e">
        <f>AND(Bills!#REF!,"AAAAAGfYX1g=")</f>
        <v>#REF!</v>
      </c>
      <c r="CL196" t="e">
        <f>AND(Bills!#REF!,"AAAAAGfYX1k=")</f>
        <v>#REF!</v>
      </c>
      <c r="CM196" t="e">
        <f>AND(Bills!#REF!,"AAAAAGfYX1o=")</f>
        <v>#REF!</v>
      </c>
      <c r="CN196" t="e">
        <f>AND(Bills!Y751,"AAAAAGfYX1s=")</f>
        <v>#VALUE!</v>
      </c>
      <c r="CO196" t="e">
        <f>AND(Bills!Z751,"AAAAAGfYX1w=")</f>
        <v>#VALUE!</v>
      </c>
      <c r="CP196" t="e">
        <f>AND(Bills!#REF!,"AAAAAGfYX10=")</f>
        <v>#REF!</v>
      </c>
      <c r="CQ196" t="e">
        <f>AND(Bills!#REF!,"AAAAAGfYX14=")</f>
        <v>#REF!</v>
      </c>
      <c r="CR196" t="e">
        <f>AND(Bills!#REF!,"AAAAAGfYX18=")</f>
        <v>#REF!</v>
      </c>
      <c r="CS196" t="e">
        <f>AND(Bills!AA751,"AAAAAGfYX2A=")</f>
        <v>#VALUE!</v>
      </c>
      <c r="CT196" t="e">
        <f>AND(Bills!AB751,"AAAAAGfYX2E=")</f>
        <v>#VALUE!</v>
      </c>
      <c r="CU196" t="e">
        <f>AND(Bills!#REF!,"AAAAAGfYX2I=")</f>
        <v>#REF!</v>
      </c>
      <c r="CV196">
        <f>IF(Bills!752:752,"AAAAAGfYX2M=",0)</f>
        <v>0</v>
      </c>
      <c r="CW196" t="e">
        <f>AND(Bills!B752,"AAAAAGfYX2Q=")</f>
        <v>#VALUE!</v>
      </c>
      <c r="CX196" t="e">
        <f>AND(Bills!#REF!,"AAAAAGfYX2U=")</f>
        <v>#REF!</v>
      </c>
      <c r="CY196" t="e">
        <f>AND(Bills!C752,"AAAAAGfYX2Y=")</f>
        <v>#VALUE!</v>
      </c>
      <c r="CZ196" t="e">
        <f>AND(Bills!#REF!,"AAAAAGfYX2c=")</f>
        <v>#REF!</v>
      </c>
      <c r="DA196" t="e">
        <f>AND(Bills!#REF!,"AAAAAGfYX2g=")</f>
        <v>#REF!</v>
      </c>
      <c r="DB196" t="e">
        <f>AND(Bills!#REF!,"AAAAAGfYX2k=")</f>
        <v>#REF!</v>
      </c>
      <c r="DC196" t="e">
        <f>AND(Bills!#REF!,"AAAAAGfYX2o=")</f>
        <v>#REF!</v>
      </c>
      <c r="DD196" t="e">
        <f>AND(Bills!#REF!,"AAAAAGfYX2s=")</f>
        <v>#REF!</v>
      </c>
      <c r="DE196" t="e">
        <f>AND(Bills!D752,"AAAAAGfYX2w=")</f>
        <v>#VALUE!</v>
      </c>
      <c r="DF196" t="e">
        <f>AND(Bills!#REF!,"AAAAAGfYX20=")</f>
        <v>#REF!</v>
      </c>
      <c r="DG196" t="e">
        <f>AND(Bills!E752,"AAAAAGfYX24=")</f>
        <v>#VALUE!</v>
      </c>
      <c r="DH196" t="e">
        <f>AND(Bills!F752,"AAAAAGfYX28=")</f>
        <v>#VALUE!</v>
      </c>
      <c r="DI196" t="e">
        <f>AND(Bills!G752,"AAAAAGfYX3A=")</f>
        <v>#VALUE!</v>
      </c>
      <c r="DJ196" t="e">
        <f>AND(Bills!H752,"AAAAAGfYX3E=")</f>
        <v>#VALUE!</v>
      </c>
      <c r="DK196" t="e">
        <f>AND(Bills!I752,"AAAAAGfYX3I=")</f>
        <v>#VALUE!</v>
      </c>
      <c r="DL196" t="e">
        <f>AND(Bills!J752,"AAAAAGfYX3M=")</f>
        <v>#VALUE!</v>
      </c>
      <c r="DM196" t="e">
        <f>AND(Bills!#REF!,"AAAAAGfYX3Q=")</f>
        <v>#REF!</v>
      </c>
      <c r="DN196" t="e">
        <f>AND(Bills!K752,"AAAAAGfYX3U=")</f>
        <v>#VALUE!</v>
      </c>
      <c r="DO196" t="e">
        <f>AND(Bills!L752,"AAAAAGfYX3Y=")</f>
        <v>#VALUE!</v>
      </c>
      <c r="DP196" t="e">
        <f>AND(Bills!M752,"AAAAAGfYX3c=")</f>
        <v>#VALUE!</v>
      </c>
      <c r="DQ196" t="e">
        <f>AND(Bills!N752,"AAAAAGfYX3g=")</f>
        <v>#VALUE!</v>
      </c>
      <c r="DR196" t="e">
        <f>AND(Bills!O752,"AAAAAGfYX3k=")</f>
        <v>#VALUE!</v>
      </c>
      <c r="DS196" t="e">
        <f>AND(Bills!P752,"AAAAAGfYX3o=")</f>
        <v>#VALUE!</v>
      </c>
      <c r="DT196" t="e">
        <f>AND(Bills!Q752,"AAAAAGfYX3s=")</f>
        <v>#VALUE!</v>
      </c>
      <c r="DU196" t="e">
        <f>AND(Bills!R752,"AAAAAGfYX3w=")</f>
        <v>#VALUE!</v>
      </c>
      <c r="DV196" t="e">
        <f>AND(Bills!#REF!,"AAAAAGfYX30=")</f>
        <v>#REF!</v>
      </c>
      <c r="DW196" t="e">
        <f>AND(Bills!S752,"AAAAAGfYX34=")</f>
        <v>#VALUE!</v>
      </c>
      <c r="DX196" t="e">
        <f>AND(Bills!T752,"AAAAAGfYX38=")</f>
        <v>#VALUE!</v>
      </c>
      <c r="DY196" t="e">
        <f>AND(Bills!U752,"AAAAAGfYX4A=")</f>
        <v>#VALUE!</v>
      </c>
      <c r="DZ196" t="e">
        <f>AND(Bills!#REF!,"AAAAAGfYX4E=")</f>
        <v>#REF!</v>
      </c>
      <c r="EA196" t="e">
        <f>AND(Bills!#REF!,"AAAAAGfYX4I=")</f>
        <v>#REF!</v>
      </c>
      <c r="EB196" t="e">
        <f>AND(Bills!W752,"AAAAAGfYX4M=")</f>
        <v>#VALUE!</v>
      </c>
      <c r="EC196" t="e">
        <f>AND(Bills!X752,"AAAAAGfYX4Q=")</f>
        <v>#VALUE!</v>
      </c>
      <c r="ED196" t="e">
        <f>AND(Bills!#REF!,"AAAAAGfYX4U=")</f>
        <v>#REF!</v>
      </c>
      <c r="EE196" t="e">
        <f>AND(Bills!#REF!,"AAAAAGfYX4Y=")</f>
        <v>#REF!</v>
      </c>
      <c r="EF196" t="e">
        <f>AND(Bills!#REF!,"AAAAAGfYX4c=")</f>
        <v>#REF!</v>
      </c>
      <c r="EG196" t="e">
        <f>AND(Bills!#REF!,"AAAAAGfYX4g=")</f>
        <v>#REF!</v>
      </c>
      <c r="EH196" t="e">
        <f>AND(Bills!#REF!,"AAAAAGfYX4k=")</f>
        <v>#REF!</v>
      </c>
      <c r="EI196" t="e">
        <f>AND(Bills!#REF!,"AAAAAGfYX4o=")</f>
        <v>#REF!</v>
      </c>
      <c r="EJ196" t="e">
        <f>AND(Bills!#REF!,"AAAAAGfYX4s=")</f>
        <v>#REF!</v>
      </c>
      <c r="EK196" t="e">
        <f>AND(Bills!#REF!,"AAAAAGfYX4w=")</f>
        <v>#REF!</v>
      </c>
      <c r="EL196" t="e">
        <f>AND(Bills!#REF!,"AAAAAGfYX40=")</f>
        <v>#REF!</v>
      </c>
      <c r="EM196" t="e">
        <f>AND(Bills!Y752,"AAAAAGfYX44=")</f>
        <v>#VALUE!</v>
      </c>
      <c r="EN196" t="e">
        <f>AND(Bills!Z752,"AAAAAGfYX48=")</f>
        <v>#VALUE!</v>
      </c>
      <c r="EO196" t="e">
        <f>AND(Bills!#REF!,"AAAAAGfYX5A=")</f>
        <v>#REF!</v>
      </c>
      <c r="EP196" t="e">
        <f>AND(Bills!#REF!,"AAAAAGfYX5E=")</f>
        <v>#REF!</v>
      </c>
      <c r="EQ196" t="e">
        <f>AND(Bills!#REF!,"AAAAAGfYX5I=")</f>
        <v>#REF!</v>
      </c>
      <c r="ER196" t="e">
        <f>AND(Bills!AA752,"AAAAAGfYX5M=")</f>
        <v>#VALUE!</v>
      </c>
      <c r="ES196" t="e">
        <f>AND(Bills!AB752,"AAAAAGfYX5Q=")</f>
        <v>#VALUE!</v>
      </c>
      <c r="ET196" t="e">
        <f>AND(Bills!#REF!,"AAAAAGfYX5U=")</f>
        <v>#REF!</v>
      </c>
      <c r="EU196">
        <f>IF(Bills!753:753,"AAAAAGfYX5Y=",0)</f>
        <v>0</v>
      </c>
      <c r="EV196" t="e">
        <f>AND(Bills!B753,"AAAAAGfYX5c=")</f>
        <v>#VALUE!</v>
      </c>
      <c r="EW196" t="e">
        <f>AND(Bills!#REF!,"AAAAAGfYX5g=")</f>
        <v>#REF!</v>
      </c>
      <c r="EX196" t="e">
        <f>AND(Bills!C753,"AAAAAGfYX5k=")</f>
        <v>#VALUE!</v>
      </c>
      <c r="EY196" t="e">
        <f>AND(Bills!#REF!,"AAAAAGfYX5o=")</f>
        <v>#REF!</v>
      </c>
      <c r="EZ196" t="e">
        <f>AND(Bills!#REF!,"AAAAAGfYX5s=")</f>
        <v>#REF!</v>
      </c>
      <c r="FA196" t="e">
        <f>AND(Bills!#REF!,"AAAAAGfYX5w=")</f>
        <v>#REF!</v>
      </c>
      <c r="FB196" t="e">
        <f>AND(Bills!#REF!,"AAAAAGfYX50=")</f>
        <v>#REF!</v>
      </c>
      <c r="FC196" t="e">
        <f>AND(Bills!#REF!,"AAAAAGfYX54=")</f>
        <v>#REF!</v>
      </c>
      <c r="FD196" t="e">
        <f>AND(Bills!D753,"AAAAAGfYX58=")</f>
        <v>#VALUE!</v>
      </c>
      <c r="FE196" t="e">
        <f>AND(Bills!#REF!,"AAAAAGfYX6A=")</f>
        <v>#REF!</v>
      </c>
      <c r="FF196" t="e">
        <f>AND(Bills!E753,"AAAAAGfYX6E=")</f>
        <v>#VALUE!</v>
      </c>
      <c r="FG196" t="e">
        <f>AND(Bills!F753,"AAAAAGfYX6I=")</f>
        <v>#VALUE!</v>
      </c>
      <c r="FH196" t="e">
        <f>AND(Bills!G753,"AAAAAGfYX6M=")</f>
        <v>#VALUE!</v>
      </c>
      <c r="FI196" t="e">
        <f>AND(Bills!H753,"AAAAAGfYX6Q=")</f>
        <v>#VALUE!</v>
      </c>
      <c r="FJ196" t="e">
        <f>AND(Bills!I753,"AAAAAGfYX6U=")</f>
        <v>#VALUE!</v>
      </c>
      <c r="FK196" t="e">
        <f>AND(Bills!J753,"AAAAAGfYX6Y=")</f>
        <v>#VALUE!</v>
      </c>
      <c r="FL196" t="e">
        <f>AND(Bills!#REF!,"AAAAAGfYX6c=")</f>
        <v>#REF!</v>
      </c>
      <c r="FM196" t="e">
        <f>AND(Bills!K753,"AAAAAGfYX6g=")</f>
        <v>#VALUE!</v>
      </c>
      <c r="FN196" t="e">
        <f>AND(Bills!L753,"AAAAAGfYX6k=")</f>
        <v>#VALUE!</v>
      </c>
      <c r="FO196" t="e">
        <f>AND(Bills!M753,"AAAAAGfYX6o=")</f>
        <v>#VALUE!</v>
      </c>
      <c r="FP196" t="e">
        <f>AND(Bills!N753,"AAAAAGfYX6s=")</f>
        <v>#VALUE!</v>
      </c>
      <c r="FQ196" t="e">
        <f>AND(Bills!O753,"AAAAAGfYX6w=")</f>
        <v>#VALUE!</v>
      </c>
      <c r="FR196" t="e">
        <f>AND(Bills!P753,"AAAAAGfYX60=")</f>
        <v>#VALUE!</v>
      </c>
      <c r="FS196" t="e">
        <f>AND(Bills!Q753,"AAAAAGfYX64=")</f>
        <v>#VALUE!</v>
      </c>
      <c r="FT196" t="e">
        <f>AND(Bills!R753,"AAAAAGfYX68=")</f>
        <v>#VALUE!</v>
      </c>
      <c r="FU196" t="e">
        <f>AND(Bills!#REF!,"AAAAAGfYX7A=")</f>
        <v>#REF!</v>
      </c>
      <c r="FV196" t="e">
        <f>AND(Bills!S753,"AAAAAGfYX7E=")</f>
        <v>#VALUE!</v>
      </c>
      <c r="FW196" t="e">
        <f>AND(Bills!T753,"AAAAAGfYX7I=")</f>
        <v>#VALUE!</v>
      </c>
      <c r="FX196" t="e">
        <f>AND(Bills!U753,"AAAAAGfYX7M=")</f>
        <v>#VALUE!</v>
      </c>
      <c r="FY196" t="e">
        <f>AND(Bills!#REF!,"AAAAAGfYX7Q=")</f>
        <v>#REF!</v>
      </c>
      <c r="FZ196" t="e">
        <f>AND(Bills!#REF!,"AAAAAGfYX7U=")</f>
        <v>#REF!</v>
      </c>
      <c r="GA196" t="e">
        <f>AND(Bills!W753,"AAAAAGfYX7Y=")</f>
        <v>#VALUE!</v>
      </c>
      <c r="GB196" t="e">
        <f>AND(Bills!X753,"AAAAAGfYX7c=")</f>
        <v>#VALUE!</v>
      </c>
      <c r="GC196" t="e">
        <f>AND(Bills!#REF!,"AAAAAGfYX7g=")</f>
        <v>#REF!</v>
      </c>
      <c r="GD196" t="e">
        <f>AND(Bills!#REF!,"AAAAAGfYX7k=")</f>
        <v>#REF!</v>
      </c>
      <c r="GE196" t="e">
        <f>AND(Bills!#REF!,"AAAAAGfYX7o=")</f>
        <v>#REF!</v>
      </c>
      <c r="GF196" t="e">
        <f>AND(Bills!#REF!,"AAAAAGfYX7s=")</f>
        <v>#REF!</v>
      </c>
      <c r="GG196" t="e">
        <f>AND(Bills!#REF!,"AAAAAGfYX7w=")</f>
        <v>#REF!</v>
      </c>
      <c r="GH196" t="e">
        <f>AND(Bills!#REF!,"AAAAAGfYX70=")</f>
        <v>#REF!</v>
      </c>
      <c r="GI196" t="e">
        <f>AND(Bills!#REF!,"AAAAAGfYX74=")</f>
        <v>#REF!</v>
      </c>
      <c r="GJ196" t="e">
        <f>AND(Bills!#REF!,"AAAAAGfYX78=")</f>
        <v>#REF!</v>
      </c>
      <c r="GK196" t="e">
        <f>AND(Bills!#REF!,"AAAAAGfYX8A=")</f>
        <v>#REF!</v>
      </c>
      <c r="GL196" t="e">
        <f>AND(Bills!Y753,"AAAAAGfYX8E=")</f>
        <v>#VALUE!</v>
      </c>
      <c r="GM196" t="e">
        <f>AND(Bills!Z753,"AAAAAGfYX8I=")</f>
        <v>#VALUE!</v>
      </c>
      <c r="GN196" t="e">
        <f>AND(Bills!#REF!,"AAAAAGfYX8M=")</f>
        <v>#REF!</v>
      </c>
      <c r="GO196" t="e">
        <f>AND(Bills!#REF!,"AAAAAGfYX8Q=")</f>
        <v>#REF!</v>
      </c>
      <c r="GP196" t="e">
        <f>AND(Bills!#REF!,"AAAAAGfYX8U=")</f>
        <v>#REF!</v>
      </c>
      <c r="GQ196" t="e">
        <f>AND(Bills!AA753,"AAAAAGfYX8Y=")</f>
        <v>#VALUE!</v>
      </c>
      <c r="GR196" t="e">
        <f>AND(Bills!AB753,"AAAAAGfYX8c=")</f>
        <v>#VALUE!</v>
      </c>
      <c r="GS196" t="e">
        <f>AND(Bills!#REF!,"AAAAAGfYX8g=")</f>
        <v>#REF!</v>
      </c>
      <c r="GT196">
        <f>IF(Bills!754:754,"AAAAAGfYX8k=",0)</f>
        <v>0</v>
      </c>
      <c r="GU196" t="e">
        <f>AND(Bills!B754,"AAAAAGfYX8o=")</f>
        <v>#VALUE!</v>
      </c>
      <c r="GV196" t="e">
        <f>AND(Bills!#REF!,"AAAAAGfYX8s=")</f>
        <v>#REF!</v>
      </c>
      <c r="GW196" t="e">
        <f>AND(Bills!C754,"AAAAAGfYX8w=")</f>
        <v>#VALUE!</v>
      </c>
      <c r="GX196" t="e">
        <f>AND(Bills!#REF!,"AAAAAGfYX80=")</f>
        <v>#REF!</v>
      </c>
      <c r="GY196" t="e">
        <f>AND(Bills!#REF!,"AAAAAGfYX84=")</f>
        <v>#REF!</v>
      </c>
      <c r="GZ196" t="e">
        <f>AND(Bills!#REF!,"AAAAAGfYX88=")</f>
        <v>#REF!</v>
      </c>
      <c r="HA196" t="e">
        <f>AND(Bills!#REF!,"AAAAAGfYX9A=")</f>
        <v>#REF!</v>
      </c>
      <c r="HB196" t="e">
        <f>AND(Bills!#REF!,"AAAAAGfYX9E=")</f>
        <v>#REF!</v>
      </c>
      <c r="HC196" t="e">
        <f>AND(Bills!D754,"AAAAAGfYX9I=")</f>
        <v>#VALUE!</v>
      </c>
      <c r="HD196" t="e">
        <f>AND(Bills!#REF!,"AAAAAGfYX9M=")</f>
        <v>#REF!</v>
      </c>
      <c r="HE196" t="e">
        <f>AND(Bills!E754,"AAAAAGfYX9Q=")</f>
        <v>#VALUE!</v>
      </c>
      <c r="HF196" t="e">
        <f>AND(Bills!F754,"AAAAAGfYX9U=")</f>
        <v>#VALUE!</v>
      </c>
      <c r="HG196" t="e">
        <f>AND(Bills!G754,"AAAAAGfYX9Y=")</f>
        <v>#VALUE!</v>
      </c>
      <c r="HH196" t="e">
        <f>AND(Bills!H754,"AAAAAGfYX9c=")</f>
        <v>#VALUE!</v>
      </c>
      <c r="HI196" t="e">
        <f>AND(Bills!I754,"AAAAAGfYX9g=")</f>
        <v>#VALUE!</v>
      </c>
      <c r="HJ196" t="e">
        <f>AND(Bills!J754,"AAAAAGfYX9k=")</f>
        <v>#VALUE!</v>
      </c>
      <c r="HK196" t="e">
        <f>AND(Bills!#REF!,"AAAAAGfYX9o=")</f>
        <v>#REF!</v>
      </c>
      <c r="HL196" t="e">
        <f>AND(Bills!K754,"AAAAAGfYX9s=")</f>
        <v>#VALUE!</v>
      </c>
      <c r="HM196" t="e">
        <f>AND(Bills!L754,"AAAAAGfYX9w=")</f>
        <v>#VALUE!</v>
      </c>
      <c r="HN196" t="e">
        <f>AND(Bills!M754,"AAAAAGfYX90=")</f>
        <v>#VALUE!</v>
      </c>
      <c r="HO196" t="e">
        <f>AND(Bills!N754,"AAAAAGfYX94=")</f>
        <v>#VALUE!</v>
      </c>
      <c r="HP196" t="e">
        <f>AND(Bills!O754,"AAAAAGfYX98=")</f>
        <v>#VALUE!</v>
      </c>
      <c r="HQ196" t="e">
        <f>AND(Bills!P754,"AAAAAGfYX+A=")</f>
        <v>#VALUE!</v>
      </c>
      <c r="HR196" t="e">
        <f>AND(Bills!Q754,"AAAAAGfYX+E=")</f>
        <v>#VALUE!</v>
      </c>
      <c r="HS196" t="e">
        <f>AND(Bills!R754,"AAAAAGfYX+I=")</f>
        <v>#VALUE!</v>
      </c>
      <c r="HT196" t="e">
        <f>AND(Bills!#REF!,"AAAAAGfYX+M=")</f>
        <v>#REF!</v>
      </c>
      <c r="HU196" t="e">
        <f>AND(Bills!S754,"AAAAAGfYX+Q=")</f>
        <v>#VALUE!</v>
      </c>
      <c r="HV196" t="e">
        <f>AND(Bills!T754,"AAAAAGfYX+U=")</f>
        <v>#VALUE!</v>
      </c>
      <c r="HW196" t="e">
        <f>AND(Bills!U754,"AAAAAGfYX+Y=")</f>
        <v>#VALUE!</v>
      </c>
      <c r="HX196" t="e">
        <f>AND(Bills!#REF!,"AAAAAGfYX+c=")</f>
        <v>#REF!</v>
      </c>
      <c r="HY196" t="e">
        <f>AND(Bills!#REF!,"AAAAAGfYX+g=")</f>
        <v>#REF!</v>
      </c>
      <c r="HZ196" t="e">
        <f>AND(Bills!W754,"AAAAAGfYX+k=")</f>
        <v>#VALUE!</v>
      </c>
      <c r="IA196" t="e">
        <f>AND(Bills!X754,"AAAAAGfYX+o=")</f>
        <v>#VALUE!</v>
      </c>
      <c r="IB196" t="e">
        <f>AND(Bills!#REF!,"AAAAAGfYX+s=")</f>
        <v>#REF!</v>
      </c>
      <c r="IC196" t="e">
        <f>AND(Bills!#REF!,"AAAAAGfYX+w=")</f>
        <v>#REF!</v>
      </c>
      <c r="ID196" t="e">
        <f>AND(Bills!#REF!,"AAAAAGfYX+0=")</f>
        <v>#REF!</v>
      </c>
      <c r="IE196" t="e">
        <f>AND(Bills!#REF!,"AAAAAGfYX+4=")</f>
        <v>#REF!</v>
      </c>
      <c r="IF196" t="e">
        <f>AND(Bills!#REF!,"AAAAAGfYX+8=")</f>
        <v>#REF!</v>
      </c>
      <c r="IG196" t="e">
        <f>AND(Bills!#REF!,"AAAAAGfYX/A=")</f>
        <v>#REF!</v>
      </c>
      <c r="IH196" t="e">
        <f>AND(Bills!#REF!,"AAAAAGfYX/E=")</f>
        <v>#REF!</v>
      </c>
      <c r="II196" t="e">
        <f>AND(Bills!#REF!,"AAAAAGfYX/I=")</f>
        <v>#REF!</v>
      </c>
      <c r="IJ196" t="e">
        <f>AND(Bills!#REF!,"AAAAAGfYX/M=")</f>
        <v>#REF!</v>
      </c>
      <c r="IK196" t="e">
        <f>AND(Bills!Y754,"AAAAAGfYX/Q=")</f>
        <v>#VALUE!</v>
      </c>
      <c r="IL196" t="e">
        <f>AND(Bills!Z754,"AAAAAGfYX/U=")</f>
        <v>#VALUE!</v>
      </c>
      <c r="IM196" t="e">
        <f>AND(Bills!#REF!,"AAAAAGfYX/Y=")</f>
        <v>#REF!</v>
      </c>
      <c r="IN196" t="e">
        <f>AND(Bills!#REF!,"AAAAAGfYX/c=")</f>
        <v>#REF!</v>
      </c>
      <c r="IO196" t="e">
        <f>AND(Bills!#REF!,"AAAAAGfYX/g=")</f>
        <v>#REF!</v>
      </c>
      <c r="IP196" t="e">
        <f>AND(Bills!AA754,"AAAAAGfYX/k=")</f>
        <v>#VALUE!</v>
      </c>
      <c r="IQ196" t="e">
        <f>AND(Bills!AB754,"AAAAAGfYX/o=")</f>
        <v>#VALUE!</v>
      </c>
      <c r="IR196" t="e">
        <f>AND(Bills!#REF!,"AAAAAGfYX/s=")</f>
        <v>#REF!</v>
      </c>
      <c r="IS196">
        <f>IF(Bills!755:755,"AAAAAGfYX/w=",0)</f>
        <v>0</v>
      </c>
      <c r="IT196" t="e">
        <f>AND(Bills!B755,"AAAAAGfYX/0=")</f>
        <v>#VALUE!</v>
      </c>
      <c r="IU196" t="e">
        <f>AND(Bills!#REF!,"AAAAAGfYX/4=")</f>
        <v>#REF!</v>
      </c>
      <c r="IV196" t="e">
        <f>AND(Bills!C755,"AAAAAGfYX/8=")</f>
        <v>#VALUE!</v>
      </c>
    </row>
    <row r="197" spans="1:256">
      <c r="A197" t="e">
        <f>AND(Bills!#REF!,"AAAAAD/z+gA=")</f>
        <v>#REF!</v>
      </c>
      <c r="B197" t="e">
        <f>AND(Bills!#REF!,"AAAAAD/z+gE=")</f>
        <v>#REF!</v>
      </c>
      <c r="C197" t="e">
        <f>AND(Bills!#REF!,"AAAAAD/z+gI=")</f>
        <v>#REF!</v>
      </c>
      <c r="D197" t="e">
        <f>AND(Bills!#REF!,"AAAAAD/z+gM=")</f>
        <v>#REF!</v>
      </c>
      <c r="E197" t="e">
        <f>AND(Bills!#REF!,"AAAAAD/z+gQ=")</f>
        <v>#REF!</v>
      </c>
      <c r="F197" t="e">
        <f>AND(Bills!D755,"AAAAAD/z+gU=")</f>
        <v>#VALUE!</v>
      </c>
      <c r="G197" t="e">
        <f>AND(Bills!#REF!,"AAAAAD/z+gY=")</f>
        <v>#REF!</v>
      </c>
      <c r="H197" t="e">
        <f>AND(Bills!E755,"AAAAAD/z+gc=")</f>
        <v>#VALUE!</v>
      </c>
      <c r="I197" t="e">
        <f>AND(Bills!F755,"AAAAAD/z+gg=")</f>
        <v>#VALUE!</v>
      </c>
      <c r="J197" t="e">
        <f>AND(Bills!G755,"AAAAAD/z+gk=")</f>
        <v>#VALUE!</v>
      </c>
      <c r="K197" t="e">
        <f>AND(Bills!H755,"AAAAAD/z+go=")</f>
        <v>#VALUE!</v>
      </c>
      <c r="L197" t="e">
        <f>AND(Bills!I755,"AAAAAD/z+gs=")</f>
        <v>#VALUE!</v>
      </c>
      <c r="M197" t="e">
        <f>AND(Bills!J755,"AAAAAD/z+gw=")</f>
        <v>#VALUE!</v>
      </c>
      <c r="N197" t="e">
        <f>AND(Bills!#REF!,"AAAAAD/z+g0=")</f>
        <v>#REF!</v>
      </c>
      <c r="O197" t="e">
        <f>AND(Bills!K755,"AAAAAD/z+g4=")</f>
        <v>#VALUE!</v>
      </c>
      <c r="P197" t="e">
        <f>AND(Bills!L755,"AAAAAD/z+g8=")</f>
        <v>#VALUE!</v>
      </c>
      <c r="Q197" t="e">
        <f>AND(Bills!M755,"AAAAAD/z+hA=")</f>
        <v>#VALUE!</v>
      </c>
      <c r="R197" t="e">
        <f>AND(Bills!N755,"AAAAAD/z+hE=")</f>
        <v>#VALUE!</v>
      </c>
      <c r="S197" t="e">
        <f>AND(Bills!O755,"AAAAAD/z+hI=")</f>
        <v>#VALUE!</v>
      </c>
      <c r="T197" t="e">
        <f>AND(Bills!P755,"AAAAAD/z+hM=")</f>
        <v>#VALUE!</v>
      </c>
      <c r="U197" t="e">
        <f>AND(Bills!Q755,"AAAAAD/z+hQ=")</f>
        <v>#VALUE!</v>
      </c>
      <c r="V197" t="e">
        <f>AND(Bills!R755,"AAAAAD/z+hU=")</f>
        <v>#VALUE!</v>
      </c>
      <c r="W197" t="e">
        <f>AND(Bills!#REF!,"AAAAAD/z+hY=")</f>
        <v>#REF!</v>
      </c>
      <c r="X197" t="e">
        <f>AND(Bills!S755,"AAAAAD/z+hc=")</f>
        <v>#VALUE!</v>
      </c>
      <c r="Y197" t="e">
        <f>AND(Bills!T755,"AAAAAD/z+hg=")</f>
        <v>#VALUE!</v>
      </c>
      <c r="Z197" t="e">
        <f>AND(Bills!U755,"AAAAAD/z+hk=")</f>
        <v>#VALUE!</v>
      </c>
      <c r="AA197" t="e">
        <f>AND(Bills!#REF!,"AAAAAD/z+ho=")</f>
        <v>#REF!</v>
      </c>
      <c r="AB197" t="e">
        <f>AND(Bills!#REF!,"AAAAAD/z+hs=")</f>
        <v>#REF!</v>
      </c>
      <c r="AC197" t="e">
        <f>AND(Bills!W755,"AAAAAD/z+hw=")</f>
        <v>#VALUE!</v>
      </c>
      <c r="AD197" t="e">
        <f>AND(Bills!X755,"AAAAAD/z+h0=")</f>
        <v>#VALUE!</v>
      </c>
      <c r="AE197" t="e">
        <f>AND(Bills!#REF!,"AAAAAD/z+h4=")</f>
        <v>#REF!</v>
      </c>
      <c r="AF197" t="e">
        <f>AND(Bills!#REF!,"AAAAAD/z+h8=")</f>
        <v>#REF!</v>
      </c>
      <c r="AG197" t="e">
        <f>AND(Bills!#REF!,"AAAAAD/z+iA=")</f>
        <v>#REF!</v>
      </c>
      <c r="AH197" t="e">
        <f>AND(Bills!#REF!,"AAAAAD/z+iE=")</f>
        <v>#REF!</v>
      </c>
      <c r="AI197" t="e">
        <f>AND(Bills!#REF!,"AAAAAD/z+iI=")</f>
        <v>#REF!</v>
      </c>
      <c r="AJ197" t="e">
        <f>AND(Bills!#REF!,"AAAAAD/z+iM=")</f>
        <v>#REF!</v>
      </c>
      <c r="AK197" t="e">
        <f>AND(Bills!#REF!,"AAAAAD/z+iQ=")</f>
        <v>#REF!</v>
      </c>
      <c r="AL197" t="e">
        <f>AND(Bills!#REF!,"AAAAAD/z+iU=")</f>
        <v>#REF!</v>
      </c>
      <c r="AM197" t="e">
        <f>AND(Bills!#REF!,"AAAAAD/z+iY=")</f>
        <v>#REF!</v>
      </c>
      <c r="AN197" t="e">
        <f>AND(Bills!Y755,"AAAAAD/z+ic=")</f>
        <v>#VALUE!</v>
      </c>
      <c r="AO197" t="e">
        <f>AND(Bills!Z755,"AAAAAD/z+ig=")</f>
        <v>#VALUE!</v>
      </c>
      <c r="AP197" t="e">
        <f>AND(Bills!#REF!,"AAAAAD/z+ik=")</f>
        <v>#REF!</v>
      </c>
      <c r="AQ197" t="e">
        <f>AND(Bills!#REF!,"AAAAAD/z+io=")</f>
        <v>#REF!</v>
      </c>
      <c r="AR197" t="e">
        <f>AND(Bills!#REF!,"AAAAAD/z+is=")</f>
        <v>#REF!</v>
      </c>
      <c r="AS197" t="e">
        <f>AND(Bills!AA755,"AAAAAD/z+iw=")</f>
        <v>#VALUE!</v>
      </c>
      <c r="AT197" t="e">
        <f>AND(Bills!AB755,"AAAAAD/z+i0=")</f>
        <v>#VALUE!</v>
      </c>
      <c r="AU197" t="e">
        <f>AND(Bills!#REF!,"AAAAAD/z+i4=")</f>
        <v>#REF!</v>
      </c>
      <c r="AV197">
        <f>IF(Bills!756:756,"AAAAAD/z+i8=",0)</f>
        <v>0</v>
      </c>
      <c r="AW197" t="e">
        <f>AND(Bills!B756,"AAAAAD/z+jA=")</f>
        <v>#VALUE!</v>
      </c>
      <c r="AX197" t="e">
        <f>AND(Bills!#REF!,"AAAAAD/z+jE=")</f>
        <v>#REF!</v>
      </c>
      <c r="AY197" t="e">
        <f>AND(Bills!C756,"AAAAAD/z+jI=")</f>
        <v>#VALUE!</v>
      </c>
      <c r="AZ197" t="e">
        <f>AND(Bills!#REF!,"AAAAAD/z+jM=")</f>
        <v>#REF!</v>
      </c>
      <c r="BA197" t="e">
        <f>AND(Bills!#REF!,"AAAAAD/z+jQ=")</f>
        <v>#REF!</v>
      </c>
      <c r="BB197" t="e">
        <f>AND(Bills!#REF!,"AAAAAD/z+jU=")</f>
        <v>#REF!</v>
      </c>
      <c r="BC197" t="e">
        <f>AND(Bills!#REF!,"AAAAAD/z+jY=")</f>
        <v>#REF!</v>
      </c>
      <c r="BD197" t="e">
        <f>AND(Bills!#REF!,"AAAAAD/z+jc=")</f>
        <v>#REF!</v>
      </c>
      <c r="BE197" t="e">
        <f>AND(Bills!D756,"AAAAAD/z+jg=")</f>
        <v>#VALUE!</v>
      </c>
      <c r="BF197" t="e">
        <f>AND(Bills!#REF!,"AAAAAD/z+jk=")</f>
        <v>#REF!</v>
      </c>
      <c r="BG197" t="e">
        <f>AND(Bills!E756,"AAAAAD/z+jo=")</f>
        <v>#VALUE!</v>
      </c>
      <c r="BH197" t="e">
        <f>AND(Bills!F756,"AAAAAD/z+js=")</f>
        <v>#VALUE!</v>
      </c>
      <c r="BI197" t="e">
        <f>AND(Bills!G756,"AAAAAD/z+jw=")</f>
        <v>#VALUE!</v>
      </c>
      <c r="BJ197" t="e">
        <f>AND(Bills!H756,"AAAAAD/z+j0=")</f>
        <v>#VALUE!</v>
      </c>
      <c r="BK197" t="e">
        <f>AND(Bills!I756,"AAAAAD/z+j4=")</f>
        <v>#VALUE!</v>
      </c>
      <c r="BL197" t="e">
        <f>AND(Bills!J756,"AAAAAD/z+j8=")</f>
        <v>#VALUE!</v>
      </c>
      <c r="BM197" t="e">
        <f>AND(Bills!#REF!,"AAAAAD/z+kA=")</f>
        <v>#REF!</v>
      </c>
      <c r="BN197" t="e">
        <f>AND(Bills!K756,"AAAAAD/z+kE=")</f>
        <v>#VALUE!</v>
      </c>
      <c r="BO197" t="e">
        <f>AND(Bills!L756,"AAAAAD/z+kI=")</f>
        <v>#VALUE!</v>
      </c>
      <c r="BP197" t="e">
        <f>AND(Bills!M756,"AAAAAD/z+kM=")</f>
        <v>#VALUE!</v>
      </c>
      <c r="BQ197" t="e">
        <f>AND(Bills!N756,"AAAAAD/z+kQ=")</f>
        <v>#VALUE!</v>
      </c>
      <c r="BR197" t="e">
        <f>AND(Bills!O756,"AAAAAD/z+kU=")</f>
        <v>#VALUE!</v>
      </c>
      <c r="BS197" t="e">
        <f>AND(Bills!P756,"AAAAAD/z+kY=")</f>
        <v>#VALUE!</v>
      </c>
      <c r="BT197" t="e">
        <f>AND(Bills!Q756,"AAAAAD/z+kc=")</f>
        <v>#VALUE!</v>
      </c>
      <c r="BU197" t="e">
        <f>AND(Bills!R756,"AAAAAD/z+kg=")</f>
        <v>#VALUE!</v>
      </c>
      <c r="BV197" t="e">
        <f>AND(Bills!#REF!,"AAAAAD/z+kk=")</f>
        <v>#REF!</v>
      </c>
      <c r="BW197" t="e">
        <f>AND(Bills!S756,"AAAAAD/z+ko=")</f>
        <v>#VALUE!</v>
      </c>
      <c r="BX197" t="e">
        <f>AND(Bills!T756,"AAAAAD/z+ks=")</f>
        <v>#VALUE!</v>
      </c>
      <c r="BY197" t="e">
        <f>AND(Bills!U756,"AAAAAD/z+kw=")</f>
        <v>#VALUE!</v>
      </c>
      <c r="BZ197" t="e">
        <f>AND(Bills!#REF!,"AAAAAD/z+k0=")</f>
        <v>#REF!</v>
      </c>
      <c r="CA197" t="e">
        <f>AND(Bills!#REF!,"AAAAAD/z+k4=")</f>
        <v>#REF!</v>
      </c>
      <c r="CB197" t="e">
        <f>AND(Bills!W756,"AAAAAD/z+k8=")</f>
        <v>#VALUE!</v>
      </c>
      <c r="CC197" t="e">
        <f>AND(Bills!X756,"AAAAAD/z+lA=")</f>
        <v>#VALUE!</v>
      </c>
      <c r="CD197" t="e">
        <f>AND(Bills!#REF!,"AAAAAD/z+lE=")</f>
        <v>#REF!</v>
      </c>
      <c r="CE197" t="e">
        <f>AND(Bills!#REF!,"AAAAAD/z+lI=")</f>
        <v>#REF!</v>
      </c>
      <c r="CF197" t="e">
        <f>AND(Bills!#REF!,"AAAAAD/z+lM=")</f>
        <v>#REF!</v>
      </c>
      <c r="CG197" t="e">
        <f>AND(Bills!#REF!,"AAAAAD/z+lQ=")</f>
        <v>#REF!</v>
      </c>
      <c r="CH197" t="e">
        <f>AND(Bills!#REF!,"AAAAAD/z+lU=")</f>
        <v>#REF!</v>
      </c>
      <c r="CI197" t="e">
        <f>AND(Bills!#REF!,"AAAAAD/z+lY=")</f>
        <v>#REF!</v>
      </c>
      <c r="CJ197" t="e">
        <f>AND(Bills!#REF!,"AAAAAD/z+lc=")</f>
        <v>#REF!</v>
      </c>
      <c r="CK197" t="e">
        <f>AND(Bills!#REF!,"AAAAAD/z+lg=")</f>
        <v>#REF!</v>
      </c>
      <c r="CL197" t="e">
        <f>AND(Bills!#REF!,"AAAAAD/z+lk=")</f>
        <v>#REF!</v>
      </c>
      <c r="CM197" t="e">
        <f>AND(Bills!Y756,"AAAAAD/z+lo=")</f>
        <v>#VALUE!</v>
      </c>
      <c r="CN197" t="e">
        <f>AND(Bills!Z756,"AAAAAD/z+ls=")</f>
        <v>#VALUE!</v>
      </c>
      <c r="CO197" t="e">
        <f>AND(Bills!#REF!,"AAAAAD/z+lw=")</f>
        <v>#REF!</v>
      </c>
      <c r="CP197" t="e">
        <f>AND(Bills!#REF!,"AAAAAD/z+l0=")</f>
        <v>#REF!</v>
      </c>
      <c r="CQ197" t="e">
        <f>AND(Bills!#REF!,"AAAAAD/z+l4=")</f>
        <v>#REF!</v>
      </c>
      <c r="CR197" t="e">
        <f>AND(Bills!AA756,"AAAAAD/z+l8=")</f>
        <v>#VALUE!</v>
      </c>
      <c r="CS197" t="e">
        <f>AND(Bills!AB756,"AAAAAD/z+mA=")</f>
        <v>#VALUE!</v>
      </c>
      <c r="CT197" t="e">
        <f>AND(Bills!#REF!,"AAAAAD/z+mE=")</f>
        <v>#REF!</v>
      </c>
      <c r="CU197">
        <f>IF(Bills!757:757,"AAAAAD/z+mI=",0)</f>
        <v>0</v>
      </c>
      <c r="CV197" t="e">
        <f>AND(Bills!B757,"AAAAAD/z+mM=")</f>
        <v>#VALUE!</v>
      </c>
      <c r="CW197" t="e">
        <f>AND(Bills!#REF!,"AAAAAD/z+mQ=")</f>
        <v>#REF!</v>
      </c>
      <c r="CX197" t="e">
        <f>AND(Bills!C757,"AAAAAD/z+mU=")</f>
        <v>#VALUE!</v>
      </c>
      <c r="CY197" t="e">
        <f>AND(Bills!#REF!,"AAAAAD/z+mY=")</f>
        <v>#REF!</v>
      </c>
      <c r="CZ197" t="e">
        <f>AND(Bills!#REF!,"AAAAAD/z+mc=")</f>
        <v>#REF!</v>
      </c>
      <c r="DA197" t="e">
        <f>AND(Bills!#REF!,"AAAAAD/z+mg=")</f>
        <v>#REF!</v>
      </c>
      <c r="DB197" t="e">
        <f>AND(Bills!#REF!,"AAAAAD/z+mk=")</f>
        <v>#REF!</v>
      </c>
      <c r="DC197" t="e">
        <f>AND(Bills!#REF!,"AAAAAD/z+mo=")</f>
        <v>#REF!</v>
      </c>
      <c r="DD197" t="e">
        <f>AND(Bills!D757,"AAAAAD/z+ms=")</f>
        <v>#VALUE!</v>
      </c>
      <c r="DE197" t="e">
        <f>AND(Bills!#REF!,"AAAAAD/z+mw=")</f>
        <v>#REF!</v>
      </c>
      <c r="DF197" t="e">
        <f>AND(Bills!E757,"AAAAAD/z+m0=")</f>
        <v>#VALUE!</v>
      </c>
      <c r="DG197" t="e">
        <f>AND(Bills!F757,"AAAAAD/z+m4=")</f>
        <v>#VALUE!</v>
      </c>
      <c r="DH197" t="e">
        <f>AND(Bills!G757,"AAAAAD/z+m8=")</f>
        <v>#VALUE!</v>
      </c>
      <c r="DI197" t="e">
        <f>AND(Bills!H757,"AAAAAD/z+nA=")</f>
        <v>#VALUE!</v>
      </c>
      <c r="DJ197" t="e">
        <f>AND(Bills!I757,"AAAAAD/z+nE=")</f>
        <v>#VALUE!</v>
      </c>
      <c r="DK197" t="e">
        <f>AND(Bills!J757,"AAAAAD/z+nI=")</f>
        <v>#VALUE!</v>
      </c>
      <c r="DL197" t="e">
        <f>AND(Bills!#REF!,"AAAAAD/z+nM=")</f>
        <v>#REF!</v>
      </c>
      <c r="DM197" t="e">
        <f>AND(Bills!K757,"AAAAAD/z+nQ=")</f>
        <v>#VALUE!</v>
      </c>
      <c r="DN197" t="e">
        <f>AND(Bills!L757,"AAAAAD/z+nU=")</f>
        <v>#VALUE!</v>
      </c>
      <c r="DO197" t="e">
        <f>AND(Bills!M757,"AAAAAD/z+nY=")</f>
        <v>#VALUE!</v>
      </c>
      <c r="DP197" t="e">
        <f>AND(Bills!N757,"AAAAAD/z+nc=")</f>
        <v>#VALUE!</v>
      </c>
      <c r="DQ197" t="e">
        <f>AND(Bills!O757,"AAAAAD/z+ng=")</f>
        <v>#VALUE!</v>
      </c>
      <c r="DR197" t="e">
        <f>AND(Bills!P757,"AAAAAD/z+nk=")</f>
        <v>#VALUE!</v>
      </c>
      <c r="DS197" t="e">
        <f>AND(Bills!Q757,"AAAAAD/z+no=")</f>
        <v>#VALUE!</v>
      </c>
      <c r="DT197" t="e">
        <f>AND(Bills!R757,"AAAAAD/z+ns=")</f>
        <v>#VALUE!</v>
      </c>
      <c r="DU197" t="e">
        <f>AND(Bills!#REF!,"AAAAAD/z+nw=")</f>
        <v>#REF!</v>
      </c>
      <c r="DV197" t="e">
        <f>AND(Bills!S757,"AAAAAD/z+n0=")</f>
        <v>#VALUE!</v>
      </c>
      <c r="DW197" t="e">
        <f>AND(Bills!T757,"AAAAAD/z+n4=")</f>
        <v>#VALUE!</v>
      </c>
      <c r="DX197" t="e">
        <f>AND(Bills!U757,"AAAAAD/z+n8=")</f>
        <v>#VALUE!</v>
      </c>
      <c r="DY197" t="e">
        <f>AND(Bills!#REF!,"AAAAAD/z+oA=")</f>
        <v>#REF!</v>
      </c>
      <c r="DZ197" t="e">
        <f>AND(Bills!#REF!,"AAAAAD/z+oE=")</f>
        <v>#REF!</v>
      </c>
      <c r="EA197" t="e">
        <f>AND(Bills!W757,"AAAAAD/z+oI=")</f>
        <v>#VALUE!</v>
      </c>
      <c r="EB197" t="e">
        <f>AND(Bills!X757,"AAAAAD/z+oM=")</f>
        <v>#VALUE!</v>
      </c>
      <c r="EC197" t="e">
        <f>AND(Bills!#REF!,"AAAAAD/z+oQ=")</f>
        <v>#REF!</v>
      </c>
      <c r="ED197" t="e">
        <f>AND(Bills!#REF!,"AAAAAD/z+oU=")</f>
        <v>#REF!</v>
      </c>
      <c r="EE197" t="e">
        <f>AND(Bills!#REF!,"AAAAAD/z+oY=")</f>
        <v>#REF!</v>
      </c>
      <c r="EF197" t="e">
        <f>AND(Bills!#REF!,"AAAAAD/z+oc=")</f>
        <v>#REF!</v>
      </c>
      <c r="EG197" t="e">
        <f>AND(Bills!#REF!,"AAAAAD/z+og=")</f>
        <v>#REF!</v>
      </c>
      <c r="EH197" t="e">
        <f>AND(Bills!#REF!,"AAAAAD/z+ok=")</f>
        <v>#REF!</v>
      </c>
      <c r="EI197" t="e">
        <f>AND(Bills!#REF!,"AAAAAD/z+oo=")</f>
        <v>#REF!</v>
      </c>
      <c r="EJ197" t="e">
        <f>AND(Bills!#REF!,"AAAAAD/z+os=")</f>
        <v>#REF!</v>
      </c>
      <c r="EK197" t="e">
        <f>AND(Bills!#REF!,"AAAAAD/z+ow=")</f>
        <v>#REF!</v>
      </c>
      <c r="EL197" t="e">
        <f>AND(Bills!Y757,"AAAAAD/z+o0=")</f>
        <v>#VALUE!</v>
      </c>
      <c r="EM197" t="e">
        <f>AND(Bills!Z757,"AAAAAD/z+o4=")</f>
        <v>#VALUE!</v>
      </c>
      <c r="EN197" t="e">
        <f>AND(Bills!#REF!,"AAAAAD/z+o8=")</f>
        <v>#REF!</v>
      </c>
      <c r="EO197" t="e">
        <f>AND(Bills!#REF!,"AAAAAD/z+pA=")</f>
        <v>#REF!</v>
      </c>
      <c r="EP197" t="e">
        <f>AND(Bills!#REF!,"AAAAAD/z+pE=")</f>
        <v>#REF!</v>
      </c>
      <c r="EQ197" t="e">
        <f>AND(Bills!AA757,"AAAAAD/z+pI=")</f>
        <v>#VALUE!</v>
      </c>
      <c r="ER197" t="e">
        <f>AND(Bills!AB757,"AAAAAD/z+pM=")</f>
        <v>#VALUE!</v>
      </c>
      <c r="ES197" t="e">
        <f>AND(Bills!#REF!,"AAAAAD/z+pQ=")</f>
        <v>#REF!</v>
      </c>
      <c r="ET197">
        <f>IF(Bills!758:758,"AAAAAD/z+pU=",0)</f>
        <v>0</v>
      </c>
      <c r="EU197" t="e">
        <f>AND(Bills!B758,"AAAAAD/z+pY=")</f>
        <v>#VALUE!</v>
      </c>
      <c r="EV197" t="e">
        <f>AND(Bills!#REF!,"AAAAAD/z+pc=")</f>
        <v>#REF!</v>
      </c>
      <c r="EW197" t="e">
        <f>AND(Bills!C758,"AAAAAD/z+pg=")</f>
        <v>#VALUE!</v>
      </c>
      <c r="EX197" t="e">
        <f>AND(Bills!#REF!,"AAAAAD/z+pk=")</f>
        <v>#REF!</v>
      </c>
      <c r="EY197" t="e">
        <f>AND(Bills!#REF!,"AAAAAD/z+po=")</f>
        <v>#REF!</v>
      </c>
      <c r="EZ197" t="e">
        <f>AND(Bills!#REF!,"AAAAAD/z+ps=")</f>
        <v>#REF!</v>
      </c>
      <c r="FA197" t="e">
        <f>AND(Bills!#REF!,"AAAAAD/z+pw=")</f>
        <v>#REF!</v>
      </c>
      <c r="FB197" t="e">
        <f>AND(Bills!#REF!,"AAAAAD/z+p0=")</f>
        <v>#REF!</v>
      </c>
      <c r="FC197" t="e">
        <f>AND(Bills!D758,"AAAAAD/z+p4=")</f>
        <v>#VALUE!</v>
      </c>
      <c r="FD197" t="e">
        <f>AND(Bills!#REF!,"AAAAAD/z+p8=")</f>
        <v>#REF!</v>
      </c>
      <c r="FE197" t="e">
        <f>AND(Bills!E758,"AAAAAD/z+qA=")</f>
        <v>#VALUE!</v>
      </c>
      <c r="FF197" t="e">
        <f>AND(Bills!F758,"AAAAAD/z+qE=")</f>
        <v>#VALUE!</v>
      </c>
      <c r="FG197" t="e">
        <f>AND(Bills!G758,"AAAAAD/z+qI=")</f>
        <v>#VALUE!</v>
      </c>
      <c r="FH197" t="e">
        <f>AND(Bills!H758,"AAAAAD/z+qM=")</f>
        <v>#VALUE!</v>
      </c>
      <c r="FI197" t="e">
        <f>AND(Bills!I758,"AAAAAD/z+qQ=")</f>
        <v>#VALUE!</v>
      </c>
      <c r="FJ197" t="e">
        <f>AND(Bills!J758,"AAAAAD/z+qU=")</f>
        <v>#VALUE!</v>
      </c>
      <c r="FK197" t="e">
        <f>AND(Bills!#REF!,"AAAAAD/z+qY=")</f>
        <v>#REF!</v>
      </c>
      <c r="FL197" t="e">
        <f>AND(Bills!K758,"AAAAAD/z+qc=")</f>
        <v>#VALUE!</v>
      </c>
      <c r="FM197" t="e">
        <f>AND(Bills!L758,"AAAAAD/z+qg=")</f>
        <v>#VALUE!</v>
      </c>
      <c r="FN197" t="e">
        <f>AND(Bills!M758,"AAAAAD/z+qk=")</f>
        <v>#VALUE!</v>
      </c>
      <c r="FO197" t="e">
        <f>AND(Bills!N758,"AAAAAD/z+qo=")</f>
        <v>#VALUE!</v>
      </c>
      <c r="FP197" t="e">
        <f>AND(Bills!O758,"AAAAAD/z+qs=")</f>
        <v>#VALUE!</v>
      </c>
      <c r="FQ197" t="e">
        <f>AND(Bills!P758,"AAAAAD/z+qw=")</f>
        <v>#VALUE!</v>
      </c>
      <c r="FR197" t="e">
        <f>AND(Bills!Q758,"AAAAAD/z+q0=")</f>
        <v>#VALUE!</v>
      </c>
      <c r="FS197" t="e">
        <f>AND(Bills!R758,"AAAAAD/z+q4=")</f>
        <v>#VALUE!</v>
      </c>
      <c r="FT197" t="e">
        <f>AND(Bills!#REF!,"AAAAAD/z+q8=")</f>
        <v>#REF!</v>
      </c>
      <c r="FU197" t="e">
        <f>AND(Bills!S758,"AAAAAD/z+rA=")</f>
        <v>#VALUE!</v>
      </c>
      <c r="FV197" t="e">
        <f>AND(Bills!T758,"AAAAAD/z+rE=")</f>
        <v>#VALUE!</v>
      </c>
      <c r="FW197" t="e">
        <f>AND(Bills!U758,"AAAAAD/z+rI=")</f>
        <v>#VALUE!</v>
      </c>
      <c r="FX197" t="e">
        <f>AND(Bills!#REF!,"AAAAAD/z+rM=")</f>
        <v>#REF!</v>
      </c>
      <c r="FY197" t="e">
        <f>AND(Bills!#REF!,"AAAAAD/z+rQ=")</f>
        <v>#REF!</v>
      </c>
      <c r="FZ197" t="e">
        <f>AND(Bills!W758,"AAAAAD/z+rU=")</f>
        <v>#VALUE!</v>
      </c>
      <c r="GA197" t="e">
        <f>AND(Bills!X758,"AAAAAD/z+rY=")</f>
        <v>#VALUE!</v>
      </c>
      <c r="GB197" t="e">
        <f>AND(Bills!#REF!,"AAAAAD/z+rc=")</f>
        <v>#REF!</v>
      </c>
      <c r="GC197" t="e">
        <f>AND(Bills!#REF!,"AAAAAD/z+rg=")</f>
        <v>#REF!</v>
      </c>
      <c r="GD197" t="e">
        <f>AND(Bills!#REF!,"AAAAAD/z+rk=")</f>
        <v>#REF!</v>
      </c>
      <c r="GE197" t="e">
        <f>AND(Bills!#REF!,"AAAAAD/z+ro=")</f>
        <v>#REF!</v>
      </c>
      <c r="GF197" t="e">
        <f>AND(Bills!#REF!,"AAAAAD/z+rs=")</f>
        <v>#REF!</v>
      </c>
      <c r="GG197" t="e">
        <f>AND(Bills!#REF!,"AAAAAD/z+rw=")</f>
        <v>#REF!</v>
      </c>
      <c r="GH197" t="e">
        <f>AND(Bills!#REF!,"AAAAAD/z+r0=")</f>
        <v>#REF!</v>
      </c>
      <c r="GI197" t="e">
        <f>AND(Bills!#REF!,"AAAAAD/z+r4=")</f>
        <v>#REF!</v>
      </c>
      <c r="GJ197" t="e">
        <f>AND(Bills!#REF!,"AAAAAD/z+r8=")</f>
        <v>#REF!</v>
      </c>
      <c r="GK197" t="e">
        <f>AND(Bills!Y758,"AAAAAD/z+sA=")</f>
        <v>#VALUE!</v>
      </c>
      <c r="GL197" t="e">
        <f>AND(Bills!Z758,"AAAAAD/z+sE=")</f>
        <v>#VALUE!</v>
      </c>
      <c r="GM197" t="e">
        <f>AND(Bills!#REF!,"AAAAAD/z+sI=")</f>
        <v>#REF!</v>
      </c>
      <c r="GN197" t="e">
        <f>AND(Bills!#REF!,"AAAAAD/z+sM=")</f>
        <v>#REF!</v>
      </c>
      <c r="GO197" t="e">
        <f>AND(Bills!#REF!,"AAAAAD/z+sQ=")</f>
        <v>#REF!</v>
      </c>
      <c r="GP197" t="e">
        <f>AND(Bills!AA758,"AAAAAD/z+sU=")</f>
        <v>#VALUE!</v>
      </c>
      <c r="GQ197" t="e">
        <f>AND(Bills!AB758,"AAAAAD/z+sY=")</f>
        <v>#VALUE!</v>
      </c>
      <c r="GR197" t="e">
        <f>AND(Bills!#REF!,"AAAAAD/z+sc=")</f>
        <v>#REF!</v>
      </c>
      <c r="GS197">
        <f>IF(Bills!759:759,"AAAAAD/z+sg=",0)</f>
        <v>0</v>
      </c>
      <c r="GT197" t="e">
        <f>AND(Bills!B759,"AAAAAD/z+sk=")</f>
        <v>#VALUE!</v>
      </c>
      <c r="GU197" t="e">
        <f>AND(Bills!#REF!,"AAAAAD/z+so=")</f>
        <v>#REF!</v>
      </c>
      <c r="GV197" t="e">
        <f>AND(Bills!C759,"AAAAAD/z+ss=")</f>
        <v>#VALUE!</v>
      </c>
      <c r="GW197" t="e">
        <f>AND(Bills!#REF!,"AAAAAD/z+sw=")</f>
        <v>#REF!</v>
      </c>
      <c r="GX197" t="e">
        <f>AND(Bills!#REF!,"AAAAAD/z+s0=")</f>
        <v>#REF!</v>
      </c>
      <c r="GY197" t="e">
        <f>AND(Bills!#REF!,"AAAAAD/z+s4=")</f>
        <v>#REF!</v>
      </c>
      <c r="GZ197" t="e">
        <f>AND(Bills!#REF!,"AAAAAD/z+s8=")</f>
        <v>#REF!</v>
      </c>
      <c r="HA197" t="e">
        <f>AND(Bills!#REF!,"AAAAAD/z+tA=")</f>
        <v>#REF!</v>
      </c>
      <c r="HB197" t="e">
        <f>AND(Bills!D759,"AAAAAD/z+tE=")</f>
        <v>#VALUE!</v>
      </c>
      <c r="HC197" t="e">
        <f>AND(Bills!#REF!,"AAAAAD/z+tI=")</f>
        <v>#REF!</v>
      </c>
      <c r="HD197" t="e">
        <f>AND(Bills!E759,"AAAAAD/z+tM=")</f>
        <v>#VALUE!</v>
      </c>
      <c r="HE197" t="e">
        <f>AND(Bills!F759,"AAAAAD/z+tQ=")</f>
        <v>#VALUE!</v>
      </c>
      <c r="HF197" t="e">
        <f>AND(Bills!G759,"AAAAAD/z+tU=")</f>
        <v>#VALUE!</v>
      </c>
      <c r="HG197" t="e">
        <f>AND(Bills!H759,"AAAAAD/z+tY=")</f>
        <v>#VALUE!</v>
      </c>
      <c r="HH197" t="e">
        <f>AND(Bills!I759,"AAAAAD/z+tc=")</f>
        <v>#VALUE!</v>
      </c>
      <c r="HI197" t="e">
        <f>AND(Bills!J759,"AAAAAD/z+tg=")</f>
        <v>#VALUE!</v>
      </c>
      <c r="HJ197" t="e">
        <f>AND(Bills!#REF!,"AAAAAD/z+tk=")</f>
        <v>#REF!</v>
      </c>
      <c r="HK197" t="e">
        <f>AND(Bills!K759,"AAAAAD/z+to=")</f>
        <v>#VALUE!</v>
      </c>
      <c r="HL197" t="e">
        <f>AND(Bills!L759,"AAAAAD/z+ts=")</f>
        <v>#VALUE!</v>
      </c>
      <c r="HM197" t="e">
        <f>AND(Bills!M759,"AAAAAD/z+tw=")</f>
        <v>#VALUE!</v>
      </c>
      <c r="HN197" t="e">
        <f>AND(Bills!N759,"AAAAAD/z+t0=")</f>
        <v>#VALUE!</v>
      </c>
      <c r="HO197" t="e">
        <f>AND(Bills!O759,"AAAAAD/z+t4=")</f>
        <v>#VALUE!</v>
      </c>
      <c r="HP197" t="e">
        <f>AND(Bills!P759,"AAAAAD/z+t8=")</f>
        <v>#VALUE!</v>
      </c>
      <c r="HQ197" t="e">
        <f>AND(Bills!Q759,"AAAAAD/z+uA=")</f>
        <v>#VALUE!</v>
      </c>
      <c r="HR197" t="e">
        <f>AND(Bills!R759,"AAAAAD/z+uE=")</f>
        <v>#VALUE!</v>
      </c>
      <c r="HS197" t="e">
        <f>AND(Bills!#REF!,"AAAAAD/z+uI=")</f>
        <v>#REF!</v>
      </c>
      <c r="HT197" t="e">
        <f>AND(Bills!S759,"AAAAAD/z+uM=")</f>
        <v>#VALUE!</v>
      </c>
      <c r="HU197" t="e">
        <f>AND(Bills!T759,"AAAAAD/z+uQ=")</f>
        <v>#VALUE!</v>
      </c>
      <c r="HV197" t="e">
        <f>AND(Bills!U759,"AAAAAD/z+uU=")</f>
        <v>#VALUE!</v>
      </c>
      <c r="HW197" t="e">
        <f>AND(Bills!#REF!,"AAAAAD/z+uY=")</f>
        <v>#REF!</v>
      </c>
      <c r="HX197" t="e">
        <f>AND(Bills!#REF!,"AAAAAD/z+uc=")</f>
        <v>#REF!</v>
      </c>
      <c r="HY197" t="e">
        <f>AND(Bills!W759,"AAAAAD/z+ug=")</f>
        <v>#VALUE!</v>
      </c>
      <c r="HZ197" t="e">
        <f>AND(Bills!X759,"AAAAAD/z+uk=")</f>
        <v>#VALUE!</v>
      </c>
      <c r="IA197" t="e">
        <f>AND(Bills!#REF!,"AAAAAD/z+uo=")</f>
        <v>#REF!</v>
      </c>
      <c r="IB197" t="e">
        <f>AND(Bills!#REF!,"AAAAAD/z+us=")</f>
        <v>#REF!</v>
      </c>
      <c r="IC197" t="e">
        <f>AND(Bills!#REF!,"AAAAAD/z+uw=")</f>
        <v>#REF!</v>
      </c>
      <c r="ID197" t="e">
        <f>AND(Bills!#REF!,"AAAAAD/z+u0=")</f>
        <v>#REF!</v>
      </c>
      <c r="IE197" t="e">
        <f>AND(Bills!#REF!,"AAAAAD/z+u4=")</f>
        <v>#REF!</v>
      </c>
      <c r="IF197" t="e">
        <f>AND(Bills!#REF!,"AAAAAD/z+u8=")</f>
        <v>#REF!</v>
      </c>
      <c r="IG197" t="e">
        <f>AND(Bills!#REF!,"AAAAAD/z+vA=")</f>
        <v>#REF!</v>
      </c>
      <c r="IH197" t="e">
        <f>AND(Bills!#REF!,"AAAAAD/z+vE=")</f>
        <v>#REF!</v>
      </c>
      <c r="II197" t="e">
        <f>AND(Bills!#REF!,"AAAAAD/z+vI=")</f>
        <v>#REF!</v>
      </c>
      <c r="IJ197" t="e">
        <f>AND(Bills!Y759,"AAAAAD/z+vM=")</f>
        <v>#VALUE!</v>
      </c>
      <c r="IK197" t="e">
        <f>AND(Bills!Z759,"AAAAAD/z+vQ=")</f>
        <v>#VALUE!</v>
      </c>
      <c r="IL197" t="e">
        <f>AND(Bills!#REF!,"AAAAAD/z+vU=")</f>
        <v>#REF!</v>
      </c>
      <c r="IM197" t="e">
        <f>AND(Bills!#REF!,"AAAAAD/z+vY=")</f>
        <v>#REF!</v>
      </c>
      <c r="IN197" t="e">
        <f>AND(Bills!#REF!,"AAAAAD/z+vc=")</f>
        <v>#REF!</v>
      </c>
      <c r="IO197" t="e">
        <f>AND(Bills!AA759,"AAAAAD/z+vg=")</f>
        <v>#VALUE!</v>
      </c>
      <c r="IP197" t="e">
        <f>AND(Bills!AB759,"AAAAAD/z+vk=")</f>
        <v>#VALUE!</v>
      </c>
      <c r="IQ197" t="e">
        <f>AND(Bills!#REF!,"AAAAAD/z+vo=")</f>
        <v>#REF!</v>
      </c>
      <c r="IR197">
        <f>IF(Bills!760:760,"AAAAAD/z+vs=",0)</f>
        <v>0</v>
      </c>
      <c r="IS197" t="e">
        <f>AND(Bills!B760,"AAAAAD/z+vw=")</f>
        <v>#VALUE!</v>
      </c>
      <c r="IT197" t="e">
        <f>AND(Bills!#REF!,"AAAAAD/z+v0=")</f>
        <v>#REF!</v>
      </c>
      <c r="IU197" t="e">
        <f>AND(Bills!C760,"AAAAAD/z+v4=")</f>
        <v>#VALUE!</v>
      </c>
      <c r="IV197" t="e">
        <f>AND(Bills!#REF!,"AAAAAD/z+v8=")</f>
        <v>#REF!</v>
      </c>
    </row>
    <row r="198" spans="1:256">
      <c r="A198" t="e">
        <f>AND(Bills!#REF!,"AAAAAD9L/wA=")</f>
        <v>#REF!</v>
      </c>
      <c r="B198" t="e">
        <f>AND(Bills!#REF!,"AAAAAD9L/wE=")</f>
        <v>#REF!</v>
      </c>
      <c r="C198" t="e">
        <f>AND(Bills!#REF!,"AAAAAD9L/wI=")</f>
        <v>#REF!</v>
      </c>
      <c r="D198" t="e">
        <f>AND(Bills!#REF!,"AAAAAD9L/wM=")</f>
        <v>#REF!</v>
      </c>
      <c r="E198" t="e">
        <f>AND(Bills!D760,"AAAAAD9L/wQ=")</f>
        <v>#VALUE!</v>
      </c>
      <c r="F198" t="e">
        <f>AND(Bills!#REF!,"AAAAAD9L/wU=")</f>
        <v>#REF!</v>
      </c>
      <c r="G198" t="e">
        <f>AND(Bills!E760,"AAAAAD9L/wY=")</f>
        <v>#VALUE!</v>
      </c>
      <c r="H198" t="e">
        <f>AND(Bills!F760,"AAAAAD9L/wc=")</f>
        <v>#VALUE!</v>
      </c>
      <c r="I198" t="e">
        <f>AND(Bills!G760,"AAAAAD9L/wg=")</f>
        <v>#VALUE!</v>
      </c>
      <c r="J198" t="e">
        <f>AND(Bills!H760,"AAAAAD9L/wk=")</f>
        <v>#VALUE!</v>
      </c>
      <c r="K198" t="e">
        <f>AND(Bills!I760,"AAAAAD9L/wo=")</f>
        <v>#VALUE!</v>
      </c>
      <c r="L198" t="e">
        <f>AND(Bills!J760,"AAAAAD9L/ws=")</f>
        <v>#VALUE!</v>
      </c>
      <c r="M198" t="e">
        <f>AND(Bills!#REF!,"AAAAAD9L/ww=")</f>
        <v>#REF!</v>
      </c>
      <c r="N198" t="e">
        <f>AND(Bills!K760,"AAAAAD9L/w0=")</f>
        <v>#VALUE!</v>
      </c>
      <c r="O198" t="e">
        <f>AND(Bills!L760,"AAAAAD9L/w4=")</f>
        <v>#VALUE!</v>
      </c>
      <c r="P198" t="e">
        <f>AND(Bills!M760,"AAAAAD9L/w8=")</f>
        <v>#VALUE!</v>
      </c>
      <c r="Q198" t="e">
        <f>AND(Bills!N760,"AAAAAD9L/xA=")</f>
        <v>#VALUE!</v>
      </c>
      <c r="R198" t="e">
        <f>AND(Bills!O760,"AAAAAD9L/xE=")</f>
        <v>#VALUE!</v>
      </c>
      <c r="S198" t="e">
        <f>AND(Bills!P760,"AAAAAD9L/xI=")</f>
        <v>#VALUE!</v>
      </c>
      <c r="T198" t="e">
        <f>AND(Bills!Q760,"AAAAAD9L/xM=")</f>
        <v>#VALUE!</v>
      </c>
      <c r="U198" t="e">
        <f>AND(Bills!R760,"AAAAAD9L/xQ=")</f>
        <v>#VALUE!</v>
      </c>
      <c r="V198" t="e">
        <f>AND(Bills!#REF!,"AAAAAD9L/xU=")</f>
        <v>#REF!</v>
      </c>
      <c r="W198" t="e">
        <f>AND(Bills!S760,"AAAAAD9L/xY=")</f>
        <v>#VALUE!</v>
      </c>
      <c r="X198" t="e">
        <f>AND(Bills!T760,"AAAAAD9L/xc=")</f>
        <v>#VALUE!</v>
      </c>
      <c r="Y198" t="e">
        <f>AND(Bills!U760,"AAAAAD9L/xg=")</f>
        <v>#VALUE!</v>
      </c>
      <c r="Z198" t="e">
        <f>AND(Bills!#REF!,"AAAAAD9L/xk=")</f>
        <v>#REF!</v>
      </c>
      <c r="AA198" t="e">
        <f>AND(Bills!#REF!,"AAAAAD9L/xo=")</f>
        <v>#REF!</v>
      </c>
      <c r="AB198" t="e">
        <f>AND(Bills!W760,"AAAAAD9L/xs=")</f>
        <v>#VALUE!</v>
      </c>
      <c r="AC198" t="e">
        <f>AND(Bills!X760,"AAAAAD9L/xw=")</f>
        <v>#VALUE!</v>
      </c>
      <c r="AD198" t="e">
        <f>AND(Bills!#REF!,"AAAAAD9L/x0=")</f>
        <v>#REF!</v>
      </c>
      <c r="AE198" t="e">
        <f>AND(Bills!#REF!,"AAAAAD9L/x4=")</f>
        <v>#REF!</v>
      </c>
      <c r="AF198" t="e">
        <f>AND(Bills!#REF!,"AAAAAD9L/x8=")</f>
        <v>#REF!</v>
      </c>
      <c r="AG198" t="e">
        <f>AND(Bills!#REF!,"AAAAAD9L/yA=")</f>
        <v>#REF!</v>
      </c>
      <c r="AH198" t="e">
        <f>AND(Bills!#REF!,"AAAAAD9L/yE=")</f>
        <v>#REF!</v>
      </c>
      <c r="AI198" t="e">
        <f>AND(Bills!#REF!,"AAAAAD9L/yI=")</f>
        <v>#REF!</v>
      </c>
      <c r="AJ198" t="e">
        <f>AND(Bills!#REF!,"AAAAAD9L/yM=")</f>
        <v>#REF!</v>
      </c>
      <c r="AK198" t="e">
        <f>AND(Bills!#REF!,"AAAAAD9L/yQ=")</f>
        <v>#REF!</v>
      </c>
      <c r="AL198" t="e">
        <f>AND(Bills!#REF!,"AAAAAD9L/yU=")</f>
        <v>#REF!</v>
      </c>
      <c r="AM198" t="e">
        <f>AND(Bills!Y760,"AAAAAD9L/yY=")</f>
        <v>#VALUE!</v>
      </c>
      <c r="AN198" t="e">
        <f>AND(Bills!Z760,"AAAAAD9L/yc=")</f>
        <v>#VALUE!</v>
      </c>
      <c r="AO198" t="e">
        <f>AND(Bills!#REF!,"AAAAAD9L/yg=")</f>
        <v>#REF!</v>
      </c>
      <c r="AP198" t="e">
        <f>AND(Bills!#REF!,"AAAAAD9L/yk=")</f>
        <v>#REF!</v>
      </c>
      <c r="AQ198" t="e">
        <f>AND(Bills!#REF!,"AAAAAD9L/yo=")</f>
        <v>#REF!</v>
      </c>
      <c r="AR198" t="e">
        <f>AND(Bills!AA760,"AAAAAD9L/ys=")</f>
        <v>#VALUE!</v>
      </c>
      <c r="AS198" t="e">
        <f>AND(Bills!AB760,"AAAAAD9L/yw=")</f>
        <v>#VALUE!</v>
      </c>
      <c r="AT198" t="e">
        <f>AND(Bills!#REF!,"AAAAAD9L/y0=")</f>
        <v>#REF!</v>
      </c>
      <c r="AU198">
        <f>IF(Bills!761:761,"AAAAAD9L/y4=",0)</f>
        <v>0</v>
      </c>
      <c r="AV198" t="e">
        <f>AND(Bills!B761,"AAAAAD9L/y8=")</f>
        <v>#VALUE!</v>
      </c>
      <c r="AW198" t="e">
        <f>AND(Bills!#REF!,"AAAAAD9L/zA=")</f>
        <v>#REF!</v>
      </c>
      <c r="AX198" t="e">
        <f>AND(Bills!C761,"AAAAAD9L/zE=")</f>
        <v>#VALUE!</v>
      </c>
      <c r="AY198" t="e">
        <f>AND(Bills!#REF!,"AAAAAD9L/zI=")</f>
        <v>#REF!</v>
      </c>
      <c r="AZ198" t="e">
        <f>AND(Bills!#REF!,"AAAAAD9L/zM=")</f>
        <v>#REF!</v>
      </c>
      <c r="BA198" t="e">
        <f>AND(Bills!#REF!,"AAAAAD9L/zQ=")</f>
        <v>#REF!</v>
      </c>
      <c r="BB198" t="e">
        <f>AND(Bills!#REF!,"AAAAAD9L/zU=")</f>
        <v>#REF!</v>
      </c>
      <c r="BC198" t="e">
        <f>AND(Bills!#REF!,"AAAAAD9L/zY=")</f>
        <v>#REF!</v>
      </c>
      <c r="BD198" t="e">
        <f>AND(Bills!D761,"AAAAAD9L/zc=")</f>
        <v>#VALUE!</v>
      </c>
      <c r="BE198" t="e">
        <f>AND(Bills!#REF!,"AAAAAD9L/zg=")</f>
        <v>#REF!</v>
      </c>
      <c r="BF198" t="e">
        <f>AND(Bills!E761,"AAAAAD9L/zk=")</f>
        <v>#VALUE!</v>
      </c>
      <c r="BG198" t="e">
        <f>AND(Bills!F761,"AAAAAD9L/zo=")</f>
        <v>#VALUE!</v>
      </c>
      <c r="BH198" t="e">
        <f>AND(Bills!G761,"AAAAAD9L/zs=")</f>
        <v>#VALUE!</v>
      </c>
      <c r="BI198" t="e">
        <f>AND(Bills!H761,"AAAAAD9L/zw=")</f>
        <v>#VALUE!</v>
      </c>
      <c r="BJ198" t="e">
        <f>AND(Bills!I761,"AAAAAD9L/z0=")</f>
        <v>#VALUE!</v>
      </c>
      <c r="BK198" t="e">
        <f>AND(Bills!J761,"AAAAAD9L/z4=")</f>
        <v>#VALUE!</v>
      </c>
      <c r="BL198" t="e">
        <f>AND(Bills!#REF!,"AAAAAD9L/z8=")</f>
        <v>#REF!</v>
      </c>
      <c r="BM198" t="e">
        <f>AND(Bills!K761,"AAAAAD9L/0A=")</f>
        <v>#VALUE!</v>
      </c>
      <c r="BN198" t="e">
        <f>AND(Bills!L761,"AAAAAD9L/0E=")</f>
        <v>#VALUE!</v>
      </c>
      <c r="BO198" t="e">
        <f>AND(Bills!M761,"AAAAAD9L/0I=")</f>
        <v>#VALUE!</v>
      </c>
      <c r="BP198" t="e">
        <f>AND(Bills!N761,"AAAAAD9L/0M=")</f>
        <v>#VALUE!</v>
      </c>
      <c r="BQ198" t="e">
        <f>AND(Bills!O761,"AAAAAD9L/0Q=")</f>
        <v>#VALUE!</v>
      </c>
      <c r="BR198" t="e">
        <f>AND(Bills!P761,"AAAAAD9L/0U=")</f>
        <v>#VALUE!</v>
      </c>
      <c r="BS198" t="e">
        <f>AND(Bills!Q761,"AAAAAD9L/0Y=")</f>
        <v>#VALUE!</v>
      </c>
      <c r="BT198" t="e">
        <f>AND(Bills!R761,"AAAAAD9L/0c=")</f>
        <v>#VALUE!</v>
      </c>
      <c r="BU198" t="e">
        <f>AND(Bills!#REF!,"AAAAAD9L/0g=")</f>
        <v>#REF!</v>
      </c>
      <c r="BV198" t="e">
        <f>AND(Bills!S761,"AAAAAD9L/0k=")</f>
        <v>#VALUE!</v>
      </c>
      <c r="BW198" t="e">
        <f>AND(Bills!T761,"AAAAAD9L/0o=")</f>
        <v>#VALUE!</v>
      </c>
      <c r="BX198" t="e">
        <f>AND(Bills!U761,"AAAAAD9L/0s=")</f>
        <v>#VALUE!</v>
      </c>
      <c r="BY198" t="e">
        <f>AND(Bills!#REF!,"AAAAAD9L/0w=")</f>
        <v>#REF!</v>
      </c>
      <c r="BZ198" t="e">
        <f>AND(Bills!#REF!,"AAAAAD9L/00=")</f>
        <v>#REF!</v>
      </c>
      <c r="CA198" t="e">
        <f>AND(Bills!W761,"AAAAAD9L/04=")</f>
        <v>#VALUE!</v>
      </c>
      <c r="CB198" t="e">
        <f>AND(Bills!X761,"AAAAAD9L/08=")</f>
        <v>#VALUE!</v>
      </c>
      <c r="CC198" t="e">
        <f>AND(Bills!#REF!,"AAAAAD9L/1A=")</f>
        <v>#REF!</v>
      </c>
      <c r="CD198" t="e">
        <f>AND(Bills!#REF!,"AAAAAD9L/1E=")</f>
        <v>#REF!</v>
      </c>
      <c r="CE198" t="e">
        <f>AND(Bills!#REF!,"AAAAAD9L/1I=")</f>
        <v>#REF!</v>
      </c>
      <c r="CF198" t="e">
        <f>AND(Bills!#REF!,"AAAAAD9L/1M=")</f>
        <v>#REF!</v>
      </c>
      <c r="CG198" t="e">
        <f>AND(Bills!#REF!,"AAAAAD9L/1Q=")</f>
        <v>#REF!</v>
      </c>
      <c r="CH198" t="e">
        <f>AND(Bills!#REF!,"AAAAAD9L/1U=")</f>
        <v>#REF!</v>
      </c>
      <c r="CI198" t="e">
        <f>AND(Bills!#REF!,"AAAAAD9L/1Y=")</f>
        <v>#REF!</v>
      </c>
      <c r="CJ198" t="e">
        <f>AND(Bills!#REF!,"AAAAAD9L/1c=")</f>
        <v>#REF!</v>
      </c>
      <c r="CK198" t="e">
        <f>AND(Bills!#REF!,"AAAAAD9L/1g=")</f>
        <v>#REF!</v>
      </c>
      <c r="CL198" t="e">
        <f>AND(Bills!Y761,"AAAAAD9L/1k=")</f>
        <v>#VALUE!</v>
      </c>
      <c r="CM198" t="e">
        <f>AND(Bills!Z761,"AAAAAD9L/1o=")</f>
        <v>#VALUE!</v>
      </c>
      <c r="CN198" t="e">
        <f>AND(Bills!#REF!,"AAAAAD9L/1s=")</f>
        <v>#REF!</v>
      </c>
      <c r="CO198" t="e">
        <f>AND(Bills!#REF!,"AAAAAD9L/1w=")</f>
        <v>#REF!</v>
      </c>
      <c r="CP198" t="e">
        <f>AND(Bills!#REF!,"AAAAAD9L/10=")</f>
        <v>#REF!</v>
      </c>
      <c r="CQ198" t="e">
        <f>AND(Bills!AA761,"AAAAAD9L/14=")</f>
        <v>#VALUE!</v>
      </c>
      <c r="CR198" t="e">
        <f>AND(Bills!AB761,"AAAAAD9L/18=")</f>
        <v>#VALUE!</v>
      </c>
      <c r="CS198" t="e">
        <f>AND(Bills!#REF!,"AAAAAD9L/2A=")</f>
        <v>#REF!</v>
      </c>
      <c r="CT198">
        <f>IF(Bills!762:762,"AAAAAD9L/2E=",0)</f>
        <v>0</v>
      </c>
      <c r="CU198" t="e">
        <f>AND(Bills!B762,"AAAAAD9L/2I=")</f>
        <v>#VALUE!</v>
      </c>
      <c r="CV198" t="e">
        <f>AND(Bills!#REF!,"AAAAAD9L/2M=")</f>
        <v>#REF!</v>
      </c>
      <c r="CW198" t="e">
        <f>AND(Bills!C762,"AAAAAD9L/2Q=")</f>
        <v>#VALUE!</v>
      </c>
      <c r="CX198" t="e">
        <f>AND(Bills!#REF!,"AAAAAD9L/2U=")</f>
        <v>#REF!</v>
      </c>
      <c r="CY198" t="e">
        <f>AND(Bills!#REF!,"AAAAAD9L/2Y=")</f>
        <v>#REF!</v>
      </c>
      <c r="CZ198" t="e">
        <f>AND(Bills!#REF!,"AAAAAD9L/2c=")</f>
        <v>#REF!</v>
      </c>
      <c r="DA198" t="e">
        <f>AND(Bills!#REF!,"AAAAAD9L/2g=")</f>
        <v>#REF!</v>
      </c>
      <c r="DB198" t="e">
        <f>AND(Bills!#REF!,"AAAAAD9L/2k=")</f>
        <v>#REF!</v>
      </c>
      <c r="DC198" t="e">
        <f>AND(Bills!D762,"AAAAAD9L/2o=")</f>
        <v>#VALUE!</v>
      </c>
      <c r="DD198" t="e">
        <f>AND(Bills!#REF!,"AAAAAD9L/2s=")</f>
        <v>#REF!</v>
      </c>
      <c r="DE198" t="e">
        <f>AND(Bills!E762,"AAAAAD9L/2w=")</f>
        <v>#VALUE!</v>
      </c>
      <c r="DF198" t="e">
        <f>AND(Bills!F762,"AAAAAD9L/20=")</f>
        <v>#VALUE!</v>
      </c>
      <c r="DG198" t="e">
        <f>AND(Bills!G762,"AAAAAD9L/24=")</f>
        <v>#VALUE!</v>
      </c>
      <c r="DH198" t="e">
        <f>AND(Bills!H762,"AAAAAD9L/28=")</f>
        <v>#VALUE!</v>
      </c>
      <c r="DI198" t="e">
        <f>AND(Bills!I762,"AAAAAD9L/3A=")</f>
        <v>#VALUE!</v>
      </c>
      <c r="DJ198" t="e">
        <f>AND(Bills!J762,"AAAAAD9L/3E=")</f>
        <v>#VALUE!</v>
      </c>
      <c r="DK198" t="e">
        <f>AND(Bills!#REF!,"AAAAAD9L/3I=")</f>
        <v>#REF!</v>
      </c>
      <c r="DL198" t="e">
        <f>AND(Bills!K762,"AAAAAD9L/3M=")</f>
        <v>#VALUE!</v>
      </c>
      <c r="DM198" t="e">
        <f>AND(Bills!L762,"AAAAAD9L/3Q=")</f>
        <v>#VALUE!</v>
      </c>
      <c r="DN198" t="e">
        <f>AND(Bills!M762,"AAAAAD9L/3U=")</f>
        <v>#VALUE!</v>
      </c>
      <c r="DO198" t="e">
        <f>AND(Bills!N762,"AAAAAD9L/3Y=")</f>
        <v>#VALUE!</v>
      </c>
      <c r="DP198" t="e">
        <f>AND(Bills!O762,"AAAAAD9L/3c=")</f>
        <v>#VALUE!</v>
      </c>
      <c r="DQ198" t="e">
        <f>AND(Bills!P762,"AAAAAD9L/3g=")</f>
        <v>#VALUE!</v>
      </c>
      <c r="DR198" t="e">
        <f>AND(Bills!Q762,"AAAAAD9L/3k=")</f>
        <v>#VALUE!</v>
      </c>
      <c r="DS198" t="e">
        <f>AND(Bills!R762,"AAAAAD9L/3o=")</f>
        <v>#VALUE!</v>
      </c>
      <c r="DT198" t="e">
        <f>AND(Bills!#REF!,"AAAAAD9L/3s=")</f>
        <v>#REF!</v>
      </c>
      <c r="DU198" t="e">
        <f>AND(Bills!S762,"AAAAAD9L/3w=")</f>
        <v>#VALUE!</v>
      </c>
      <c r="DV198" t="e">
        <f>AND(Bills!T762,"AAAAAD9L/30=")</f>
        <v>#VALUE!</v>
      </c>
      <c r="DW198" t="e">
        <f>AND(Bills!U762,"AAAAAD9L/34=")</f>
        <v>#VALUE!</v>
      </c>
      <c r="DX198" t="e">
        <f>AND(Bills!#REF!,"AAAAAD9L/38=")</f>
        <v>#REF!</v>
      </c>
      <c r="DY198" t="e">
        <f>AND(Bills!#REF!,"AAAAAD9L/4A=")</f>
        <v>#REF!</v>
      </c>
      <c r="DZ198" t="e">
        <f>AND(Bills!W762,"AAAAAD9L/4E=")</f>
        <v>#VALUE!</v>
      </c>
      <c r="EA198" t="e">
        <f>AND(Bills!X762,"AAAAAD9L/4I=")</f>
        <v>#VALUE!</v>
      </c>
      <c r="EB198" t="e">
        <f>AND(Bills!#REF!,"AAAAAD9L/4M=")</f>
        <v>#REF!</v>
      </c>
      <c r="EC198" t="e">
        <f>AND(Bills!#REF!,"AAAAAD9L/4Q=")</f>
        <v>#REF!</v>
      </c>
      <c r="ED198" t="e">
        <f>AND(Bills!#REF!,"AAAAAD9L/4U=")</f>
        <v>#REF!</v>
      </c>
      <c r="EE198" t="e">
        <f>AND(Bills!#REF!,"AAAAAD9L/4Y=")</f>
        <v>#REF!</v>
      </c>
      <c r="EF198" t="e">
        <f>AND(Bills!#REF!,"AAAAAD9L/4c=")</f>
        <v>#REF!</v>
      </c>
      <c r="EG198" t="e">
        <f>AND(Bills!#REF!,"AAAAAD9L/4g=")</f>
        <v>#REF!</v>
      </c>
      <c r="EH198" t="e">
        <f>AND(Bills!#REF!,"AAAAAD9L/4k=")</f>
        <v>#REF!</v>
      </c>
      <c r="EI198" t="e">
        <f>AND(Bills!#REF!,"AAAAAD9L/4o=")</f>
        <v>#REF!</v>
      </c>
      <c r="EJ198" t="e">
        <f>AND(Bills!#REF!,"AAAAAD9L/4s=")</f>
        <v>#REF!</v>
      </c>
      <c r="EK198" t="e">
        <f>AND(Bills!Y762,"AAAAAD9L/4w=")</f>
        <v>#VALUE!</v>
      </c>
      <c r="EL198" t="e">
        <f>AND(Bills!Z762,"AAAAAD9L/40=")</f>
        <v>#VALUE!</v>
      </c>
      <c r="EM198" t="e">
        <f>AND(Bills!#REF!,"AAAAAD9L/44=")</f>
        <v>#REF!</v>
      </c>
      <c r="EN198" t="e">
        <f>AND(Bills!#REF!,"AAAAAD9L/48=")</f>
        <v>#REF!</v>
      </c>
      <c r="EO198" t="e">
        <f>AND(Bills!#REF!,"AAAAAD9L/5A=")</f>
        <v>#REF!</v>
      </c>
      <c r="EP198" t="e">
        <f>AND(Bills!AA762,"AAAAAD9L/5E=")</f>
        <v>#VALUE!</v>
      </c>
      <c r="EQ198" t="e">
        <f>AND(Bills!AB762,"AAAAAD9L/5I=")</f>
        <v>#VALUE!</v>
      </c>
      <c r="ER198" t="e">
        <f>AND(Bills!#REF!,"AAAAAD9L/5M=")</f>
        <v>#REF!</v>
      </c>
      <c r="ES198">
        <f>IF(Bills!763:763,"AAAAAD9L/5Q=",0)</f>
        <v>0</v>
      </c>
      <c r="ET198" t="e">
        <f>AND(Bills!B763,"AAAAAD9L/5U=")</f>
        <v>#VALUE!</v>
      </c>
      <c r="EU198" t="e">
        <f>AND(Bills!#REF!,"AAAAAD9L/5Y=")</f>
        <v>#REF!</v>
      </c>
      <c r="EV198" t="e">
        <f>AND(Bills!C763,"AAAAAD9L/5c=")</f>
        <v>#VALUE!</v>
      </c>
      <c r="EW198" t="e">
        <f>AND(Bills!#REF!,"AAAAAD9L/5g=")</f>
        <v>#REF!</v>
      </c>
      <c r="EX198" t="e">
        <f>AND(Bills!#REF!,"AAAAAD9L/5k=")</f>
        <v>#REF!</v>
      </c>
      <c r="EY198" t="e">
        <f>AND(Bills!#REF!,"AAAAAD9L/5o=")</f>
        <v>#REF!</v>
      </c>
      <c r="EZ198" t="e">
        <f>AND(Bills!#REF!,"AAAAAD9L/5s=")</f>
        <v>#REF!</v>
      </c>
      <c r="FA198" t="e">
        <f>AND(Bills!#REF!,"AAAAAD9L/5w=")</f>
        <v>#REF!</v>
      </c>
      <c r="FB198" t="e">
        <f>AND(Bills!D763,"AAAAAD9L/50=")</f>
        <v>#VALUE!</v>
      </c>
      <c r="FC198" t="e">
        <f>AND(Bills!#REF!,"AAAAAD9L/54=")</f>
        <v>#REF!</v>
      </c>
      <c r="FD198" t="e">
        <f>AND(Bills!E763,"AAAAAD9L/58=")</f>
        <v>#VALUE!</v>
      </c>
      <c r="FE198" t="e">
        <f>AND(Bills!F763,"AAAAAD9L/6A=")</f>
        <v>#VALUE!</v>
      </c>
      <c r="FF198" t="e">
        <f>AND(Bills!G763,"AAAAAD9L/6E=")</f>
        <v>#VALUE!</v>
      </c>
      <c r="FG198" t="e">
        <f>AND(Bills!H763,"AAAAAD9L/6I=")</f>
        <v>#VALUE!</v>
      </c>
      <c r="FH198" t="e">
        <f>AND(Bills!I763,"AAAAAD9L/6M=")</f>
        <v>#VALUE!</v>
      </c>
      <c r="FI198" t="e">
        <f>AND(Bills!J763,"AAAAAD9L/6Q=")</f>
        <v>#VALUE!</v>
      </c>
      <c r="FJ198" t="e">
        <f>AND(Bills!#REF!,"AAAAAD9L/6U=")</f>
        <v>#REF!</v>
      </c>
      <c r="FK198" t="e">
        <f>AND(Bills!K763,"AAAAAD9L/6Y=")</f>
        <v>#VALUE!</v>
      </c>
      <c r="FL198" t="e">
        <f>AND(Bills!L763,"AAAAAD9L/6c=")</f>
        <v>#VALUE!</v>
      </c>
      <c r="FM198" t="e">
        <f>AND(Bills!M763,"AAAAAD9L/6g=")</f>
        <v>#VALUE!</v>
      </c>
      <c r="FN198" t="e">
        <f>AND(Bills!N763,"AAAAAD9L/6k=")</f>
        <v>#VALUE!</v>
      </c>
      <c r="FO198" t="e">
        <f>AND(Bills!O763,"AAAAAD9L/6o=")</f>
        <v>#VALUE!</v>
      </c>
      <c r="FP198" t="e">
        <f>AND(Bills!P763,"AAAAAD9L/6s=")</f>
        <v>#VALUE!</v>
      </c>
      <c r="FQ198" t="e">
        <f>AND(Bills!Q763,"AAAAAD9L/6w=")</f>
        <v>#VALUE!</v>
      </c>
      <c r="FR198" t="e">
        <f>AND(Bills!R763,"AAAAAD9L/60=")</f>
        <v>#VALUE!</v>
      </c>
      <c r="FS198" t="e">
        <f>AND(Bills!#REF!,"AAAAAD9L/64=")</f>
        <v>#REF!</v>
      </c>
      <c r="FT198" t="e">
        <f>AND(Bills!S763,"AAAAAD9L/68=")</f>
        <v>#VALUE!</v>
      </c>
      <c r="FU198" t="e">
        <f>AND(Bills!T763,"AAAAAD9L/7A=")</f>
        <v>#VALUE!</v>
      </c>
      <c r="FV198" t="e">
        <f>AND(Bills!U763,"AAAAAD9L/7E=")</f>
        <v>#VALUE!</v>
      </c>
      <c r="FW198" t="e">
        <f>AND(Bills!#REF!,"AAAAAD9L/7I=")</f>
        <v>#REF!</v>
      </c>
      <c r="FX198" t="e">
        <f>AND(Bills!#REF!,"AAAAAD9L/7M=")</f>
        <v>#REF!</v>
      </c>
      <c r="FY198" t="e">
        <f>AND(Bills!W763,"AAAAAD9L/7Q=")</f>
        <v>#VALUE!</v>
      </c>
      <c r="FZ198" t="e">
        <f>AND(Bills!X763,"AAAAAD9L/7U=")</f>
        <v>#VALUE!</v>
      </c>
      <c r="GA198" t="e">
        <f>AND(Bills!#REF!,"AAAAAD9L/7Y=")</f>
        <v>#REF!</v>
      </c>
      <c r="GB198" t="e">
        <f>AND(Bills!#REF!,"AAAAAD9L/7c=")</f>
        <v>#REF!</v>
      </c>
      <c r="GC198" t="e">
        <f>AND(Bills!#REF!,"AAAAAD9L/7g=")</f>
        <v>#REF!</v>
      </c>
      <c r="GD198" t="e">
        <f>AND(Bills!#REF!,"AAAAAD9L/7k=")</f>
        <v>#REF!</v>
      </c>
      <c r="GE198" t="e">
        <f>AND(Bills!#REF!,"AAAAAD9L/7o=")</f>
        <v>#REF!</v>
      </c>
      <c r="GF198" t="e">
        <f>AND(Bills!#REF!,"AAAAAD9L/7s=")</f>
        <v>#REF!</v>
      </c>
      <c r="GG198" t="e">
        <f>AND(Bills!#REF!,"AAAAAD9L/7w=")</f>
        <v>#REF!</v>
      </c>
      <c r="GH198" t="e">
        <f>AND(Bills!#REF!,"AAAAAD9L/70=")</f>
        <v>#REF!</v>
      </c>
      <c r="GI198" t="e">
        <f>AND(Bills!#REF!,"AAAAAD9L/74=")</f>
        <v>#REF!</v>
      </c>
      <c r="GJ198" t="e">
        <f>AND(Bills!Y763,"AAAAAD9L/78=")</f>
        <v>#VALUE!</v>
      </c>
      <c r="GK198" t="e">
        <f>AND(Bills!Z763,"AAAAAD9L/8A=")</f>
        <v>#VALUE!</v>
      </c>
      <c r="GL198" t="e">
        <f>AND(Bills!#REF!,"AAAAAD9L/8E=")</f>
        <v>#REF!</v>
      </c>
      <c r="GM198" t="e">
        <f>AND(Bills!#REF!,"AAAAAD9L/8I=")</f>
        <v>#REF!</v>
      </c>
      <c r="GN198" t="e">
        <f>AND(Bills!#REF!,"AAAAAD9L/8M=")</f>
        <v>#REF!</v>
      </c>
      <c r="GO198" t="e">
        <f>AND(Bills!AA763,"AAAAAD9L/8Q=")</f>
        <v>#VALUE!</v>
      </c>
      <c r="GP198" t="e">
        <f>AND(Bills!AB763,"AAAAAD9L/8U=")</f>
        <v>#VALUE!</v>
      </c>
      <c r="GQ198" t="e">
        <f>AND(Bills!#REF!,"AAAAAD9L/8Y=")</f>
        <v>#REF!</v>
      </c>
      <c r="GR198">
        <f>IF(Bills!764:764,"AAAAAD9L/8c=",0)</f>
        <v>0</v>
      </c>
      <c r="GS198" t="e">
        <f>AND(Bills!B764,"AAAAAD9L/8g=")</f>
        <v>#VALUE!</v>
      </c>
      <c r="GT198" t="e">
        <f>AND(Bills!#REF!,"AAAAAD9L/8k=")</f>
        <v>#REF!</v>
      </c>
      <c r="GU198" t="e">
        <f>AND(Bills!C764,"AAAAAD9L/8o=")</f>
        <v>#VALUE!</v>
      </c>
      <c r="GV198" t="e">
        <f>AND(Bills!#REF!,"AAAAAD9L/8s=")</f>
        <v>#REF!</v>
      </c>
      <c r="GW198" t="e">
        <f>AND(Bills!#REF!,"AAAAAD9L/8w=")</f>
        <v>#REF!</v>
      </c>
      <c r="GX198" t="e">
        <f>AND(Bills!#REF!,"AAAAAD9L/80=")</f>
        <v>#REF!</v>
      </c>
      <c r="GY198" t="e">
        <f>AND(Bills!#REF!,"AAAAAD9L/84=")</f>
        <v>#REF!</v>
      </c>
      <c r="GZ198" t="e">
        <f>AND(Bills!#REF!,"AAAAAD9L/88=")</f>
        <v>#REF!</v>
      </c>
      <c r="HA198" t="e">
        <f>AND(Bills!D764,"AAAAAD9L/9A=")</f>
        <v>#VALUE!</v>
      </c>
      <c r="HB198" t="e">
        <f>AND(Bills!#REF!,"AAAAAD9L/9E=")</f>
        <v>#REF!</v>
      </c>
      <c r="HC198" t="e">
        <f>AND(Bills!E764,"AAAAAD9L/9I=")</f>
        <v>#VALUE!</v>
      </c>
      <c r="HD198" t="e">
        <f>AND(Bills!F764,"AAAAAD9L/9M=")</f>
        <v>#VALUE!</v>
      </c>
      <c r="HE198" t="e">
        <f>AND(Bills!G764,"AAAAAD9L/9Q=")</f>
        <v>#VALUE!</v>
      </c>
      <c r="HF198" t="e">
        <f>AND(Bills!H764,"AAAAAD9L/9U=")</f>
        <v>#VALUE!</v>
      </c>
      <c r="HG198" t="e">
        <f>AND(Bills!I764,"AAAAAD9L/9Y=")</f>
        <v>#VALUE!</v>
      </c>
      <c r="HH198" t="e">
        <f>AND(Bills!J764,"AAAAAD9L/9c=")</f>
        <v>#VALUE!</v>
      </c>
      <c r="HI198" t="e">
        <f>AND(Bills!#REF!,"AAAAAD9L/9g=")</f>
        <v>#REF!</v>
      </c>
      <c r="HJ198" t="e">
        <f>AND(Bills!K764,"AAAAAD9L/9k=")</f>
        <v>#VALUE!</v>
      </c>
      <c r="HK198" t="e">
        <f>AND(Bills!L764,"AAAAAD9L/9o=")</f>
        <v>#VALUE!</v>
      </c>
      <c r="HL198" t="e">
        <f>AND(Bills!M764,"AAAAAD9L/9s=")</f>
        <v>#VALUE!</v>
      </c>
      <c r="HM198" t="e">
        <f>AND(Bills!N764,"AAAAAD9L/9w=")</f>
        <v>#VALUE!</v>
      </c>
      <c r="HN198" t="e">
        <f>AND(Bills!O764,"AAAAAD9L/90=")</f>
        <v>#VALUE!</v>
      </c>
      <c r="HO198" t="e">
        <f>AND(Bills!P764,"AAAAAD9L/94=")</f>
        <v>#VALUE!</v>
      </c>
      <c r="HP198" t="e">
        <f>AND(Bills!Q764,"AAAAAD9L/98=")</f>
        <v>#VALUE!</v>
      </c>
      <c r="HQ198" t="e">
        <f>AND(Bills!R764,"AAAAAD9L/+A=")</f>
        <v>#VALUE!</v>
      </c>
      <c r="HR198" t="e">
        <f>AND(Bills!#REF!,"AAAAAD9L/+E=")</f>
        <v>#REF!</v>
      </c>
      <c r="HS198" t="e">
        <f>AND(Bills!S764,"AAAAAD9L/+I=")</f>
        <v>#VALUE!</v>
      </c>
      <c r="HT198" t="e">
        <f>AND(Bills!T764,"AAAAAD9L/+M=")</f>
        <v>#VALUE!</v>
      </c>
      <c r="HU198" t="e">
        <f>AND(Bills!U764,"AAAAAD9L/+Q=")</f>
        <v>#VALUE!</v>
      </c>
      <c r="HV198" t="e">
        <f>AND(Bills!#REF!,"AAAAAD9L/+U=")</f>
        <v>#REF!</v>
      </c>
      <c r="HW198" t="e">
        <f>AND(Bills!#REF!,"AAAAAD9L/+Y=")</f>
        <v>#REF!</v>
      </c>
      <c r="HX198" t="e">
        <f>AND(Bills!W764,"AAAAAD9L/+c=")</f>
        <v>#VALUE!</v>
      </c>
      <c r="HY198" t="e">
        <f>AND(Bills!X764,"AAAAAD9L/+g=")</f>
        <v>#VALUE!</v>
      </c>
      <c r="HZ198" t="e">
        <f>AND(Bills!#REF!,"AAAAAD9L/+k=")</f>
        <v>#REF!</v>
      </c>
      <c r="IA198" t="e">
        <f>AND(Bills!#REF!,"AAAAAD9L/+o=")</f>
        <v>#REF!</v>
      </c>
      <c r="IB198" t="e">
        <f>AND(Bills!#REF!,"AAAAAD9L/+s=")</f>
        <v>#REF!</v>
      </c>
      <c r="IC198" t="e">
        <f>AND(Bills!#REF!,"AAAAAD9L/+w=")</f>
        <v>#REF!</v>
      </c>
      <c r="ID198" t="e">
        <f>AND(Bills!#REF!,"AAAAAD9L/+0=")</f>
        <v>#REF!</v>
      </c>
      <c r="IE198" t="e">
        <f>AND(Bills!#REF!,"AAAAAD9L/+4=")</f>
        <v>#REF!</v>
      </c>
      <c r="IF198" t="e">
        <f>AND(Bills!#REF!,"AAAAAD9L/+8=")</f>
        <v>#REF!</v>
      </c>
      <c r="IG198" t="e">
        <f>AND(Bills!#REF!,"AAAAAD9L//A=")</f>
        <v>#REF!</v>
      </c>
      <c r="IH198" t="e">
        <f>AND(Bills!#REF!,"AAAAAD9L//E=")</f>
        <v>#REF!</v>
      </c>
      <c r="II198" t="e">
        <f>AND(Bills!Y764,"AAAAAD9L//I=")</f>
        <v>#VALUE!</v>
      </c>
      <c r="IJ198" t="e">
        <f>AND(Bills!Z764,"AAAAAD9L//M=")</f>
        <v>#VALUE!</v>
      </c>
      <c r="IK198" t="e">
        <f>AND(Bills!#REF!,"AAAAAD9L//Q=")</f>
        <v>#REF!</v>
      </c>
      <c r="IL198" t="e">
        <f>AND(Bills!#REF!,"AAAAAD9L//U=")</f>
        <v>#REF!</v>
      </c>
      <c r="IM198" t="e">
        <f>AND(Bills!#REF!,"AAAAAD9L//Y=")</f>
        <v>#REF!</v>
      </c>
      <c r="IN198" t="e">
        <f>AND(Bills!AA764,"AAAAAD9L//c=")</f>
        <v>#VALUE!</v>
      </c>
      <c r="IO198" t="e">
        <f>AND(Bills!AB764,"AAAAAD9L//g=")</f>
        <v>#VALUE!</v>
      </c>
      <c r="IP198" t="e">
        <f>AND(Bills!#REF!,"AAAAAD9L//k=")</f>
        <v>#REF!</v>
      </c>
      <c r="IQ198">
        <f>IF(Bills!765:765,"AAAAAD9L//o=",0)</f>
        <v>0</v>
      </c>
      <c r="IR198" t="e">
        <f>AND(Bills!B765,"AAAAAD9L//s=")</f>
        <v>#VALUE!</v>
      </c>
      <c r="IS198" t="e">
        <f>AND(Bills!#REF!,"AAAAAD9L//w=")</f>
        <v>#REF!</v>
      </c>
      <c r="IT198" t="e">
        <f>AND(Bills!C765,"AAAAAD9L//0=")</f>
        <v>#VALUE!</v>
      </c>
      <c r="IU198" t="e">
        <f>AND(Bills!#REF!,"AAAAAD9L//4=")</f>
        <v>#REF!</v>
      </c>
      <c r="IV198" t="e">
        <f>AND(Bills!#REF!,"AAAAAD9L//8=")</f>
        <v>#REF!</v>
      </c>
    </row>
    <row r="199" spans="1:256">
      <c r="A199" t="e">
        <f>AND(Bills!#REF!,"AAAAAHW3/wA=")</f>
        <v>#REF!</v>
      </c>
      <c r="B199" t="e">
        <f>AND(Bills!#REF!,"AAAAAHW3/wE=")</f>
        <v>#REF!</v>
      </c>
      <c r="C199" t="e">
        <f>AND(Bills!#REF!,"AAAAAHW3/wI=")</f>
        <v>#REF!</v>
      </c>
      <c r="D199" t="e">
        <f>AND(Bills!D765,"AAAAAHW3/wM=")</f>
        <v>#VALUE!</v>
      </c>
      <c r="E199" t="e">
        <f>AND(Bills!#REF!,"AAAAAHW3/wQ=")</f>
        <v>#REF!</v>
      </c>
      <c r="F199" t="e">
        <f>AND(Bills!E765,"AAAAAHW3/wU=")</f>
        <v>#VALUE!</v>
      </c>
      <c r="G199" t="e">
        <f>AND(Bills!F765,"AAAAAHW3/wY=")</f>
        <v>#VALUE!</v>
      </c>
      <c r="H199" t="e">
        <f>AND(Bills!G765,"AAAAAHW3/wc=")</f>
        <v>#VALUE!</v>
      </c>
      <c r="I199" t="e">
        <f>AND(Bills!H765,"AAAAAHW3/wg=")</f>
        <v>#VALUE!</v>
      </c>
      <c r="J199" t="e">
        <f>AND(Bills!I765,"AAAAAHW3/wk=")</f>
        <v>#VALUE!</v>
      </c>
      <c r="K199" t="e">
        <f>AND(Bills!J765,"AAAAAHW3/wo=")</f>
        <v>#VALUE!</v>
      </c>
      <c r="L199" t="e">
        <f>AND(Bills!#REF!,"AAAAAHW3/ws=")</f>
        <v>#REF!</v>
      </c>
      <c r="M199" t="e">
        <f>AND(Bills!K765,"AAAAAHW3/ww=")</f>
        <v>#VALUE!</v>
      </c>
      <c r="N199" t="e">
        <f>AND(Bills!L765,"AAAAAHW3/w0=")</f>
        <v>#VALUE!</v>
      </c>
      <c r="O199" t="e">
        <f>AND(Bills!M765,"AAAAAHW3/w4=")</f>
        <v>#VALUE!</v>
      </c>
      <c r="P199" t="e">
        <f>AND(Bills!N765,"AAAAAHW3/w8=")</f>
        <v>#VALUE!</v>
      </c>
      <c r="Q199" t="e">
        <f>AND(Bills!O765,"AAAAAHW3/xA=")</f>
        <v>#VALUE!</v>
      </c>
      <c r="R199" t="e">
        <f>AND(Bills!P765,"AAAAAHW3/xE=")</f>
        <v>#VALUE!</v>
      </c>
      <c r="S199" t="e">
        <f>AND(Bills!Q765,"AAAAAHW3/xI=")</f>
        <v>#VALUE!</v>
      </c>
      <c r="T199" t="e">
        <f>AND(Bills!R765,"AAAAAHW3/xM=")</f>
        <v>#VALUE!</v>
      </c>
      <c r="U199" t="e">
        <f>AND(Bills!#REF!,"AAAAAHW3/xQ=")</f>
        <v>#REF!</v>
      </c>
      <c r="V199" t="e">
        <f>AND(Bills!S765,"AAAAAHW3/xU=")</f>
        <v>#VALUE!</v>
      </c>
      <c r="W199" t="e">
        <f>AND(Bills!T765,"AAAAAHW3/xY=")</f>
        <v>#VALUE!</v>
      </c>
      <c r="X199" t="e">
        <f>AND(Bills!U765,"AAAAAHW3/xc=")</f>
        <v>#VALUE!</v>
      </c>
      <c r="Y199" t="e">
        <f>AND(Bills!#REF!,"AAAAAHW3/xg=")</f>
        <v>#REF!</v>
      </c>
      <c r="Z199" t="e">
        <f>AND(Bills!#REF!,"AAAAAHW3/xk=")</f>
        <v>#REF!</v>
      </c>
      <c r="AA199" t="e">
        <f>AND(Bills!W765,"AAAAAHW3/xo=")</f>
        <v>#VALUE!</v>
      </c>
      <c r="AB199" t="e">
        <f>AND(Bills!X765,"AAAAAHW3/xs=")</f>
        <v>#VALUE!</v>
      </c>
      <c r="AC199" t="e">
        <f>AND(Bills!#REF!,"AAAAAHW3/xw=")</f>
        <v>#REF!</v>
      </c>
      <c r="AD199" t="e">
        <f>AND(Bills!#REF!,"AAAAAHW3/x0=")</f>
        <v>#REF!</v>
      </c>
      <c r="AE199" t="e">
        <f>AND(Bills!#REF!,"AAAAAHW3/x4=")</f>
        <v>#REF!</v>
      </c>
      <c r="AF199" t="e">
        <f>AND(Bills!#REF!,"AAAAAHW3/x8=")</f>
        <v>#REF!</v>
      </c>
      <c r="AG199" t="e">
        <f>AND(Bills!#REF!,"AAAAAHW3/yA=")</f>
        <v>#REF!</v>
      </c>
      <c r="AH199" t="e">
        <f>AND(Bills!#REF!,"AAAAAHW3/yE=")</f>
        <v>#REF!</v>
      </c>
      <c r="AI199" t="e">
        <f>AND(Bills!#REF!,"AAAAAHW3/yI=")</f>
        <v>#REF!</v>
      </c>
      <c r="AJ199" t="e">
        <f>AND(Bills!#REF!,"AAAAAHW3/yM=")</f>
        <v>#REF!</v>
      </c>
      <c r="AK199" t="e">
        <f>AND(Bills!#REF!,"AAAAAHW3/yQ=")</f>
        <v>#REF!</v>
      </c>
      <c r="AL199" t="e">
        <f>AND(Bills!Y765,"AAAAAHW3/yU=")</f>
        <v>#VALUE!</v>
      </c>
      <c r="AM199" t="e">
        <f>AND(Bills!Z765,"AAAAAHW3/yY=")</f>
        <v>#VALUE!</v>
      </c>
      <c r="AN199" t="e">
        <f>AND(Bills!#REF!,"AAAAAHW3/yc=")</f>
        <v>#REF!</v>
      </c>
      <c r="AO199" t="e">
        <f>AND(Bills!#REF!,"AAAAAHW3/yg=")</f>
        <v>#REF!</v>
      </c>
      <c r="AP199" t="e">
        <f>AND(Bills!#REF!,"AAAAAHW3/yk=")</f>
        <v>#REF!</v>
      </c>
      <c r="AQ199" t="e">
        <f>AND(Bills!AA765,"AAAAAHW3/yo=")</f>
        <v>#VALUE!</v>
      </c>
      <c r="AR199" t="e">
        <f>AND(Bills!AB765,"AAAAAHW3/ys=")</f>
        <v>#VALUE!</v>
      </c>
      <c r="AS199" t="e">
        <f>AND(Bills!#REF!,"AAAAAHW3/yw=")</f>
        <v>#REF!</v>
      </c>
      <c r="AT199">
        <f>IF(Bills!766:766,"AAAAAHW3/y0=",0)</f>
        <v>0</v>
      </c>
      <c r="AU199" t="e">
        <f>AND(Bills!B766,"AAAAAHW3/y4=")</f>
        <v>#VALUE!</v>
      </c>
      <c r="AV199" t="e">
        <f>AND(Bills!#REF!,"AAAAAHW3/y8=")</f>
        <v>#REF!</v>
      </c>
      <c r="AW199" t="e">
        <f>AND(Bills!C766,"AAAAAHW3/zA=")</f>
        <v>#VALUE!</v>
      </c>
      <c r="AX199" t="e">
        <f>AND(Bills!#REF!,"AAAAAHW3/zE=")</f>
        <v>#REF!</v>
      </c>
      <c r="AY199" t="e">
        <f>AND(Bills!#REF!,"AAAAAHW3/zI=")</f>
        <v>#REF!</v>
      </c>
      <c r="AZ199" t="e">
        <f>AND(Bills!#REF!,"AAAAAHW3/zM=")</f>
        <v>#REF!</v>
      </c>
      <c r="BA199" t="e">
        <f>AND(Bills!#REF!,"AAAAAHW3/zQ=")</f>
        <v>#REF!</v>
      </c>
      <c r="BB199" t="e">
        <f>AND(Bills!#REF!,"AAAAAHW3/zU=")</f>
        <v>#REF!</v>
      </c>
      <c r="BC199" t="e">
        <f>AND(Bills!D766,"AAAAAHW3/zY=")</f>
        <v>#VALUE!</v>
      </c>
      <c r="BD199" t="e">
        <f>AND(Bills!#REF!,"AAAAAHW3/zc=")</f>
        <v>#REF!</v>
      </c>
      <c r="BE199" t="e">
        <f>AND(Bills!E766,"AAAAAHW3/zg=")</f>
        <v>#VALUE!</v>
      </c>
      <c r="BF199" t="e">
        <f>AND(Bills!F766,"AAAAAHW3/zk=")</f>
        <v>#VALUE!</v>
      </c>
      <c r="BG199" t="e">
        <f>AND(Bills!G766,"AAAAAHW3/zo=")</f>
        <v>#VALUE!</v>
      </c>
      <c r="BH199" t="e">
        <f>AND(Bills!H766,"AAAAAHW3/zs=")</f>
        <v>#VALUE!</v>
      </c>
      <c r="BI199" t="e">
        <f>AND(Bills!I766,"AAAAAHW3/zw=")</f>
        <v>#VALUE!</v>
      </c>
      <c r="BJ199" t="e">
        <f>AND(Bills!J766,"AAAAAHW3/z0=")</f>
        <v>#VALUE!</v>
      </c>
      <c r="BK199" t="e">
        <f>AND(Bills!#REF!,"AAAAAHW3/z4=")</f>
        <v>#REF!</v>
      </c>
      <c r="BL199" t="e">
        <f>AND(Bills!K766,"AAAAAHW3/z8=")</f>
        <v>#VALUE!</v>
      </c>
      <c r="BM199" t="e">
        <f>AND(Bills!L766,"AAAAAHW3/0A=")</f>
        <v>#VALUE!</v>
      </c>
      <c r="BN199" t="e">
        <f>AND(Bills!M766,"AAAAAHW3/0E=")</f>
        <v>#VALUE!</v>
      </c>
      <c r="BO199" t="e">
        <f>AND(Bills!N766,"AAAAAHW3/0I=")</f>
        <v>#VALUE!</v>
      </c>
      <c r="BP199" t="e">
        <f>AND(Bills!O766,"AAAAAHW3/0M=")</f>
        <v>#VALUE!</v>
      </c>
      <c r="BQ199" t="e">
        <f>AND(Bills!P766,"AAAAAHW3/0Q=")</f>
        <v>#VALUE!</v>
      </c>
      <c r="BR199" t="e">
        <f>AND(Bills!Q766,"AAAAAHW3/0U=")</f>
        <v>#VALUE!</v>
      </c>
      <c r="BS199" t="e">
        <f>AND(Bills!R766,"AAAAAHW3/0Y=")</f>
        <v>#VALUE!</v>
      </c>
      <c r="BT199" t="e">
        <f>AND(Bills!#REF!,"AAAAAHW3/0c=")</f>
        <v>#REF!</v>
      </c>
      <c r="BU199" t="e">
        <f>AND(Bills!S766,"AAAAAHW3/0g=")</f>
        <v>#VALUE!</v>
      </c>
      <c r="BV199" t="e">
        <f>AND(Bills!T766,"AAAAAHW3/0k=")</f>
        <v>#VALUE!</v>
      </c>
      <c r="BW199" t="e">
        <f>AND(Bills!U766,"AAAAAHW3/0o=")</f>
        <v>#VALUE!</v>
      </c>
      <c r="BX199" t="e">
        <f>AND(Bills!#REF!,"AAAAAHW3/0s=")</f>
        <v>#REF!</v>
      </c>
      <c r="BY199" t="e">
        <f>AND(Bills!#REF!,"AAAAAHW3/0w=")</f>
        <v>#REF!</v>
      </c>
      <c r="BZ199" t="e">
        <f>AND(Bills!W766,"AAAAAHW3/00=")</f>
        <v>#VALUE!</v>
      </c>
      <c r="CA199" t="e">
        <f>AND(Bills!X766,"AAAAAHW3/04=")</f>
        <v>#VALUE!</v>
      </c>
      <c r="CB199" t="e">
        <f>AND(Bills!#REF!,"AAAAAHW3/08=")</f>
        <v>#REF!</v>
      </c>
      <c r="CC199" t="e">
        <f>AND(Bills!#REF!,"AAAAAHW3/1A=")</f>
        <v>#REF!</v>
      </c>
      <c r="CD199" t="e">
        <f>AND(Bills!#REF!,"AAAAAHW3/1E=")</f>
        <v>#REF!</v>
      </c>
      <c r="CE199" t="e">
        <f>AND(Bills!#REF!,"AAAAAHW3/1I=")</f>
        <v>#REF!</v>
      </c>
      <c r="CF199" t="e">
        <f>AND(Bills!#REF!,"AAAAAHW3/1M=")</f>
        <v>#REF!</v>
      </c>
      <c r="CG199" t="e">
        <f>AND(Bills!#REF!,"AAAAAHW3/1Q=")</f>
        <v>#REF!</v>
      </c>
      <c r="CH199" t="e">
        <f>AND(Bills!#REF!,"AAAAAHW3/1U=")</f>
        <v>#REF!</v>
      </c>
      <c r="CI199" t="e">
        <f>AND(Bills!#REF!,"AAAAAHW3/1Y=")</f>
        <v>#REF!</v>
      </c>
      <c r="CJ199" t="e">
        <f>AND(Bills!#REF!,"AAAAAHW3/1c=")</f>
        <v>#REF!</v>
      </c>
      <c r="CK199" t="e">
        <f>AND(Bills!Y766,"AAAAAHW3/1g=")</f>
        <v>#VALUE!</v>
      </c>
      <c r="CL199" t="e">
        <f>AND(Bills!Z766,"AAAAAHW3/1k=")</f>
        <v>#VALUE!</v>
      </c>
      <c r="CM199" t="e">
        <f>AND(Bills!#REF!,"AAAAAHW3/1o=")</f>
        <v>#REF!</v>
      </c>
      <c r="CN199" t="e">
        <f>AND(Bills!#REF!,"AAAAAHW3/1s=")</f>
        <v>#REF!</v>
      </c>
      <c r="CO199" t="e">
        <f>AND(Bills!#REF!,"AAAAAHW3/1w=")</f>
        <v>#REF!</v>
      </c>
      <c r="CP199" t="e">
        <f>AND(Bills!AA766,"AAAAAHW3/10=")</f>
        <v>#VALUE!</v>
      </c>
      <c r="CQ199" t="e">
        <f>AND(Bills!AB766,"AAAAAHW3/14=")</f>
        <v>#VALUE!</v>
      </c>
      <c r="CR199" t="e">
        <f>AND(Bills!#REF!,"AAAAAHW3/18=")</f>
        <v>#REF!</v>
      </c>
      <c r="CS199">
        <f>IF(Bills!767:767,"AAAAAHW3/2A=",0)</f>
        <v>0</v>
      </c>
      <c r="CT199" t="e">
        <f>AND(Bills!B767,"AAAAAHW3/2E=")</f>
        <v>#VALUE!</v>
      </c>
      <c r="CU199" t="e">
        <f>AND(Bills!#REF!,"AAAAAHW3/2I=")</f>
        <v>#REF!</v>
      </c>
      <c r="CV199" t="e">
        <f>AND(Bills!C767,"AAAAAHW3/2M=")</f>
        <v>#VALUE!</v>
      </c>
      <c r="CW199" t="e">
        <f>AND(Bills!#REF!,"AAAAAHW3/2Q=")</f>
        <v>#REF!</v>
      </c>
      <c r="CX199" t="e">
        <f>AND(Bills!#REF!,"AAAAAHW3/2U=")</f>
        <v>#REF!</v>
      </c>
      <c r="CY199" t="e">
        <f>AND(Bills!#REF!,"AAAAAHW3/2Y=")</f>
        <v>#REF!</v>
      </c>
      <c r="CZ199" t="e">
        <f>AND(Bills!#REF!,"AAAAAHW3/2c=")</f>
        <v>#REF!</v>
      </c>
      <c r="DA199" t="e">
        <f>AND(Bills!#REF!,"AAAAAHW3/2g=")</f>
        <v>#REF!</v>
      </c>
      <c r="DB199" t="e">
        <f>AND(Bills!D767,"AAAAAHW3/2k=")</f>
        <v>#VALUE!</v>
      </c>
      <c r="DC199" t="e">
        <f>AND(Bills!#REF!,"AAAAAHW3/2o=")</f>
        <v>#REF!</v>
      </c>
      <c r="DD199" t="e">
        <f>AND(Bills!E767,"AAAAAHW3/2s=")</f>
        <v>#VALUE!</v>
      </c>
      <c r="DE199" t="e">
        <f>AND(Bills!F767,"AAAAAHW3/2w=")</f>
        <v>#VALUE!</v>
      </c>
      <c r="DF199" t="e">
        <f>AND(Bills!G767,"AAAAAHW3/20=")</f>
        <v>#VALUE!</v>
      </c>
      <c r="DG199" t="e">
        <f>AND(Bills!H767,"AAAAAHW3/24=")</f>
        <v>#VALUE!</v>
      </c>
      <c r="DH199" t="e">
        <f>AND(Bills!I767,"AAAAAHW3/28=")</f>
        <v>#VALUE!</v>
      </c>
      <c r="DI199" t="e">
        <f>AND(Bills!J767,"AAAAAHW3/3A=")</f>
        <v>#VALUE!</v>
      </c>
      <c r="DJ199" t="e">
        <f>AND(Bills!#REF!,"AAAAAHW3/3E=")</f>
        <v>#REF!</v>
      </c>
      <c r="DK199" t="e">
        <f>AND(Bills!K767,"AAAAAHW3/3I=")</f>
        <v>#VALUE!</v>
      </c>
      <c r="DL199" t="e">
        <f>AND(Bills!L767,"AAAAAHW3/3M=")</f>
        <v>#VALUE!</v>
      </c>
      <c r="DM199" t="e">
        <f>AND(Bills!M767,"AAAAAHW3/3Q=")</f>
        <v>#VALUE!</v>
      </c>
      <c r="DN199" t="e">
        <f>AND(Bills!N767,"AAAAAHW3/3U=")</f>
        <v>#VALUE!</v>
      </c>
      <c r="DO199" t="e">
        <f>AND(Bills!O767,"AAAAAHW3/3Y=")</f>
        <v>#VALUE!</v>
      </c>
      <c r="DP199" t="e">
        <f>AND(Bills!P767,"AAAAAHW3/3c=")</f>
        <v>#VALUE!</v>
      </c>
      <c r="DQ199" t="e">
        <f>AND(Bills!Q767,"AAAAAHW3/3g=")</f>
        <v>#VALUE!</v>
      </c>
      <c r="DR199" t="e">
        <f>AND(Bills!R767,"AAAAAHW3/3k=")</f>
        <v>#VALUE!</v>
      </c>
      <c r="DS199" t="e">
        <f>AND(Bills!#REF!,"AAAAAHW3/3o=")</f>
        <v>#REF!</v>
      </c>
      <c r="DT199" t="e">
        <f>AND(Bills!S767,"AAAAAHW3/3s=")</f>
        <v>#VALUE!</v>
      </c>
      <c r="DU199" t="e">
        <f>AND(Bills!T767,"AAAAAHW3/3w=")</f>
        <v>#VALUE!</v>
      </c>
      <c r="DV199" t="e">
        <f>AND(Bills!U767,"AAAAAHW3/30=")</f>
        <v>#VALUE!</v>
      </c>
      <c r="DW199" t="e">
        <f>AND(Bills!#REF!,"AAAAAHW3/34=")</f>
        <v>#REF!</v>
      </c>
      <c r="DX199" t="e">
        <f>AND(Bills!#REF!,"AAAAAHW3/38=")</f>
        <v>#REF!</v>
      </c>
      <c r="DY199" t="e">
        <f>AND(Bills!W767,"AAAAAHW3/4A=")</f>
        <v>#VALUE!</v>
      </c>
      <c r="DZ199" t="e">
        <f>AND(Bills!X767,"AAAAAHW3/4E=")</f>
        <v>#VALUE!</v>
      </c>
      <c r="EA199" t="e">
        <f>AND(Bills!#REF!,"AAAAAHW3/4I=")</f>
        <v>#REF!</v>
      </c>
      <c r="EB199" t="e">
        <f>AND(Bills!#REF!,"AAAAAHW3/4M=")</f>
        <v>#REF!</v>
      </c>
      <c r="EC199" t="e">
        <f>AND(Bills!#REF!,"AAAAAHW3/4Q=")</f>
        <v>#REF!</v>
      </c>
      <c r="ED199" t="e">
        <f>AND(Bills!#REF!,"AAAAAHW3/4U=")</f>
        <v>#REF!</v>
      </c>
      <c r="EE199" t="e">
        <f>AND(Bills!#REF!,"AAAAAHW3/4Y=")</f>
        <v>#REF!</v>
      </c>
      <c r="EF199" t="e">
        <f>AND(Bills!#REF!,"AAAAAHW3/4c=")</f>
        <v>#REF!</v>
      </c>
      <c r="EG199" t="e">
        <f>AND(Bills!#REF!,"AAAAAHW3/4g=")</f>
        <v>#REF!</v>
      </c>
      <c r="EH199" t="e">
        <f>AND(Bills!#REF!,"AAAAAHW3/4k=")</f>
        <v>#REF!</v>
      </c>
      <c r="EI199" t="e">
        <f>AND(Bills!#REF!,"AAAAAHW3/4o=")</f>
        <v>#REF!</v>
      </c>
      <c r="EJ199" t="e">
        <f>AND(Bills!Y767,"AAAAAHW3/4s=")</f>
        <v>#VALUE!</v>
      </c>
      <c r="EK199" t="e">
        <f>AND(Bills!Z767,"AAAAAHW3/4w=")</f>
        <v>#VALUE!</v>
      </c>
      <c r="EL199" t="e">
        <f>AND(Bills!#REF!,"AAAAAHW3/40=")</f>
        <v>#REF!</v>
      </c>
      <c r="EM199" t="e">
        <f>AND(Bills!#REF!,"AAAAAHW3/44=")</f>
        <v>#REF!</v>
      </c>
      <c r="EN199" t="e">
        <f>AND(Bills!#REF!,"AAAAAHW3/48=")</f>
        <v>#REF!</v>
      </c>
      <c r="EO199" t="e">
        <f>AND(Bills!AA767,"AAAAAHW3/5A=")</f>
        <v>#VALUE!</v>
      </c>
      <c r="EP199" t="e">
        <f>AND(Bills!AB767,"AAAAAHW3/5E=")</f>
        <v>#VALUE!</v>
      </c>
      <c r="EQ199" t="e">
        <f>AND(Bills!#REF!,"AAAAAHW3/5I=")</f>
        <v>#REF!</v>
      </c>
      <c r="ER199">
        <f>IF(Bills!768:768,"AAAAAHW3/5M=",0)</f>
        <v>0</v>
      </c>
      <c r="ES199" t="e">
        <f>AND(Bills!B768,"AAAAAHW3/5Q=")</f>
        <v>#VALUE!</v>
      </c>
      <c r="ET199" t="e">
        <f>AND(Bills!#REF!,"AAAAAHW3/5U=")</f>
        <v>#REF!</v>
      </c>
      <c r="EU199" t="e">
        <f>AND(Bills!C768,"AAAAAHW3/5Y=")</f>
        <v>#VALUE!</v>
      </c>
      <c r="EV199" t="e">
        <f>AND(Bills!#REF!,"AAAAAHW3/5c=")</f>
        <v>#REF!</v>
      </c>
      <c r="EW199" t="e">
        <f>AND(Bills!#REF!,"AAAAAHW3/5g=")</f>
        <v>#REF!</v>
      </c>
      <c r="EX199" t="e">
        <f>AND(Bills!#REF!,"AAAAAHW3/5k=")</f>
        <v>#REF!</v>
      </c>
      <c r="EY199" t="e">
        <f>AND(Bills!#REF!,"AAAAAHW3/5o=")</f>
        <v>#REF!</v>
      </c>
      <c r="EZ199" t="e">
        <f>AND(Bills!#REF!,"AAAAAHW3/5s=")</f>
        <v>#REF!</v>
      </c>
      <c r="FA199" t="e">
        <f>AND(Bills!D768,"AAAAAHW3/5w=")</f>
        <v>#VALUE!</v>
      </c>
      <c r="FB199" t="e">
        <f>AND(Bills!#REF!,"AAAAAHW3/50=")</f>
        <v>#REF!</v>
      </c>
      <c r="FC199" t="e">
        <f>AND(Bills!E768,"AAAAAHW3/54=")</f>
        <v>#VALUE!</v>
      </c>
      <c r="FD199" t="e">
        <f>AND(Bills!F768,"AAAAAHW3/58=")</f>
        <v>#VALUE!</v>
      </c>
      <c r="FE199" t="e">
        <f>AND(Bills!G768,"AAAAAHW3/6A=")</f>
        <v>#VALUE!</v>
      </c>
      <c r="FF199" t="e">
        <f>AND(Bills!H768,"AAAAAHW3/6E=")</f>
        <v>#VALUE!</v>
      </c>
      <c r="FG199" t="e">
        <f>AND(Bills!I768,"AAAAAHW3/6I=")</f>
        <v>#VALUE!</v>
      </c>
      <c r="FH199" t="e">
        <f>AND(Bills!J768,"AAAAAHW3/6M=")</f>
        <v>#VALUE!</v>
      </c>
      <c r="FI199" t="e">
        <f>AND(Bills!#REF!,"AAAAAHW3/6Q=")</f>
        <v>#REF!</v>
      </c>
      <c r="FJ199" t="e">
        <f>AND(Bills!K768,"AAAAAHW3/6U=")</f>
        <v>#VALUE!</v>
      </c>
      <c r="FK199" t="e">
        <f>AND(Bills!L768,"AAAAAHW3/6Y=")</f>
        <v>#VALUE!</v>
      </c>
      <c r="FL199" t="e">
        <f>AND(Bills!M768,"AAAAAHW3/6c=")</f>
        <v>#VALUE!</v>
      </c>
      <c r="FM199" t="e">
        <f>AND(Bills!N768,"AAAAAHW3/6g=")</f>
        <v>#VALUE!</v>
      </c>
      <c r="FN199" t="e">
        <f>AND(Bills!O768,"AAAAAHW3/6k=")</f>
        <v>#VALUE!</v>
      </c>
      <c r="FO199" t="e">
        <f>AND(Bills!P768,"AAAAAHW3/6o=")</f>
        <v>#VALUE!</v>
      </c>
      <c r="FP199" t="e">
        <f>AND(Bills!Q768,"AAAAAHW3/6s=")</f>
        <v>#VALUE!</v>
      </c>
      <c r="FQ199" t="e">
        <f>AND(Bills!R768,"AAAAAHW3/6w=")</f>
        <v>#VALUE!</v>
      </c>
      <c r="FR199" t="e">
        <f>AND(Bills!#REF!,"AAAAAHW3/60=")</f>
        <v>#REF!</v>
      </c>
      <c r="FS199" t="e">
        <f>AND(Bills!S768,"AAAAAHW3/64=")</f>
        <v>#VALUE!</v>
      </c>
      <c r="FT199" t="e">
        <f>AND(Bills!T768,"AAAAAHW3/68=")</f>
        <v>#VALUE!</v>
      </c>
      <c r="FU199" t="e">
        <f>AND(Bills!U768,"AAAAAHW3/7A=")</f>
        <v>#VALUE!</v>
      </c>
      <c r="FV199" t="e">
        <f>AND(Bills!#REF!,"AAAAAHW3/7E=")</f>
        <v>#REF!</v>
      </c>
      <c r="FW199" t="e">
        <f>AND(Bills!#REF!,"AAAAAHW3/7I=")</f>
        <v>#REF!</v>
      </c>
      <c r="FX199" t="e">
        <f>AND(Bills!W768,"AAAAAHW3/7M=")</f>
        <v>#VALUE!</v>
      </c>
      <c r="FY199" t="e">
        <f>AND(Bills!X768,"AAAAAHW3/7Q=")</f>
        <v>#VALUE!</v>
      </c>
      <c r="FZ199" t="e">
        <f>AND(Bills!#REF!,"AAAAAHW3/7U=")</f>
        <v>#REF!</v>
      </c>
      <c r="GA199" t="e">
        <f>AND(Bills!#REF!,"AAAAAHW3/7Y=")</f>
        <v>#REF!</v>
      </c>
      <c r="GB199" t="e">
        <f>AND(Bills!#REF!,"AAAAAHW3/7c=")</f>
        <v>#REF!</v>
      </c>
      <c r="GC199" t="e">
        <f>AND(Bills!#REF!,"AAAAAHW3/7g=")</f>
        <v>#REF!</v>
      </c>
      <c r="GD199" t="e">
        <f>AND(Bills!#REF!,"AAAAAHW3/7k=")</f>
        <v>#REF!</v>
      </c>
      <c r="GE199" t="e">
        <f>AND(Bills!#REF!,"AAAAAHW3/7o=")</f>
        <v>#REF!</v>
      </c>
      <c r="GF199" t="e">
        <f>AND(Bills!#REF!,"AAAAAHW3/7s=")</f>
        <v>#REF!</v>
      </c>
      <c r="GG199" t="e">
        <f>AND(Bills!#REF!,"AAAAAHW3/7w=")</f>
        <v>#REF!</v>
      </c>
      <c r="GH199" t="e">
        <f>AND(Bills!#REF!,"AAAAAHW3/70=")</f>
        <v>#REF!</v>
      </c>
      <c r="GI199" t="e">
        <f>AND(Bills!Y768,"AAAAAHW3/74=")</f>
        <v>#VALUE!</v>
      </c>
      <c r="GJ199" t="e">
        <f>AND(Bills!Z768,"AAAAAHW3/78=")</f>
        <v>#VALUE!</v>
      </c>
      <c r="GK199" t="e">
        <f>AND(Bills!#REF!,"AAAAAHW3/8A=")</f>
        <v>#REF!</v>
      </c>
      <c r="GL199" t="e">
        <f>AND(Bills!#REF!,"AAAAAHW3/8E=")</f>
        <v>#REF!</v>
      </c>
      <c r="GM199" t="e">
        <f>AND(Bills!#REF!,"AAAAAHW3/8I=")</f>
        <v>#REF!</v>
      </c>
      <c r="GN199" t="e">
        <f>AND(Bills!AA768,"AAAAAHW3/8M=")</f>
        <v>#VALUE!</v>
      </c>
      <c r="GO199" t="e">
        <f>AND(Bills!AB768,"AAAAAHW3/8Q=")</f>
        <v>#VALUE!</v>
      </c>
      <c r="GP199" t="e">
        <f>AND(Bills!#REF!,"AAAAAHW3/8U=")</f>
        <v>#REF!</v>
      </c>
      <c r="GQ199">
        <f>IF(Bills!769:769,"AAAAAHW3/8Y=",0)</f>
        <v>0</v>
      </c>
      <c r="GR199" t="e">
        <f>AND(Bills!B769,"AAAAAHW3/8c=")</f>
        <v>#VALUE!</v>
      </c>
      <c r="GS199" t="e">
        <f>AND(Bills!#REF!,"AAAAAHW3/8g=")</f>
        <v>#REF!</v>
      </c>
      <c r="GT199" t="e">
        <f>AND(Bills!C769,"AAAAAHW3/8k=")</f>
        <v>#VALUE!</v>
      </c>
      <c r="GU199" t="e">
        <f>AND(Bills!#REF!,"AAAAAHW3/8o=")</f>
        <v>#REF!</v>
      </c>
      <c r="GV199" t="e">
        <f>AND(Bills!#REF!,"AAAAAHW3/8s=")</f>
        <v>#REF!</v>
      </c>
      <c r="GW199" t="e">
        <f>AND(Bills!#REF!,"AAAAAHW3/8w=")</f>
        <v>#REF!</v>
      </c>
      <c r="GX199" t="e">
        <f>AND(Bills!#REF!,"AAAAAHW3/80=")</f>
        <v>#REF!</v>
      </c>
      <c r="GY199" t="e">
        <f>AND(Bills!#REF!,"AAAAAHW3/84=")</f>
        <v>#REF!</v>
      </c>
      <c r="GZ199" t="e">
        <f>AND(Bills!D769,"AAAAAHW3/88=")</f>
        <v>#VALUE!</v>
      </c>
      <c r="HA199" t="e">
        <f>AND(Bills!#REF!,"AAAAAHW3/9A=")</f>
        <v>#REF!</v>
      </c>
      <c r="HB199" t="e">
        <f>AND(Bills!E769,"AAAAAHW3/9E=")</f>
        <v>#VALUE!</v>
      </c>
      <c r="HC199" t="e">
        <f>AND(Bills!F769,"AAAAAHW3/9I=")</f>
        <v>#VALUE!</v>
      </c>
      <c r="HD199" t="e">
        <f>AND(Bills!G769,"AAAAAHW3/9M=")</f>
        <v>#VALUE!</v>
      </c>
      <c r="HE199" t="e">
        <f>AND(Bills!H769,"AAAAAHW3/9Q=")</f>
        <v>#VALUE!</v>
      </c>
      <c r="HF199" t="e">
        <f>AND(Bills!I769,"AAAAAHW3/9U=")</f>
        <v>#VALUE!</v>
      </c>
      <c r="HG199" t="e">
        <f>AND(Bills!J769,"AAAAAHW3/9Y=")</f>
        <v>#VALUE!</v>
      </c>
      <c r="HH199" t="e">
        <f>AND(Bills!#REF!,"AAAAAHW3/9c=")</f>
        <v>#REF!</v>
      </c>
      <c r="HI199" t="e">
        <f>AND(Bills!K769,"AAAAAHW3/9g=")</f>
        <v>#VALUE!</v>
      </c>
      <c r="HJ199" t="e">
        <f>AND(Bills!L769,"AAAAAHW3/9k=")</f>
        <v>#VALUE!</v>
      </c>
      <c r="HK199" t="e">
        <f>AND(Bills!M769,"AAAAAHW3/9o=")</f>
        <v>#VALUE!</v>
      </c>
      <c r="HL199" t="e">
        <f>AND(Bills!N769,"AAAAAHW3/9s=")</f>
        <v>#VALUE!</v>
      </c>
      <c r="HM199" t="e">
        <f>AND(Bills!O769,"AAAAAHW3/9w=")</f>
        <v>#VALUE!</v>
      </c>
      <c r="HN199" t="e">
        <f>AND(Bills!P769,"AAAAAHW3/90=")</f>
        <v>#VALUE!</v>
      </c>
      <c r="HO199" t="e">
        <f>AND(Bills!Q769,"AAAAAHW3/94=")</f>
        <v>#VALUE!</v>
      </c>
      <c r="HP199" t="e">
        <f>AND(Bills!R769,"AAAAAHW3/98=")</f>
        <v>#VALUE!</v>
      </c>
      <c r="HQ199" t="e">
        <f>AND(Bills!#REF!,"AAAAAHW3/+A=")</f>
        <v>#REF!</v>
      </c>
      <c r="HR199" t="e">
        <f>AND(Bills!S769,"AAAAAHW3/+E=")</f>
        <v>#VALUE!</v>
      </c>
      <c r="HS199" t="e">
        <f>AND(Bills!T769,"AAAAAHW3/+I=")</f>
        <v>#VALUE!</v>
      </c>
      <c r="HT199" t="e">
        <f>AND(Bills!U769,"AAAAAHW3/+M=")</f>
        <v>#VALUE!</v>
      </c>
      <c r="HU199" t="e">
        <f>AND(Bills!#REF!,"AAAAAHW3/+Q=")</f>
        <v>#REF!</v>
      </c>
      <c r="HV199" t="e">
        <f>AND(Bills!#REF!,"AAAAAHW3/+U=")</f>
        <v>#REF!</v>
      </c>
      <c r="HW199" t="e">
        <f>AND(Bills!W769,"AAAAAHW3/+Y=")</f>
        <v>#VALUE!</v>
      </c>
      <c r="HX199" t="e">
        <f>AND(Bills!X769,"AAAAAHW3/+c=")</f>
        <v>#VALUE!</v>
      </c>
      <c r="HY199" t="e">
        <f>AND(Bills!#REF!,"AAAAAHW3/+g=")</f>
        <v>#REF!</v>
      </c>
      <c r="HZ199" t="e">
        <f>AND(Bills!#REF!,"AAAAAHW3/+k=")</f>
        <v>#REF!</v>
      </c>
      <c r="IA199" t="e">
        <f>AND(Bills!#REF!,"AAAAAHW3/+o=")</f>
        <v>#REF!</v>
      </c>
      <c r="IB199" t="e">
        <f>AND(Bills!#REF!,"AAAAAHW3/+s=")</f>
        <v>#REF!</v>
      </c>
      <c r="IC199" t="e">
        <f>AND(Bills!#REF!,"AAAAAHW3/+w=")</f>
        <v>#REF!</v>
      </c>
      <c r="ID199" t="e">
        <f>AND(Bills!#REF!,"AAAAAHW3/+0=")</f>
        <v>#REF!</v>
      </c>
      <c r="IE199" t="e">
        <f>AND(Bills!#REF!,"AAAAAHW3/+4=")</f>
        <v>#REF!</v>
      </c>
      <c r="IF199" t="e">
        <f>AND(Bills!#REF!,"AAAAAHW3/+8=")</f>
        <v>#REF!</v>
      </c>
      <c r="IG199" t="e">
        <f>AND(Bills!#REF!,"AAAAAHW3//A=")</f>
        <v>#REF!</v>
      </c>
      <c r="IH199" t="e">
        <f>AND(Bills!Y769,"AAAAAHW3//E=")</f>
        <v>#VALUE!</v>
      </c>
      <c r="II199" t="e">
        <f>AND(Bills!Z769,"AAAAAHW3//I=")</f>
        <v>#VALUE!</v>
      </c>
      <c r="IJ199" t="e">
        <f>AND(Bills!#REF!,"AAAAAHW3//M=")</f>
        <v>#REF!</v>
      </c>
      <c r="IK199" t="e">
        <f>AND(Bills!#REF!,"AAAAAHW3//Q=")</f>
        <v>#REF!</v>
      </c>
      <c r="IL199" t="e">
        <f>AND(Bills!#REF!,"AAAAAHW3//U=")</f>
        <v>#REF!</v>
      </c>
      <c r="IM199" t="e">
        <f>AND(Bills!AA769,"AAAAAHW3//Y=")</f>
        <v>#VALUE!</v>
      </c>
      <c r="IN199" t="e">
        <f>AND(Bills!AB769,"AAAAAHW3//c=")</f>
        <v>#VALUE!</v>
      </c>
      <c r="IO199" t="e">
        <f>AND(Bills!#REF!,"AAAAAHW3//g=")</f>
        <v>#REF!</v>
      </c>
      <c r="IP199">
        <f>IF(Bills!770:770,"AAAAAHW3//k=",0)</f>
        <v>0</v>
      </c>
      <c r="IQ199" t="e">
        <f>AND(Bills!B770,"AAAAAHW3//o=")</f>
        <v>#VALUE!</v>
      </c>
      <c r="IR199" t="e">
        <f>AND(Bills!#REF!,"AAAAAHW3//s=")</f>
        <v>#REF!</v>
      </c>
      <c r="IS199" t="e">
        <f>AND(Bills!C770,"AAAAAHW3//w=")</f>
        <v>#VALUE!</v>
      </c>
      <c r="IT199" t="e">
        <f>AND(Bills!#REF!,"AAAAAHW3//0=")</f>
        <v>#REF!</v>
      </c>
      <c r="IU199" t="e">
        <f>AND(Bills!#REF!,"AAAAAHW3//4=")</f>
        <v>#REF!</v>
      </c>
      <c r="IV199" t="e">
        <f>AND(Bills!#REF!,"AAAAAHW3//8=")</f>
        <v>#REF!</v>
      </c>
    </row>
    <row r="200" spans="1:256">
      <c r="A200" t="e">
        <f>AND(Bills!#REF!,"AAAAAHz78QA=")</f>
        <v>#REF!</v>
      </c>
      <c r="B200" t="e">
        <f>AND(Bills!#REF!,"AAAAAHz78QE=")</f>
        <v>#REF!</v>
      </c>
      <c r="C200" t="e">
        <f>AND(Bills!D770,"AAAAAHz78QI=")</f>
        <v>#VALUE!</v>
      </c>
      <c r="D200" t="e">
        <f>AND(Bills!#REF!,"AAAAAHz78QM=")</f>
        <v>#REF!</v>
      </c>
      <c r="E200" t="e">
        <f>AND(Bills!E770,"AAAAAHz78QQ=")</f>
        <v>#VALUE!</v>
      </c>
      <c r="F200" t="e">
        <f>AND(Bills!F770,"AAAAAHz78QU=")</f>
        <v>#VALUE!</v>
      </c>
      <c r="G200" t="e">
        <f>AND(Bills!G770,"AAAAAHz78QY=")</f>
        <v>#VALUE!</v>
      </c>
      <c r="H200" t="e">
        <f>AND(Bills!H770,"AAAAAHz78Qc=")</f>
        <v>#VALUE!</v>
      </c>
      <c r="I200" t="e">
        <f>AND(Bills!I770,"AAAAAHz78Qg=")</f>
        <v>#VALUE!</v>
      </c>
      <c r="J200" t="e">
        <f>AND(Bills!J770,"AAAAAHz78Qk=")</f>
        <v>#VALUE!</v>
      </c>
      <c r="K200" t="e">
        <f>AND(Bills!#REF!,"AAAAAHz78Qo=")</f>
        <v>#REF!</v>
      </c>
      <c r="L200" t="e">
        <f>AND(Bills!K770,"AAAAAHz78Qs=")</f>
        <v>#VALUE!</v>
      </c>
      <c r="M200" t="e">
        <f>AND(Bills!L770,"AAAAAHz78Qw=")</f>
        <v>#VALUE!</v>
      </c>
      <c r="N200" t="e">
        <f>AND(Bills!M770,"AAAAAHz78Q0=")</f>
        <v>#VALUE!</v>
      </c>
      <c r="O200" t="e">
        <f>AND(Bills!N770,"AAAAAHz78Q4=")</f>
        <v>#VALUE!</v>
      </c>
      <c r="P200" t="e">
        <f>AND(Bills!O770,"AAAAAHz78Q8=")</f>
        <v>#VALUE!</v>
      </c>
      <c r="Q200" t="e">
        <f>AND(Bills!P770,"AAAAAHz78RA=")</f>
        <v>#VALUE!</v>
      </c>
      <c r="R200" t="e">
        <f>AND(Bills!Q770,"AAAAAHz78RE=")</f>
        <v>#VALUE!</v>
      </c>
      <c r="S200" t="e">
        <f>AND(Bills!R770,"AAAAAHz78RI=")</f>
        <v>#VALUE!</v>
      </c>
      <c r="T200" t="e">
        <f>AND(Bills!#REF!,"AAAAAHz78RM=")</f>
        <v>#REF!</v>
      </c>
      <c r="U200" t="e">
        <f>AND(Bills!S770,"AAAAAHz78RQ=")</f>
        <v>#VALUE!</v>
      </c>
      <c r="V200" t="e">
        <f>AND(Bills!T770,"AAAAAHz78RU=")</f>
        <v>#VALUE!</v>
      </c>
      <c r="W200" t="e">
        <f>AND(Bills!U770,"AAAAAHz78RY=")</f>
        <v>#VALUE!</v>
      </c>
      <c r="X200" t="e">
        <f>AND(Bills!#REF!,"AAAAAHz78Rc=")</f>
        <v>#REF!</v>
      </c>
      <c r="Y200" t="e">
        <f>AND(Bills!#REF!,"AAAAAHz78Rg=")</f>
        <v>#REF!</v>
      </c>
      <c r="Z200" t="e">
        <f>AND(Bills!W770,"AAAAAHz78Rk=")</f>
        <v>#VALUE!</v>
      </c>
      <c r="AA200" t="e">
        <f>AND(Bills!X770,"AAAAAHz78Ro=")</f>
        <v>#VALUE!</v>
      </c>
      <c r="AB200" t="e">
        <f>AND(Bills!#REF!,"AAAAAHz78Rs=")</f>
        <v>#REF!</v>
      </c>
      <c r="AC200" t="e">
        <f>AND(Bills!#REF!,"AAAAAHz78Rw=")</f>
        <v>#REF!</v>
      </c>
      <c r="AD200" t="e">
        <f>AND(Bills!#REF!,"AAAAAHz78R0=")</f>
        <v>#REF!</v>
      </c>
      <c r="AE200" t="e">
        <f>AND(Bills!#REF!,"AAAAAHz78R4=")</f>
        <v>#REF!</v>
      </c>
      <c r="AF200" t="e">
        <f>AND(Bills!#REF!,"AAAAAHz78R8=")</f>
        <v>#REF!</v>
      </c>
      <c r="AG200" t="e">
        <f>AND(Bills!#REF!,"AAAAAHz78SA=")</f>
        <v>#REF!</v>
      </c>
      <c r="AH200" t="e">
        <f>AND(Bills!#REF!,"AAAAAHz78SE=")</f>
        <v>#REF!</v>
      </c>
      <c r="AI200" t="e">
        <f>AND(Bills!#REF!,"AAAAAHz78SI=")</f>
        <v>#REF!</v>
      </c>
      <c r="AJ200" t="e">
        <f>AND(Bills!#REF!,"AAAAAHz78SM=")</f>
        <v>#REF!</v>
      </c>
      <c r="AK200" t="e">
        <f>AND(Bills!Y770,"AAAAAHz78SQ=")</f>
        <v>#VALUE!</v>
      </c>
      <c r="AL200" t="e">
        <f>AND(Bills!Z770,"AAAAAHz78SU=")</f>
        <v>#VALUE!</v>
      </c>
      <c r="AM200" t="e">
        <f>AND(Bills!#REF!,"AAAAAHz78SY=")</f>
        <v>#REF!</v>
      </c>
      <c r="AN200" t="e">
        <f>AND(Bills!#REF!,"AAAAAHz78Sc=")</f>
        <v>#REF!</v>
      </c>
      <c r="AO200" t="e">
        <f>AND(Bills!#REF!,"AAAAAHz78Sg=")</f>
        <v>#REF!</v>
      </c>
      <c r="AP200" t="e">
        <f>AND(Bills!AA770,"AAAAAHz78Sk=")</f>
        <v>#VALUE!</v>
      </c>
      <c r="AQ200" t="e">
        <f>AND(Bills!AB770,"AAAAAHz78So=")</f>
        <v>#VALUE!</v>
      </c>
      <c r="AR200" t="e">
        <f>AND(Bills!#REF!,"AAAAAHz78Ss=")</f>
        <v>#REF!</v>
      </c>
      <c r="AS200">
        <f>IF(Bills!771:771,"AAAAAHz78Sw=",0)</f>
        <v>0</v>
      </c>
      <c r="AT200" t="e">
        <f>AND(Bills!B771,"AAAAAHz78S0=")</f>
        <v>#VALUE!</v>
      </c>
      <c r="AU200" t="e">
        <f>AND(Bills!#REF!,"AAAAAHz78S4=")</f>
        <v>#REF!</v>
      </c>
      <c r="AV200" t="e">
        <f>AND(Bills!C771,"AAAAAHz78S8=")</f>
        <v>#VALUE!</v>
      </c>
      <c r="AW200" t="e">
        <f>AND(Bills!#REF!,"AAAAAHz78TA=")</f>
        <v>#REF!</v>
      </c>
      <c r="AX200" t="e">
        <f>AND(Bills!#REF!,"AAAAAHz78TE=")</f>
        <v>#REF!</v>
      </c>
      <c r="AY200" t="e">
        <f>AND(Bills!#REF!,"AAAAAHz78TI=")</f>
        <v>#REF!</v>
      </c>
      <c r="AZ200" t="e">
        <f>AND(Bills!#REF!,"AAAAAHz78TM=")</f>
        <v>#REF!</v>
      </c>
      <c r="BA200" t="e">
        <f>AND(Bills!#REF!,"AAAAAHz78TQ=")</f>
        <v>#REF!</v>
      </c>
      <c r="BB200" t="e">
        <f>AND(Bills!D771,"AAAAAHz78TU=")</f>
        <v>#VALUE!</v>
      </c>
      <c r="BC200" t="e">
        <f>AND(Bills!#REF!,"AAAAAHz78TY=")</f>
        <v>#REF!</v>
      </c>
      <c r="BD200" t="e">
        <f>AND(Bills!E771,"AAAAAHz78Tc=")</f>
        <v>#VALUE!</v>
      </c>
      <c r="BE200" t="e">
        <f>AND(Bills!F771,"AAAAAHz78Tg=")</f>
        <v>#VALUE!</v>
      </c>
      <c r="BF200" t="e">
        <f>AND(Bills!G771,"AAAAAHz78Tk=")</f>
        <v>#VALUE!</v>
      </c>
      <c r="BG200" t="e">
        <f>AND(Bills!H771,"AAAAAHz78To=")</f>
        <v>#VALUE!</v>
      </c>
      <c r="BH200" t="e">
        <f>AND(Bills!I771,"AAAAAHz78Ts=")</f>
        <v>#VALUE!</v>
      </c>
      <c r="BI200" t="e">
        <f>AND(Bills!J771,"AAAAAHz78Tw=")</f>
        <v>#VALUE!</v>
      </c>
      <c r="BJ200" t="e">
        <f>AND(Bills!#REF!,"AAAAAHz78T0=")</f>
        <v>#REF!</v>
      </c>
      <c r="BK200" t="e">
        <f>AND(Bills!K771,"AAAAAHz78T4=")</f>
        <v>#VALUE!</v>
      </c>
      <c r="BL200" t="e">
        <f>AND(Bills!L771,"AAAAAHz78T8=")</f>
        <v>#VALUE!</v>
      </c>
      <c r="BM200" t="e">
        <f>AND(Bills!M771,"AAAAAHz78UA=")</f>
        <v>#VALUE!</v>
      </c>
      <c r="BN200" t="e">
        <f>AND(Bills!N771,"AAAAAHz78UE=")</f>
        <v>#VALUE!</v>
      </c>
      <c r="BO200" t="e">
        <f>AND(Bills!O771,"AAAAAHz78UI=")</f>
        <v>#VALUE!</v>
      </c>
      <c r="BP200" t="e">
        <f>AND(Bills!P771,"AAAAAHz78UM=")</f>
        <v>#VALUE!</v>
      </c>
      <c r="BQ200" t="e">
        <f>AND(Bills!Q771,"AAAAAHz78UQ=")</f>
        <v>#VALUE!</v>
      </c>
      <c r="BR200" t="e">
        <f>AND(Bills!R771,"AAAAAHz78UU=")</f>
        <v>#VALUE!</v>
      </c>
      <c r="BS200" t="e">
        <f>AND(Bills!#REF!,"AAAAAHz78UY=")</f>
        <v>#REF!</v>
      </c>
      <c r="BT200" t="e">
        <f>AND(Bills!S771,"AAAAAHz78Uc=")</f>
        <v>#VALUE!</v>
      </c>
      <c r="BU200" t="e">
        <f>AND(Bills!T771,"AAAAAHz78Ug=")</f>
        <v>#VALUE!</v>
      </c>
      <c r="BV200" t="e">
        <f>AND(Bills!U771,"AAAAAHz78Uk=")</f>
        <v>#VALUE!</v>
      </c>
      <c r="BW200" t="e">
        <f>AND(Bills!#REF!,"AAAAAHz78Uo=")</f>
        <v>#REF!</v>
      </c>
      <c r="BX200" t="e">
        <f>AND(Bills!#REF!,"AAAAAHz78Us=")</f>
        <v>#REF!</v>
      </c>
      <c r="BY200" t="e">
        <f>AND(Bills!W771,"AAAAAHz78Uw=")</f>
        <v>#VALUE!</v>
      </c>
      <c r="BZ200" t="e">
        <f>AND(Bills!X771,"AAAAAHz78U0=")</f>
        <v>#VALUE!</v>
      </c>
      <c r="CA200" t="e">
        <f>AND(Bills!#REF!,"AAAAAHz78U4=")</f>
        <v>#REF!</v>
      </c>
      <c r="CB200" t="e">
        <f>AND(Bills!#REF!,"AAAAAHz78U8=")</f>
        <v>#REF!</v>
      </c>
      <c r="CC200" t="e">
        <f>AND(Bills!#REF!,"AAAAAHz78VA=")</f>
        <v>#REF!</v>
      </c>
      <c r="CD200" t="e">
        <f>AND(Bills!#REF!,"AAAAAHz78VE=")</f>
        <v>#REF!</v>
      </c>
      <c r="CE200" t="e">
        <f>AND(Bills!#REF!,"AAAAAHz78VI=")</f>
        <v>#REF!</v>
      </c>
      <c r="CF200" t="e">
        <f>AND(Bills!#REF!,"AAAAAHz78VM=")</f>
        <v>#REF!</v>
      </c>
      <c r="CG200" t="e">
        <f>AND(Bills!#REF!,"AAAAAHz78VQ=")</f>
        <v>#REF!</v>
      </c>
      <c r="CH200" t="e">
        <f>AND(Bills!#REF!,"AAAAAHz78VU=")</f>
        <v>#REF!</v>
      </c>
      <c r="CI200" t="e">
        <f>AND(Bills!#REF!,"AAAAAHz78VY=")</f>
        <v>#REF!</v>
      </c>
      <c r="CJ200" t="e">
        <f>AND(Bills!Y771,"AAAAAHz78Vc=")</f>
        <v>#VALUE!</v>
      </c>
      <c r="CK200" t="e">
        <f>AND(Bills!Z771,"AAAAAHz78Vg=")</f>
        <v>#VALUE!</v>
      </c>
      <c r="CL200" t="e">
        <f>AND(Bills!#REF!,"AAAAAHz78Vk=")</f>
        <v>#REF!</v>
      </c>
      <c r="CM200" t="e">
        <f>AND(Bills!#REF!,"AAAAAHz78Vo=")</f>
        <v>#REF!</v>
      </c>
      <c r="CN200" t="e">
        <f>AND(Bills!#REF!,"AAAAAHz78Vs=")</f>
        <v>#REF!</v>
      </c>
      <c r="CO200" t="e">
        <f>AND(Bills!AA771,"AAAAAHz78Vw=")</f>
        <v>#VALUE!</v>
      </c>
      <c r="CP200" t="e">
        <f>AND(Bills!AB771,"AAAAAHz78V0=")</f>
        <v>#VALUE!</v>
      </c>
      <c r="CQ200" t="e">
        <f>AND(Bills!#REF!,"AAAAAHz78V4=")</f>
        <v>#REF!</v>
      </c>
      <c r="CR200">
        <f>IF(Bills!772:772,"AAAAAHz78V8=",0)</f>
        <v>0</v>
      </c>
      <c r="CS200" t="e">
        <f>AND(Bills!B772,"AAAAAHz78WA=")</f>
        <v>#VALUE!</v>
      </c>
      <c r="CT200" t="e">
        <f>AND(Bills!#REF!,"AAAAAHz78WE=")</f>
        <v>#REF!</v>
      </c>
      <c r="CU200" t="e">
        <f>AND(Bills!C772,"AAAAAHz78WI=")</f>
        <v>#VALUE!</v>
      </c>
      <c r="CV200" t="e">
        <f>AND(Bills!#REF!,"AAAAAHz78WM=")</f>
        <v>#REF!</v>
      </c>
      <c r="CW200" t="e">
        <f>AND(Bills!#REF!,"AAAAAHz78WQ=")</f>
        <v>#REF!</v>
      </c>
      <c r="CX200" t="e">
        <f>AND(Bills!#REF!,"AAAAAHz78WU=")</f>
        <v>#REF!</v>
      </c>
      <c r="CY200" t="e">
        <f>AND(Bills!#REF!,"AAAAAHz78WY=")</f>
        <v>#REF!</v>
      </c>
      <c r="CZ200" t="e">
        <f>AND(Bills!#REF!,"AAAAAHz78Wc=")</f>
        <v>#REF!</v>
      </c>
      <c r="DA200" t="e">
        <f>AND(Bills!D772,"AAAAAHz78Wg=")</f>
        <v>#VALUE!</v>
      </c>
      <c r="DB200" t="e">
        <f>AND(Bills!#REF!,"AAAAAHz78Wk=")</f>
        <v>#REF!</v>
      </c>
      <c r="DC200" t="e">
        <f>AND(Bills!E772,"AAAAAHz78Wo=")</f>
        <v>#VALUE!</v>
      </c>
      <c r="DD200" t="e">
        <f>AND(Bills!F772,"AAAAAHz78Ws=")</f>
        <v>#VALUE!</v>
      </c>
      <c r="DE200" t="e">
        <f>AND(Bills!G772,"AAAAAHz78Ww=")</f>
        <v>#VALUE!</v>
      </c>
      <c r="DF200" t="e">
        <f>AND(Bills!H772,"AAAAAHz78W0=")</f>
        <v>#VALUE!</v>
      </c>
      <c r="DG200" t="e">
        <f>AND(Bills!I772,"AAAAAHz78W4=")</f>
        <v>#VALUE!</v>
      </c>
      <c r="DH200" t="e">
        <f>AND(Bills!J772,"AAAAAHz78W8=")</f>
        <v>#VALUE!</v>
      </c>
      <c r="DI200" t="e">
        <f>AND(Bills!#REF!,"AAAAAHz78XA=")</f>
        <v>#REF!</v>
      </c>
      <c r="DJ200" t="e">
        <f>AND(Bills!K772,"AAAAAHz78XE=")</f>
        <v>#VALUE!</v>
      </c>
      <c r="DK200" t="e">
        <f>AND(Bills!L772,"AAAAAHz78XI=")</f>
        <v>#VALUE!</v>
      </c>
      <c r="DL200" t="e">
        <f>AND(Bills!M772,"AAAAAHz78XM=")</f>
        <v>#VALUE!</v>
      </c>
      <c r="DM200" t="e">
        <f>AND(Bills!N772,"AAAAAHz78XQ=")</f>
        <v>#VALUE!</v>
      </c>
      <c r="DN200" t="e">
        <f>AND(Bills!O772,"AAAAAHz78XU=")</f>
        <v>#VALUE!</v>
      </c>
      <c r="DO200" t="e">
        <f>AND(Bills!P772,"AAAAAHz78XY=")</f>
        <v>#VALUE!</v>
      </c>
      <c r="DP200" t="e">
        <f>AND(Bills!Q772,"AAAAAHz78Xc=")</f>
        <v>#VALUE!</v>
      </c>
      <c r="DQ200" t="e">
        <f>AND(Bills!R772,"AAAAAHz78Xg=")</f>
        <v>#VALUE!</v>
      </c>
      <c r="DR200" t="e">
        <f>AND(Bills!#REF!,"AAAAAHz78Xk=")</f>
        <v>#REF!</v>
      </c>
      <c r="DS200" t="e">
        <f>AND(Bills!S772,"AAAAAHz78Xo=")</f>
        <v>#VALUE!</v>
      </c>
      <c r="DT200" t="e">
        <f>AND(Bills!T772,"AAAAAHz78Xs=")</f>
        <v>#VALUE!</v>
      </c>
      <c r="DU200" t="e">
        <f>AND(Bills!U772,"AAAAAHz78Xw=")</f>
        <v>#VALUE!</v>
      </c>
      <c r="DV200" t="e">
        <f>AND(Bills!#REF!,"AAAAAHz78X0=")</f>
        <v>#REF!</v>
      </c>
      <c r="DW200" t="e">
        <f>AND(Bills!#REF!,"AAAAAHz78X4=")</f>
        <v>#REF!</v>
      </c>
      <c r="DX200" t="e">
        <f>AND(Bills!W772,"AAAAAHz78X8=")</f>
        <v>#VALUE!</v>
      </c>
      <c r="DY200" t="e">
        <f>AND(Bills!X772,"AAAAAHz78YA=")</f>
        <v>#VALUE!</v>
      </c>
      <c r="DZ200" t="e">
        <f>AND(Bills!#REF!,"AAAAAHz78YE=")</f>
        <v>#REF!</v>
      </c>
      <c r="EA200" t="e">
        <f>AND(Bills!#REF!,"AAAAAHz78YI=")</f>
        <v>#REF!</v>
      </c>
      <c r="EB200" t="e">
        <f>AND(Bills!#REF!,"AAAAAHz78YM=")</f>
        <v>#REF!</v>
      </c>
      <c r="EC200" t="e">
        <f>AND(Bills!#REF!,"AAAAAHz78YQ=")</f>
        <v>#REF!</v>
      </c>
      <c r="ED200" t="e">
        <f>AND(Bills!#REF!,"AAAAAHz78YU=")</f>
        <v>#REF!</v>
      </c>
      <c r="EE200" t="e">
        <f>AND(Bills!#REF!,"AAAAAHz78YY=")</f>
        <v>#REF!</v>
      </c>
      <c r="EF200" t="e">
        <f>AND(Bills!#REF!,"AAAAAHz78Yc=")</f>
        <v>#REF!</v>
      </c>
      <c r="EG200" t="e">
        <f>AND(Bills!#REF!,"AAAAAHz78Yg=")</f>
        <v>#REF!</v>
      </c>
      <c r="EH200" t="e">
        <f>AND(Bills!#REF!,"AAAAAHz78Yk=")</f>
        <v>#REF!</v>
      </c>
      <c r="EI200" t="e">
        <f>AND(Bills!Y772,"AAAAAHz78Yo=")</f>
        <v>#VALUE!</v>
      </c>
      <c r="EJ200" t="e">
        <f>AND(Bills!Z772,"AAAAAHz78Ys=")</f>
        <v>#VALUE!</v>
      </c>
      <c r="EK200" t="e">
        <f>AND(Bills!#REF!,"AAAAAHz78Yw=")</f>
        <v>#REF!</v>
      </c>
      <c r="EL200" t="e">
        <f>AND(Bills!#REF!,"AAAAAHz78Y0=")</f>
        <v>#REF!</v>
      </c>
      <c r="EM200" t="e">
        <f>AND(Bills!#REF!,"AAAAAHz78Y4=")</f>
        <v>#REF!</v>
      </c>
      <c r="EN200" t="e">
        <f>AND(Bills!AA772,"AAAAAHz78Y8=")</f>
        <v>#VALUE!</v>
      </c>
      <c r="EO200" t="e">
        <f>AND(Bills!AB772,"AAAAAHz78ZA=")</f>
        <v>#VALUE!</v>
      </c>
      <c r="EP200" t="e">
        <f>AND(Bills!#REF!,"AAAAAHz78ZE=")</f>
        <v>#REF!</v>
      </c>
      <c r="EQ200">
        <f>IF(Bills!773:773,"AAAAAHz78ZI=",0)</f>
        <v>0</v>
      </c>
      <c r="ER200" t="e">
        <f>AND(Bills!B773,"AAAAAHz78ZM=")</f>
        <v>#VALUE!</v>
      </c>
      <c r="ES200" t="e">
        <f>AND(Bills!#REF!,"AAAAAHz78ZQ=")</f>
        <v>#REF!</v>
      </c>
      <c r="ET200" t="e">
        <f>AND(Bills!C773,"AAAAAHz78ZU=")</f>
        <v>#VALUE!</v>
      </c>
      <c r="EU200" t="e">
        <f>AND(Bills!#REF!,"AAAAAHz78ZY=")</f>
        <v>#REF!</v>
      </c>
      <c r="EV200" t="e">
        <f>AND(Bills!#REF!,"AAAAAHz78Zc=")</f>
        <v>#REF!</v>
      </c>
      <c r="EW200" t="e">
        <f>AND(Bills!#REF!,"AAAAAHz78Zg=")</f>
        <v>#REF!</v>
      </c>
      <c r="EX200" t="e">
        <f>AND(Bills!#REF!,"AAAAAHz78Zk=")</f>
        <v>#REF!</v>
      </c>
      <c r="EY200" t="e">
        <f>AND(Bills!#REF!,"AAAAAHz78Zo=")</f>
        <v>#REF!</v>
      </c>
      <c r="EZ200" t="e">
        <f>AND(Bills!D773,"AAAAAHz78Zs=")</f>
        <v>#VALUE!</v>
      </c>
      <c r="FA200" t="e">
        <f>AND(Bills!#REF!,"AAAAAHz78Zw=")</f>
        <v>#REF!</v>
      </c>
      <c r="FB200" t="e">
        <f>AND(Bills!E773,"AAAAAHz78Z0=")</f>
        <v>#VALUE!</v>
      </c>
      <c r="FC200" t="e">
        <f>AND(Bills!F773,"AAAAAHz78Z4=")</f>
        <v>#VALUE!</v>
      </c>
      <c r="FD200" t="e">
        <f>AND(Bills!G773,"AAAAAHz78Z8=")</f>
        <v>#VALUE!</v>
      </c>
      <c r="FE200" t="e">
        <f>AND(Bills!H773,"AAAAAHz78aA=")</f>
        <v>#VALUE!</v>
      </c>
      <c r="FF200" t="e">
        <f>AND(Bills!I773,"AAAAAHz78aE=")</f>
        <v>#VALUE!</v>
      </c>
      <c r="FG200" t="e">
        <f>AND(Bills!J773,"AAAAAHz78aI=")</f>
        <v>#VALUE!</v>
      </c>
      <c r="FH200" t="e">
        <f>AND(Bills!#REF!,"AAAAAHz78aM=")</f>
        <v>#REF!</v>
      </c>
      <c r="FI200" t="e">
        <f>AND(Bills!K773,"AAAAAHz78aQ=")</f>
        <v>#VALUE!</v>
      </c>
      <c r="FJ200" t="e">
        <f>AND(Bills!L773,"AAAAAHz78aU=")</f>
        <v>#VALUE!</v>
      </c>
      <c r="FK200" t="e">
        <f>AND(Bills!M773,"AAAAAHz78aY=")</f>
        <v>#VALUE!</v>
      </c>
      <c r="FL200" t="e">
        <f>AND(Bills!N773,"AAAAAHz78ac=")</f>
        <v>#VALUE!</v>
      </c>
      <c r="FM200" t="e">
        <f>AND(Bills!O773,"AAAAAHz78ag=")</f>
        <v>#VALUE!</v>
      </c>
      <c r="FN200" t="e">
        <f>AND(Bills!P773,"AAAAAHz78ak=")</f>
        <v>#VALUE!</v>
      </c>
      <c r="FO200" t="e">
        <f>AND(Bills!Q773,"AAAAAHz78ao=")</f>
        <v>#VALUE!</v>
      </c>
      <c r="FP200" t="e">
        <f>AND(Bills!R773,"AAAAAHz78as=")</f>
        <v>#VALUE!</v>
      </c>
      <c r="FQ200" t="e">
        <f>AND(Bills!#REF!,"AAAAAHz78aw=")</f>
        <v>#REF!</v>
      </c>
      <c r="FR200" t="e">
        <f>AND(Bills!S773,"AAAAAHz78a0=")</f>
        <v>#VALUE!</v>
      </c>
      <c r="FS200" t="e">
        <f>AND(Bills!T773,"AAAAAHz78a4=")</f>
        <v>#VALUE!</v>
      </c>
      <c r="FT200" t="e">
        <f>AND(Bills!U773,"AAAAAHz78a8=")</f>
        <v>#VALUE!</v>
      </c>
      <c r="FU200" t="e">
        <f>AND(Bills!#REF!,"AAAAAHz78bA=")</f>
        <v>#REF!</v>
      </c>
      <c r="FV200" t="e">
        <f>AND(Bills!#REF!,"AAAAAHz78bE=")</f>
        <v>#REF!</v>
      </c>
      <c r="FW200" t="e">
        <f>AND(Bills!W773,"AAAAAHz78bI=")</f>
        <v>#VALUE!</v>
      </c>
      <c r="FX200" t="e">
        <f>AND(Bills!X773,"AAAAAHz78bM=")</f>
        <v>#VALUE!</v>
      </c>
      <c r="FY200" t="e">
        <f>AND(Bills!#REF!,"AAAAAHz78bQ=")</f>
        <v>#REF!</v>
      </c>
      <c r="FZ200" t="e">
        <f>AND(Bills!#REF!,"AAAAAHz78bU=")</f>
        <v>#REF!</v>
      </c>
      <c r="GA200" t="e">
        <f>AND(Bills!#REF!,"AAAAAHz78bY=")</f>
        <v>#REF!</v>
      </c>
      <c r="GB200" t="e">
        <f>AND(Bills!#REF!,"AAAAAHz78bc=")</f>
        <v>#REF!</v>
      </c>
      <c r="GC200" t="e">
        <f>AND(Bills!#REF!,"AAAAAHz78bg=")</f>
        <v>#REF!</v>
      </c>
      <c r="GD200" t="e">
        <f>AND(Bills!#REF!,"AAAAAHz78bk=")</f>
        <v>#REF!</v>
      </c>
      <c r="GE200" t="e">
        <f>AND(Bills!#REF!,"AAAAAHz78bo=")</f>
        <v>#REF!</v>
      </c>
      <c r="GF200" t="e">
        <f>AND(Bills!#REF!,"AAAAAHz78bs=")</f>
        <v>#REF!</v>
      </c>
      <c r="GG200" t="e">
        <f>AND(Bills!#REF!,"AAAAAHz78bw=")</f>
        <v>#REF!</v>
      </c>
      <c r="GH200" t="e">
        <f>AND(Bills!Y773,"AAAAAHz78b0=")</f>
        <v>#VALUE!</v>
      </c>
      <c r="GI200" t="e">
        <f>AND(Bills!Z773,"AAAAAHz78b4=")</f>
        <v>#VALUE!</v>
      </c>
      <c r="GJ200" t="e">
        <f>AND(Bills!#REF!,"AAAAAHz78b8=")</f>
        <v>#REF!</v>
      </c>
      <c r="GK200" t="e">
        <f>AND(Bills!#REF!,"AAAAAHz78cA=")</f>
        <v>#REF!</v>
      </c>
      <c r="GL200" t="e">
        <f>AND(Bills!#REF!,"AAAAAHz78cE=")</f>
        <v>#REF!</v>
      </c>
      <c r="GM200" t="e">
        <f>AND(Bills!AA773,"AAAAAHz78cI=")</f>
        <v>#VALUE!</v>
      </c>
      <c r="GN200" t="e">
        <f>AND(Bills!AB773,"AAAAAHz78cM=")</f>
        <v>#VALUE!</v>
      </c>
      <c r="GO200" t="e">
        <f>AND(Bills!#REF!,"AAAAAHz78cQ=")</f>
        <v>#REF!</v>
      </c>
      <c r="GP200">
        <f>IF(Bills!774:774,"AAAAAHz78cU=",0)</f>
        <v>0</v>
      </c>
      <c r="GQ200" t="e">
        <f>AND(Bills!B774,"AAAAAHz78cY=")</f>
        <v>#VALUE!</v>
      </c>
      <c r="GR200" t="e">
        <f>AND(Bills!#REF!,"AAAAAHz78cc=")</f>
        <v>#REF!</v>
      </c>
      <c r="GS200" t="e">
        <f>AND(Bills!C774,"AAAAAHz78cg=")</f>
        <v>#VALUE!</v>
      </c>
      <c r="GT200" t="e">
        <f>AND(Bills!#REF!,"AAAAAHz78ck=")</f>
        <v>#REF!</v>
      </c>
      <c r="GU200" t="e">
        <f>AND(Bills!#REF!,"AAAAAHz78co=")</f>
        <v>#REF!</v>
      </c>
      <c r="GV200" t="e">
        <f>AND(Bills!#REF!,"AAAAAHz78cs=")</f>
        <v>#REF!</v>
      </c>
      <c r="GW200" t="e">
        <f>AND(Bills!#REF!,"AAAAAHz78cw=")</f>
        <v>#REF!</v>
      </c>
      <c r="GX200" t="e">
        <f>AND(Bills!#REF!,"AAAAAHz78c0=")</f>
        <v>#REF!</v>
      </c>
      <c r="GY200" t="e">
        <f>AND(Bills!D774,"AAAAAHz78c4=")</f>
        <v>#VALUE!</v>
      </c>
      <c r="GZ200" t="e">
        <f>AND(Bills!#REF!,"AAAAAHz78c8=")</f>
        <v>#REF!</v>
      </c>
      <c r="HA200" t="e">
        <f>AND(Bills!E774,"AAAAAHz78dA=")</f>
        <v>#VALUE!</v>
      </c>
      <c r="HB200" t="e">
        <f>AND(Bills!F774,"AAAAAHz78dE=")</f>
        <v>#VALUE!</v>
      </c>
      <c r="HC200" t="e">
        <f>AND(Bills!G774,"AAAAAHz78dI=")</f>
        <v>#VALUE!</v>
      </c>
      <c r="HD200" t="e">
        <f>AND(Bills!H774,"AAAAAHz78dM=")</f>
        <v>#VALUE!</v>
      </c>
      <c r="HE200" t="e">
        <f>AND(Bills!I774,"AAAAAHz78dQ=")</f>
        <v>#VALUE!</v>
      </c>
      <c r="HF200" t="e">
        <f>AND(Bills!J774,"AAAAAHz78dU=")</f>
        <v>#VALUE!</v>
      </c>
      <c r="HG200" t="e">
        <f>AND(Bills!#REF!,"AAAAAHz78dY=")</f>
        <v>#REF!</v>
      </c>
      <c r="HH200" t="e">
        <f>AND(Bills!K774,"AAAAAHz78dc=")</f>
        <v>#VALUE!</v>
      </c>
      <c r="HI200" t="e">
        <f>AND(Bills!L774,"AAAAAHz78dg=")</f>
        <v>#VALUE!</v>
      </c>
      <c r="HJ200" t="e">
        <f>AND(Bills!M774,"AAAAAHz78dk=")</f>
        <v>#VALUE!</v>
      </c>
      <c r="HK200" t="e">
        <f>AND(Bills!N774,"AAAAAHz78do=")</f>
        <v>#VALUE!</v>
      </c>
      <c r="HL200" t="e">
        <f>AND(Bills!O774,"AAAAAHz78ds=")</f>
        <v>#VALUE!</v>
      </c>
      <c r="HM200" t="e">
        <f>AND(Bills!P774,"AAAAAHz78dw=")</f>
        <v>#VALUE!</v>
      </c>
      <c r="HN200" t="e">
        <f>AND(Bills!Q774,"AAAAAHz78d0=")</f>
        <v>#VALUE!</v>
      </c>
      <c r="HO200" t="e">
        <f>AND(Bills!R774,"AAAAAHz78d4=")</f>
        <v>#VALUE!</v>
      </c>
      <c r="HP200" t="e">
        <f>AND(Bills!#REF!,"AAAAAHz78d8=")</f>
        <v>#REF!</v>
      </c>
      <c r="HQ200" t="e">
        <f>AND(Bills!S774,"AAAAAHz78eA=")</f>
        <v>#VALUE!</v>
      </c>
      <c r="HR200" t="e">
        <f>AND(Bills!T774,"AAAAAHz78eE=")</f>
        <v>#VALUE!</v>
      </c>
      <c r="HS200" t="e">
        <f>AND(Bills!U774,"AAAAAHz78eI=")</f>
        <v>#VALUE!</v>
      </c>
      <c r="HT200" t="e">
        <f>AND(Bills!#REF!,"AAAAAHz78eM=")</f>
        <v>#REF!</v>
      </c>
      <c r="HU200" t="e">
        <f>AND(Bills!#REF!,"AAAAAHz78eQ=")</f>
        <v>#REF!</v>
      </c>
      <c r="HV200" t="e">
        <f>AND(Bills!W774,"AAAAAHz78eU=")</f>
        <v>#VALUE!</v>
      </c>
      <c r="HW200" t="e">
        <f>AND(Bills!X774,"AAAAAHz78eY=")</f>
        <v>#VALUE!</v>
      </c>
      <c r="HX200" t="e">
        <f>AND(Bills!#REF!,"AAAAAHz78ec=")</f>
        <v>#REF!</v>
      </c>
      <c r="HY200" t="e">
        <f>AND(Bills!#REF!,"AAAAAHz78eg=")</f>
        <v>#REF!</v>
      </c>
      <c r="HZ200" t="e">
        <f>AND(Bills!#REF!,"AAAAAHz78ek=")</f>
        <v>#REF!</v>
      </c>
      <c r="IA200" t="e">
        <f>AND(Bills!#REF!,"AAAAAHz78eo=")</f>
        <v>#REF!</v>
      </c>
      <c r="IB200" t="e">
        <f>AND(Bills!#REF!,"AAAAAHz78es=")</f>
        <v>#REF!</v>
      </c>
      <c r="IC200" t="e">
        <f>AND(Bills!#REF!,"AAAAAHz78ew=")</f>
        <v>#REF!</v>
      </c>
      <c r="ID200" t="e">
        <f>AND(Bills!#REF!,"AAAAAHz78e0=")</f>
        <v>#REF!</v>
      </c>
      <c r="IE200" t="e">
        <f>AND(Bills!#REF!,"AAAAAHz78e4=")</f>
        <v>#REF!</v>
      </c>
      <c r="IF200" t="e">
        <f>AND(Bills!#REF!,"AAAAAHz78e8=")</f>
        <v>#REF!</v>
      </c>
      <c r="IG200" t="e">
        <f>AND(Bills!Y774,"AAAAAHz78fA=")</f>
        <v>#VALUE!</v>
      </c>
      <c r="IH200" t="e">
        <f>AND(Bills!Z774,"AAAAAHz78fE=")</f>
        <v>#VALUE!</v>
      </c>
      <c r="II200" t="e">
        <f>AND(Bills!#REF!,"AAAAAHz78fI=")</f>
        <v>#REF!</v>
      </c>
      <c r="IJ200" t="e">
        <f>AND(Bills!#REF!,"AAAAAHz78fM=")</f>
        <v>#REF!</v>
      </c>
      <c r="IK200" t="e">
        <f>AND(Bills!#REF!,"AAAAAHz78fQ=")</f>
        <v>#REF!</v>
      </c>
      <c r="IL200" t="e">
        <f>AND(Bills!AA774,"AAAAAHz78fU=")</f>
        <v>#VALUE!</v>
      </c>
      <c r="IM200" t="e">
        <f>AND(Bills!AB774,"AAAAAHz78fY=")</f>
        <v>#VALUE!</v>
      </c>
      <c r="IN200" t="e">
        <f>AND(Bills!#REF!,"AAAAAHz78fc=")</f>
        <v>#REF!</v>
      </c>
      <c r="IO200">
        <f>IF(Bills!775:775,"AAAAAHz78fg=",0)</f>
        <v>0</v>
      </c>
      <c r="IP200" t="e">
        <f>AND(Bills!B775,"AAAAAHz78fk=")</f>
        <v>#VALUE!</v>
      </c>
      <c r="IQ200" t="e">
        <f>AND(Bills!#REF!,"AAAAAHz78fo=")</f>
        <v>#REF!</v>
      </c>
      <c r="IR200" t="e">
        <f>AND(Bills!C775,"AAAAAHz78fs=")</f>
        <v>#VALUE!</v>
      </c>
      <c r="IS200" t="e">
        <f>AND(Bills!#REF!,"AAAAAHz78fw=")</f>
        <v>#REF!</v>
      </c>
      <c r="IT200" t="e">
        <f>AND(Bills!#REF!,"AAAAAHz78f0=")</f>
        <v>#REF!</v>
      </c>
      <c r="IU200" t="e">
        <f>AND(Bills!#REF!,"AAAAAHz78f4=")</f>
        <v>#REF!</v>
      </c>
      <c r="IV200" t="e">
        <f>AND(Bills!#REF!,"AAAAAHz78f8=")</f>
        <v>#REF!</v>
      </c>
    </row>
    <row r="201" spans="1:256">
      <c r="A201" t="e">
        <f>AND(Bills!#REF!,"AAAAAGuunwA=")</f>
        <v>#REF!</v>
      </c>
      <c r="B201" t="e">
        <f>AND(Bills!D775,"AAAAAGuunwE=")</f>
        <v>#VALUE!</v>
      </c>
      <c r="C201" t="e">
        <f>AND(Bills!#REF!,"AAAAAGuunwI=")</f>
        <v>#REF!</v>
      </c>
      <c r="D201" t="e">
        <f>AND(Bills!E775,"AAAAAGuunwM=")</f>
        <v>#VALUE!</v>
      </c>
      <c r="E201" t="e">
        <f>AND(Bills!F775,"AAAAAGuunwQ=")</f>
        <v>#VALUE!</v>
      </c>
      <c r="F201" t="e">
        <f>AND(Bills!G775,"AAAAAGuunwU=")</f>
        <v>#VALUE!</v>
      </c>
      <c r="G201" t="e">
        <f>AND(Bills!H775,"AAAAAGuunwY=")</f>
        <v>#VALUE!</v>
      </c>
      <c r="H201" t="e">
        <f>AND(Bills!I775,"AAAAAGuunwc=")</f>
        <v>#VALUE!</v>
      </c>
      <c r="I201" t="e">
        <f>AND(Bills!J775,"AAAAAGuunwg=")</f>
        <v>#VALUE!</v>
      </c>
      <c r="J201" t="e">
        <f>AND(Bills!#REF!,"AAAAAGuunwk=")</f>
        <v>#REF!</v>
      </c>
      <c r="K201" t="e">
        <f>AND(Bills!K775,"AAAAAGuunwo=")</f>
        <v>#VALUE!</v>
      </c>
      <c r="L201" t="e">
        <f>AND(Bills!L775,"AAAAAGuunws=")</f>
        <v>#VALUE!</v>
      </c>
      <c r="M201" t="e">
        <f>AND(Bills!M775,"AAAAAGuunww=")</f>
        <v>#VALUE!</v>
      </c>
      <c r="N201" t="e">
        <f>AND(Bills!N775,"AAAAAGuunw0=")</f>
        <v>#VALUE!</v>
      </c>
      <c r="O201" t="e">
        <f>AND(Bills!O775,"AAAAAGuunw4=")</f>
        <v>#VALUE!</v>
      </c>
      <c r="P201" t="e">
        <f>AND(Bills!P775,"AAAAAGuunw8=")</f>
        <v>#VALUE!</v>
      </c>
      <c r="Q201" t="e">
        <f>AND(Bills!Q775,"AAAAAGuunxA=")</f>
        <v>#VALUE!</v>
      </c>
      <c r="R201" t="e">
        <f>AND(Bills!R775,"AAAAAGuunxE=")</f>
        <v>#VALUE!</v>
      </c>
      <c r="S201" t="e">
        <f>AND(Bills!#REF!,"AAAAAGuunxI=")</f>
        <v>#REF!</v>
      </c>
      <c r="T201" t="e">
        <f>AND(Bills!S775,"AAAAAGuunxM=")</f>
        <v>#VALUE!</v>
      </c>
      <c r="U201" t="e">
        <f>AND(Bills!T775,"AAAAAGuunxQ=")</f>
        <v>#VALUE!</v>
      </c>
      <c r="V201" t="e">
        <f>AND(Bills!U775,"AAAAAGuunxU=")</f>
        <v>#VALUE!</v>
      </c>
      <c r="W201" t="e">
        <f>AND(Bills!#REF!,"AAAAAGuunxY=")</f>
        <v>#REF!</v>
      </c>
      <c r="X201" t="e">
        <f>AND(Bills!#REF!,"AAAAAGuunxc=")</f>
        <v>#REF!</v>
      </c>
      <c r="Y201" t="e">
        <f>AND(Bills!W775,"AAAAAGuunxg=")</f>
        <v>#VALUE!</v>
      </c>
      <c r="Z201" t="e">
        <f>AND(Bills!X775,"AAAAAGuunxk=")</f>
        <v>#VALUE!</v>
      </c>
      <c r="AA201" t="e">
        <f>AND(Bills!#REF!,"AAAAAGuunxo=")</f>
        <v>#REF!</v>
      </c>
      <c r="AB201" t="e">
        <f>AND(Bills!#REF!,"AAAAAGuunxs=")</f>
        <v>#REF!</v>
      </c>
      <c r="AC201" t="e">
        <f>AND(Bills!#REF!,"AAAAAGuunxw=")</f>
        <v>#REF!</v>
      </c>
      <c r="AD201" t="e">
        <f>AND(Bills!#REF!,"AAAAAGuunx0=")</f>
        <v>#REF!</v>
      </c>
      <c r="AE201" t="e">
        <f>AND(Bills!#REF!,"AAAAAGuunx4=")</f>
        <v>#REF!</v>
      </c>
      <c r="AF201" t="e">
        <f>AND(Bills!#REF!,"AAAAAGuunx8=")</f>
        <v>#REF!</v>
      </c>
      <c r="AG201" t="e">
        <f>AND(Bills!#REF!,"AAAAAGuunyA=")</f>
        <v>#REF!</v>
      </c>
      <c r="AH201" t="e">
        <f>AND(Bills!#REF!,"AAAAAGuunyE=")</f>
        <v>#REF!</v>
      </c>
      <c r="AI201" t="e">
        <f>AND(Bills!#REF!,"AAAAAGuunyI=")</f>
        <v>#REF!</v>
      </c>
      <c r="AJ201" t="e">
        <f>AND(Bills!Y775,"AAAAAGuunyM=")</f>
        <v>#VALUE!</v>
      </c>
      <c r="AK201" t="e">
        <f>AND(Bills!Z775,"AAAAAGuunyQ=")</f>
        <v>#VALUE!</v>
      </c>
      <c r="AL201" t="e">
        <f>AND(Bills!#REF!,"AAAAAGuunyU=")</f>
        <v>#REF!</v>
      </c>
      <c r="AM201" t="e">
        <f>AND(Bills!#REF!,"AAAAAGuunyY=")</f>
        <v>#REF!</v>
      </c>
      <c r="AN201" t="e">
        <f>AND(Bills!#REF!,"AAAAAGuunyc=")</f>
        <v>#REF!</v>
      </c>
      <c r="AO201" t="e">
        <f>AND(Bills!AA775,"AAAAAGuunyg=")</f>
        <v>#VALUE!</v>
      </c>
      <c r="AP201" t="e">
        <f>AND(Bills!AB775,"AAAAAGuunyk=")</f>
        <v>#VALUE!</v>
      </c>
      <c r="AQ201" t="e">
        <f>AND(Bills!#REF!,"AAAAAGuunyo=")</f>
        <v>#REF!</v>
      </c>
      <c r="AR201">
        <f>IF(Bills!776:776,"AAAAAGuunys=",0)</f>
        <v>0</v>
      </c>
      <c r="AS201" t="e">
        <f>AND(Bills!B776,"AAAAAGuunyw=")</f>
        <v>#VALUE!</v>
      </c>
      <c r="AT201" t="e">
        <f>AND(Bills!#REF!,"AAAAAGuuny0=")</f>
        <v>#REF!</v>
      </c>
      <c r="AU201" t="e">
        <f>AND(Bills!C776,"AAAAAGuuny4=")</f>
        <v>#VALUE!</v>
      </c>
      <c r="AV201" t="e">
        <f>AND(Bills!#REF!,"AAAAAGuuny8=")</f>
        <v>#REF!</v>
      </c>
      <c r="AW201" t="e">
        <f>AND(Bills!#REF!,"AAAAAGuunzA=")</f>
        <v>#REF!</v>
      </c>
      <c r="AX201" t="e">
        <f>AND(Bills!#REF!,"AAAAAGuunzE=")</f>
        <v>#REF!</v>
      </c>
      <c r="AY201" t="e">
        <f>AND(Bills!#REF!,"AAAAAGuunzI=")</f>
        <v>#REF!</v>
      </c>
      <c r="AZ201" t="e">
        <f>AND(Bills!#REF!,"AAAAAGuunzM=")</f>
        <v>#REF!</v>
      </c>
      <c r="BA201" t="e">
        <f>AND(Bills!D776,"AAAAAGuunzQ=")</f>
        <v>#VALUE!</v>
      </c>
      <c r="BB201" t="e">
        <f>AND(Bills!#REF!,"AAAAAGuunzU=")</f>
        <v>#REF!</v>
      </c>
      <c r="BC201" t="e">
        <f>AND(Bills!E776,"AAAAAGuunzY=")</f>
        <v>#VALUE!</v>
      </c>
      <c r="BD201" t="e">
        <f>AND(Bills!F776,"AAAAAGuunzc=")</f>
        <v>#VALUE!</v>
      </c>
      <c r="BE201" t="e">
        <f>AND(Bills!G776,"AAAAAGuunzg=")</f>
        <v>#VALUE!</v>
      </c>
      <c r="BF201" t="e">
        <f>AND(Bills!H776,"AAAAAGuunzk=")</f>
        <v>#VALUE!</v>
      </c>
      <c r="BG201" t="e">
        <f>AND(Bills!I776,"AAAAAGuunzo=")</f>
        <v>#VALUE!</v>
      </c>
      <c r="BH201" t="e">
        <f>AND(Bills!J776,"AAAAAGuunzs=")</f>
        <v>#VALUE!</v>
      </c>
      <c r="BI201" t="e">
        <f>AND(Bills!#REF!,"AAAAAGuunzw=")</f>
        <v>#REF!</v>
      </c>
      <c r="BJ201" t="e">
        <f>AND(Bills!K776,"AAAAAGuunz0=")</f>
        <v>#VALUE!</v>
      </c>
      <c r="BK201" t="e">
        <f>AND(Bills!L776,"AAAAAGuunz4=")</f>
        <v>#VALUE!</v>
      </c>
      <c r="BL201" t="e">
        <f>AND(Bills!M776,"AAAAAGuunz8=")</f>
        <v>#VALUE!</v>
      </c>
      <c r="BM201" t="e">
        <f>AND(Bills!N776,"AAAAAGuun0A=")</f>
        <v>#VALUE!</v>
      </c>
      <c r="BN201" t="e">
        <f>AND(Bills!O776,"AAAAAGuun0E=")</f>
        <v>#VALUE!</v>
      </c>
      <c r="BO201" t="e">
        <f>AND(Bills!P776,"AAAAAGuun0I=")</f>
        <v>#VALUE!</v>
      </c>
      <c r="BP201" t="e">
        <f>AND(Bills!Q776,"AAAAAGuun0M=")</f>
        <v>#VALUE!</v>
      </c>
      <c r="BQ201" t="e">
        <f>AND(Bills!R776,"AAAAAGuun0Q=")</f>
        <v>#VALUE!</v>
      </c>
      <c r="BR201" t="e">
        <f>AND(Bills!#REF!,"AAAAAGuun0U=")</f>
        <v>#REF!</v>
      </c>
      <c r="BS201" t="e">
        <f>AND(Bills!S776,"AAAAAGuun0Y=")</f>
        <v>#VALUE!</v>
      </c>
      <c r="BT201" t="e">
        <f>AND(Bills!T776,"AAAAAGuun0c=")</f>
        <v>#VALUE!</v>
      </c>
      <c r="BU201" t="e">
        <f>AND(Bills!U776,"AAAAAGuun0g=")</f>
        <v>#VALUE!</v>
      </c>
      <c r="BV201" t="e">
        <f>AND(Bills!#REF!,"AAAAAGuun0k=")</f>
        <v>#REF!</v>
      </c>
      <c r="BW201" t="e">
        <f>AND(Bills!#REF!,"AAAAAGuun0o=")</f>
        <v>#REF!</v>
      </c>
      <c r="BX201" t="e">
        <f>AND(Bills!W776,"AAAAAGuun0s=")</f>
        <v>#VALUE!</v>
      </c>
      <c r="BY201" t="e">
        <f>AND(Bills!X776,"AAAAAGuun0w=")</f>
        <v>#VALUE!</v>
      </c>
      <c r="BZ201" t="e">
        <f>AND(Bills!#REF!,"AAAAAGuun00=")</f>
        <v>#REF!</v>
      </c>
      <c r="CA201" t="e">
        <f>AND(Bills!#REF!,"AAAAAGuun04=")</f>
        <v>#REF!</v>
      </c>
      <c r="CB201" t="e">
        <f>AND(Bills!#REF!,"AAAAAGuun08=")</f>
        <v>#REF!</v>
      </c>
      <c r="CC201" t="e">
        <f>AND(Bills!#REF!,"AAAAAGuun1A=")</f>
        <v>#REF!</v>
      </c>
      <c r="CD201" t="e">
        <f>AND(Bills!#REF!,"AAAAAGuun1E=")</f>
        <v>#REF!</v>
      </c>
      <c r="CE201" t="e">
        <f>AND(Bills!#REF!,"AAAAAGuun1I=")</f>
        <v>#REF!</v>
      </c>
      <c r="CF201" t="e">
        <f>AND(Bills!#REF!,"AAAAAGuun1M=")</f>
        <v>#REF!</v>
      </c>
      <c r="CG201" t="e">
        <f>AND(Bills!#REF!,"AAAAAGuun1Q=")</f>
        <v>#REF!</v>
      </c>
      <c r="CH201" t="e">
        <f>AND(Bills!#REF!,"AAAAAGuun1U=")</f>
        <v>#REF!</v>
      </c>
      <c r="CI201" t="e">
        <f>AND(Bills!Y776,"AAAAAGuun1Y=")</f>
        <v>#VALUE!</v>
      </c>
      <c r="CJ201" t="e">
        <f>AND(Bills!Z776,"AAAAAGuun1c=")</f>
        <v>#VALUE!</v>
      </c>
      <c r="CK201" t="e">
        <f>AND(Bills!#REF!,"AAAAAGuun1g=")</f>
        <v>#REF!</v>
      </c>
      <c r="CL201" t="e">
        <f>AND(Bills!#REF!,"AAAAAGuun1k=")</f>
        <v>#REF!</v>
      </c>
      <c r="CM201" t="e">
        <f>AND(Bills!#REF!,"AAAAAGuun1o=")</f>
        <v>#REF!</v>
      </c>
      <c r="CN201" t="e">
        <f>AND(Bills!AA776,"AAAAAGuun1s=")</f>
        <v>#VALUE!</v>
      </c>
      <c r="CO201" t="e">
        <f>AND(Bills!AB776,"AAAAAGuun1w=")</f>
        <v>#VALUE!</v>
      </c>
      <c r="CP201" t="e">
        <f>AND(Bills!#REF!,"AAAAAGuun10=")</f>
        <v>#REF!</v>
      </c>
      <c r="CQ201">
        <f>IF(Bills!777:777,"AAAAAGuun14=",0)</f>
        <v>0</v>
      </c>
      <c r="CR201" t="e">
        <f>AND(Bills!B777,"AAAAAGuun18=")</f>
        <v>#VALUE!</v>
      </c>
      <c r="CS201" t="e">
        <f>AND(Bills!#REF!,"AAAAAGuun2A=")</f>
        <v>#REF!</v>
      </c>
      <c r="CT201" t="e">
        <f>AND(Bills!C777,"AAAAAGuun2E=")</f>
        <v>#VALUE!</v>
      </c>
      <c r="CU201" t="e">
        <f>AND(Bills!#REF!,"AAAAAGuun2I=")</f>
        <v>#REF!</v>
      </c>
      <c r="CV201" t="e">
        <f>AND(Bills!#REF!,"AAAAAGuun2M=")</f>
        <v>#REF!</v>
      </c>
      <c r="CW201" t="e">
        <f>AND(Bills!#REF!,"AAAAAGuun2Q=")</f>
        <v>#REF!</v>
      </c>
      <c r="CX201" t="e">
        <f>AND(Bills!#REF!,"AAAAAGuun2U=")</f>
        <v>#REF!</v>
      </c>
      <c r="CY201" t="e">
        <f>AND(Bills!#REF!,"AAAAAGuun2Y=")</f>
        <v>#REF!</v>
      </c>
      <c r="CZ201" t="e">
        <f>AND(Bills!D777,"AAAAAGuun2c=")</f>
        <v>#VALUE!</v>
      </c>
      <c r="DA201" t="e">
        <f>AND(Bills!#REF!,"AAAAAGuun2g=")</f>
        <v>#REF!</v>
      </c>
      <c r="DB201" t="e">
        <f>AND(Bills!E777,"AAAAAGuun2k=")</f>
        <v>#VALUE!</v>
      </c>
      <c r="DC201" t="e">
        <f>AND(Bills!F777,"AAAAAGuun2o=")</f>
        <v>#VALUE!</v>
      </c>
      <c r="DD201" t="e">
        <f>AND(Bills!G777,"AAAAAGuun2s=")</f>
        <v>#VALUE!</v>
      </c>
      <c r="DE201" t="e">
        <f>AND(Bills!H777,"AAAAAGuun2w=")</f>
        <v>#VALUE!</v>
      </c>
      <c r="DF201" t="e">
        <f>AND(Bills!I777,"AAAAAGuun20=")</f>
        <v>#VALUE!</v>
      </c>
      <c r="DG201" t="e">
        <f>AND(Bills!J777,"AAAAAGuun24=")</f>
        <v>#VALUE!</v>
      </c>
      <c r="DH201" t="e">
        <f>AND(Bills!#REF!,"AAAAAGuun28=")</f>
        <v>#REF!</v>
      </c>
      <c r="DI201" t="e">
        <f>AND(Bills!K777,"AAAAAGuun3A=")</f>
        <v>#VALUE!</v>
      </c>
      <c r="DJ201" t="e">
        <f>AND(Bills!L777,"AAAAAGuun3E=")</f>
        <v>#VALUE!</v>
      </c>
      <c r="DK201" t="e">
        <f>AND(Bills!M777,"AAAAAGuun3I=")</f>
        <v>#VALUE!</v>
      </c>
      <c r="DL201" t="e">
        <f>AND(Bills!N777,"AAAAAGuun3M=")</f>
        <v>#VALUE!</v>
      </c>
      <c r="DM201" t="e">
        <f>AND(Bills!O777,"AAAAAGuun3Q=")</f>
        <v>#VALUE!</v>
      </c>
      <c r="DN201" t="e">
        <f>AND(Bills!P777,"AAAAAGuun3U=")</f>
        <v>#VALUE!</v>
      </c>
      <c r="DO201" t="e">
        <f>AND(Bills!Q777,"AAAAAGuun3Y=")</f>
        <v>#VALUE!</v>
      </c>
      <c r="DP201" t="e">
        <f>AND(Bills!R777,"AAAAAGuun3c=")</f>
        <v>#VALUE!</v>
      </c>
      <c r="DQ201" t="e">
        <f>AND(Bills!#REF!,"AAAAAGuun3g=")</f>
        <v>#REF!</v>
      </c>
      <c r="DR201" t="e">
        <f>AND(Bills!S777,"AAAAAGuun3k=")</f>
        <v>#VALUE!</v>
      </c>
      <c r="DS201" t="e">
        <f>AND(Bills!T777,"AAAAAGuun3o=")</f>
        <v>#VALUE!</v>
      </c>
      <c r="DT201" t="e">
        <f>AND(Bills!U777,"AAAAAGuun3s=")</f>
        <v>#VALUE!</v>
      </c>
      <c r="DU201" t="e">
        <f>AND(Bills!#REF!,"AAAAAGuun3w=")</f>
        <v>#REF!</v>
      </c>
      <c r="DV201" t="e">
        <f>AND(Bills!#REF!,"AAAAAGuun30=")</f>
        <v>#REF!</v>
      </c>
      <c r="DW201" t="e">
        <f>AND(Bills!W777,"AAAAAGuun34=")</f>
        <v>#VALUE!</v>
      </c>
      <c r="DX201" t="e">
        <f>AND(Bills!X777,"AAAAAGuun38=")</f>
        <v>#VALUE!</v>
      </c>
      <c r="DY201" t="e">
        <f>AND(Bills!#REF!,"AAAAAGuun4A=")</f>
        <v>#REF!</v>
      </c>
      <c r="DZ201" t="e">
        <f>AND(Bills!#REF!,"AAAAAGuun4E=")</f>
        <v>#REF!</v>
      </c>
      <c r="EA201" t="e">
        <f>AND(Bills!#REF!,"AAAAAGuun4I=")</f>
        <v>#REF!</v>
      </c>
      <c r="EB201" t="e">
        <f>AND(Bills!#REF!,"AAAAAGuun4M=")</f>
        <v>#REF!</v>
      </c>
      <c r="EC201" t="e">
        <f>AND(Bills!#REF!,"AAAAAGuun4Q=")</f>
        <v>#REF!</v>
      </c>
      <c r="ED201" t="e">
        <f>AND(Bills!#REF!,"AAAAAGuun4U=")</f>
        <v>#REF!</v>
      </c>
      <c r="EE201" t="e">
        <f>AND(Bills!#REF!,"AAAAAGuun4Y=")</f>
        <v>#REF!</v>
      </c>
      <c r="EF201" t="e">
        <f>AND(Bills!#REF!,"AAAAAGuun4c=")</f>
        <v>#REF!</v>
      </c>
      <c r="EG201" t="e">
        <f>AND(Bills!#REF!,"AAAAAGuun4g=")</f>
        <v>#REF!</v>
      </c>
      <c r="EH201" t="e">
        <f>AND(Bills!Y777,"AAAAAGuun4k=")</f>
        <v>#VALUE!</v>
      </c>
      <c r="EI201" t="e">
        <f>AND(Bills!Z777,"AAAAAGuun4o=")</f>
        <v>#VALUE!</v>
      </c>
      <c r="EJ201" t="e">
        <f>AND(Bills!#REF!,"AAAAAGuun4s=")</f>
        <v>#REF!</v>
      </c>
      <c r="EK201" t="e">
        <f>AND(Bills!#REF!,"AAAAAGuun4w=")</f>
        <v>#REF!</v>
      </c>
      <c r="EL201" t="e">
        <f>AND(Bills!#REF!,"AAAAAGuun40=")</f>
        <v>#REF!</v>
      </c>
      <c r="EM201" t="e">
        <f>AND(Bills!AA777,"AAAAAGuun44=")</f>
        <v>#VALUE!</v>
      </c>
      <c r="EN201" t="e">
        <f>AND(Bills!AB777,"AAAAAGuun48=")</f>
        <v>#VALUE!</v>
      </c>
      <c r="EO201" t="e">
        <f>AND(Bills!#REF!,"AAAAAGuun5A=")</f>
        <v>#REF!</v>
      </c>
      <c r="EP201">
        <f>IF(Bills!778:778,"AAAAAGuun5E=",0)</f>
        <v>0</v>
      </c>
      <c r="EQ201" t="e">
        <f>AND(Bills!B778,"AAAAAGuun5I=")</f>
        <v>#VALUE!</v>
      </c>
      <c r="ER201" t="e">
        <f>AND(Bills!#REF!,"AAAAAGuun5M=")</f>
        <v>#REF!</v>
      </c>
      <c r="ES201" t="e">
        <f>AND(Bills!C778,"AAAAAGuun5Q=")</f>
        <v>#VALUE!</v>
      </c>
      <c r="ET201" t="e">
        <f>AND(Bills!#REF!,"AAAAAGuun5U=")</f>
        <v>#REF!</v>
      </c>
      <c r="EU201" t="e">
        <f>AND(Bills!#REF!,"AAAAAGuun5Y=")</f>
        <v>#REF!</v>
      </c>
      <c r="EV201" t="e">
        <f>AND(Bills!#REF!,"AAAAAGuun5c=")</f>
        <v>#REF!</v>
      </c>
      <c r="EW201" t="e">
        <f>AND(Bills!#REF!,"AAAAAGuun5g=")</f>
        <v>#REF!</v>
      </c>
      <c r="EX201" t="e">
        <f>AND(Bills!#REF!,"AAAAAGuun5k=")</f>
        <v>#REF!</v>
      </c>
      <c r="EY201" t="e">
        <f>AND(Bills!D778,"AAAAAGuun5o=")</f>
        <v>#VALUE!</v>
      </c>
      <c r="EZ201" t="e">
        <f>AND(Bills!#REF!,"AAAAAGuun5s=")</f>
        <v>#REF!</v>
      </c>
      <c r="FA201" t="e">
        <f>AND(Bills!E778,"AAAAAGuun5w=")</f>
        <v>#VALUE!</v>
      </c>
      <c r="FB201" t="e">
        <f>AND(Bills!F778,"AAAAAGuun50=")</f>
        <v>#VALUE!</v>
      </c>
      <c r="FC201" t="e">
        <f>AND(Bills!G778,"AAAAAGuun54=")</f>
        <v>#VALUE!</v>
      </c>
      <c r="FD201" t="e">
        <f>AND(Bills!H778,"AAAAAGuun58=")</f>
        <v>#VALUE!</v>
      </c>
      <c r="FE201" t="e">
        <f>AND(Bills!I778,"AAAAAGuun6A=")</f>
        <v>#VALUE!</v>
      </c>
      <c r="FF201" t="e">
        <f>AND(Bills!J778,"AAAAAGuun6E=")</f>
        <v>#VALUE!</v>
      </c>
      <c r="FG201" t="e">
        <f>AND(Bills!#REF!,"AAAAAGuun6I=")</f>
        <v>#REF!</v>
      </c>
      <c r="FH201" t="e">
        <f>AND(Bills!K778,"AAAAAGuun6M=")</f>
        <v>#VALUE!</v>
      </c>
      <c r="FI201" t="e">
        <f>AND(Bills!L778,"AAAAAGuun6Q=")</f>
        <v>#VALUE!</v>
      </c>
      <c r="FJ201" t="e">
        <f>AND(Bills!M778,"AAAAAGuun6U=")</f>
        <v>#VALUE!</v>
      </c>
      <c r="FK201" t="e">
        <f>AND(Bills!N778,"AAAAAGuun6Y=")</f>
        <v>#VALUE!</v>
      </c>
      <c r="FL201" t="e">
        <f>AND(Bills!O778,"AAAAAGuun6c=")</f>
        <v>#VALUE!</v>
      </c>
      <c r="FM201" t="e">
        <f>AND(Bills!P778,"AAAAAGuun6g=")</f>
        <v>#VALUE!</v>
      </c>
      <c r="FN201" t="e">
        <f>AND(Bills!Q778,"AAAAAGuun6k=")</f>
        <v>#VALUE!</v>
      </c>
      <c r="FO201" t="e">
        <f>AND(Bills!R778,"AAAAAGuun6o=")</f>
        <v>#VALUE!</v>
      </c>
      <c r="FP201" t="e">
        <f>AND(Bills!#REF!,"AAAAAGuun6s=")</f>
        <v>#REF!</v>
      </c>
      <c r="FQ201" t="e">
        <f>AND(Bills!S778,"AAAAAGuun6w=")</f>
        <v>#VALUE!</v>
      </c>
      <c r="FR201" t="e">
        <f>AND(Bills!T778,"AAAAAGuun60=")</f>
        <v>#VALUE!</v>
      </c>
      <c r="FS201" t="e">
        <f>AND(Bills!U778,"AAAAAGuun64=")</f>
        <v>#VALUE!</v>
      </c>
      <c r="FT201" t="e">
        <f>AND(Bills!#REF!,"AAAAAGuun68=")</f>
        <v>#REF!</v>
      </c>
      <c r="FU201" t="e">
        <f>AND(Bills!#REF!,"AAAAAGuun7A=")</f>
        <v>#REF!</v>
      </c>
      <c r="FV201" t="e">
        <f>AND(Bills!W778,"AAAAAGuun7E=")</f>
        <v>#VALUE!</v>
      </c>
      <c r="FW201" t="e">
        <f>AND(Bills!X778,"AAAAAGuun7I=")</f>
        <v>#VALUE!</v>
      </c>
      <c r="FX201" t="e">
        <f>AND(Bills!#REF!,"AAAAAGuun7M=")</f>
        <v>#REF!</v>
      </c>
      <c r="FY201" t="e">
        <f>AND(Bills!#REF!,"AAAAAGuun7Q=")</f>
        <v>#REF!</v>
      </c>
      <c r="FZ201" t="e">
        <f>AND(Bills!#REF!,"AAAAAGuun7U=")</f>
        <v>#REF!</v>
      </c>
      <c r="GA201" t="e">
        <f>AND(Bills!#REF!,"AAAAAGuun7Y=")</f>
        <v>#REF!</v>
      </c>
      <c r="GB201" t="e">
        <f>AND(Bills!#REF!,"AAAAAGuun7c=")</f>
        <v>#REF!</v>
      </c>
      <c r="GC201" t="e">
        <f>AND(Bills!#REF!,"AAAAAGuun7g=")</f>
        <v>#REF!</v>
      </c>
      <c r="GD201" t="e">
        <f>AND(Bills!#REF!,"AAAAAGuun7k=")</f>
        <v>#REF!</v>
      </c>
      <c r="GE201" t="e">
        <f>AND(Bills!#REF!,"AAAAAGuun7o=")</f>
        <v>#REF!</v>
      </c>
      <c r="GF201" t="e">
        <f>AND(Bills!#REF!,"AAAAAGuun7s=")</f>
        <v>#REF!</v>
      </c>
      <c r="GG201" t="e">
        <f>AND(Bills!Y778,"AAAAAGuun7w=")</f>
        <v>#VALUE!</v>
      </c>
      <c r="GH201" t="e">
        <f>AND(Bills!Z778,"AAAAAGuun70=")</f>
        <v>#VALUE!</v>
      </c>
      <c r="GI201" t="e">
        <f>AND(Bills!#REF!,"AAAAAGuun74=")</f>
        <v>#REF!</v>
      </c>
      <c r="GJ201" t="e">
        <f>AND(Bills!#REF!,"AAAAAGuun78=")</f>
        <v>#REF!</v>
      </c>
      <c r="GK201" t="e">
        <f>AND(Bills!#REF!,"AAAAAGuun8A=")</f>
        <v>#REF!</v>
      </c>
      <c r="GL201" t="e">
        <f>AND(Bills!AA778,"AAAAAGuun8E=")</f>
        <v>#VALUE!</v>
      </c>
      <c r="GM201" t="e">
        <f>AND(Bills!AB778,"AAAAAGuun8I=")</f>
        <v>#VALUE!</v>
      </c>
      <c r="GN201" t="e">
        <f>AND(Bills!#REF!,"AAAAAGuun8M=")</f>
        <v>#REF!</v>
      </c>
      <c r="GO201">
        <f>IF(Bills!779:779,"AAAAAGuun8Q=",0)</f>
        <v>0</v>
      </c>
      <c r="GP201" t="e">
        <f>AND(Bills!B779,"AAAAAGuun8U=")</f>
        <v>#VALUE!</v>
      </c>
      <c r="GQ201" t="e">
        <f>AND(Bills!#REF!,"AAAAAGuun8Y=")</f>
        <v>#REF!</v>
      </c>
      <c r="GR201" t="e">
        <f>AND(Bills!C779,"AAAAAGuun8c=")</f>
        <v>#VALUE!</v>
      </c>
      <c r="GS201" t="e">
        <f>AND(Bills!#REF!,"AAAAAGuun8g=")</f>
        <v>#REF!</v>
      </c>
      <c r="GT201" t="e">
        <f>AND(Bills!#REF!,"AAAAAGuun8k=")</f>
        <v>#REF!</v>
      </c>
      <c r="GU201" t="e">
        <f>AND(Bills!#REF!,"AAAAAGuun8o=")</f>
        <v>#REF!</v>
      </c>
      <c r="GV201" t="e">
        <f>AND(Bills!#REF!,"AAAAAGuun8s=")</f>
        <v>#REF!</v>
      </c>
      <c r="GW201" t="e">
        <f>AND(Bills!#REF!,"AAAAAGuun8w=")</f>
        <v>#REF!</v>
      </c>
      <c r="GX201" t="e">
        <f>AND(Bills!D779,"AAAAAGuun80=")</f>
        <v>#VALUE!</v>
      </c>
      <c r="GY201" t="e">
        <f>AND(Bills!#REF!,"AAAAAGuun84=")</f>
        <v>#REF!</v>
      </c>
      <c r="GZ201" t="e">
        <f>AND(Bills!E779,"AAAAAGuun88=")</f>
        <v>#VALUE!</v>
      </c>
      <c r="HA201" t="e">
        <f>AND(Bills!F779,"AAAAAGuun9A=")</f>
        <v>#VALUE!</v>
      </c>
      <c r="HB201" t="e">
        <f>AND(Bills!G779,"AAAAAGuun9E=")</f>
        <v>#VALUE!</v>
      </c>
      <c r="HC201" t="e">
        <f>AND(Bills!H779,"AAAAAGuun9I=")</f>
        <v>#VALUE!</v>
      </c>
      <c r="HD201" t="e">
        <f>AND(Bills!I779,"AAAAAGuun9M=")</f>
        <v>#VALUE!</v>
      </c>
      <c r="HE201" t="e">
        <f>AND(Bills!J779,"AAAAAGuun9Q=")</f>
        <v>#VALUE!</v>
      </c>
      <c r="HF201" t="e">
        <f>AND(Bills!#REF!,"AAAAAGuun9U=")</f>
        <v>#REF!</v>
      </c>
      <c r="HG201" t="e">
        <f>AND(Bills!K779,"AAAAAGuun9Y=")</f>
        <v>#VALUE!</v>
      </c>
      <c r="HH201" t="e">
        <f>AND(Bills!L779,"AAAAAGuun9c=")</f>
        <v>#VALUE!</v>
      </c>
      <c r="HI201" t="e">
        <f>AND(Bills!M779,"AAAAAGuun9g=")</f>
        <v>#VALUE!</v>
      </c>
      <c r="HJ201" t="e">
        <f>AND(Bills!N779,"AAAAAGuun9k=")</f>
        <v>#VALUE!</v>
      </c>
      <c r="HK201" t="e">
        <f>AND(Bills!O779,"AAAAAGuun9o=")</f>
        <v>#VALUE!</v>
      </c>
      <c r="HL201" t="e">
        <f>AND(Bills!P779,"AAAAAGuun9s=")</f>
        <v>#VALUE!</v>
      </c>
      <c r="HM201" t="e">
        <f>AND(Bills!Q779,"AAAAAGuun9w=")</f>
        <v>#VALUE!</v>
      </c>
      <c r="HN201" t="e">
        <f>AND(Bills!R779,"AAAAAGuun90=")</f>
        <v>#VALUE!</v>
      </c>
      <c r="HO201" t="e">
        <f>AND(Bills!#REF!,"AAAAAGuun94=")</f>
        <v>#REF!</v>
      </c>
      <c r="HP201" t="e">
        <f>AND(Bills!S779,"AAAAAGuun98=")</f>
        <v>#VALUE!</v>
      </c>
      <c r="HQ201" t="e">
        <f>AND(Bills!T779,"AAAAAGuun+A=")</f>
        <v>#VALUE!</v>
      </c>
      <c r="HR201" t="e">
        <f>AND(Bills!U779,"AAAAAGuun+E=")</f>
        <v>#VALUE!</v>
      </c>
      <c r="HS201" t="e">
        <f>AND(Bills!#REF!,"AAAAAGuun+I=")</f>
        <v>#REF!</v>
      </c>
      <c r="HT201" t="e">
        <f>AND(Bills!#REF!,"AAAAAGuun+M=")</f>
        <v>#REF!</v>
      </c>
      <c r="HU201" t="e">
        <f>AND(Bills!W779,"AAAAAGuun+Q=")</f>
        <v>#VALUE!</v>
      </c>
      <c r="HV201" t="e">
        <f>AND(Bills!X779,"AAAAAGuun+U=")</f>
        <v>#VALUE!</v>
      </c>
      <c r="HW201" t="e">
        <f>AND(Bills!#REF!,"AAAAAGuun+Y=")</f>
        <v>#REF!</v>
      </c>
      <c r="HX201" t="e">
        <f>AND(Bills!#REF!,"AAAAAGuun+c=")</f>
        <v>#REF!</v>
      </c>
      <c r="HY201" t="e">
        <f>AND(Bills!#REF!,"AAAAAGuun+g=")</f>
        <v>#REF!</v>
      </c>
      <c r="HZ201" t="e">
        <f>AND(Bills!#REF!,"AAAAAGuun+k=")</f>
        <v>#REF!</v>
      </c>
      <c r="IA201" t="e">
        <f>AND(Bills!#REF!,"AAAAAGuun+o=")</f>
        <v>#REF!</v>
      </c>
      <c r="IB201" t="e">
        <f>AND(Bills!#REF!,"AAAAAGuun+s=")</f>
        <v>#REF!</v>
      </c>
      <c r="IC201" t="e">
        <f>AND(Bills!#REF!,"AAAAAGuun+w=")</f>
        <v>#REF!</v>
      </c>
      <c r="ID201" t="e">
        <f>AND(Bills!#REF!,"AAAAAGuun+0=")</f>
        <v>#REF!</v>
      </c>
      <c r="IE201" t="e">
        <f>AND(Bills!#REF!,"AAAAAGuun+4=")</f>
        <v>#REF!</v>
      </c>
      <c r="IF201" t="e">
        <f>AND(Bills!Y779,"AAAAAGuun+8=")</f>
        <v>#VALUE!</v>
      </c>
      <c r="IG201" t="e">
        <f>AND(Bills!Z779,"AAAAAGuun/A=")</f>
        <v>#VALUE!</v>
      </c>
      <c r="IH201" t="e">
        <f>AND(Bills!#REF!,"AAAAAGuun/E=")</f>
        <v>#REF!</v>
      </c>
      <c r="II201" t="e">
        <f>AND(Bills!#REF!,"AAAAAGuun/I=")</f>
        <v>#REF!</v>
      </c>
      <c r="IJ201" t="e">
        <f>AND(Bills!#REF!,"AAAAAGuun/M=")</f>
        <v>#REF!</v>
      </c>
      <c r="IK201" t="e">
        <f>AND(Bills!AA779,"AAAAAGuun/Q=")</f>
        <v>#VALUE!</v>
      </c>
      <c r="IL201" t="e">
        <f>AND(Bills!AB779,"AAAAAGuun/U=")</f>
        <v>#VALUE!</v>
      </c>
      <c r="IM201" t="e">
        <f>AND(Bills!#REF!,"AAAAAGuun/Y=")</f>
        <v>#REF!</v>
      </c>
      <c r="IN201">
        <f>IF(Bills!780:780,"AAAAAGuun/c=",0)</f>
        <v>0</v>
      </c>
      <c r="IO201" t="e">
        <f>AND(Bills!B780,"AAAAAGuun/g=")</f>
        <v>#VALUE!</v>
      </c>
      <c r="IP201" t="e">
        <f>AND(Bills!#REF!,"AAAAAGuun/k=")</f>
        <v>#REF!</v>
      </c>
      <c r="IQ201" t="e">
        <f>AND(Bills!C780,"AAAAAGuun/o=")</f>
        <v>#VALUE!</v>
      </c>
      <c r="IR201" t="e">
        <f>AND(Bills!#REF!,"AAAAAGuun/s=")</f>
        <v>#REF!</v>
      </c>
      <c r="IS201" t="e">
        <f>AND(Bills!#REF!,"AAAAAGuun/w=")</f>
        <v>#REF!</v>
      </c>
      <c r="IT201" t="e">
        <f>AND(Bills!#REF!,"AAAAAGuun/0=")</f>
        <v>#REF!</v>
      </c>
      <c r="IU201" t="e">
        <f>AND(Bills!#REF!,"AAAAAGuun/4=")</f>
        <v>#REF!</v>
      </c>
      <c r="IV201" t="e">
        <f>AND(Bills!#REF!,"AAAAAGuun/8=")</f>
        <v>#REF!</v>
      </c>
    </row>
    <row r="202" spans="1:256">
      <c r="A202" t="e">
        <f>AND(Bills!D780,"AAAAACaNbwA=")</f>
        <v>#VALUE!</v>
      </c>
      <c r="B202" t="e">
        <f>AND(Bills!#REF!,"AAAAACaNbwE=")</f>
        <v>#REF!</v>
      </c>
      <c r="C202" t="e">
        <f>AND(Bills!E780,"AAAAACaNbwI=")</f>
        <v>#VALUE!</v>
      </c>
      <c r="D202" t="e">
        <f>AND(Bills!F780,"AAAAACaNbwM=")</f>
        <v>#VALUE!</v>
      </c>
      <c r="E202" t="e">
        <f>AND(Bills!G780,"AAAAACaNbwQ=")</f>
        <v>#VALUE!</v>
      </c>
      <c r="F202" t="e">
        <f>AND(Bills!H780,"AAAAACaNbwU=")</f>
        <v>#VALUE!</v>
      </c>
      <c r="G202" t="e">
        <f>AND(Bills!I780,"AAAAACaNbwY=")</f>
        <v>#VALUE!</v>
      </c>
      <c r="H202" t="e">
        <f>AND(Bills!J780,"AAAAACaNbwc=")</f>
        <v>#VALUE!</v>
      </c>
      <c r="I202" t="e">
        <f>AND(Bills!#REF!,"AAAAACaNbwg=")</f>
        <v>#REF!</v>
      </c>
      <c r="J202" t="e">
        <f>AND(Bills!K780,"AAAAACaNbwk=")</f>
        <v>#VALUE!</v>
      </c>
      <c r="K202" t="e">
        <f>AND(Bills!L780,"AAAAACaNbwo=")</f>
        <v>#VALUE!</v>
      </c>
      <c r="L202" t="e">
        <f>AND(Bills!M780,"AAAAACaNbws=")</f>
        <v>#VALUE!</v>
      </c>
      <c r="M202" t="e">
        <f>AND(Bills!N780,"AAAAACaNbww=")</f>
        <v>#VALUE!</v>
      </c>
      <c r="N202" t="e">
        <f>AND(Bills!O780,"AAAAACaNbw0=")</f>
        <v>#VALUE!</v>
      </c>
      <c r="O202" t="e">
        <f>AND(Bills!P780,"AAAAACaNbw4=")</f>
        <v>#VALUE!</v>
      </c>
      <c r="P202" t="e">
        <f>AND(Bills!Q780,"AAAAACaNbw8=")</f>
        <v>#VALUE!</v>
      </c>
      <c r="Q202" t="e">
        <f>AND(Bills!R780,"AAAAACaNbxA=")</f>
        <v>#VALUE!</v>
      </c>
      <c r="R202" t="e">
        <f>AND(Bills!#REF!,"AAAAACaNbxE=")</f>
        <v>#REF!</v>
      </c>
      <c r="S202" t="e">
        <f>AND(Bills!S780,"AAAAACaNbxI=")</f>
        <v>#VALUE!</v>
      </c>
      <c r="T202" t="e">
        <f>AND(Bills!T780,"AAAAACaNbxM=")</f>
        <v>#VALUE!</v>
      </c>
      <c r="U202" t="e">
        <f>AND(Bills!U780,"AAAAACaNbxQ=")</f>
        <v>#VALUE!</v>
      </c>
      <c r="V202" t="e">
        <f>AND(Bills!#REF!,"AAAAACaNbxU=")</f>
        <v>#REF!</v>
      </c>
      <c r="W202" t="e">
        <f>AND(Bills!#REF!,"AAAAACaNbxY=")</f>
        <v>#REF!</v>
      </c>
      <c r="X202" t="e">
        <f>AND(Bills!W780,"AAAAACaNbxc=")</f>
        <v>#VALUE!</v>
      </c>
      <c r="Y202" t="e">
        <f>AND(Bills!X780,"AAAAACaNbxg=")</f>
        <v>#VALUE!</v>
      </c>
      <c r="Z202" t="e">
        <f>AND(Bills!#REF!,"AAAAACaNbxk=")</f>
        <v>#REF!</v>
      </c>
      <c r="AA202" t="e">
        <f>AND(Bills!#REF!,"AAAAACaNbxo=")</f>
        <v>#REF!</v>
      </c>
      <c r="AB202" t="e">
        <f>AND(Bills!#REF!,"AAAAACaNbxs=")</f>
        <v>#REF!</v>
      </c>
      <c r="AC202" t="e">
        <f>AND(Bills!#REF!,"AAAAACaNbxw=")</f>
        <v>#REF!</v>
      </c>
      <c r="AD202" t="e">
        <f>AND(Bills!#REF!,"AAAAACaNbx0=")</f>
        <v>#REF!</v>
      </c>
      <c r="AE202" t="e">
        <f>AND(Bills!#REF!,"AAAAACaNbx4=")</f>
        <v>#REF!</v>
      </c>
      <c r="AF202" t="e">
        <f>AND(Bills!#REF!,"AAAAACaNbx8=")</f>
        <v>#REF!</v>
      </c>
      <c r="AG202" t="e">
        <f>AND(Bills!#REF!,"AAAAACaNbyA=")</f>
        <v>#REF!</v>
      </c>
      <c r="AH202" t="e">
        <f>AND(Bills!#REF!,"AAAAACaNbyE=")</f>
        <v>#REF!</v>
      </c>
      <c r="AI202" t="e">
        <f>AND(Bills!Y780,"AAAAACaNbyI=")</f>
        <v>#VALUE!</v>
      </c>
      <c r="AJ202" t="e">
        <f>AND(Bills!Z780,"AAAAACaNbyM=")</f>
        <v>#VALUE!</v>
      </c>
      <c r="AK202" t="e">
        <f>AND(Bills!#REF!,"AAAAACaNbyQ=")</f>
        <v>#REF!</v>
      </c>
      <c r="AL202" t="e">
        <f>AND(Bills!#REF!,"AAAAACaNbyU=")</f>
        <v>#REF!</v>
      </c>
      <c r="AM202" t="e">
        <f>AND(Bills!#REF!,"AAAAACaNbyY=")</f>
        <v>#REF!</v>
      </c>
      <c r="AN202" t="e">
        <f>AND(Bills!AA780,"AAAAACaNbyc=")</f>
        <v>#VALUE!</v>
      </c>
      <c r="AO202" t="e">
        <f>AND(Bills!AB780,"AAAAACaNbyg=")</f>
        <v>#VALUE!</v>
      </c>
      <c r="AP202" t="e">
        <f>AND(Bills!#REF!,"AAAAACaNbyk=")</f>
        <v>#REF!</v>
      </c>
      <c r="AQ202">
        <f>IF(Bills!781:781,"AAAAACaNbyo=",0)</f>
        <v>0</v>
      </c>
      <c r="AR202" t="e">
        <f>AND(Bills!B781,"AAAAACaNbys=")</f>
        <v>#VALUE!</v>
      </c>
      <c r="AS202" t="e">
        <f>AND(Bills!#REF!,"AAAAACaNbyw=")</f>
        <v>#REF!</v>
      </c>
      <c r="AT202" t="e">
        <f>AND(Bills!C781,"AAAAACaNby0=")</f>
        <v>#VALUE!</v>
      </c>
      <c r="AU202" t="e">
        <f>AND(Bills!#REF!,"AAAAACaNby4=")</f>
        <v>#REF!</v>
      </c>
      <c r="AV202" t="e">
        <f>AND(Bills!#REF!,"AAAAACaNby8=")</f>
        <v>#REF!</v>
      </c>
      <c r="AW202" t="e">
        <f>AND(Bills!#REF!,"AAAAACaNbzA=")</f>
        <v>#REF!</v>
      </c>
      <c r="AX202" t="e">
        <f>AND(Bills!#REF!,"AAAAACaNbzE=")</f>
        <v>#REF!</v>
      </c>
      <c r="AY202" t="e">
        <f>AND(Bills!#REF!,"AAAAACaNbzI=")</f>
        <v>#REF!</v>
      </c>
      <c r="AZ202" t="e">
        <f>AND(Bills!D781,"AAAAACaNbzM=")</f>
        <v>#VALUE!</v>
      </c>
      <c r="BA202" t="e">
        <f>AND(Bills!#REF!,"AAAAACaNbzQ=")</f>
        <v>#REF!</v>
      </c>
      <c r="BB202" t="e">
        <f>AND(Bills!E781,"AAAAACaNbzU=")</f>
        <v>#VALUE!</v>
      </c>
      <c r="BC202" t="e">
        <f>AND(Bills!F781,"AAAAACaNbzY=")</f>
        <v>#VALUE!</v>
      </c>
      <c r="BD202" t="e">
        <f>AND(Bills!G781,"AAAAACaNbzc=")</f>
        <v>#VALUE!</v>
      </c>
      <c r="BE202" t="e">
        <f>AND(Bills!H781,"AAAAACaNbzg=")</f>
        <v>#VALUE!</v>
      </c>
      <c r="BF202" t="e">
        <f>AND(Bills!I781,"AAAAACaNbzk=")</f>
        <v>#VALUE!</v>
      </c>
      <c r="BG202" t="e">
        <f>AND(Bills!J781,"AAAAACaNbzo=")</f>
        <v>#VALUE!</v>
      </c>
      <c r="BH202" t="e">
        <f>AND(Bills!#REF!,"AAAAACaNbzs=")</f>
        <v>#REF!</v>
      </c>
      <c r="BI202" t="e">
        <f>AND(Bills!K781,"AAAAACaNbzw=")</f>
        <v>#VALUE!</v>
      </c>
      <c r="BJ202" t="e">
        <f>AND(Bills!L781,"AAAAACaNbz0=")</f>
        <v>#VALUE!</v>
      </c>
      <c r="BK202" t="e">
        <f>AND(Bills!M781,"AAAAACaNbz4=")</f>
        <v>#VALUE!</v>
      </c>
      <c r="BL202" t="e">
        <f>AND(Bills!N781,"AAAAACaNbz8=")</f>
        <v>#VALUE!</v>
      </c>
      <c r="BM202" t="e">
        <f>AND(Bills!O781,"AAAAACaNb0A=")</f>
        <v>#VALUE!</v>
      </c>
      <c r="BN202" t="e">
        <f>AND(Bills!P781,"AAAAACaNb0E=")</f>
        <v>#VALUE!</v>
      </c>
      <c r="BO202" t="e">
        <f>AND(Bills!Q781,"AAAAACaNb0I=")</f>
        <v>#VALUE!</v>
      </c>
      <c r="BP202" t="e">
        <f>AND(Bills!R781,"AAAAACaNb0M=")</f>
        <v>#VALUE!</v>
      </c>
      <c r="BQ202" t="e">
        <f>AND(Bills!#REF!,"AAAAACaNb0Q=")</f>
        <v>#REF!</v>
      </c>
      <c r="BR202" t="e">
        <f>AND(Bills!S781,"AAAAACaNb0U=")</f>
        <v>#VALUE!</v>
      </c>
      <c r="BS202" t="e">
        <f>AND(Bills!T781,"AAAAACaNb0Y=")</f>
        <v>#VALUE!</v>
      </c>
      <c r="BT202" t="e">
        <f>AND(Bills!U781,"AAAAACaNb0c=")</f>
        <v>#VALUE!</v>
      </c>
      <c r="BU202" t="e">
        <f>AND(Bills!#REF!,"AAAAACaNb0g=")</f>
        <v>#REF!</v>
      </c>
      <c r="BV202" t="e">
        <f>AND(Bills!#REF!,"AAAAACaNb0k=")</f>
        <v>#REF!</v>
      </c>
      <c r="BW202" t="e">
        <f>AND(Bills!W781,"AAAAACaNb0o=")</f>
        <v>#VALUE!</v>
      </c>
      <c r="BX202" t="e">
        <f>AND(Bills!X781,"AAAAACaNb0s=")</f>
        <v>#VALUE!</v>
      </c>
      <c r="BY202" t="e">
        <f>AND(Bills!#REF!,"AAAAACaNb0w=")</f>
        <v>#REF!</v>
      </c>
      <c r="BZ202" t="e">
        <f>AND(Bills!#REF!,"AAAAACaNb00=")</f>
        <v>#REF!</v>
      </c>
      <c r="CA202" t="e">
        <f>AND(Bills!#REF!,"AAAAACaNb04=")</f>
        <v>#REF!</v>
      </c>
      <c r="CB202" t="e">
        <f>AND(Bills!#REF!,"AAAAACaNb08=")</f>
        <v>#REF!</v>
      </c>
      <c r="CC202" t="e">
        <f>AND(Bills!#REF!,"AAAAACaNb1A=")</f>
        <v>#REF!</v>
      </c>
      <c r="CD202" t="e">
        <f>AND(Bills!#REF!,"AAAAACaNb1E=")</f>
        <v>#REF!</v>
      </c>
      <c r="CE202" t="e">
        <f>AND(Bills!#REF!,"AAAAACaNb1I=")</f>
        <v>#REF!</v>
      </c>
      <c r="CF202" t="e">
        <f>AND(Bills!#REF!,"AAAAACaNb1M=")</f>
        <v>#REF!</v>
      </c>
      <c r="CG202" t="e">
        <f>AND(Bills!#REF!,"AAAAACaNb1Q=")</f>
        <v>#REF!</v>
      </c>
      <c r="CH202" t="e">
        <f>AND(Bills!Y781,"AAAAACaNb1U=")</f>
        <v>#VALUE!</v>
      </c>
      <c r="CI202" t="e">
        <f>AND(Bills!Z781,"AAAAACaNb1Y=")</f>
        <v>#VALUE!</v>
      </c>
      <c r="CJ202" t="e">
        <f>AND(Bills!#REF!,"AAAAACaNb1c=")</f>
        <v>#REF!</v>
      </c>
      <c r="CK202" t="e">
        <f>AND(Bills!#REF!,"AAAAACaNb1g=")</f>
        <v>#REF!</v>
      </c>
      <c r="CL202" t="e">
        <f>AND(Bills!#REF!,"AAAAACaNb1k=")</f>
        <v>#REF!</v>
      </c>
      <c r="CM202" t="e">
        <f>AND(Bills!AA781,"AAAAACaNb1o=")</f>
        <v>#VALUE!</v>
      </c>
      <c r="CN202" t="e">
        <f>AND(Bills!AB781,"AAAAACaNb1s=")</f>
        <v>#VALUE!</v>
      </c>
      <c r="CO202" t="e">
        <f>AND(Bills!#REF!,"AAAAACaNb1w=")</f>
        <v>#REF!</v>
      </c>
      <c r="CP202">
        <f>IF(Bills!782:782,"AAAAACaNb10=",0)</f>
        <v>0</v>
      </c>
      <c r="CQ202" t="e">
        <f>AND(Bills!B782,"AAAAACaNb14=")</f>
        <v>#VALUE!</v>
      </c>
      <c r="CR202" t="e">
        <f>AND(Bills!#REF!,"AAAAACaNb18=")</f>
        <v>#REF!</v>
      </c>
      <c r="CS202" t="e">
        <f>AND(Bills!C782,"AAAAACaNb2A=")</f>
        <v>#VALUE!</v>
      </c>
      <c r="CT202" t="e">
        <f>AND(Bills!#REF!,"AAAAACaNb2E=")</f>
        <v>#REF!</v>
      </c>
      <c r="CU202" t="e">
        <f>AND(Bills!#REF!,"AAAAACaNb2I=")</f>
        <v>#REF!</v>
      </c>
      <c r="CV202" t="e">
        <f>AND(Bills!#REF!,"AAAAACaNb2M=")</f>
        <v>#REF!</v>
      </c>
      <c r="CW202" t="e">
        <f>AND(Bills!#REF!,"AAAAACaNb2Q=")</f>
        <v>#REF!</v>
      </c>
      <c r="CX202" t="e">
        <f>AND(Bills!#REF!,"AAAAACaNb2U=")</f>
        <v>#REF!</v>
      </c>
      <c r="CY202" t="e">
        <f>AND(Bills!D782,"AAAAACaNb2Y=")</f>
        <v>#VALUE!</v>
      </c>
      <c r="CZ202" t="e">
        <f>AND(Bills!#REF!,"AAAAACaNb2c=")</f>
        <v>#REF!</v>
      </c>
      <c r="DA202" t="e">
        <f>AND(Bills!E782,"AAAAACaNb2g=")</f>
        <v>#VALUE!</v>
      </c>
      <c r="DB202" t="e">
        <f>AND(Bills!F782,"AAAAACaNb2k=")</f>
        <v>#VALUE!</v>
      </c>
      <c r="DC202" t="e">
        <f>AND(Bills!G782,"AAAAACaNb2o=")</f>
        <v>#VALUE!</v>
      </c>
      <c r="DD202" t="e">
        <f>AND(Bills!H782,"AAAAACaNb2s=")</f>
        <v>#VALUE!</v>
      </c>
      <c r="DE202" t="e">
        <f>AND(Bills!I782,"AAAAACaNb2w=")</f>
        <v>#VALUE!</v>
      </c>
      <c r="DF202" t="e">
        <f>AND(Bills!J782,"AAAAACaNb20=")</f>
        <v>#VALUE!</v>
      </c>
      <c r="DG202" t="e">
        <f>AND(Bills!#REF!,"AAAAACaNb24=")</f>
        <v>#REF!</v>
      </c>
      <c r="DH202" t="e">
        <f>AND(Bills!K782,"AAAAACaNb28=")</f>
        <v>#VALUE!</v>
      </c>
      <c r="DI202" t="e">
        <f>AND(Bills!L782,"AAAAACaNb3A=")</f>
        <v>#VALUE!</v>
      </c>
      <c r="DJ202" t="e">
        <f>AND(Bills!M782,"AAAAACaNb3E=")</f>
        <v>#VALUE!</v>
      </c>
      <c r="DK202" t="e">
        <f>AND(Bills!N782,"AAAAACaNb3I=")</f>
        <v>#VALUE!</v>
      </c>
      <c r="DL202" t="e">
        <f>AND(Bills!O782,"AAAAACaNb3M=")</f>
        <v>#VALUE!</v>
      </c>
      <c r="DM202" t="e">
        <f>AND(Bills!P782,"AAAAACaNb3Q=")</f>
        <v>#VALUE!</v>
      </c>
      <c r="DN202" t="e">
        <f>AND(Bills!Q782,"AAAAACaNb3U=")</f>
        <v>#VALUE!</v>
      </c>
      <c r="DO202" t="e">
        <f>AND(Bills!R782,"AAAAACaNb3Y=")</f>
        <v>#VALUE!</v>
      </c>
      <c r="DP202" t="e">
        <f>AND(Bills!#REF!,"AAAAACaNb3c=")</f>
        <v>#REF!</v>
      </c>
      <c r="DQ202" t="e">
        <f>AND(Bills!S782,"AAAAACaNb3g=")</f>
        <v>#VALUE!</v>
      </c>
      <c r="DR202" t="e">
        <f>AND(Bills!T782,"AAAAACaNb3k=")</f>
        <v>#VALUE!</v>
      </c>
      <c r="DS202" t="e">
        <f>AND(Bills!U782,"AAAAACaNb3o=")</f>
        <v>#VALUE!</v>
      </c>
      <c r="DT202" t="e">
        <f>AND(Bills!#REF!,"AAAAACaNb3s=")</f>
        <v>#REF!</v>
      </c>
      <c r="DU202" t="e">
        <f>AND(Bills!#REF!,"AAAAACaNb3w=")</f>
        <v>#REF!</v>
      </c>
      <c r="DV202" t="e">
        <f>AND(Bills!W782,"AAAAACaNb30=")</f>
        <v>#VALUE!</v>
      </c>
      <c r="DW202" t="e">
        <f>AND(Bills!X782,"AAAAACaNb34=")</f>
        <v>#VALUE!</v>
      </c>
      <c r="DX202" t="e">
        <f>AND(Bills!#REF!,"AAAAACaNb38=")</f>
        <v>#REF!</v>
      </c>
      <c r="DY202" t="e">
        <f>AND(Bills!#REF!,"AAAAACaNb4A=")</f>
        <v>#REF!</v>
      </c>
      <c r="DZ202" t="e">
        <f>AND(Bills!#REF!,"AAAAACaNb4E=")</f>
        <v>#REF!</v>
      </c>
      <c r="EA202" t="e">
        <f>AND(Bills!#REF!,"AAAAACaNb4I=")</f>
        <v>#REF!</v>
      </c>
      <c r="EB202" t="e">
        <f>AND(Bills!#REF!,"AAAAACaNb4M=")</f>
        <v>#REF!</v>
      </c>
      <c r="EC202" t="e">
        <f>AND(Bills!#REF!,"AAAAACaNb4Q=")</f>
        <v>#REF!</v>
      </c>
      <c r="ED202" t="e">
        <f>AND(Bills!#REF!,"AAAAACaNb4U=")</f>
        <v>#REF!</v>
      </c>
      <c r="EE202" t="e">
        <f>AND(Bills!#REF!,"AAAAACaNb4Y=")</f>
        <v>#REF!</v>
      </c>
      <c r="EF202" t="e">
        <f>AND(Bills!#REF!,"AAAAACaNb4c=")</f>
        <v>#REF!</v>
      </c>
      <c r="EG202" t="e">
        <f>AND(Bills!Y782,"AAAAACaNb4g=")</f>
        <v>#VALUE!</v>
      </c>
      <c r="EH202" t="e">
        <f>AND(Bills!Z782,"AAAAACaNb4k=")</f>
        <v>#VALUE!</v>
      </c>
      <c r="EI202" t="e">
        <f>AND(Bills!#REF!,"AAAAACaNb4o=")</f>
        <v>#REF!</v>
      </c>
      <c r="EJ202" t="e">
        <f>AND(Bills!#REF!,"AAAAACaNb4s=")</f>
        <v>#REF!</v>
      </c>
      <c r="EK202" t="e">
        <f>AND(Bills!#REF!,"AAAAACaNb4w=")</f>
        <v>#REF!</v>
      </c>
      <c r="EL202" t="e">
        <f>AND(Bills!AA782,"AAAAACaNb40=")</f>
        <v>#VALUE!</v>
      </c>
      <c r="EM202" t="e">
        <f>AND(Bills!AB782,"AAAAACaNb44=")</f>
        <v>#VALUE!</v>
      </c>
      <c r="EN202" t="e">
        <f>AND(Bills!#REF!,"AAAAACaNb48=")</f>
        <v>#REF!</v>
      </c>
      <c r="EO202">
        <f>IF(Bills!783:783,"AAAAACaNb5A=",0)</f>
        <v>0</v>
      </c>
      <c r="EP202" t="e">
        <f>AND(Bills!B783,"AAAAACaNb5E=")</f>
        <v>#VALUE!</v>
      </c>
      <c r="EQ202" t="e">
        <f>AND(Bills!#REF!,"AAAAACaNb5I=")</f>
        <v>#REF!</v>
      </c>
      <c r="ER202" t="e">
        <f>AND(Bills!C783,"AAAAACaNb5M=")</f>
        <v>#VALUE!</v>
      </c>
      <c r="ES202" t="e">
        <f>AND(Bills!#REF!,"AAAAACaNb5Q=")</f>
        <v>#REF!</v>
      </c>
      <c r="ET202" t="e">
        <f>AND(Bills!#REF!,"AAAAACaNb5U=")</f>
        <v>#REF!</v>
      </c>
      <c r="EU202" t="e">
        <f>AND(Bills!#REF!,"AAAAACaNb5Y=")</f>
        <v>#REF!</v>
      </c>
      <c r="EV202" t="e">
        <f>AND(Bills!#REF!,"AAAAACaNb5c=")</f>
        <v>#REF!</v>
      </c>
      <c r="EW202" t="e">
        <f>AND(Bills!#REF!,"AAAAACaNb5g=")</f>
        <v>#REF!</v>
      </c>
      <c r="EX202" t="e">
        <f>AND(Bills!D783,"AAAAACaNb5k=")</f>
        <v>#VALUE!</v>
      </c>
      <c r="EY202" t="e">
        <f>AND(Bills!#REF!,"AAAAACaNb5o=")</f>
        <v>#REF!</v>
      </c>
      <c r="EZ202" t="e">
        <f>AND(Bills!E783,"AAAAACaNb5s=")</f>
        <v>#VALUE!</v>
      </c>
      <c r="FA202" t="e">
        <f>AND(Bills!F783,"AAAAACaNb5w=")</f>
        <v>#VALUE!</v>
      </c>
      <c r="FB202" t="e">
        <f>AND(Bills!G783,"AAAAACaNb50=")</f>
        <v>#VALUE!</v>
      </c>
      <c r="FC202" t="e">
        <f>AND(Bills!H783,"AAAAACaNb54=")</f>
        <v>#VALUE!</v>
      </c>
      <c r="FD202" t="e">
        <f>AND(Bills!I783,"AAAAACaNb58=")</f>
        <v>#VALUE!</v>
      </c>
      <c r="FE202" t="e">
        <f>AND(Bills!J783,"AAAAACaNb6A=")</f>
        <v>#VALUE!</v>
      </c>
      <c r="FF202" t="e">
        <f>AND(Bills!#REF!,"AAAAACaNb6E=")</f>
        <v>#REF!</v>
      </c>
      <c r="FG202" t="e">
        <f>AND(Bills!K783,"AAAAACaNb6I=")</f>
        <v>#VALUE!</v>
      </c>
      <c r="FH202" t="e">
        <f>AND(Bills!L783,"AAAAACaNb6M=")</f>
        <v>#VALUE!</v>
      </c>
      <c r="FI202" t="e">
        <f>AND(Bills!M783,"AAAAACaNb6Q=")</f>
        <v>#VALUE!</v>
      </c>
      <c r="FJ202" t="e">
        <f>AND(Bills!N783,"AAAAACaNb6U=")</f>
        <v>#VALUE!</v>
      </c>
      <c r="FK202" t="e">
        <f>AND(Bills!O783,"AAAAACaNb6Y=")</f>
        <v>#VALUE!</v>
      </c>
      <c r="FL202" t="e">
        <f>AND(Bills!P783,"AAAAACaNb6c=")</f>
        <v>#VALUE!</v>
      </c>
      <c r="FM202" t="e">
        <f>AND(Bills!Q783,"AAAAACaNb6g=")</f>
        <v>#VALUE!</v>
      </c>
      <c r="FN202" t="e">
        <f>AND(Bills!R783,"AAAAACaNb6k=")</f>
        <v>#VALUE!</v>
      </c>
      <c r="FO202" t="e">
        <f>AND(Bills!#REF!,"AAAAACaNb6o=")</f>
        <v>#REF!</v>
      </c>
      <c r="FP202" t="e">
        <f>AND(Bills!S783,"AAAAACaNb6s=")</f>
        <v>#VALUE!</v>
      </c>
      <c r="FQ202" t="e">
        <f>AND(Bills!T783,"AAAAACaNb6w=")</f>
        <v>#VALUE!</v>
      </c>
      <c r="FR202" t="e">
        <f>AND(Bills!U783,"AAAAACaNb60=")</f>
        <v>#VALUE!</v>
      </c>
      <c r="FS202" t="e">
        <f>AND(Bills!#REF!,"AAAAACaNb64=")</f>
        <v>#REF!</v>
      </c>
      <c r="FT202" t="e">
        <f>AND(Bills!#REF!,"AAAAACaNb68=")</f>
        <v>#REF!</v>
      </c>
      <c r="FU202" t="e">
        <f>AND(Bills!W783,"AAAAACaNb7A=")</f>
        <v>#VALUE!</v>
      </c>
      <c r="FV202" t="e">
        <f>AND(Bills!X783,"AAAAACaNb7E=")</f>
        <v>#VALUE!</v>
      </c>
      <c r="FW202" t="e">
        <f>AND(Bills!#REF!,"AAAAACaNb7I=")</f>
        <v>#REF!</v>
      </c>
      <c r="FX202" t="e">
        <f>AND(Bills!#REF!,"AAAAACaNb7M=")</f>
        <v>#REF!</v>
      </c>
      <c r="FY202" t="e">
        <f>AND(Bills!#REF!,"AAAAACaNb7Q=")</f>
        <v>#REF!</v>
      </c>
      <c r="FZ202" t="e">
        <f>AND(Bills!#REF!,"AAAAACaNb7U=")</f>
        <v>#REF!</v>
      </c>
      <c r="GA202" t="e">
        <f>AND(Bills!#REF!,"AAAAACaNb7Y=")</f>
        <v>#REF!</v>
      </c>
      <c r="GB202" t="e">
        <f>AND(Bills!#REF!,"AAAAACaNb7c=")</f>
        <v>#REF!</v>
      </c>
      <c r="GC202" t="e">
        <f>AND(Bills!#REF!,"AAAAACaNb7g=")</f>
        <v>#REF!</v>
      </c>
      <c r="GD202" t="e">
        <f>AND(Bills!#REF!,"AAAAACaNb7k=")</f>
        <v>#REF!</v>
      </c>
      <c r="GE202" t="e">
        <f>AND(Bills!#REF!,"AAAAACaNb7o=")</f>
        <v>#REF!</v>
      </c>
      <c r="GF202" t="e">
        <f>AND(Bills!Y783,"AAAAACaNb7s=")</f>
        <v>#VALUE!</v>
      </c>
      <c r="GG202" t="e">
        <f>AND(Bills!Z783,"AAAAACaNb7w=")</f>
        <v>#VALUE!</v>
      </c>
      <c r="GH202" t="e">
        <f>AND(Bills!#REF!,"AAAAACaNb70=")</f>
        <v>#REF!</v>
      </c>
      <c r="GI202" t="e">
        <f>AND(Bills!#REF!,"AAAAACaNb74=")</f>
        <v>#REF!</v>
      </c>
      <c r="GJ202" t="e">
        <f>AND(Bills!#REF!,"AAAAACaNb78=")</f>
        <v>#REF!</v>
      </c>
      <c r="GK202" t="e">
        <f>AND(Bills!AA783,"AAAAACaNb8A=")</f>
        <v>#VALUE!</v>
      </c>
      <c r="GL202" t="e">
        <f>AND(Bills!AB783,"AAAAACaNb8E=")</f>
        <v>#VALUE!</v>
      </c>
      <c r="GM202" t="e">
        <f>AND(Bills!#REF!,"AAAAACaNb8I=")</f>
        <v>#REF!</v>
      </c>
      <c r="GN202">
        <f>IF(Bills!784:784,"AAAAACaNb8M=",0)</f>
        <v>0</v>
      </c>
      <c r="GO202" t="e">
        <f>AND(Bills!B784,"AAAAACaNb8Q=")</f>
        <v>#VALUE!</v>
      </c>
      <c r="GP202" t="e">
        <f>AND(Bills!#REF!,"AAAAACaNb8U=")</f>
        <v>#REF!</v>
      </c>
      <c r="GQ202" t="e">
        <f>AND(Bills!C784,"AAAAACaNb8Y=")</f>
        <v>#VALUE!</v>
      </c>
      <c r="GR202" t="e">
        <f>AND(Bills!#REF!,"AAAAACaNb8c=")</f>
        <v>#REF!</v>
      </c>
      <c r="GS202" t="e">
        <f>AND(Bills!#REF!,"AAAAACaNb8g=")</f>
        <v>#REF!</v>
      </c>
      <c r="GT202" t="e">
        <f>AND(Bills!#REF!,"AAAAACaNb8k=")</f>
        <v>#REF!</v>
      </c>
      <c r="GU202" t="e">
        <f>AND(Bills!#REF!,"AAAAACaNb8o=")</f>
        <v>#REF!</v>
      </c>
      <c r="GV202" t="e">
        <f>AND(Bills!#REF!,"AAAAACaNb8s=")</f>
        <v>#REF!</v>
      </c>
      <c r="GW202" t="e">
        <f>AND(Bills!D784,"AAAAACaNb8w=")</f>
        <v>#VALUE!</v>
      </c>
      <c r="GX202" t="e">
        <f>AND(Bills!#REF!,"AAAAACaNb80=")</f>
        <v>#REF!</v>
      </c>
      <c r="GY202" t="e">
        <f>AND(Bills!E784,"AAAAACaNb84=")</f>
        <v>#VALUE!</v>
      </c>
      <c r="GZ202" t="e">
        <f>AND(Bills!F784,"AAAAACaNb88=")</f>
        <v>#VALUE!</v>
      </c>
      <c r="HA202" t="e">
        <f>AND(Bills!G784,"AAAAACaNb9A=")</f>
        <v>#VALUE!</v>
      </c>
      <c r="HB202" t="e">
        <f>AND(Bills!H784,"AAAAACaNb9E=")</f>
        <v>#VALUE!</v>
      </c>
      <c r="HC202" t="e">
        <f>AND(Bills!I784,"AAAAACaNb9I=")</f>
        <v>#VALUE!</v>
      </c>
      <c r="HD202" t="e">
        <f>AND(Bills!J784,"AAAAACaNb9M=")</f>
        <v>#VALUE!</v>
      </c>
      <c r="HE202" t="e">
        <f>AND(Bills!#REF!,"AAAAACaNb9Q=")</f>
        <v>#REF!</v>
      </c>
      <c r="HF202" t="e">
        <f>AND(Bills!K784,"AAAAACaNb9U=")</f>
        <v>#VALUE!</v>
      </c>
      <c r="HG202" t="e">
        <f>AND(Bills!L784,"AAAAACaNb9Y=")</f>
        <v>#VALUE!</v>
      </c>
      <c r="HH202" t="e">
        <f>AND(Bills!M784,"AAAAACaNb9c=")</f>
        <v>#VALUE!</v>
      </c>
      <c r="HI202" t="e">
        <f>AND(Bills!N784,"AAAAACaNb9g=")</f>
        <v>#VALUE!</v>
      </c>
      <c r="HJ202" t="e">
        <f>AND(Bills!O784,"AAAAACaNb9k=")</f>
        <v>#VALUE!</v>
      </c>
      <c r="HK202" t="e">
        <f>AND(Bills!P784,"AAAAACaNb9o=")</f>
        <v>#VALUE!</v>
      </c>
      <c r="HL202" t="e">
        <f>AND(Bills!Q784,"AAAAACaNb9s=")</f>
        <v>#VALUE!</v>
      </c>
      <c r="HM202" t="e">
        <f>AND(Bills!R784,"AAAAACaNb9w=")</f>
        <v>#VALUE!</v>
      </c>
      <c r="HN202" t="e">
        <f>AND(Bills!#REF!,"AAAAACaNb90=")</f>
        <v>#REF!</v>
      </c>
      <c r="HO202" t="e">
        <f>AND(Bills!S784,"AAAAACaNb94=")</f>
        <v>#VALUE!</v>
      </c>
      <c r="HP202" t="e">
        <f>AND(Bills!T784,"AAAAACaNb98=")</f>
        <v>#VALUE!</v>
      </c>
      <c r="HQ202" t="e">
        <f>AND(Bills!U784,"AAAAACaNb+A=")</f>
        <v>#VALUE!</v>
      </c>
      <c r="HR202" t="e">
        <f>AND(Bills!#REF!,"AAAAACaNb+E=")</f>
        <v>#REF!</v>
      </c>
      <c r="HS202" t="e">
        <f>AND(Bills!#REF!,"AAAAACaNb+I=")</f>
        <v>#REF!</v>
      </c>
      <c r="HT202" t="e">
        <f>AND(Bills!W784,"AAAAACaNb+M=")</f>
        <v>#VALUE!</v>
      </c>
      <c r="HU202" t="e">
        <f>AND(Bills!X784,"AAAAACaNb+Q=")</f>
        <v>#VALUE!</v>
      </c>
      <c r="HV202" t="e">
        <f>AND(Bills!#REF!,"AAAAACaNb+U=")</f>
        <v>#REF!</v>
      </c>
      <c r="HW202" t="e">
        <f>AND(Bills!#REF!,"AAAAACaNb+Y=")</f>
        <v>#REF!</v>
      </c>
      <c r="HX202" t="e">
        <f>AND(Bills!#REF!,"AAAAACaNb+c=")</f>
        <v>#REF!</v>
      </c>
      <c r="HY202" t="e">
        <f>AND(Bills!#REF!,"AAAAACaNb+g=")</f>
        <v>#REF!</v>
      </c>
      <c r="HZ202" t="e">
        <f>AND(Bills!#REF!,"AAAAACaNb+k=")</f>
        <v>#REF!</v>
      </c>
      <c r="IA202" t="e">
        <f>AND(Bills!#REF!,"AAAAACaNb+o=")</f>
        <v>#REF!</v>
      </c>
      <c r="IB202" t="e">
        <f>AND(Bills!#REF!,"AAAAACaNb+s=")</f>
        <v>#REF!</v>
      </c>
      <c r="IC202" t="e">
        <f>AND(Bills!#REF!,"AAAAACaNb+w=")</f>
        <v>#REF!</v>
      </c>
      <c r="ID202" t="e">
        <f>AND(Bills!#REF!,"AAAAACaNb+0=")</f>
        <v>#REF!</v>
      </c>
      <c r="IE202" t="e">
        <f>AND(Bills!Y784,"AAAAACaNb+4=")</f>
        <v>#VALUE!</v>
      </c>
      <c r="IF202" t="e">
        <f>AND(Bills!Z784,"AAAAACaNb+8=")</f>
        <v>#VALUE!</v>
      </c>
      <c r="IG202" t="e">
        <f>AND(Bills!#REF!,"AAAAACaNb/A=")</f>
        <v>#REF!</v>
      </c>
      <c r="IH202" t="e">
        <f>AND(Bills!#REF!,"AAAAACaNb/E=")</f>
        <v>#REF!</v>
      </c>
      <c r="II202" t="e">
        <f>AND(Bills!#REF!,"AAAAACaNb/I=")</f>
        <v>#REF!</v>
      </c>
      <c r="IJ202" t="e">
        <f>AND(Bills!AA784,"AAAAACaNb/M=")</f>
        <v>#VALUE!</v>
      </c>
      <c r="IK202" t="e">
        <f>AND(Bills!AB784,"AAAAACaNb/Q=")</f>
        <v>#VALUE!</v>
      </c>
      <c r="IL202" t="e">
        <f>AND(Bills!#REF!,"AAAAACaNb/U=")</f>
        <v>#REF!</v>
      </c>
      <c r="IM202">
        <f>IF(Bills!785:785,"AAAAACaNb/Y=",0)</f>
        <v>0</v>
      </c>
      <c r="IN202" t="e">
        <f>AND(Bills!B785,"AAAAACaNb/c=")</f>
        <v>#VALUE!</v>
      </c>
      <c r="IO202" t="e">
        <f>AND(Bills!#REF!,"AAAAACaNb/g=")</f>
        <v>#REF!</v>
      </c>
      <c r="IP202" t="e">
        <f>AND(Bills!C785,"AAAAACaNb/k=")</f>
        <v>#VALUE!</v>
      </c>
      <c r="IQ202" t="e">
        <f>AND(Bills!#REF!,"AAAAACaNb/o=")</f>
        <v>#REF!</v>
      </c>
      <c r="IR202" t="e">
        <f>AND(Bills!#REF!,"AAAAACaNb/s=")</f>
        <v>#REF!</v>
      </c>
      <c r="IS202" t="e">
        <f>AND(Bills!#REF!,"AAAAACaNb/w=")</f>
        <v>#REF!</v>
      </c>
      <c r="IT202" t="e">
        <f>AND(Bills!#REF!,"AAAAACaNb/0=")</f>
        <v>#REF!</v>
      </c>
      <c r="IU202" t="e">
        <f>AND(Bills!#REF!,"AAAAACaNb/4=")</f>
        <v>#REF!</v>
      </c>
      <c r="IV202" t="e">
        <f>AND(Bills!D785,"AAAAACaNb/8=")</f>
        <v>#VALUE!</v>
      </c>
    </row>
    <row r="203" spans="1:256">
      <c r="A203" t="e">
        <f>AND(Bills!#REF!,"AAAAAHuXnwA=")</f>
        <v>#REF!</v>
      </c>
      <c r="B203" t="e">
        <f>AND(Bills!E785,"AAAAAHuXnwE=")</f>
        <v>#VALUE!</v>
      </c>
      <c r="C203" t="e">
        <f>AND(Bills!F785,"AAAAAHuXnwI=")</f>
        <v>#VALUE!</v>
      </c>
      <c r="D203" t="e">
        <f>AND(Bills!G785,"AAAAAHuXnwM=")</f>
        <v>#VALUE!</v>
      </c>
      <c r="E203" t="e">
        <f>AND(Bills!H785,"AAAAAHuXnwQ=")</f>
        <v>#VALUE!</v>
      </c>
      <c r="F203" t="e">
        <f>AND(Bills!I785,"AAAAAHuXnwU=")</f>
        <v>#VALUE!</v>
      </c>
      <c r="G203" t="e">
        <f>AND(Bills!J785,"AAAAAHuXnwY=")</f>
        <v>#VALUE!</v>
      </c>
      <c r="H203" t="e">
        <f>AND(Bills!#REF!,"AAAAAHuXnwc=")</f>
        <v>#REF!</v>
      </c>
      <c r="I203" t="e">
        <f>AND(Bills!K785,"AAAAAHuXnwg=")</f>
        <v>#VALUE!</v>
      </c>
      <c r="J203" t="e">
        <f>AND(Bills!L785,"AAAAAHuXnwk=")</f>
        <v>#VALUE!</v>
      </c>
      <c r="K203" t="e">
        <f>AND(Bills!M785,"AAAAAHuXnwo=")</f>
        <v>#VALUE!</v>
      </c>
      <c r="L203" t="e">
        <f>AND(Bills!N785,"AAAAAHuXnws=")</f>
        <v>#VALUE!</v>
      </c>
      <c r="M203" t="e">
        <f>AND(Bills!O785,"AAAAAHuXnww=")</f>
        <v>#VALUE!</v>
      </c>
      <c r="N203" t="e">
        <f>AND(Bills!P785,"AAAAAHuXnw0=")</f>
        <v>#VALUE!</v>
      </c>
      <c r="O203" t="e">
        <f>AND(Bills!Q785,"AAAAAHuXnw4=")</f>
        <v>#VALUE!</v>
      </c>
      <c r="P203" t="e">
        <f>AND(Bills!R785,"AAAAAHuXnw8=")</f>
        <v>#VALUE!</v>
      </c>
      <c r="Q203" t="e">
        <f>AND(Bills!#REF!,"AAAAAHuXnxA=")</f>
        <v>#REF!</v>
      </c>
      <c r="R203" t="e">
        <f>AND(Bills!S785,"AAAAAHuXnxE=")</f>
        <v>#VALUE!</v>
      </c>
      <c r="S203" t="e">
        <f>AND(Bills!T785,"AAAAAHuXnxI=")</f>
        <v>#VALUE!</v>
      </c>
      <c r="T203" t="e">
        <f>AND(Bills!U785,"AAAAAHuXnxM=")</f>
        <v>#VALUE!</v>
      </c>
      <c r="U203" t="e">
        <f>AND(Bills!#REF!,"AAAAAHuXnxQ=")</f>
        <v>#REF!</v>
      </c>
      <c r="V203" t="e">
        <f>AND(Bills!#REF!,"AAAAAHuXnxU=")</f>
        <v>#REF!</v>
      </c>
      <c r="W203" t="e">
        <f>AND(Bills!W785,"AAAAAHuXnxY=")</f>
        <v>#VALUE!</v>
      </c>
      <c r="X203" t="e">
        <f>AND(Bills!X785,"AAAAAHuXnxc=")</f>
        <v>#VALUE!</v>
      </c>
      <c r="Y203" t="e">
        <f>AND(Bills!#REF!,"AAAAAHuXnxg=")</f>
        <v>#REF!</v>
      </c>
      <c r="Z203" t="e">
        <f>AND(Bills!#REF!,"AAAAAHuXnxk=")</f>
        <v>#REF!</v>
      </c>
      <c r="AA203" t="e">
        <f>AND(Bills!#REF!,"AAAAAHuXnxo=")</f>
        <v>#REF!</v>
      </c>
      <c r="AB203" t="e">
        <f>AND(Bills!#REF!,"AAAAAHuXnxs=")</f>
        <v>#REF!</v>
      </c>
      <c r="AC203" t="e">
        <f>AND(Bills!#REF!,"AAAAAHuXnxw=")</f>
        <v>#REF!</v>
      </c>
      <c r="AD203" t="e">
        <f>AND(Bills!#REF!,"AAAAAHuXnx0=")</f>
        <v>#REF!</v>
      </c>
      <c r="AE203" t="e">
        <f>AND(Bills!#REF!,"AAAAAHuXnx4=")</f>
        <v>#REF!</v>
      </c>
      <c r="AF203" t="e">
        <f>AND(Bills!#REF!,"AAAAAHuXnx8=")</f>
        <v>#REF!</v>
      </c>
      <c r="AG203" t="e">
        <f>AND(Bills!#REF!,"AAAAAHuXnyA=")</f>
        <v>#REF!</v>
      </c>
      <c r="AH203" t="e">
        <f>AND(Bills!Y785,"AAAAAHuXnyE=")</f>
        <v>#VALUE!</v>
      </c>
      <c r="AI203" t="e">
        <f>AND(Bills!Z785,"AAAAAHuXnyI=")</f>
        <v>#VALUE!</v>
      </c>
      <c r="AJ203" t="e">
        <f>AND(Bills!#REF!,"AAAAAHuXnyM=")</f>
        <v>#REF!</v>
      </c>
      <c r="AK203" t="e">
        <f>AND(Bills!#REF!,"AAAAAHuXnyQ=")</f>
        <v>#REF!</v>
      </c>
      <c r="AL203" t="e">
        <f>AND(Bills!#REF!,"AAAAAHuXnyU=")</f>
        <v>#REF!</v>
      </c>
      <c r="AM203" t="e">
        <f>AND(Bills!AA785,"AAAAAHuXnyY=")</f>
        <v>#VALUE!</v>
      </c>
      <c r="AN203" t="e">
        <f>AND(Bills!AB785,"AAAAAHuXnyc=")</f>
        <v>#VALUE!</v>
      </c>
      <c r="AO203" t="e">
        <f>AND(Bills!#REF!,"AAAAAHuXnyg=")</f>
        <v>#REF!</v>
      </c>
      <c r="AP203">
        <f>IF(Bills!786:786,"AAAAAHuXnyk=",0)</f>
        <v>0</v>
      </c>
      <c r="AQ203" t="e">
        <f>AND(Bills!B786,"AAAAAHuXnyo=")</f>
        <v>#VALUE!</v>
      </c>
      <c r="AR203" t="e">
        <f>AND(Bills!#REF!,"AAAAAHuXnys=")</f>
        <v>#REF!</v>
      </c>
      <c r="AS203" t="e">
        <f>AND(Bills!C786,"AAAAAHuXnyw=")</f>
        <v>#VALUE!</v>
      </c>
      <c r="AT203" t="e">
        <f>AND(Bills!#REF!,"AAAAAHuXny0=")</f>
        <v>#REF!</v>
      </c>
      <c r="AU203" t="e">
        <f>AND(Bills!#REF!,"AAAAAHuXny4=")</f>
        <v>#REF!</v>
      </c>
      <c r="AV203" t="e">
        <f>AND(Bills!#REF!,"AAAAAHuXny8=")</f>
        <v>#REF!</v>
      </c>
      <c r="AW203" t="e">
        <f>AND(Bills!#REF!,"AAAAAHuXnzA=")</f>
        <v>#REF!</v>
      </c>
      <c r="AX203" t="e">
        <f>AND(Bills!#REF!,"AAAAAHuXnzE=")</f>
        <v>#REF!</v>
      </c>
      <c r="AY203" t="e">
        <f>AND(Bills!D786,"AAAAAHuXnzI=")</f>
        <v>#VALUE!</v>
      </c>
      <c r="AZ203" t="e">
        <f>AND(Bills!#REF!,"AAAAAHuXnzM=")</f>
        <v>#REF!</v>
      </c>
      <c r="BA203" t="e">
        <f>AND(Bills!E786,"AAAAAHuXnzQ=")</f>
        <v>#VALUE!</v>
      </c>
      <c r="BB203" t="e">
        <f>AND(Bills!F786,"AAAAAHuXnzU=")</f>
        <v>#VALUE!</v>
      </c>
      <c r="BC203" t="e">
        <f>AND(Bills!G786,"AAAAAHuXnzY=")</f>
        <v>#VALUE!</v>
      </c>
      <c r="BD203" t="e">
        <f>AND(Bills!H786,"AAAAAHuXnzc=")</f>
        <v>#VALUE!</v>
      </c>
      <c r="BE203" t="e">
        <f>AND(Bills!I786,"AAAAAHuXnzg=")</f>
        <v>#VALUE!</v>
      </c>
      <c r="BF203" t="e">
        <f>AND(Bills!J786,"AAAAAHuXnzk=")</f>
        <v>#VALUE!</v>
      </c>
      <c r="BG203" t="e">
        <f>AND(Bills!#REF!,"AAAAAHuXnzo=")</f>
        <v>#REF!</v>
      </c>
      <c r="BH203" t="e">
        <f>AND(Bills!K786,"AAAAAHuXnzs=")</f>
        <v>#VALUE!</v>
      </c>
      <c r="BI203" t="e">
        <f>AND(Bills!L786,"AAAAAHuXnzw=")</f>
        <v>#VALUE!</v>
      </c>
      <c r="BJ203" t="e">
        <f>AND(Bills!M786,"AAAAAHuXnz0=")</f>
        <v>#VALUE!</v>
      </c>
      <c r="BK203" t="e">
        <f>AND(Bills!N786,"AAAAAHuXnz4=")</f>
        <v>#VALUE!</v>
      </c>
      <c r="BL203" t="e">
        <f>AND(Bills!O786,"AAAAAHuXnz8=")</f>
        <v>#VALUE!</v>
      </c>
      <c r="BM203" t="e">
        <f>AND(Bills!P786,"AAAAAHuXn0A=")</f>
        <v>#VALUE!</v>
      </c>
      <c r="BN203" t="e">
        <f>AND(Bills!Q786,"AAAAAHuXn0E=")</f>
        <v>#VALUE!</v>
      </c>
      <c r="BO203" t="e">
        <f>AND(Bills!R786,"AAAAAHuXn0I=")</f>
        <v>#VALUE!</v>
      </c>
      <c r="BP203" t="e">
        <f>AND(Bills!#REF!,"AAAAAHuXn0M=")</f>
        <v>#REF!</v>
      </c>
      <c r="BQ203" t="e">
        <f>AND(Bills!S786,"AAAAAHuXn0Q=")</f>
        <v>#VALUE!</v>
      </c>
      <c r="BR203" t="e">
        <f>AND(Bills!T786,"AAAAAHuXn0U=")</f>
        <v>#VALUE!</v>
      </c>
      <c r="BS203" t="e">
        <f>AND(Bills!U786,"AAAAAHuXn0Y=")</f>
        <v>#VALUE!</v>
      </c>
      <c r="BT203" t="e">
        <f>AND(Bills!#REF!,"AAAAAHuXn0c=")</f>
        <v>#REF!</v>
      </c>
      <c r="BU203" t="e">
        <f>AND(Bills!#REF!,"AAAAAHuXn0g=")</f>
        <v>#REF!</v>
      </c>
      <c r="BV203" t="e">
        <f>AND(Bills!W786,"AAAAAHuXn0k=")</f>
        <v>#VALUE!</v>
      </c>
      <c r="BW203" t="e">
        <f>AND(Bills!X786,"AAAAAHuXn0o=")</f>
        <v>#VALUE!</v>
      </c>
      <c r="BX203" t="e">
        <f>AND(Bills!#REF!,"AAAAAHuXn0s=")</f>
        <v>#REF!</v>
      </c>
      <c r="BY203" t="e">
        <f>AND(Bills!#REF!,"AAAAAHuXn0w=")</f>
        <v>#REF!</v>
      </c>
      <c r="BZ203" t="e">
        <f>AND(Bills!#REF!,"AAAAAHuXn00=")</f>
        <v>#REF!</v>
      </c>
      <c r="CA203" t="e">
        <f>AND(Bills!#REF!,"AAAAAHuXn04=")</f>
        <v>#REF!</v>
      </c>
      <c r="CB203" t="e">
        <f>AND(Bills!#REF!,"AAAAAHuXn08=")</f>
        <v>#REF!</v>
      </c>
      <c r="CC203" t="e">
        <f>AND(Bills!#REF!,"AAAAAHuXn1A=")</f>
        <v>#REF!</v>
      </c>
      <c r="CD203" t="e">
        <f>AND(Bills!#REF!,"AAAAAHuXn1E=")</f>
        <v>#REF!</v>
      </c>
      <c r="CE203" t="e">
        <f>AND(Bills!#REF!,"AAAAAHuXn1I=")</f>
        <v>#REF!</v>
      </c>
      <c r="CF203" t="e">
        <f>AND(Bills!#REF!,"AAAAAHuXn1M=")</f>
        <v>#REF!</v>
      </c>
      <c r="CG203" t="e">
        <f>AND(Bills!Y786,"AAAAAHuXn1Q=")</f>
        <v>#VALUE!</v>
      </c>
      <c r="CH203" t="e">
        <f>AND(Bills!Z786,"AAAAAHuXn1U=")</f>
        <v>#VALUE!</v>
      </c>
      <c r="CI203" t="e">
        <f>AND(Bills!#REF!,"AAAAAHuXn1Y=")</f>
        <v>#REF!</v>
      </c>
      <c r="CJ203" t="e">
        <f>AND(Bills!#REF!,"AAAAAHuXn1c=")</f>
        <v>#REF!</v>
      </c>
      <c r="CK203" t="e">
        <f>AND(Bills!#REF!,"AAAAAHuXn1g=")</f>
        <v>#REF!</v>
      </c>
      <c r="CL203" t="e">
        <f>AND(Bills!AA786,"AAAAAHuXn1k=")</f>
        <v>#VALUE!</v>
      </c>
      <c r="CM203" t="e">
        <f>AND(Bills!AB786,"AAAAAHuXn1o=")</f>
        <v>#VALUE!</v>
      </c>
      <c r="CN203" t="e">
        <f>AND(Bills!#REF!,"AAAAAHuXn1s=")</f>
        <v>#REF!</v>
      </c>
      <c r="CO203">
        <f>IF(Bills!787:787,"AAAAAHuXn1w=",0)</f>
        <v>0</v>
      </c>
      <c r="CP203" t="e">
        <f>AND(Bills!B787,"AAAAAHuXn10=")</f>
        <v>#VALUE!</v>
      </c>
      <c r="CQ203" t="e">
        <f>AND(Bills!#REF!,"AAAAAHuXn14=")</f>
        <v>#REF!</v>
      </c>
      <c r="CR203" t="e">
        <f>AND(Bills!C787,"AAAAAHuXn18=")</f>
        <v>#VALUE!</v>
      </c>
      <c r="CS203" t="e">
        <f>AND(Bills!#REF!,"AAAAAHuXn2A=")</f>
        <v>#REF!</v>
      </c>
      <c r="CT203" t="e">
        <f>AND(Bills!#REF!,"AAAAAHuXn2E=")</f>
        <v>#REF!</v>
      </c>
      <c r="CU203" t="e">
        <f>AND(Bills!#REF!,"AAAAAHuXn2I=")</f>
        <v>#REF!</v>
      </c>
      <c r="CV203" t="e">
        <f>AND(Bills!#REF!,"AAAAAHuXn2M=")</f>
        <v>#REF!</v>
      </c>
      <c r="CW203" t="e">
        <f>AND(Bills!#REF!,"AAAAAHuXn2Q=")</f>
        <v>#REF!</v>
      </c>
      <c r="CX203" t="e">
        <f>AND(Bills!D787,"AAAAAHuXn2U=")</f>
        <v>#VALUE!</v>
      </c>
      <c r="CY203" t="e">
        <f>AND(Bills!#REF!,"AAAAAHuXn2Y=")</f>
        <v>#REF!</v>
      </c>
      <c r="CZ203" t="e">
        <f>AND(Bills!E787,"AAAAAHuXn2c=")</f>
        <v>#VALUE!</v>
      </c>
      <c r="DA203" t="e">
        <f>AND(Bills!F787,"AAAAAHuXn2g=")</f>
        <v>#VALUE!</v>
      </c>
      <c r="DB203" t="e">
        <f>AND(Bills!G787,"AAAAAHuXn2k=")</f>
        <v>#VALUE!</v>
      </c>
      <c r="DC203" t="e">
        <f>AND(Bills!H787,"AAAAAHuXn2o=")</f>
        <v>#VALUE!</v>
      </c>
      <c r="DD203" t="e">
        <f>AND(Bills!I787,"AAAAAHuXn2s=")</f>
        <v>#VALUE!</v>
      </c>
      <c r="DE203" t="e">
        <f>AND(Bills!J787,"AAAAAHuXn2w=")</f>
        <v>#VALUE!</v>
      </c>
      <c r="DF203" t="e">
        <f>AND(Bills!#REF!,"AAAAAHuXn20=")</f>
        <v>#REF!</v>
      </c>
      <c r="DG203" t="e">
        <f>AND(Bills!K787,"AAAAAHuXn24=")</f>
        <v>#VALUE!</v>
      </c>
      <c r="DH203" t="e">
        <f>AND(Bills!L787,"AAAAAHuXn28=")</f>
        <v>#VALUE!</v>
      </c>
      <c r="DI203" t="e">
        <f>AND(Bills!M787,"AAAAAHuXn3A=")</f>
        <v>#VALUE!</v>
      </c>
      <c r="DJ203" t="e">
        <f>AND(Bills!N787,"AAAAAHuXn3E=")</f>
        <v>#VALUE!</v>
      </c>
      <c r="DK203" t="e">
        <f>AND(Bills!O787,"AAAAAHuXn3I=")</f>
        <v>#VALUE!</v>
      </c>
      <c r="DL203" t="e">
        <f>AND(Bills!P787,"AAAAAHuXn3M=")</f>
        <v>#VALUE!</v>
      </c>
      <c r="DM203" t="e">
        <f>AND(Bills!Q787,"AAAAAHuXn3Q=")</f>
        <v>#VALUE!</v>
      </c>
      <c r="DN203" t="e">
        <f>AND(Bills!R787,"AAAAAHuXn3U=")</f>
        <v>#VALUE!</v>
      </c>
      <c r="DO203" t="e">
        <f>AND(Bills!#REF!,"AAAAAHuXn3Y=")</f>
        <v>#REF!</v>
      </c>
      <c r="DP203" t="e">
        <f>AND(Bills!S787,"AAAAAHuXn3c=")</f>
        <v>#VALUE!</v>
      </c>
      <c r="DQ203" t="e">
        <f>AND(Bills!T787,"AAAAAHuXn3g=")</f>
        <v>#VALUE!</v>
      </c>
      <c r="DR203" t="e">
        <f>AND(Bills!U787,"AAAAAHuXn3k=")</f>
        <v>#VALUE!</v>
      </c>
      <c r="DS203" t="e">
        <f>AND(Bills!#REF!,"AAAAAHuXn3o=")</f>
        <v>#REF!</v>
      </c>
      <c r="DT203" t="e">
        <f>AND(Bills!#REF!,"AAAAAHuXn3s=")</f>
        <v>#REF!</v>
      </c>
      <c r="DU203" t="e">
        <f>AND(Bills!W787,"AAAAAHuXn3w=")</f>
        <v>#VALUE!</v>
      </c>
      <c r="DV203" t="e">
        <f>AND(Bills!X787,"AAAAAHuXn30=")</f>
        <v>#VALUE!</v>
      </c>
      <c r="DW203" t="e">
        <f>AND(Bills!#REF!,"AAAAAHuXn34=")</f>
        <v>#REF!</v>
      </c>
      <c r="DX203" t="e">
        <f>AND(Bills!#REF!,"AAAAAHuXn38=")</f>
        <v>#REF!</v>
      </c>
      <c r="DY203" t="e">
        <f>AND(Bills!#REF!,"AAAAAHuXn4A=")</f>
        <v>#REF!</v>
      </c>
      <c r="DZ203" t="e">
        <f>AND(Bills!#REF!,"AAAAAHuXn4E=")</f>
        <v>#REF!</v>
      </c>
      <c r="EA203" t="e">
        <f>AND(Bills!#REF!,"AAAAAHuXn4I=")</f>
        <v>#REF!</v>
      </c>
      <c r="EB203" t="e">
        <f>AND(Bills!#REF!,"AAAAAHuXn4M=")</f>
        <v>#REF!</v>
      </c>
      <c r="EC203" t="e">
        <f>AND(Bills!#REF!,"AAAAAHuXn4Q=")</f>
        <v>#REF!</v>
      </c>
      <c r="ED203" t="e">
        <f>AND(Bills!#REF!,"AAAAAHuXn4U=")</f>
        <v>#REF!</v>
      </c>
      <c r="EE203" t="e">
        <f>AND(Bills!#REF!,"AAAAAHuXn4Y=")</f>
        <v>#REF!</v>
      </c>
      <c r="EF203" t="e">
        <f>AND(Bills!Y787,"AAAAAHuXn4c=")</f>
        <v>#VALUE!</v>
      </c>
      <c r="EG203" t="e">
        <f>AND(Bills!Z787,"AAAAAHuXn4g=")</f>
        <v>#VALUE!</v>
      </c>
      <c r="EH203" t="e">
        <f>AND(Bills!#REF!,"AAAAAHuXn4k=")</f>
        <v>#REF!</v>
      </c>
      <c r="EI203" t="e">
        <f>AND(Bills!#REF!,"AAAAAHuXn4o=")</f>
        <v>#REF!</v>
      </c>
      <c r="EJ203" t="e">
        <f>AND(Bills!#REF!,"AAAAAHuXn4s=")</f>
        <v>#REF!</v>
      </c>
      <c r="EK203" t="e">
        <f>AND(Bills!AA787,"AAAAAHuXn4w=")</f>
        <v>#VALUE!</v>
      </c>
      <c r="EL203" t="e">
        <f>AND(Bills!AB787,"AAAAAHuXn40=")</f>
        <v>#VALUE!</v>
      </c>
      <c r="EM203" t="e">
        <f>AND(Bills!#REF!,"AAAAAHuXn44=")</f>
        <v>#REF!</v>
      </c>
      <c r="EN203">
        <f>IF(Bills!788:788,"AAAAAHuXn48=",0)</f>
        <v>0</v>
      </c>
      <c r="EO203" t="e">
        <f>AND(Bills!B788,"AAAAAHuXn5A=")</f>
        <v>#VALUE!</v>
      </c>
      <c r="EP203" t="e">
        <f>AND(Bills!#REF!,"AAAAAHuXn5E=")</f>
        <v>#REF!</v>
      </c>
      <c r="EQ203" t="e">
        <f>AND(Bills!C788,"AAAAAHuXn5I=")</f>
        <v>#VALUE!</v>
      </c>
      <c r="ER203" t="e">
        <f>AND(Bills!#REF!,"AAAAAHuXn5M=")</f>
        <v>#REF!</v>
      </c>
      <c r="ES203" t="e">
        <f>AND(Bills!#REF!,"AAAAAHuXn5Q=")</f>
        <v>#REF!</v>
      </c>
      <c r="ET203" t="e">
        <f>AND(Bills!#REF!,"AAAAAHuXn5U=")</f>
        <v>#REF!</v>
      </c>
      <c r="EU203" t="e">
        <f>AND(Bills!#REF!,"AAAAAHuXn5Y=")</f>
        <v>#REF!</v>
      </c>
      <c r="EV203" t="e">
        <f>AND(Bills!#REF!,"AAAAAHuXn5c=")</f>
        <v>#REF!</v>
      </c>
      <c r="EW203" t="e">
        <f>AND(Bills!D788,"AAAAAHuXn5g=")</f>
        <v>#VALUE!</v>
      </c>
      <c r="EX203" t="e">
        <f>AND(Bills!#REF!,"AAAAAHuXn5k=")</f>
        <v>#REF!</v>
      </c>
      <c r="EY203" t="e">
        <f>AND(Bills!E788,"AAAAAHuXn5o=")</f>
        <v>#VALUE!</v>
      </c>
      <c r="EZ203" t="e">
        <f>AND(Bills!F788,"AAAAAHuXn5s=")</f>
        <v>#VALUE!</v>
      </c>
      <c r="FA203" t="e">
        <f>AND(Bills!G788,"AAAAAHuXn5w=")</f>
        <v>#VALUE!</v>
      </c>
      <c r="FB203" t="e">
        <f>AND(Bills!H788,"AAAAAHuXn50=")</f>
        <v>#VALUE!</v>
      </c>
      <c r="FC203" t="e">
        <f>AND(Bills!I788,"AAAAAHuXn54=")</f>
        <v>#VALUE!</v>
      </c>
      <c r="FD203" t="e">
        <f>AND(Bills!J788,"AAAAAHuXn58=")</f>
        <v>#VALUE!</v>
      </c>
      <c r="FE203" t="e">
        <f>AND(Bills!#REF!,"AAAAAHuXn6A=")</f>
        <v>#REF!</v>
      </c>
      <c r="FF203" t="e">
        <f>AND(Bills!K788,"AAAAAHuXn6E=")</f>
        <v>#VALUE!</v>
      </c>
      <c r="FG203" t="e">
        <f>AND(Bills!L788,"AAAAAHuXn6I=")</f>
        <v>#VALUE!</v>
      </c>
      <c r="FH203" t="e">
        <f>AND(Bills!M788,"AAAAAHuXn6M=")</f>
        <v>#VALUE!</v>
      </c>
      <c r="FI203" t="e">
        <f>AND(Bills!N788,"AAAAAHuXn6Q=")</f>
        <v>#VALUE!</v>
      </c>
      <c r="FJ203" t="e">
        <f>AND(Bills!O788,"AAAAAHuXn6U=")</f>
        <v>#VALUE!</v>
      </c>
      <c r="FK203" t="e">
        <f>AND(Bills!P788,"AAAAAHuXn6Y=")</f>
        <v>#VALUE!</v>
      </c>
      <c r="FL203" t="e">
        <f>AND(Bills!Q788,"AAAAAHuXn6c=")</f>
        <v>#VALUE!</v>
      </c>
      <c r="FM203" t="e">
        <f>AND(Bills!R788,"AAAAAHuXn6g=")</f>
        <v>#VALUE!</v>
      </c>
      <c r="FN203" t="e">
        <f>AND(Bills!#REF!,"AAAAAHuXn6k=")</f>
        <v>#REF!</v>
      </c>
      <c r="FO203" t="e">
        <f>AND(Bills!S788,"AAAAAHuXn6o=")</f>
        <v>#VALUE!</v>
      </c>
      <c r="FP203" t="e">
        <f>AND(Bills!T788,"AAAAAHuXn6s=")</f>
        <v>#VALUE!</v>
      </c>
      <c r="FQ203" t="e">
        <f>AND(Bills!U788,"AAAAAHuXn6w=")</f>
        <v>#VALUE!</v>
      </c>
      <c r="FR203" t="e">
        <f>AND(Bills!#REF!,"AAAAAHuXn60=")</f>
        <v>#REF!</v>
      </c>
      <c r="FS203" t="e">
        <f>AND(Bills!#REF!,"AAAAAHuXn64=")</f>
        <v>#REF!</v>
      </c>
      <c r="FT203" t="e">
        <f>AND(Bills!W788,"AAAAAHuXn68=")</f>
        <v>#VALUE!</v>
      </c>
      <c r="FU203" t="e">
        <f>AND(Bills!X788,"AAAAAHuXn7A=")</f>
        <v>#VALUE!</v>
      </c>
      <c r="FV203" t="e">
        <f>AND(Bills!#REF!,"AAAAAHuXn7E=")</f>
        <v>#REF!</v>
      </c>
      <c r="FW203" t="e">
        <f>AND(Bills!#REF!,"AAAAAHuXn7I=")</f>
        <v>#REF!</v>
      </c>
      <c r="FX203" t="e">
        <f>AND(Bills!#REF!,"AAAAAHuXn7M=")</f>
        <v>#REF!</v>
      </c>
      <c r="FY203" t="e">
        <f>AND(Bills!#REF!,"AAAAAHuXn7Q=")</f>
        <v>#REF!</v>
      </c>
      <c r="FZ203" t="e">
        <f>AND(Bills!#REF!,"AAAAAHuXn7U=")</f>
        <v>#REF!</v>
      </c>
      <c r="GA203" t="e">
        <f>AND(Bills!#REF!,"AAAAAHuXn7Y=")</f>
        <v>#REF!</v>
      </c>
      <c r="GB203" t="e">
        <f>AND(Bills!#REF!,"AAAAAHuXn7c=")</f>
        <v>#REF!</v>
      </c>
      <c r="GC203" t="e">
        <f>AND(Bills!#REF!,"AAAAAHuXn7g=")</f>
        <v>#REF!</v>
      </c>
      <c r="GD203" t="e">
        <f>AND(Bills!#REF!,"AAAAAHuXn7k=")</f>
        <v>#REF!</v>
      </c>
      <c r="GE203" t="e">
        <f>AND(Bills!Y788,"AAAAAHuXn7o=")</f>
        <v>#VALUE!</v>
      </c>
      <c r="GF203" t="e">
        <f>AND(Bills!Z788,"AAAAAHuXn7s=")</f>
        <v>#VALUE!</v>
      </c>
      <c r="GG203" t="e">
        <f>AND(Bills!#REF!,"AAAAAHuXn7w=")</f>
        <v>#REF!</v>
      </c>
      <c r="GH203" t="e">
        <f>AND(Bills!#REF!,"AAAAAHuXn70=")</f>
        <v>#REF!</v>
      </c>
      <c r="GI203" t="e">
        <f>AND(Bills!#REF!,"AAAAAHuXn74=")</f>
        <v>#REF!</v>
      </c>
      <c r="GJ203" t="e">
        <f>AND(Bills!AA788,"AAAAAHuXn78=")</f>
        <v>#VALUE!</v>
      </c>
      <c r="GK203" t="e">
        <f>AND(Bills!AB788,"AAAAAHuXn8A=")</f>
        <v>#VALUE!</v>
      </c>
      <c r="GL203" t="e">
        <f>AND(Bills!#REF!,"AAAAAHuXn8E=")</f>
        <v>#REF!</v>
      </c>
      <c r="GM203">
        <f>IF(Bills!789:789,"AAAAAHuXn8I=",0)</f>
        <v>0</v>
      </c>
      <c r="GN203" t="e">
        <f>AND(Bills!B789,"AAAAAHuXn8M=")</f>
        <v>#VALUE!</v>
      </c>
      <c r="GO203" t="e">
        <f>AND(Bills!#REF!,"AAAAAHuXn8Q=")</f>
        <v>#REF!</v>
      </c>
      <c r="GP203" t="e">
        <f>AND(Bills!C789,"AAAAAHuXn8U=")</f>
        <v>#VALUE!</v>
      </c>
      <c r="GQ203" t="e">
        <f>AND(Bills!#REF!,"AAAAAHuXn8Y=")</f>
        <v>#REF!</v>
      </c>
      <c r="GR203" t="e">
        <f>AND(Bills!#REF!,"AAAAAHuXn8c=")</f>
        <v>#REF!</v>
      </c>
      <c r="GS203" t="e">
        <f>AND(Bills!#REF!,"AAAAAHuXn8g=")</f>
        <v>#REF!</v>
      </c>
      <c r="GT203" t="e">
        <f>AND(Bills!#REF!,"AAAAAHuXn8k=")</f>
        <v>#REF!</v>
      </c>
      <c r="GU203" t="e">
        <f>AND(Bills!#REF!,"AAAAAHuXn8o=")</f>
        <v>#REF!</v>
      </c>
      <c r="GV203" t="e">
        <f>AND(Bills!D789,"AAAAAHuXn8s=")</f>
        <v>#VALUE!</v>
      </c>
      <c r="GW203" t="e">
        <f>AND(Bills!#REF!,"AAAAAHuXn8w=")</f>
        <v>#REF!</v>
      </c>
      <c r="GX203" t="e">
        <f>AND(Bills!E789,"AAAAAHuXn80=")</f>
        <v>#VALUE!</v>
      </c>
      <c r="GY203" t="e">
        <f>AND(Bills!F789,"AAAAAHuXn84=")</f>
        <v>#VALUE!</v>
      </c>
      <c r="GZ203" t="e">
        <f>AND(Bills!G789,"AAAAAHuXn88=")</f>
        <v>#VALUE!</v>
      </c>
      <c r="HA203" t="e">
        <f>AND(Bills!H789,"AAAAAHuXn9A=")</f>
        <v>#VALUE!</v>
      </c>
      <c r="HB203" t="e">
        <f>AND(Bills!I789,"AAAAAHuXn9E=")</f>
        <v>#VALUE!</v>
      </c>
      <c r="HC203" t="e">
        <f>AND(Bills!J789,"AAAAAHuXn9I=")</f>
        <v>#VALUE!</v>
      </c>
      <c r="HD203" t="e">
        <f>AND(Bills!#REF!,"AAAAAHuXn9M=")</f>
        <v>#REF!</v>
      </c>
      <c r="HE203" t="e">
        <f>AND(Bills!K789,"AAAAAHuXn9Q=")</f>
        <v>#VALUE!</v>
      </c>
      <c r="HF203" t="e">
        <f>AND(Bills!L789,"AAAAAHuXn9U=")</f>
        <v>#VALUE!</v>
      </c>
      <c r="HG203" t="e">
        <f>AND(Bills!M789,"AAAAAHuXn9Y=")</f>
        <v>#VALUE!</v>
      </c>
      <c r="HH203" t="e">
        <f>AND(Bills!N789,"AAAAAHuXn9c=")</f>
        <v>#VALUE!</v>
      </c>
      <c r="HI203" t="e">
        <f>AND(Bills!O789,"AAAAAHuXn9g=")</f>
        <v>#VALUE!</v>
      </c>
      <c r="HJ203" t="e">
        <f>AND(Bills!P789,"AAAAAHuXn9k=")</f>
        <v>#VALUE!</v>
      </c>
      <c r="HK203" t="e">
        <f>AND(Bills!Q789,"AAAAAHuXn9o=")</f>
        <v>#VALUE!</v>
      </c>
      <c r="HL203" t="e">
        <f>AND(Bills!R789,"AAAAAHuXn9s=")</f>
        <v>#VALUE!</v>
      </c>
      <c r="HM203" t="e">
        <f>AND(Bills!#REF!,"AAAAAHuXn9w=")</f>
        <v>#REF!</v>
      </c>
      <c r="HN203" t="e">
        <f>AND(Bills!S789,"AAAAAHuXn90=")</f>
        <v>#VALUE!</v>
      </c>
      <c r="HO203" t="e">
        <f>AND(Bills!T789,"AAAAAHuXn94=")</f>
        <v>#VALUE!</v>
      </c>
      <c r="HP203" t="e">
        <f>AND(Bills!U789,"AAAAAHuXn98=")</f>
        <v>#VALUE!</v>
      </c>
      <c r="HQ203" t="e">
        <f>AND(Bills!#REF!,"AAAAAHuXn+A=")</f>
        <v>#REF!</v>
      </c>
      <c r="HR203" t="e">
        <f>AND(Bills!#REF!,"AAAAAHuXn+E=")</f>
        <v>#REF!</v>
      </c>
      <c r="HS203" t="e">
        <f>AND(Bills!W789,"AAAAAHuXn+I=")</f>
        <v>#VALUE!</v>
      </c>
      <c r="HT203" t="e">
        <f>AND(Bills!X789,"AAAAAHuXn+M=")</f>
        <v>#VALUE!</v>
      </c>
      <c r="HU203" t="e">
        <f>AND(Bills!#REF!,"AAAAAHuXn+Q=")</f>
        <v>#REF!</v>
      </c>
      <c r="HV203" t="e">
        <f>AND(Bills!#REF!,"AAAAAHuXn+U=")</f>
        <v>#REF!</v>
      </c>
      <c r="HW203" t="e">
        <f>AND(Bills!#REF!,"AAAAAHuXn+Y=")</f>
        <v>#REF!</v>
      </c>
      <c r="HX203" t="e">
        <f>AND(Bills!#REF!,"AAAAAHuXn+c=")</f>
        <v>#REF!</v>
      </c>
      <c r="HY203" t="e">
        <f>AND(Bills!#REF!,"AAAAAHuXn+g=")</f>
        <v>#REF!</v>
      </c>
      <c r="HZ203" t="e">
        <f>AND(Bills!#REF!,"AAAAAHuXn+k=")</f>
        <v>#REF!</v>
      </c>
      <c r="IA203" t="e">
        <f>AND(Bills!#REF!,"AAAAAHuXn+o=")</f>
        <v>#REF!</v>
      </c>
      <c r="IB203" t="e">
        <f>AND(Bills!#REF!,"AAAAAHuXn+s=")</f>
        <v>#REF!</v>
      </c>
      <c r="IC203" t="e">
        <f>AND(Bills!#REF!,"AAAAAHuXn+w=")</f>
        <v>#REF!</v>
      </c>
      <c r="ID203" t="e">
        <f>AND(Bills!Y789,"AAAAAHuXn+0=")</f>
        <v>#VALUE!</v>
      </c>
      <c r="IE203" t="e">
        <f>AND(Bills!Z789,"AAAAAHuXn+4=")</f>
        <v>#VALUE!</v>
      </c>
      <c r="IF203" t="e">
        <f>AND(Bills!#REF!,"AAAAAHuXn+8=")</f>
        <v>#REF!</v>
      </c>
      <c r="IG203" t="e">
        <f>AND(Bills!#REF!,"AAAAAHuXn/A=")</f>
        <v>#REF!</v>
      </c>
      <c r="IH203" t="e">
        <f>AND(Bills!#REF!,"AAAAAHuXn/E=")</f>
        <v>#REF!</v>
      </c>
      <c r="II203" t="e">
        <f>AND(Bills!AA789,"AAAAAHuXn/I=")</f>
        <v>#VALUE!</v>
      </c>
      <c r="IJ203" t="e">
        <f>AND(Bills!AB789,"AAAAAHuXn/M=")</f>
        <v>#VALUE!</v>
      </c>
      <c r="IK203" t="e">
        <f>AND(Bills!#REF!,"AAAAAHuXn/Q=")</f>
        <v>#REF!</v>
      </c>
      <c r="IL203">
        <f>IF(Bills!790:790,"AAAAAHuXn/U=",0)</f>
        <v>0</v>
      </c>
      <c r="IM203" t="e">
        <f>AND(Bills!B790,"AAAAAHuXn/Y=")</f>
        <v>#VALUE!</v>
      </c>
      <c r="IN203" t="e">
        <f>AND(Bills!#REF!,"AAAAAHuXn/c=")</f>
        <v>#REF!</v>
      </c>
      <c r="IO203" t="e">
        <f>AND(Bills!C790,"AAAAAHuXn/g=")</f>
        <v>#VALUE!</v>
      </c>
      <c r="IP203" t="e">
        <f>AND(Bills!#REF!,"AAAAAHuXn/k=")</f>
        <v>#REF!</v>
      </c>
      <c r="IQ203" t="e">
        <f>AND(Bills!#REF!,"AAAAAHuXn/o=")</f>
        <v>#REF!</v>
      </c>
      <c r="IR203" t="e">
        <f>AND(Bills!#REF!,"AAAAAHuXn/s=")</f>
        <v>#REF!</v>
      </c>
      <c r="IS203" t="e">
        <f>AND(Bills!#REF!,"AAAAAHuXn/w=")</f>
        <v>#REF!</v>
      </c>
      <c r="IT203" t="e">
        <f>AND(Bills!#REF!,"AAAAAHuXn/0=")</f>
        <v>#REF!</v>
      </c>
      <c r="IU203" t="e">
        <f>AND(Bills!D790,"AAAAAHuXn/4=")</f>
        <v>#VALUE!</v>
      </c>
      <c r="IV203" t="e">
        <f>AND(Bills!#REF!,"AAAAAHuXn/8=")</f>
        <v>#REF!</v>
      </c>
    </row>
    <row r="204" spans="1:256">
      <c r="A204" t="e">
        <f>AND(Bills!E790,"AAAAAHm29wA=")</f>
        <v>#VALUE!</v>
      </c>
      <c r="B204" t="e">
        <f>AND(Bills!F790,"AAAAAHm29wE=")</f>
        <v>#VALUE!</v>
      </c>
      <c r="C204" t="e">
        <f>AND(Bills!G790,"AAAAAHm29wI=")</f>
        <v>#VALUE!</v>
      </c>
      <c r="D204" t="e">
        <f>AND(Bills!H790,"AAAAAHm29wM=")</f>
        <v>#VALUE!</v>
      </c>
      <c r="E204" t="e">
        <f>AND(Bills!I790,"AAAAAHm29wQ=")</f>
        <v>#VALUE!</v>
      </c>
      <c r="F204" t="e">
        <f>AND(Bills!J790,"AAAAAHm29wU=")</f>
        <v>#VALUE!</v>
      </c>
      <c r="G204" t="e">
        <f>AND(Bills!#REF!,"AAAAAHm29wY=")</f>
        <v>#REF!</v>
      </c>
      <c r="H204" t="e">
        <f>AND(Bills!K790,"AAAAAHm29wc=")</f>
        <v>#VALUE!</v>
      </c>
      <c r="I204" t="e">
        <f>AND(Bills!L790,"AAAAAHm29wg=")</f>
        <v>#VALUE!</v>
      </c>
      <c r="J204" t="e">
        <f>AND(Bills!M790,"AAAAAHm29wk=")</f>
        <v>#VALUE!</v>
      </c>
      <c r="K204" t="e">
        <f>AND(Bills!N790,"AAAAAHm29wo=")</f>
        <v>#VALUE!</v>
      </c>
      <c r="L204" t="e">
        <f>AND(Bills!O790,"AAAAAHm29ws=")</f>
        <v>#VALUE!</v>
      </c>
      <c r="M204" t="e">
        <f>AND(Bills!P790,"AAAAAHm29ww=")</f>
        <v>#VALUE!</v>
      </c>
      <c r="N204" t="e">
        <f>AND(Bills!Q790,"AAAAAHm29w0=")</f>
        <v>#VALUE!</v>
      </c>
      <c r="O204" t="e">
        <f>AND(Bills!R790,"AAAAAHm29w4=")</f>
        <v>#VALUE!</v>
      </c>
      <c r="P204" t="e">
        <f>AND(Bills!#REF!,"AAAAAHm29w8=")</f>
        <v>#REF!</v>
      </c>
      <c r="Q204" t="e">
        <f>AND(Bills!S790,"AAAAAHm29xA=")</f>
        <v>#VALUE!</v>
      </c>
      <c r="R204" t="e">
        <f>AND(Bills!T790,"AAAAAHm29xE=")</f>
        <v>#VALUE!</v>
      </c>
      <c r="S204" t="e">
        <f>AND(Bills!U790,"AAAAAHm29xI=")</f>
        <v>#VALUE!</v>
      </c>
      <c r="T204" t="e">
        <f>AND(Bills!#REF!,"AAAAAHm29xM=")</f>
        <v>#REF!</v>
      </c>
      <c r="U204" t="e">
        <f>AND(Bills!#REF!,"AAAAAHm29xQ=")</f>
        <v>#REF!</v>
      </c>
      <c r="V204" t="e">
        <f>AND(Bills!W790,"AAAAAHm29xU=")</f>
        <v>#VALUE!</v>
      </c>
      <c r="W204" t="e">
        <f>AND(Bills!X790,"AAAAAHm29xY=")</f>
        <v>#VALUE!</v>
      </c>
      <c r="X204" t="e">
        <f>AND(Bills!#REF!,"AAAAAHm29xc=")</f>
        <v>#REF!</v>
      </c>
      <c r="Y204" t="e">
        <f>AND(Bills!#REF!,"AAAAAHm29xg=")</f>
        <v>#REF!</v>
      </c>
      <c r="Z204" t="e">
        <f>AND(Bills!#REF!,"AAAAAHm29xk=")</f>
        <v>#REF!</v>
      </c>
      <c r="AA204" t="e">
        <f>AND(Bills!#REF!,"AAAAAHm29xo=")</f>
        <v>#REF!</v>
      </c>
      <c r="AB204" t="e">
        <f>AND(Bills!#REF!,"AAAAAHm29xs=")</f>
        <v>#REF!</v>
      </c>
      <c r="AC204" t="e">
        <f>AND(Bills!#REF!,"AAAAAHm29xw=")</f>
        <v>#REF!</v>
      </c>
      <c r="AD204" t="e">
        <f>AND(Bills!#REF!,"AAAAAHm29x0=")</f>
        <v>#REF!</v>
      </c>
      <c r="AE204" t="e">
        <f>AND(Bills!#REF!,"AAAAAHm29x4=")</f>
        <v>#REF!</v>
      </c>
      <c r="AF204" t="e">
        <f>AND(Bills!#REF!,"AAAAAHm29x8=")</f>
        <v>#REF!</v>
      </c>
      <c r="AG204" t="e">
        <f>AND(Bills!Y790,"AAAAAHm29yA=")</f>
        <v>#VALUE!</v>
      </c>
      <c r="AH204" t="e">
        <f>AND(Bills!Z790,"AAAAAHm29yE=")</f>
        <v>#VALUE!</v>
      </c>
      <c r="AI204" t="e">
        <f>AND(Bills!#REF!,"AAAAAHm29yI=")</f>
        <v>#REF!</v>
      </c>
      <c r="AJ204" t="e">
        <f>AND(Bills!#REF!,"AAAAAHm29yM=")</f>
        <v>#REF!</v>
      </c>
      <c r="AK204" t="e">
        <f>AND(Bills!#REF!,"AAAAAHm29yQ=")</f>
        <v>#REF!</v>
      </c>
      <c r="AL204" t="e">
        <f>AND(Bills!AA790,"AAAAAHm29yU=")</f>
        <v>#VALUE!</v>
      </c>
      <c r="AM204" t="e">
        <f>AND(Bills!AB790,"AAAAAHm29yY=")</f>
        <v>#VALUE!</v>
      </c>
      <c r="AN204" t="e">
        <f>AND(Bills!#REF!,"AAAAAHm29yc=")</f>
        <v>#REF!</v>
      </c>
      <c r="AO204">
        <f>IF(Bills!791:791,"AAAAAHm29yg=",0)</f>
        <v>0</v>
      </c>
      <c r="AP204" t="e">
        <f>AND(Bills!B791,"AAAAAHm29yk=")</f>
        <v>#VALUE!</v>
      </c>
      <c r="AQ204" t="e">
        <f>AND(Bills!#REF!,"AAAAAHm29yo=")</f>
        <v>#REF!</v>
      </c>
      <c r="AR204" t="e">
        <f>AND(Bills!C791,"AAAAAHm29ys=")</f>
        <v>#VALUE!</v>
      </c>
      <c r="AS204" t="e">
        <f>AND(Bills!#REF!,"AAAAAHm29yw=")</f>
        <v>#REF!</v>
      </c>
      <c r="AT204" t="e">
        <f>AND(Bills!#REF!,"AAAAAHm29y0=")</f>
        <v>#REF!</v>
      </c>
      <c r="AU204" t="e">
        <f>AND(Bills!#REF!,"AAAAAHm29y4=")</f>
        <v>#REF!</v>
      </c>
      <c r="AV204" t="e">
        <f>AND(Bills!#REF!,"AAAAAHm29y8=")</f>
        <v>#REF!</v>
      </c>
      <c r="AW204" t="e">
        <f>AND(Bills!#REF!,"AAAAAHm29zA=")</f>
        <v>#REF!</v>
      </c>
      <c r="AX204" t="e">
        <f>AND(Bills!D791,"AAAAAHm29zE=")</f>
        <v>#VALUE!</v>
      </c>
      <c r="AY204" t="e">
        <f>AND(Bills!#REF!,"AAAAAHm29zI=")</f>
        <v>#REF!</v>
      </c>
      <c r="AZ204" t="e">
        <f>AND(Bills!E791,"AAAAAHm29zM=")</f>
        <v>#VALUE!</v>
      </c>
      <c r="BA204" t="e">
        <f>AND(Bills!F791,"AAAAAHm29zQ=")</f>
        <v>#VALUE!</v>
      </c>
      <c r="BB204" t="e">
        <f>AND(Bills!G791,"AAAAAHm29zU=")</f>
        <v>#VALUE!</v>
      </c>
      <c r="BC204" t="e">
        <f>AND(Bills!H791,"AAAAAHm29zY=")</f>
        <v>#VALUE!</v>
      </c>
      <c r="BD204" t="e">
        <f>AND(Bills!I791,"AAAAAHm29zc=")</f>
        <v>#VALUE!</v>
      </c>
      <c r="BE204" t="e">
        <f>AND(Bills!J791,"AAAAAHm29zg=")</f>
        <v>#VALUE!</v>
      </c>
      <c r="BF204" t="e">
        <f>AND(Bills!#REF!,"AAAAAHm29zk=")</f>
        <v>#REF!</v>
      </c>
      <c r="BG204" t="e">
        <f>AND(Bills!K791,"AAAAAHm29zo=")</f>
        <v>#VALUE!</v>
      </c>
      <c r="BH204" t="e">
        <f>AND(Bills!L791,"AAAAAHm29zs=")</f>
        <v>#VALUE!</v>
      </c>
      <c r="BI204" t="e">
        <f>AND(Bills!M791,"AAAAAHm29zw=")</f>
        <v>#VALUE!</v>
      </c>
      <c r="BJ204" t="e">
        <f>AND(Bills!N791,"AAAAAHm29z0=")</f>
        <v>#VALUE!</v>
      </c>
      <c r="BK204" t="e">
        <f>AND(Bills!O791,"AAAAAHm29z4=")</f>
        <v>#VALUE!</v>
      </c>
      <c r="BL204" t="e">
        <f>AND(Bills!P791,"AAAAAHm29z8=")</f>
        <v>#VALUE!</v>
      </c>
      <c r="BM204" t="e">
        <f>AND(Bills!Q791,"AAAAAHm290A=")</f>
        <v>#VALUE!</v>
      </c>
      <c r="BN204" t="e">
        <f>AND(Bills!R791,"AAAAAHm290E=")</f>
        <v>#VALUE!</v>
      </c>
      <c r="BO204" t="e">
        <f>AND(Bills!#REF!,"AAAAAHm290I=")</f>
        <v>#REF!</v>
      </c>
      <c r="BP204" t="e">
        <f>AND(Bills!S791,"AAAAAHm290M=")</f>
        <v>#VALUE!</v>
      </c>
      <c r="BQ204" t="e">
        <f>AND(Bills!T791,"AAAAAHm290Q=")</f>
        <v>#VALUE!</v>
      </c>
      <c r="BR204" t="e">
        <f>AND(Bills!U791,"AAAAAHm290U=")</f>
        <v>#VALUE!</v>
      </c>
      <c r="BS204" t="e">
        <f>AND(Bills!#REF!,"AAAAAHm290Y=")</f>
        <v>#REF!</v>
      </c>
      <c r="BT204" t="e">
        <f>AND(Bills!#REF!,"AAAAAHm290c=")</f>
        <v>#REF!</v>
      </c>
      <c r="BU204" t="e">
        <f>AND(Bills!W791,"AAAAAHm290g=")</f>
        <v>#VALUE!</v>
      </c>
      <c r="BV204" t="e">
        <f>AND(Bills!X791,"AAAAAHm290k=")</f>
        <v>#VALUE!</v>
      </c>
      <c r="BW204" t="e">
        <f>AND(Bills!#REF!,"AAAAAHm290o=")</f>
        <v>#REF!</v>
      </c>
      <c r="BX204" t="e">
        <f>AND(Bills!#REF!,"AAAAAHm290s=")</f>
        <v>#REF!</v>
      </c>
      <c r="BY204" t="e">
        <f>AND(Bills!#REF!,"AAAAAHm290w=")</f>
        <v>#REF!</v>
      </c>
      <c r="BZ204" t="e">
        <f>AND(Bills!#REF!,"AAAAAHm2900=")</f>
        <v>#REF!</v>
      </c>
      <c r="CA204" t="e">
        <f>AND(Bills!#REF!,"AAAAAHm2904=")</f>
        <v>#REF!</v>
      </c>
      <c r="CB204" t="e">
        <f>AND(Bills!#REF!,"AAAAAHm2908=")</f>
        <v>#REF!</v>
      </c>
      <c r="CC204" t="e">
        <f>AND(Bills!#REF!,"AAAAAHm291A=")</f>
        <v>#REF!</v>
      </c>
      <c r="CD204" t="e">
        <f>AND(Bills!#REF!,"AAAAAHm291E=")</f>
        <v>#REF!</v>
      </c>
      <c r="CE204" t="e">
        <f>AND(Bills!#REF!,"AAAAAHm291I=")</f>
        <v>#REF!</v>
      </c>
      <c r="CF204" t="e">
        <f>AND(Bills!Y791,"AAAAAHm291M=")</f>
        <v>#VALUE!</v>
      </c>
      <c r="CG204" t="e">
        <f>AND(Bills!Z791,"AAAAAHm291Q=")</f>
        <v>#VALUE!</v>
      </c>
      <c r="CH204" t="e">
        <f>AND(Bills!#REF!,"AAAAAHm291U=")</f>
        <v>#REF!</v>
      </c>
      <c r="CI204" t="e">
        <f>AND(Bills!#REF!,"AAAAAHm291Y=")</f>
        <v>#REF!</v>
      </c>
      <c r="CJ204" t="e">
        <f>AND(Bills!#REF!,"AAAAAHm291c=")</f>
        <v>#REF!</v>
      </c>
      <c r="CK204" t="e">
        <f>AND(Bills!AA791,"AAAAAHm291g=")</f>
        <v>#VALUE!</v>
      </c>
      <c r="CL204" t="e">
        <f>AND(Bills!AB791,"AAAAAHm291k=")</f>
        <v>#VALUE!</v>
      </c>
      <c r="CM204" t="e">
        <f>AND(Bills!#REF!,"AAAAAHm291o=")</f>
        <v>#REF!</v>
      </c>
      <c r="CN204">
        <f>IF(Bills!792:792,"AAAAAHm291s=",0)</f>
        <v>0</v>
      </c>
      <c r="CO204" t="e">
        <f>AND(Bills!B792,"AAAAAHm291w=")</f>
        <v>#VALUE!</v>
      </c>
      <c r="CP204" t="e">
        <f>AND(Bills!#REF!,"AAAAAHm2910=")</f>
        <v>#REF!</v>
      </c>
      <c r="CQ204" t="e">
        <f>AND(Bills!C792,"AAAAAHm2914=")</f>
        <v>#VALUE!</v>
      </c>
      <c r="CR204" t="e">
        <f>AND(Bills!#REF!,"AAAAAHm2918=")</f>
        <v>#REF!</v>
      </c>
      <c r="CS204" t="e">
        <f>AND(Bills!#REF!,"AAAAAHm292A=")</f>
        <v>#REF!</v>
      </c>
      <c r="CT204" t="e">
        <f>AND(Bills!#REF!,"AAAAAHm292E=")</f>
        <v>#REF!</v>
      </c>
      <c r="CU204" t="e">
        <f>AND(Bills!#REF!,"AAAAAHm292I=")</f>
        <v>#REF!</v>
      </c>
      <c r="CV204" t="e">
        <f>AND(Bills!#REF!,"AAAAAHm292M=")</f>
        <v>#REF!</v>
      </c>
      <c r="CW204" t="e">
        <f>AND(Bills!D792,"AAAAAHm292Q=")</f>
        <v>#VALUE!</v>
      </c>
      <c r="CX204" t="e">
        <f>AND(Bills!#REF!,"AAAAAHm292U=")</f>
        <v>#REF!</v>
      </c>
      <c r="CY204" t="e">
        <f>AND(Bills!E792,"AAAAAHm292Y=")</f>
        <v>#VALUE!</v>
      </c>
      <c r="CZ204" t="e">
        <f>AND(Bills!F792,"AAAAAHm292c=")</f>
        <v>#VALUE!</v>
      </c>
      <c r="DA204" t="e">
        <f>AND(Bills!G792,"AAAAAHm292g=")</f>
        <v>#VALUE!</v>
      </c>
      <c r="DB204" t="e">
        <f>AND(Bills!H792,"AAAAAHm292k=")</f>
        <v>#VALUE!</v>
      </c>
      <c r="DC204" t="e">
        <f>AND(Bills!I792,"AAAAAHm292o=")</f>
        <v>#VALUE!</v>
      </c>
      <c r="DD204" t="e">
        <f>AND(Bills!J792,"AAAAAHm292s=")</f>
        <v>#VALUE!</v>
      </c>
      <c r="DE204" t="e">
        <f>AND(Bills!#REF!,"AAAAAHm292w=")</f>
        <v>#REF!</v>
      </c>
      <c r="DF204" t="e">
        <f>AND(Bills!K792,"AAAAAHm2920=")</f>
        <v>#VALUE!</v>
      </c>
      <c r="DG204" t="e">
        <f>AND(Bills!L792,"AAAAAHm2924=")</f>
        <v>#VALUE!</v>
      </c>
      <c r="DH204" t="e">
        <f>AND(Bills!M792,"AAAAAHm2928=")</f>
        <v>#VALUE!</v>
      </c>
      <c r="DI204" t="e">
        <f>AND(Bills!N792,"AAAAAHm293A=")</f>
        <v>#VALUE!</v>
      </c>
      <c r="DJ204" t="e">
        <f>AND(Bills!O792,"AAAAAHm293E=")</f>
        <v>#VALUE!</v>
      </c>
      <c r="DK204" t="e">
        <f>AND(Bills!P792,"AAAAAHm293I=")</f>
        <v>#VALUE!</v>
      </c>
      <c r="DL204" t="e">
        <f>AND(Bills!Q792,"AAAAAHm293M=")</f>
        <v>#VALUE!</v>
      </c>
      <c r="DM204" t="e">
        <f>AND(Bills!R792,"AAAAAHm293Q=")</f>
        <v>#VALUE!</v>
      </c>
      <c r="DN204" t="e">
        <f>AND(Bills!#REF!,"AAAAAHm293U=")</f>
        <v>#REF!</v>
      </c>
      <c r="DO204" t="e">
        <f>AND(Bills!S792,"AAAAAHm293Y=")</f>
        <v>#VALUE!</v>
      </c>
      <c r="DP204" t="e">
        <f>AND(Bills!T792,"AAAAAHm293c=")</f>
        <v>#VALUE!</v>
      </c>
      <c r="DQ204" t="e">
        <f>AND(Bills!U792,"AAAAAHm293g=")</f>
        <v>#VALUE!</v>
      </c>
      <c r="DR204" t="e">
        <f>AND(Bills!#REF!,"AAAAAHm293k=")</f>
        <v>#REF!</v>
      </c>
      <c r="DS204" t="e">
        <f>AND(Bills!#REF!,"AAAAAHm293o=")</f>
        <v>#REF!</v>
      </c>
      <c r="DT204" t="e">
        <f>AND(Bills!W792,"AAAAAHm293s=")</f>
        <v>#VALUE!</v>
      </c>
      <c r="DU204" t="e">
        <f>AND(Bills!X792,"AAAAAHm293w=")</f>
        <v>#VALUE!</v>
      </c>
      <c r="DV204" t="e">
        <f>AND(Bills!#REF!,"AAAAAHm2930=")</f>
        <v>#REF!</v>
      </c>
      <c r="DW204" t="e">
        <f>AND(Bills!#REF!,"AAAAAHm2934=")</f>
        <v>#REF!</v>
      </c>
      <c r="DX204" t="e">
        <f>AND(Bills!#REF!,"AAAAAHm2938=")</f>
        <v>#REF!</v>
      </c>
      <c r="DY204" t="e">
        <f>AND(Bills!#REF!,"AAAAAHm294A=")</f>
        <v>#REF!</v>
      </c>
      <c r="DZ204" t="e">
        <f>AND(Bills!#REF!,"AAAAAHm294E=")</f>
        <v>#REF!</v>
      </c>
      <c r="EA204" t="e">
        <f>AND(Bills!#REF!,"AAAAAHm294I=")</f>
        <v>#REF!</v>
      </c>
      <c r="EB204" t="e">
        <f>AND(Bills!#REF!,"AAAAAHm294M=")</f>
        <v>#REF!</v>
      </c>
      <c r="EC204" t="e">
        <f>AND(Bills!#REF!,"AAAAAHm294Q=")</f>
        <v>#REF!</v>
      </c>
      <c r="ED204" t="e">
        <f>AND(Bills!#REF!,"AAAAAHm294U=")</f>
        <v>#REF!</v>
      </c>
      <c r="EE204" t="e">
        <f>AND(Bills!Y792,"AAAAAHm294Y=")</f>
        <v>#VALUE!</v>
      </c>
      <c r="EF204" t="e">
        <f>AND(Bills!Z792,"AAAAAHm294c=")</f>
        <v>#VALUE!</v>
      </c>
      <c r="EG204" t="e">
        <f>AND(Bills!#REF!,"AAAAAHm294g=")</f>
        <v>#REF!</v>
      </c>
      <c r="EH204" t="e">
        <f>AND(Bills!#REF!,"AAAAAHm294k=")</f>
        <v>#REF!</v>
      </c>
      <c r="EI204" t="e">
        <f>AND(Bills!#REF!,"AAAAAHm294o=")</f>
        <v>#REF!</v>
      </c>
      <c r="EJ204" t="e">
        <f>AND(Bills!AA792,"AAAAAHm294s=")</f>
        <v>#VALUE!</v>
      </c>
      <c r="EK204" t="e">
        <f>AND(Bills!AB792,"AAAAAHm294w=")</f>
        <v>#VALUE!</v>
      </c>
      <c r="EL204" t="e">
        <f>AND(Bills!#REF!,"AAAAAHm2940=")</f>
        <v>#REF!</v>
      </c>
      <c r="EM204">
        <f>IF(Bills!793:793,"AAAAAHm2944=",0)</f>
        <v>0</v>
      </c>
      <c r="EN204" t="e">
        <f>AND(Bills!B793,"AAAAAHm2948=")</f>
        <v>#VALUE!</v>
      </c>
      <c r="EO204" t="e">
        <f>AND(Bills!#REF!,"AAAAAHm295A=")</f>
        <v>#REF!</v>
      </c>
      <c r="EP204" t="e">
        <f>AND(Bills!C793,"AAAAAHm295E=")</f>
        <v>#VALUE!</v>
      </c>
      <c r="EQ204" t="e">
        <f>AND(Bills!#REF!,"AAAAAHm295I=")</f>
        <v>#REF!</v>
      </c>
      <c r="ER204" t="e">
        <f>AND(Bills!#REF!,"AAAAAHm295M=")</f>
        <v>#REF!</v>
      </c>
      <c r="ES204" t="e">
        <f>AND(Bills!#REF!,"AAAAAHm295Q=")</f>
        <v>#REF!</v>
      </c>
      <c r="ET204" t="e">
        <f>AND(Bills!#REF!,"AAAAAHm295U=")</f>
        <v>#REF!</v>
      </c>
      <c r="EU204" t="e">
        <f>AND(Bills!#REF!,"AAAAAHm295Y=")</f>
        <v>#REF!</v>
      </c>
      <c r="EV204" t="e">
        <f>AND(Bills!D793,"AAAAAHm295c=")</f>
        <v>#VALUE!</v>
      </c>
      <c r="EW204" t="e">
        <f>AND(Bills!#REF!,"AAAAAHm295g=")</f>
        <v>#REF!</v>
      </c>
      <c r="EX204" t="e">
        <f>AND(Bills!E793,"AAAAAHm295k=")</f>
        <v>#VALUE!</v>
      </c>
      <c r="EY204" t="e">
        <f>AND(Bills!F793,"AAAAAHm295o=")</f>
        <v>#VALUE!</v>
      </c>
      <c r="EZ204" t="e">
        <f>AND(Bills!G793,"AAAAAHm295s=")</f>
        <v>#VALUE!</v>
      </c>
      <c r="FA204" t="e">
        <f>AND(Bills!H793,"AAAAAHm295w=")</f>
        <v>#VALUE!</v>
      </c>
      <c r="FB204" t="e">
        <f>AND(Bills!I793,"AAAAAHm2950=")</f>
        <v>#VALUE!</v>
      </c>
      <c r="FC204" t="e">
        <f>AND(Bills!J793,"AAAAAHm2954=")</f>
        <v>#VALUE!</v>
      </c>
      <c r="FD204" t="e">
        <f>AND(Bills!#REF!,"AAAAAHm2958=")</f>
        <v>#REF!</v>
      </c>
      <c r="FE204" t="e">
        <f>AND(Bills!K793,"AAAAAHm296A=")</f>
        <v>#VALUE!</v>
      </c>
      <c r="FF204" t="e">
        <f>AND(Bills!L793,"AAAAAHm296E=")</f>
        <v>#VALUE!</v>
      </c>
      <c r="FG204" t="e">
        <f>AND(Bills!M793,"AAAAAHm296I=")</f>
        <v>#VALUE!</v>
      </c>
      <c r="FH204" t="e">
        <f>AND(Bills!N793,"AAAAAHm296M=")</f>
        <v>#VALUE!</v>
      </c>
      <c r="FI204" t="e">
        <f>AND(Bills!O793,"AAAAAHm296Q=")</f>
        <v>#VALUE!</v>
      </c>
      <c r="FJ204" t="e">
        <f>AND(Bills!P793,"AAAAAHm296U=")</f>
        <v>#VALUE!</v>
      </c>
      <c r="FK204" t="e">
        <f>AND(Bills!Q793,"AAAAAHm296Y=")</f>
        <v>#VALUE!</v>
      </c>
      <c r="FL204" t="e">
        <f>AND(Bills!R793,"AAAAAHm296c=")</f>
        <v>#VALUE!</v>
      </c>
      <c r="FM204" t="e">
        <f>AND(Bills!#REF!,"AAAAAHm296g=")</f>
        <v>#REF!</v>
      </c>
      <c r="FN204" t="e">
        <f>AND(Bills!S793,"AAAAAHm296k=")</f>
        <v>#VALUE!</v>
      </c>
      <c r="FO204" t="e">
        <f>AND(Bills!T793,"AAAAAHm296o=")</f>
        <v>#VALUE!</v>
      </c>
      <c r="FP204" t="e">
        <f>AND(Bills!U793,"AAAAAHm296s=")</f>
        <v>#VALUE!</v>
      </c>
      <c r="FQ204" t="e">
        <f>AND(Bills!#REF!,"AAAAAHm296w=")</f>
        <v>#REF!</v>
      </c>
      <c r="FR204" t="e">
        <f>AND(Bills!#REF!,"AAAAAHm2960=")</f>
        <v>#REF!</v>
      </c>
      <c r="FS204" t="e">
        <f>AND(Bills!W793,"AAAAAHm2964=")</f>
        <v>#VALUE!</v>
      </c>
      <c r="FT204" t="e">
        <f>AND(Bills!X793,"AAAAAHm2968=")</f>
        <v>#VALUE!</v>
      </c>
      <c r="FU204" t="e">
        <f>AND(Bills!#REF!,"AAAAAHm297A=")</f>
        <v>#REF!</v>
      </c>
      <c r="FV204" t="e">
        <f>AND(Bills!#REF!,"AAAAAHm297E=")</f>
        <v>#REF!</v>
      </c>
      <c r="FW204" t="e">
        <f>AND(Bills!#REF!,"AAAAAHm297I=")</f>
        <v>#REF!</v>
      </c>
      <c r="FX204" t="e">
        <f>AND(Bills!#REF!,"AAAAAHm297M=")</f>
        <v>#REF!</v>
      </c>
      <c r="FY204" t="e">
        <f>AND(Bills!#REF!,"AAAAAHm297Q=")</f>
        <v>#REF!</v>
      </c>
      <c r="FZ204" t="e">
        <f>AND(Bills!#REF!,"AAAAAHm297U=")</f>
        <v>#REF!</v>
      </c>
      <c r="GA204" t="e">
        <f>AND(Bills!#REF!,"AAAAAHm297Y=")</f>
        <v>#REF!</v>
      </c>
      <c r="GB204" t="e">
        <f>AND(Bills!#REF!,"AAAAAHm297c=")</f>
        <v>#REF!</v>
      </c>
      <c r="GC204" t="e">
        <f>AND(Bills!#REF!,"AAAAAHm297g=")</f>
        <v>#REF!</v>
      </c>
      <c r="GD204" t="e">
        <f>AND(Bills!Y793,"AAAAAHm297k=")</f>
        <v>#VALUE!</v>
      </c>
      <c r="GE204" t="e">
        <f>AND(Bills!Z793,"AAAAAHm297o=")</f>
        <v>#VALUE!</v>
      </c>
      <c r="GF204" t="e">
        <f>AND(Bills!#REF!,"AAAAAHm297s=")</f>
        <v>#REF!</v>
      </c>
      <c r="GG204" t="e">
        <f>AND(Bills!#REF!,"AAAAAHm297w=")</f>
        <v>#REF!</v>
      </c>
      <c r="GH204" t="e">
        <f>AND(Bills!#REF!,"AAAAAHm2970=")</f>
        <v>#REF!</v>
      </c>
      <c r="GI204" t="e">
        <f>AND(Bills!AA793,"AAAAAHm2974=")</f>
        <v>#VALUE!</v>
      </c>
      <c r="GJ204" t="e">
        <f>AND(Bills!AB793,"AAAAAHm2978=")</f>
        <v>#VALUE!</v>
      </c>
      <c r="GK204" t="e">
        <f>AND(Bills!#REF!,"AAAAAHm298A=")</f>
        <v>#REF!</v>
      </c>
      <c r="GL204">
        <f>IF(Bills!794:794,"AAAAAHm298E=",0)</f>
        <v>0</v>
      </c>
      <c r="GM204" t="e">
        <f>AND(Bills!B794,"AAAAAHm298I=")</f>
        <v>#VALUE!</v>
      </c>
      <c r="GN204" t="e">
        <f>AND(Bills!#REF!,"AAAAAHm298M=")</f>
        <v>#REF!</v>
      </c>
      <c r="GO204" t="e">
        <f>AND(Bills!C794,"AAAAAHm298Q=")</f>
        <v>#VALUE!</v>
      </c>
      <c r="GP204" t="e">
        <f>AND(Bills!#REF!,"AAAAAHm298U=")</f>
        <v>#REF!</v>
      </c>
      <c r="GQ204" t="e">
        <f>AND(Bills!#REF!,"AAAAAHm298Y=")</f>
        <v>#REF!</v>
      </c>
      <c r="GR204" t="e">
        <f>AND(Bills!#REF!,"AAAAAHm298c=")</f>
        <v>#REF!</v>
      </c>
      <c r="GS204" t="e">
        <f>AND(Bills!#REF!,"AAAAAHm298g=")</f>
        <v>#REF!</v>
      </c>
      <c r="GT204" t="e">
        <f>AND(Bills!#REF!,"AAAAAHm298k=")</f>
        <v>#REF!</v>
      </c>
      <c r="GU204" t="e">
        <f>AND(Bills!D794,"AAAAAHm298o=")</f>
        <v>#VALUE!</v>
      </c>
      <c r="GV204" t="e">
        <f>AND(Bills!#REF!,"AAAAAHm298s=")</f>
        <v>#REF!</v>
      </c>
      <c r="GW204" t="e">
        <f>AND(Bills!E794,"AAAAAHm298w=")</f>
        <v>#VALUE!</v>
      </c>
      <c r="GX204" t="e">
        <f>AND(Bills!F794,"AAAAAHm2980=")</f>
        <v>#VALUE!</v>
      </c>
      <c r="GY204" t="e">
        <f>AND(Bills!G794,"AAAAAHm2984=")</f>
        <v>#VALUE!</v>
      </c>
      <c r="GZ204" t="e">
        <f>AND(Bills!H794,"AAAAAHm2988=")</f>
        <v>#VALUE!</v>
      </c>
      <c r="HA204" t="e">
        <f>AND(Bills!I794,"AAAAAHm299A=")</f>
        <v>#VALUE!</v>
      </c>
      <c r="HB204" t="e">
        <f>AND(Bills!J794,"AAAAAHm299E=")</f>
        <v>#VALUE!</v>
      </c>
      <c r="HC204" t="e">
        <f>AND(Bills!#REF!,"AAAAAHm299I=")</f>
        <v>#REF!</v>
      </c>
      <c r="HD204" t="e">
        <f>AND(Bills!K794,"AAAAAHm299M=")</f>
        <v>#VALUE!</v>
      </c>
      <c r="HE204" t="e">
        <f>AND(Bills!L794,"AAAAAHm299Q=")</f>
        <v>#VALUE!</v>
      </c>
      <c r="HF204" t="e">
        <f>AND(Bills!M794,"AAAAAHm299U=")</f>
        <v>#VALUE!</v>
      </c>
      <c r="HG204" t="e">
        <f>AND(Bills!N794,"AAAAAHm299Y=")</f>
        <v>#VALUE!</v>
      </c>
      <c r="HH204" t="e">
        <f>AND(Bills!O794,"AAAAAHm299c=")</f>
        <v>#VALUE!</v>
      </c>
      <c r="HI204" t="e">
        <f>AND(Bills!P794,"AAAAAHm299g=")</f>
        <v>#VALUE!</v>
      </c>
      <c r="HJ204" t="e">
        <f>AND(Bills!Q794,"AAAAAHm299k=")</f>
        <v>#VALUE!</v>
      </c>
      <c r="HK204" t="e">
        <f>AND(Bills!R794,"AAAAAHm299o=")</f>
        <v>#VALUE!</v>
      </c>
      <c r="HL204" t="e">
        <f>AND(Bills!#REF!,"AAAAAHm299s=")</f>
        <v>#REF!</v>
      </c>
      <c r="HM204" t="e">
        <f>AND(Bills!S794,"AAAAAHm299w=")</f>
        <v>#VALUE!</v>
      </c>
      <c r="HN204" t="e">
        <f>AND(Bills!T794,"AAAAAHm2990=")</f>
        <v>#VALUE!</v>
      </c>
      <c r="HO204" t="e">
        <f>AND(Bills!U794,"AAAAAHm2994=")</f>
        <v>#VALUE!</v>
      </c>
      <c r="HP204" t="e">
        <f>AND(Bills!#REF!,"AAAAAHm2998=")</f>
        <v>#REF!</v>
      </c>
      <c r="HQ204" t="e">
        <f>AND(Bills!#REF!,"AAAAAHm29+A=")</f>
        <v>#REF!</v>
      </c>
      <c r="HR204" t="e">
        <f>AND(Bills!W794,"AAAAAHm29+E=")</f>
        <v>#VALUE!</v>
      </c>
      <c r="HS204" t="e">
        <f>AND(Bills!X794,"AAAAAHm29+I=")</f>
        <v>#VALUE!</v>
      </c>
      <c r="HT204" t="e">
        <f>AND(Bills!#REF!,"AAAAAHm29+M=")</f>
        <v>#REF!</v>
      </c>
      <c r="HU204" t="e">
        <f>AND(Bills!#REF!,"AAAAAHm29+Q=")</f>
        <v>#REF!</v>
      </c>
      <c r="HV204" t="e">
        <f>AND(Bills!#REF!,"AAAAAHm29+U=")</f>
        <v>#REF!</v>
      </c>
      <c r="HW204" t="e">
        <f>AND(Bills!#REF!,"AAAAAHm29+Y=")</f>
        <v>#REF!</v>
      </c>
      <c r="HX204" t="e">
        <f>AND(Bills!#REF!,"AAAAAHm29+c=")</f>
        <v>#REF!</v>
      </c>
      <c r="HY204" t="e">
        <f>AND(Bills!#REF!,"AAAAAHm29+g=")</f>
        <v>#REF!</v>
      </c>
      <c r="HZ204" t="e">
        <f>AND(Bills!#REF!,"AAAAAHm29+k=")</f>
        <v>#REF!</v>
      </c>
      <c r="IA204" t="e">
        <f>AND(Bills!#REF!,"AAAAAHm29+o=")</f>
        <v>#REF!</v>
      </c>
      <c r="IB204" t="e">
        <f>AND(Bills!#REF!,"AAAAAHm29+s=")</f>
        <v>#REF!</v>
      </c>
      <c r="IC204" t="e">
        <f>AND(Bills!Y794,"AAAAAHm29+w=")</f>
        <v>#VALUE!</v>
      </c>
      <c r="ID204" t="e">
        <f>AND(Bills!Z794,"AAAAAHm29+0=")</f>
        <v>#VALUE!</v>
      </c>
      <c r="IE204" t="e">
        <f>AND(Bills!#REF!,"AAAAAHm29+4=")</f>
        <v>#REF!</v>
      </c>
      <c r="IF204" t="e">
        <f>AND(Bills!#REF!,"AAAAAHm29+8=")</f>
        <v>#REF!</v>
      </c>
      <c r="IG204" t="e">
        <f>AND(Bills!#REF!,"AAAAAHm29/A=")</f>
        <v>#REF!</v>
      </c>
      <c r="IH204" t="e">
        <f>AND(Bills!AA794,"AAAAAHm29/E=")</f>
        <v>#VALUE!</v>
      </c>
      <c r="II204" t="e">
        <f>AND(Bills!AB794,"AAAAAHm29/I=")</f>
        <v>#VALUE!</v>
      </c>
      <c r="IJ204" t="e">
        <f>AND(Bills!#REF!,"AAAAAHm29/M=")</f>
        <v>#REF!</v>
      </c>
      <c r="IK204">
        <f>IF(Bills!795:795,"AAAAAHm29/Q=",0)</f>
        <v>0</v>
      </c>
      <c r="IL204" t="e">
        <f>AND(Bills!B795,"AAAAAHm29/U=")</f>
        <v>#VALUE!</v>
      </c>
      <c r="IM204" t="e">
        <f>AND(Bills!#REF!,"AAAAAHm29/Y=")</f>
        <v>#REF!</v>
      </c>
      <c r="IN204" t="e">
        <f>AND(Bills!C795,"AAAAAHm29/c=")</f>
        <v>#VALUE!</v>
      </c>
      <c r="IO204" t="e">
        <f>AND(Bills!#REF!,"AAAAAHm29/g=")</f>
        <v>#REF!</v>
      </c>
      <c r="IP204" t="e">
        <f>AND(Bills!#REF!,"AAAAAHm29/k=")</f>
        <v>#REF!</v>
      </c>
      <c r="IQ204" t="e">
        <f>AND(Bills!#REF!,"AAAAAHm29/o=")</f>
        <v>#REF!</v>
      </c>
      <c r="IR204" t="e">
        <f>AND(Bills!#REF!,"AAAAAHm29/s=")</f>
        <v>#REF!</v>
      </c>
      <c r="IS204" t="e">
        <f>AND(Bills!#REF!,"AAAAAHm29/w=")</f>
        <v>#REF!</v>
      </c>
      <c r="IT204" t="e">
        <f>AND(Bills!D795,"AAAAAHm29/0=")</f>
        <v>#VALUE!</v>
      </c>
      <c r="IU204" t="e">
        <f>AND(Bills!#REF!,"AAAAAHm29/4=")</f>
        <v>#REF!</v>
      </c>
      <c r="IV204" t="e">
        <f>AND(Bills!E795,"AAAAAHm29/8=")</f>
        <v>#VALUE!</v>
      </c>
    </row>
    <row r="205" spans="1:256">
      <c r="A205" t="e">
        <f>AND(Bills!F795,"AAAAAFdj7wA=")</f>
        <v>#VALUE!</v>
      </c>
      <c r="B205" t="e">
        <f>AND(Bills!G795,"AAAAAFdj7wE=")</f>
        <v>#VALUE!</v>
      </c>
      <c r="C205" t="e">
        <f>AND(Bills!H795,"AAAAAFdj7wI=")</f>
        <v>#VALUE!</v>
      </c>
      <c r="D205" t="e">
        <f>AND(Bills!I795,"AAAAAFdj7wM=")</f>
        <v>#VALUE!</v>
      </c>
      <c r="E205" t="e">
        <f>AND(Bills!J795,"AAAAAFdj7wQ=")</f>
        <v>#VALUE!</v>
      </c>
      <c r="F205" t="e">
        <f>AND(Bills!#REF!,"AAAAAFdj7wU=")</f>
        <v>#REF!</v>
      </c>
      <c r="G205" t="e">
        <f>AND(Bills!K795,"AAAAAFdj7wY=")</f>
        <v>#VALUE!</v>
      </c>
      <c r="H205" t="e">
        <f>AND(Bills!L795,"AAAAAFdj7wc=")</f>
        <v>#VALUE!</v>
      </c>
      <c r="I205" t="e">
        <f>AND(Bills!M795,"AAAAAFdj7wg=")</f>
        <v>#VALUE!</v>
      </c>
      <c r="J205" t="e">
        <f>AND(Bills!N795,"AAAAAFdj7wk=")</f>
        <v>#VALUE!</v>
      </c>
      <c r="K205" t="e">
        <f>AND(Bills!O795,"AAAAAFdj7wo=")</f>
        <v>#VALUE!</v>
      </c>
      <c r="L205" t="e">
        <f>AND(Bills!P795,"AAAAAFdj7ws=")</f>
        <v>#VALUE!</v>
      </c>
      <c r="M205" t="e">
        <f>AND(Bills!Q795,"AAAAAFdj7ww=")</f>
        <v>#VALUE!</v>
      </c>
      <c r="N205" t="e">
        <f>AND(Bills!R795,"AAAAAFdj7w0=")</f>
        <v>#VALUE!</v>
      </c>
      <c r="O205" t="e">
        <f>AND(Bills!#REF!,"AAAAAFdj7w4=")</f>
        <v>#REF!</v>
      </c>
      <c r="P205" t="e">
        <f>AND(Bills!S795,"AAAAAFdj7w8=")</f>
        <v>#VALUE!</v>
      </c>
      <c r="Q205" t="e">
        <f>AND(Bills!T795,"AAAAAFdj7xA=")</f>
        <v>#VALUE!</v>
      </c>
      <c r="R205" t="e">
        <f>AND(Bills!U795,"AAAAAFdj7xE=")</f>
        <v>#VALUE!</v>
      </c>
      <c r="S205" t="e">
        <f>AND(Bills!#REF!,"AAAAAFdj7xI=")</f>
        <v>#REF!</v>
      </c>
      <c r="T205" t="e">
        <f>AND(Bills!#REF!,"AAAAAFdj7xM=")</f>
        <v>#REF!</v>
      </c>
      <c r="U205" t="e">
        <f>AND(Bills!W795,"AAAAAFdj7xQ=")</f>
        <v>#VALUE!</v>
      </c>
      <c r="V205" t="e">
        <f>AND(Bills!X795,"AAAAAFdj7xU=")</f>
        <v>#VALUE!</v>
      </c>
      <c r="W205" t="e">
        <f>AND(Bills!#REF!,"AAAAAFdj7xY=")</f>
        <v>#REF!</v>
      </c>
      <c r="X205" t="e">
        <f>AND(Bills!#REF!,"AAAAAFdj7xc=")</f>
        <v>#REF!</v>
      </c>
      <c r="Y205" t="e">
        <f>AND(Bills!#REF!,"AAAAAFdj7xg=")</f>
        <v>#REF!</v>
      </c>
      <c r="Z205" t="e">
        <f>AND(Bills!#REF!,"AAAAAFdj7xk=")</f>
        <v>#REF!</v>
      </c>
      <c r="AA205" t="e">
        <f>AND(Bills!#REF!,"AAAAAFdj7xo=")</f>
        <v>#REF!</v>
      </c>
      <c r="AB205" t="e">
        <f>AND(Bills!#REF!,"AAAAAFdj7xs=")</f>
        <v>#REF!</v>
      </c>
      <c r="AC205" t="e">
        <f>AND(Bills!#REF!,"AAAAAFdj7xw=")</f>
        <v>#REF!</v>
      </c>
      <c r="AD205" t="e">
        <f>AND(Bills!#REF!,"AAAAAFdj7x0=")</f>
        <v>#REF!</v>
      </c>
      <c r="AE205" t="e">
        <f>AND(Bills!#REF!,"AAAAAFdj7x4=")</f>
        <v>#REF!</v>
      </c>
      <c r="AF205" t="e">
        <f>AND(Bills!Y795,"AAAAAFdj7x8=")</f>
        <v>#VALUE!</v>
      </c>
      <c r="AG205" t="e">
        <f>AND(Bills!Z795,"AAAAAFdj7yA=")</f>
        <v>#VALUE!</v>
      </c>
      <c r="AH205" t="e">
        <f>AND(Bills!#REF!,"AAAAAFdj7yE=")</f>
        <v>#REF!</v>
      </c>
      <c r="AI205" t="e">
        <f>AND(Bills!#REF!,"AAAAAFdj7yI=")</f>
        <v>#REF!</v>
      </c>
      <c r="AJ205" t="e">
        <f>AND(Bills!#REF!,"AAAAAFdj7yM=")</f>
        <v>#REF!</v>
      </c>
      <c r="AK205" t="e">
        <f>AND(Bills!AA795,"AAAAAFdj7yQ=")</f>
        <v>#VALUE!</v>
      </c>
      <c r="AL205" t="e">
        <f>AND(Bills!AB795,"AAAAAFdj7yU=")</f>
        <v>#VALUE!</v>
      </c>
      <c r="AM205" t="e">
        <f>AND(Bills!#REF!,"AAAAAFdj7yY=")</f>
        <v>#REF!</v>
      </c>
      <c r="AN205">
        <f>IF(Bills!796:796,"AAAAAFdj7yc=",0)</f>
        <v>0</v>
      </c>
      <c r="AO205" t="e">
        <f>AND(Bills!B796,"AAAAAFdj7yg=")</f>
        <v>#VALUE!</v>
      </c>
      <c r="AP205" t="e">
        <f>AND(Bills!#REF!,"AAAAAFdj7yk=")</f>
        <v>#REF!</v>
      </c>
      <c r="AQ205" t="e">
        <f>AND(Bills!C796,"AAAAAFdj7yo=")</f>
        <v>#VALUE!</v>
      </c>
      <c r="AR205" t="e">
        <f>AND(Bills!#REF!,"AAAAAFdj7ys=")</f>
        <v>#REF!</v>
      </c>
      <c r="AS205" t="e">
        <f>AND(Bills!#REF!,"AAAAAFdj7yw=")</f>
        <v>#REF!</v>
      </c>
      <c r="AT205" t="e">
        <f>AND(Bills!#REF!,"AAAAAFdj7y0=")</f>
        <v>#REF!</v>
      </c>
      <c r="AU205" t="e">
        <f>AND(Bills!#REF!,"AAAAAFdj7y4=")</f>
        <v>#REF!</v>
      </c>
      <c r="AV205" t="e">
        <f>AND(Bills!#REF!,"AAAAAFdj7y8=")</f>
        <v>#REF!</v>
      </c>
      <c r="AW205" t="e">
        <f>AND(Bills!D796,"AAAAAFdj7zA=")</f>
        <v>#VALUE!</v>
      </c>
      <c r="AX205" t="e">
        <f>AND(Bills!#REF!,"AAAAAFdj7zE=")</f>
        <v>#REF!</v>
      </c>
      <c r="AY205" t="e">
        <f>AND(Bills!E796,"AAAAAFdj7zI=")</f>
        <v>#VALUE!</v>
      </c>
      <c r="AZ205" t="e">
        <f>AND(Bills!F796,"AAAAAFdj7zM=")</f>
        <v>#VALUE!</v>
      </c>
      <c r="BA205" t="e">
        <f>AND(Bills!G796,"AAAAAFdj7zQ=")</f>
        <v>#VALUE!</v>
      </c>
      <c r="BB205" t="e">
        <f>AND(Bills!H796,"AAAAAFdj7zU=")</f>
        <v>#VALUE!</v>
      </c>
      <c r="BC205" t="e">
        <f>AND(Bills!I796,"AAAAAFdj7zY=")</f>
        <v>#VALUE!</v>
      </c>
      <c r="BD205" t="e">
        <f>AND(Bills!J796,"AAAAAFdj7zc=")</f>
        <v>#VALUE!</v>
      </c>
      <c r="BE205" t="e">
        <f>AND(Bills!#REF!,"AAAAAFdj7zg=")</f>
        <v>#REF!</v>
      </c>
      <c r="BF205" t="e">
        <f>AND(Bills!K796,"AAAAAFdj7zk=")</f>
        <v>#VALUE!</v>
      </c>
      <c r="BG205" t="e">
        <f>AND(Bills!L796,"AAAAAFdj7zo=")</f>
        <v>#VALUE!</v>
      </c>
      <c r="BH205" t="e">
        <f>AND(Bills!M796,"AAAAAFdj7zs=")</f>
        <v>#VALUE!</v>
      </c>
      <c r="BI205" t="e">
        <f>AND(Bills!N796,"AAAAAFdj7zw=")</f>
        <v>#VALUE!</v>
      </c>
      <c r="BJ205" t="e">
        <f>AND(Bills!O796,"AAAAAFdj7z0=")</f>
        <v>#VALUE!</v>
      </c>
      <c r="BK205" t="e">
        <f>AND(Bills!P796,"AAAAAFdj7z4=")</f>
        <v>#VALUE!</v>
      </c>
      <c r="BL205" t="e">
        <f>AND(Bills!Q796,"AAAAAFdj7z8=")</f>
        <v>#VALUE!</v>
      </c>
      <c r="BM205" t="e">
        <f>AND(Bills!R796,"AAAAAFdj70A=")</f>
        <v>#VALUE!</v>
      </c>
      <c r="BN205" t="e">
        <f>AND(Bills!#REF!,"AAAAAFdj70E=")</f>
        <v>#REF!</v>
      </c>
      <c r="BO205" t="e">
        <f>AND(Bills!S796,"AAAAAFdj70I=")</f>
        <v>#VALUE!</v>
      </c>
      <c r="BP205" t="e">
        <f>AND(Bills!T796,"AAAAAFdj70M=")</f>
        <v>#VALUE!</v>
      </c>
      <c r="BQ205" t="e">
        <f>AND(Bills!U796,"AAAAAFdj70Q=")</f>
        <v>#VALUE!</v>
      </c>
      <c r="BR205" t="e">
        <f>AND(Bills!#REF!,"AAAAAFdj70U=")</f>
        <v>#REF!</v>
      </c>
      <c r="BS205" t="e">
        <f>AND(Bills!#REF!,"AAAAAFdj70Y=")</f>
        <v>#REF!</v>
      </c>
      <c r="BT205" t="e">
        <f>AND(Bills!W796,"AAAAAFdj70c=")</f>
        <v>#VALUE!</v>
      </c>
      <c r="BU205" t="e">
        <f>AND(Bills!X796,"AAAAAFdj70g=")</f>
        <v>#VALUE!</v>
      </c>
      <c r="BV205" t="e">
        <f>AND(Bills!#REF!,"AAAAAFdj70k=")</f>
        <v>#REF!</v>
      </c>
      <c r="BW205" t="e">
        <f>AND(Bills!#REF!,"AAAAAFdj70o=")</f>
        <v>#REF!</v>
      </c>
      <c r="BX205" t="e">
        <f>AND(Bills!#REF!,"AAAAAFdj70s=")</f>
        <v>#REF!</v>
      </c>
      <c r="BY205" t="e">
        <f>AND(Bills!#REF!,"AAAAAFdj70w=")</f>
        <v>#REF!</v>
      </c>
      <c r="BZ205" t="e">
        <f>AND(Bills!#REF!,"AAAAAFdj700=")</f>
        <v>#REF!</v>
      </c>
      <c r="CA205" t="e">
        <f>AND(Bills!#REF!,"AAAAAFdj704=")</f>
        <v>#REF!</v>
      </c>
      <c r="CB205" t="e">
        <f>AND(Bills!#REF!,"AAAAAFdj708=")</f>
        <v>#REF!</v>
      </c>
      <c r="CC205" t="e">
        <f>AND(Bills!#REF!,"AAAAAFdj71A=")</f>
        <v>#REF!</v>
      </c>
      <c r="CD205" t="e">
        <f>AND(Bills!#REF!,"AAAAAFdj71E=")</f>
        <v>#REF!</v>
      </c>
      <c r="CE205" t="e">
        <f>AND(Bills!Y796,"AAAAAFdj71I=")</f>
        <v>#VALUE!</v>
      </c>
      <c r="CF205" t="e">
        <f>AND(Bills!Z796,"AAAAAFdj71M=")</f>
        <v>#VALUE!</v>
      </c>
      <c r="CG205" t="e">
        <f>AND(Bills!#REF!,"AAAAAFdj71Q=")</f>
        <v>#REF!</v>
      </c>
      <c r="CH205" t="e">
        <f>AND(Bills!#REF!,"AAAAAFdj71U=")</f>
        <v>#REF!</v>
      </c>
      <c r="CI205" t="e">
        <f>AND(Bills!#REF!,"AAAAAFdj71Y=")</f>
        <v>#REF!</v>
      </c>
      <c r="CJ205" t="e">
        <f>AND(Bills!AA796,"AAAAAFdj71c=")</f>
        <v>#VALUE!</v>
      </c>
      <c r="CK205" t="e">
        <f>AND(Bills!AB796,"AAAAAFdj71g=")</f>
        <v>#VALUE!</v>
      </c>
      <c r="CL205" t="e">
        <f>AND(Bills!#REF!,"AAAAAFdj71k=")</f>
        <v>#REF!</v>
      </c>
      <c r="CM205">
        <f>IF(Bills!797:797,"AAAAAFdj71o=",0)</f>
        <v>0</v>
      </c>
      <c r="CN205" t="e">
        <f>AND(Bills!B797,"AAAAAFdj71s=")</f>
        <v>#VALUE!</v>
      </c>
      <c r="CO205" t="e">
        <f>AND(Bills!#REF!,"AAAAAFdj71w=")</f>
        <v>#REF!</v>
      </c>
      <c r="CP205" t="e">
        <f>AND(Bills!C797,"AAAAAFdj710=")</f>
        <v>#VALUE!</v>
      </c>
      <c r="CQ205" t="e">
        <f>AND(Bills!#REF!,"AAAAAFdj714=")</f>
        <v>#REF!</v>
      </c>
      <c r="CR205" t="e">
        <f>AND(Bills!#REF!,"AAAAAFdj718=")</f>
        <v>#REF!</v>
      </c>
      <c r="CS205" t="e">
        <f>AND(Bills!#REF!,"AAAAAFdj72A=")</f>
        <v>#REF!</v>
      </c>
      <c r="CT205" t="e">
        <f>AND(Bills!#REF!,"AAAAAFdj72E=")</f>
        <v>#REF!</v>
      </c>
      <c r="CU205" t="e">
        <f>AND(Bills!#REF!,"AAAAAFdj72I=")</f>
        <v>#REF!</v>
      </c>
      <c r="CV205" t="e">
        <f>AND(Bills!D797,"AAAAAFdj72M=")</f>
        <v>#VALUE!</v>
      </c>
      <c r="CW205" t="e">
        <f>AND(Bills!#REF!,"AAAAAFdj72Q=")</f>
        <v>#REF!</v>
      </c>
      <c r="CX205" t="e">
        <f>AND(Bills!E797,"AAAAAFdj72U=")</f>
        <v>#VALUE!</v>
      </c>
      <c r="CY205" t="e">
        <f>AND(Bills!F797,"AAAAAFdj72Y=")</f>
        <v>#VALUE!</v>
      </c>
      <c r="CZ205" t="e">
        <f>AND(Bills!G797,"AAAAAFdj72c=")</f>
        <v>#VALUE!</v>
      </c>
      <c r="DA205" t="e">
        <f>AND(Bills!H797,"AAAAAFdj72g=")</f>
        <v>#VALUE!</v>
      </c>
      <c r="DB205" t="e">
        <f>AND(Bills!I797,"AAAAAFdj72k=")</f>
        <v>#VALUE!</v>
      </c>
      <c r="DC205" t="e">
        <f>AND(Bills!J797,"AAAAAFdj72o=")</f>
        <v>#VALUE!</v>
      </c>
      <c r="DD205" t="e">
        <f>AND(Bills!#REF!,"AAAAAFdj72s=")</f>
        <v>#REF!</v>
      </c>
      <c r="DE205" t="e">
        <f>AND(Bills!K797,"AAAAAFdj72w=")</f>
        <v>#VALUE!</v>
      </c>
      <c r="DF205" t="e">
        <f>AND(Bills!L797,"AAAAAFdj720=")</f>
        <v>#VALUE!</v>
      </c>
      <c r="DG205" t="e">
        <f>AND(Bills!M797,"AAAAAFdj724=")</f>
        <v>#VALUE!</v>
      </c>
      <c r="DH205" t="e">
        <f>AND(Bills!N797,"AAAAAFdj728=")</f>
        <v>#VALUE!</v>
      </c>
      <c r="DI205" t="e">
        <f>AND(Bills!O797,"AAAAAFdj73A=")</f>
        <v>#VALUE!</v>
      </c>
      <c r="DJ205" t="e">
        <f>AND(Bills!P797,"AAAAAFdj73E=")</f>
        <v>#VALUE!</v>
      </c>
      <c r="DK205" t="e">
        <f>AND(Bills!Q797,"AAAAAFdj73I=")</f>
        <v>#VALUE!</v>
      </c>
      <c r="DL205" t="e">
        <f>AND(Bills!R797,"AAAAAFdj73M=")</f>
        <v>#VALUE!</v>
      </c>
      <c r="DM205" t="e">
        <f>AND(Bills!#REF!,"AAAAAFdj73Q=")</f>
        <v>#REF!</v>
      </c>
      <c r="DN205" t="e">
        <f>AND(Bills!S797,"AAAAAFdj73U=")</f>
        <v>#VALUE!</v>
      </c>
      <c r="DO205" t="e">
        <f>AND(Bills!T797,"AAAAAFdj73Y=")</f>
        <v>#VALUE!</v>
      </c>
      <c r="DP205" t="e">
        <f>AND(Bills!U797,"AAAAAFdj73c=")</f>
        <v>#VALUE!</v>
      </c>
      <c r="DQ205" t="e">
        <f>AND(Bills!#REF!,"AAAAAFdj73g=")</f>
        <v>#REF!</v>
      </c>
      <c r="DR205" t="e">
        <f>AND(Bills!#REF!,"AAAAAFdj73k=")</f>
        <v>#REF!</v>
      </c>
      <c r="DS205" t="e">
        <f>AND(Bills!W797,"AAAAAFdj73o=")</f>
        <v>#VALUE!</v>
      </c>
      <c r="DT205" t="e">
        <f>AND(Bills!X797,"AAAAAFdj73s=")</f>
        <v>#VALUE!</v>
      </c>
      <c r="DU205" t="e">
        <f>AND(Bills!#REF!,"AAAAAFdj73w=")</f>
        <v>#REF!</v>
      </c>
      <c r="DV205" t="e">
        <f>AND(Bills!#REF!,"AAAAAFdj730=")</f>
        <v>#REF!</v>
      </c>
      <c r="DW205" t="e">
        <f>AND(Bills!#REF!,"AAAAAFdj734=")</f>
        <v>#REF!</v>
      </c>
      <c r="DX205" t="e">
        <f>AND(Bills!#REF!,"AAAAAFdj738=")</f>
        <v>#REF!</v>
      </c>
      <c r="DY205" t="e">
        <f>AND(Bills!#REF!,"AAAAAFdj74A=")</f>
        <v>#REF!</v>
      </c>
      <c r="DZ205" t="e">
        <f>AND(Bills!#REF!,"AAAAAFdj74E=")</f>
        <v>#REF!</v>
      </c>
      <c r="EA205" t="e">
        <f>AND(Bills!#REF!,"AAAAAFdj74I=")</f>
        <v>#REF!</v>
      </c>
      <c r="EB205" t="e">
        <f>AND(Bills!#REF!,"AAAAAFdj74M=")</f>
        <v>#REF!</v>
      </c>
      <c r="EC205" t="e">
        <f>AND(Bills!#REF!,"AAAAAFdj74Q=")</f>
        <v>#REF!</v>
      </c>
      <c r="ED205" t="e">
        <f>AND(Bills!Y797,"AAAAAFdj74U=")</f>
        <v>#VALUE!</v>
      </c>
      <c r="EE205" t="e">
        <f>AND(Bills!Z797,"AAAAAFdj74Y=")</f>
        <v>#VALUE!</v>
      </c>
      <c r="EF205" t="e">
        <f>AND(Bills!#REF!,"AAAAAFdj74c=")</f>
        <v>#REF!</v>
      </c>
      <c r="EG205" t="e">
        <f>AND(Bills!#REF!,"AAAAAFdj74g=")</f>
        <v>#REF!</v>
      </c>
      <c r="EH205" t="e">
        <f>AND(Bills!#REF!,"AAAAAFdj74k=")</f>
        <v>#REF!</v>
      </c>
      <c r="EI205" t="e">
        <f>AND(Bills!AA797,"AAAAAFdj74o=")</f>
        <v>#VALUE!</v>
      </c>
      <c r="EJ205" t="e">
        <f>AND(Bills!AB797,"AAAAAFdj74s=")</f>
        <v>#VALUE!</v>
      </c>
      <c r="EK205" t="e">
        <f>AND(Bills!#REF!,"AAAAAFdj74w=")</f>
        <v>#REF!</v>
      </c>
      <c r="EL205">
        <f>IF(Bills!798:798,"AAAAAFdj740=",0)</f>
        <v>0</v>
      </c>
      <c r="EM205" t="e">
        <f>AND(Bills!B798,"AAAAAFdj744=")</f>
        <v>#VALUE!</v>
      </c>
      <c r="EN205" t="e">
        <f>AND(Bills!#REF!,"AAAAAFdj748=")</f>
        <v>#REF!</v>
      </c>
      <c r="EO205" t="e">
        <f>AND(Bills!C798,"AAAAAFdj75A=")</f>
        <v>#VALUE!</v>
      </c>
      <c r="EP205" t="e">
        <f>AND(Bills!#REF!,"AAAAAFdj75E=")</f>
        <v>#REF!</v>
      </c>
      <c r="EQ205" t="e">
        <f>AND(Bills!#REF!,"AAAAAFdj75I=")</f>
        <v>#REF!</v>
      </c>
      <c r="ER205" t="e">
        <f>AND(Bills!#REF!,"AAAAAFdj75M=")</f>
        <v>#REF!</v>
      </c>
      <c r="ES205" t="e">
        <f>AND(Bills!#REF!,"AAAAAFdj75Q=")</f>
        <v>#REF!</v>
      </c>
      <c r="ET205" t="e">
        <f>AND(Bills!#REF!,"AAAAAFdj75U=")</f>
        <v>#REF!</v>
      </c>
      <c r="EU205" t="e">
        <f>AND(Bills!D798,"AAAAAFdj75Y=")</f>
        <v>#VALUE!</v>
      </c>
      <c r="EV205" t="e">
        <f>AND(Bills!#REF!,"AAAAAFdj75c=")</f>
        <v>#REF!</v>
      </c>
      <c r="EW205" t="e">
        <f>AND(Bills!E798,"AAAAAFdj75g=")</f>
        <v>#VALUE!</v>
      </c>
      <c r="EX205" t="e">
        <f>AND(Bills!F798,"AAAAAFdj75k=")</f>
        <v>#VALUE!</v>
      </c>
      <c r="EY205" t="e">
        <f>AND(Bills!G798,"AAAAAFdj75o=")</f>
        <v>#VALUE!</v>
      </c>
      <c r="EZ205" t="e">
        <f>AND(Bills!H798,"AAAAAFdj75s=")</f>
        <v>#VALUE!</v>
      </c>
      <c r="FA205" t="e">
        <f>AND(Bills!I798,"AAAAAFdj75w=")</f>
        <v>#VALUE!</v>
      </c>
      <c r="FB205" t="e">
        <f>AND(Bills!J798,"AAAAAFdj750=")</f>
        <v>#VALUE!</v>
      </c>
      <c r="FC205" t="e">
        <f>AND(Bills!#REF!,"AAAAAFdj754=")</f>
        <v>#REF!</v>
      </c>
      <c r="FD205" t="e">
        <f>AND(Bills!K798,"AAAAAFdj758=")</f>
        <v>#VALUE!</v>
      </c>
      <c r="FE205" t="e">
        <f>AND(Bills!L798,"AAAAAFdj76A=")</f>
        <v>#VALUE!</v>
      </c>
      <c r="FF205" t="e">
        <f>AND(Bills!M798,"AAAAAFdj76E=")</f>
        <v>#VALUE!</v>
      </c>
      <c r="FG205" t="e">
        <f>AND(Bills!N798,"AAAAAFdj76I=")</f>
        <v>#VALUE!</v>
      </c>
      <c r="FH205" t="e">
        <f>AND(Bills!O798,"AAAAAFdj76M=")</f>
        <v>#VALUE!</v>
      </c>
      <c r="FI205" t="e">
        <f>AND(Bills!P798,"AAAAAFdj76Q=")</f>
        <v>#VALUE!</v>
      </c>
      <c r="FJ205" t="e">
        <f>AND(Bills!Q798,"AAAAAFdj76U=")</f>
        <v>#VALUE!</v>
      </c>
      <c r="FK205" t="e">
        <f>AND(Bills!R798,"AAAAAFdj76Y=")</f>
        <v>#VALUE!</v>
      </c>
      <c r="FL205" t="e">
        <f>AND(Bills!#REF!,"AAAAAFdj76c=")</f>
        <v>#REF!</v>
      </c>
      <c r="FM205" t="e">
        <f>AND(Bills!S798,"AAAAAFdj76g=")</f>
        <v>#VALUE!</v>
      </c>
      <c r="FN205" t="e">
        <f>AND(Bills!T798,"AAAAAFdj76k=")</f>
        <v>#VALUE!</v>
      </c>
      <c r="FO205" t="e">
        <f>AND(Bills!U798,"AAAAAFdj76o=")</f>
        <v>#VALUE!</v>
      </c>
      <c r="FP205" t="e">
        <f>AND(Bills!#REF!,"AAAAAFdj76s=")</f>
        <v>#REF!</v>
      </c>
      <c r="FQ205" t="e">
        <f>AND(Bills!#REF!,"AAAAAFdj76w=")</f>
        <v>#REF!</v>
      </c>
      <c r="FR205" t="e">
        <f>AND(Bills!W798,"AAAAAFdj760=")</f>
        <v>#VALUE!</v>
      </c>
      <c r="FS205" t="e">
        <f>AND(Bills!X798,"AAAAAFdj764=")</f>
        <v>#VALUE!</v>
      </c>
      <c r="FT205" t="e">
        <f>AND(Bills!#REF!,"AAAAAFdj768=")</f>
        <v>#REF!</v>
      </c>
      <c r="FU205" t="e">
        <f>AND(Bills!#REF!,"AAAAAFdj77A=")</f>
        <v>#REF!</v>
      </c>
      <c r="FV205" t="e">
        <f>AND(Bills!#REF!,"AAAAAFdj77E=")</f>
        <v>#REF!</v>
      </c>
      <c r="FW205" t="e">
        <f>AND(Bills!#REF!,"AAAAAFdj77I=")</f>
        <v>#REF!</v>
      </c>
      <c r="FX205" t="e">
        <f>AND(Bills!#REF!,"AAAAAFdj77M=")</f>
        <v>#REF!</v>
      </c>
      <c r="FY205" t="e">
        <f>AND(Bills!#REF!,"AAAAAFdj77Q=")</f>
        <v>#REF!</v>
      </c>
      <c r="FZ205" t="e">
        <f>AND(Bills!#REF!,"AAAAAFdj77U=")</f>
        <v>#REF!</v>
      </c>
      <c r="GA205" t="e">
        <f>AND(Bills!#REF!,"AAAAAFdj77Y=")</f>
        <v>#REF!</v>
      </c>
      <c r="GB205" t="e">
        <f>AND(Bills!#REF!,"AAAAAFdj77c=")</f>
        <v>#REF!</v>
      </c>
      <c r="GC205" t="e">
        <f>AND(Bills!Y798,"AAAAAFdj77g=")</f>
        <v>#VALUE!</v>
      </c>
      <c r="GD205" t="e">
        <f>AND(Bills!Z798,"AAAAAFdj77k=")</f>
        <v>#VALUE!</v>
      </c>
      <c r="GE205" t="e">
        <f>AND(Bills!#REF!,"AAAAAFdj77o=")</f>
        <v>#REF!</v>
      </c>
      <c r="GF205" t="e">
        <f>AND(Bills!#REF!,"AAAAAFdj77s=")</f>
        <v>#REF!</v>
      </c>
      <c r="GG205" t="e">
        <f>AND(Bills!#REF!,"AAAAAFdj77w=")</f>
        <v>#REF!</v>
      </c>
      <c r="GH205" t="e">
        <f>AND(Bills!AA798,"AAAAAFdj770=")</f>
        <v>#VALUE!</v>
      </c>
      <c r="GI205" t="e">
        <f>AND(Bills!AB798,"AAAAAFdj774=")</f>
        <v>#VALUE!</v>
      </c>
      <c r="GJ205" t="e">
        <f>AND(Bills!#REF!,"AAAAAFdj778=")</f>
        <v>#REF!</v>
      </c>
      <c r="GK205">
        <f>IF(Bills!799:799,"AAAAAFdj78A=",0)</f>
        <v>0</v>
      </c>
      <c r="GL205" t="e">
        <f>AND(Bills!B799,"AAAAAFdj78E=")</f>
        <v>#VALUE!</v>
      </c>
      <c r="GM205" t="e">
        <f>AND(Bills!#REF!,"AAAAAFdj78I=")</f>
        <v>#REF!</v>
      </c>
      <c r="GN205" t="e">
        <f>AND(Bills!C799,"AAAAAFdj78M=")</f>
        <v>#VALUE!</v>
      </c>
      <c r="GO205" t="e">
        <f>AND(Bills!#REF!,"AAAAAFdj78Q=")</f>
        <v>#REF!</v>
      </c>
      <c r="GP205" t="e">
        <f>AND(Bills!#REF!,"AAAAAFdj78U=")</f>
        <v>#REF!</v>
      </c>
      <c r="GQ205" t="e">
        <f>AND(Bills!#REF!,"AAAAAFdj78Y=")</f>
        <v>#REF!</v>
      </c>
      <c r="GR205" t="e">
        <f>AND(Bills!#REF!,"AAAAAFdj78c=")</f>
        <v>#REF!</v>
      </c>
      <c r="GS205" t="e">
        <f>AND(Bills!#REF!,"AAAAAFdj78g=")</f>
        <v>#REF!</v>
      </c>
      <c r="GT205" t="e">
        <f>AND(Bills!D799,"AAAAAFdj78k=")</f>
        <v>#VALUE!</v>
      </c>
      <c r="GU205" t="e">
        <f>AND(Bills!#REF!,"AAAAAFdj78o=")</f>
        <v>#REF!</v>
      </c>
      <c r="GV205" t="e">
        <f>AND(Bills!E799,"AAAAAFdj78s=")</f>
        <v>#VALUE!</v>
      </c>
      <c r="GW205" t="e">
        <f>AND(Bills!F799,"AAAAAFdj78w=")</f>
        <v>#VALUE!</v>
      </c>
      <c r="GX205" t="e">
        <f>AND(Bills!G799,"AAAAAFdj780=")</f>
        <v>#VALUE!</v>
      </c>
      <c r="GY205" t="e">
        <f>AND(Bills!H799,"AAAAAFdj784=")</f>
        <v>#VALUE!</v>
      </c>
      <c r="GZ205" t="e">
        <f>AND(Bills!I799,"AAAAAFdj788=")</f>
        <v>#VALUE!</v>
      </c>
      <c r="HA205" t="e">
        <f>AND(Bills!J799,"AAAAAFdj79A=")</f>
        <v>#VALUE!</v>
      </c>
      <c r="HB205" t="e">
        <f>AND(Bills!#REF!,"AAAAAFdj79E=")</f>
        <v>#REF!</v>
      </c>
      <c r="HC205" t="e">
        <f>AND(Bills!K799,"AAAAAFdj79I=")</f>
        <v>#VALUE!</v>
      </c>
      <c r="HD205" t="e">
        <f>AND(Bills!L799,"AAAAAFdj79M=")</f>
        <v>#VALUE!</v>
      </c>
      <c r="HE205" t="e">
        <f>AND(Bills!M799,"AAAAAFdj79Q=")</f>
        <v>#VALUE!</v>
      </c>
      <c r="HF205" t="e">
        <f>AND(Bills!N799,"AAAAAFdj79U=")</f>
        <v>#VALUE!</v>
      </c>
      <c r="HG205" t="e">
        <f>AND(Bills!O799,"AAAAAFdj79Y=")</f>
        <v>#VALUE!</v>
      </c>
      <c r="HH205" t="e">
        <f>AND(Bills!P799,"AAAAAFdj79c=")</f>
        <v>#VALUE!</v>
      </c>
      <c r="HI205" t="e">
        <f>AND(Bills!Q799,"AAAAAFdj79g=")</f>
        <v>#VALUE!</v>
      </c>
      <c r="HJ205" t="e">
        <f>AND(Bills!R799,"AAAAAFdj79k=")</f>
        <v>#VALUE!</v>
      </c>
      <c r="HK205" t="e">
        <f>AND(Bills!#REF!,"AAAAAFdj79o=")</f>
        <v>#REF!</v>
      </c>
      <c r="HL205" t="e">
        <f>AND(Bills!S799,"AAAAAFdj79s=")</f>
        <v>#VALUE!</v>
      </c>
      <c r="HM205" t="e">
        <f>AND(Bills!T799,"AAAAAFdj79w=")</f>
        <v>#VALUE!</v>
      </c>
      <c r="HN205" t="e">
        <f>AND(Bills!U799,"AAAAAFdj790=")</f>
        <v>#VALUE!</v>
      </c>
      <c r="HO205" t="e">
        <f>AND(Bills!#REF!,"AAAAAFdj794=")</f>
        <v>#REF!</v>
      </c>
      <c r="HP205" t="e">
        <f>AND(Bills!#REF!,"AAAAAFdj798=")</f>
        <v>#REF!</v>
      </c>
      <c r="HQ205" t="e">
        <f>AND(Bills!W799,"AAAAAFdj7+A=")</f>
        <v>#VALUE!</v>
      </c>
      <c r="HR205" t="e">
        <f>AND(Bills!X799,"AAAAAFdj7+E=")</f>
        <v>#VALUE!</v>
      </c>
      <c r="HS205" t="e">
        <f>AND(Bills!#REF!,"AAAAAFdj7+I=")</f>
        <v>#REF!</v>
      </c>
      <c r="HT205" t="e">
        <f>AND(Bills!#REF!,"AAAAAFdj7+M=")</f>
        <v>#REF!</v>
      </c>
      <c r="HU205" t="e">
        <f>AND(Bills!#REF!,"AAAAAFdj7+Q=")</f>
        <v>#REF!</v>
      </c>
      <c r="HV205" t="e">
        <f>AND(Bills!#REF!,"AAAAAFdj7+U=")</f>
        <v>#REF!</v>
      </c>
      <c r="HW205" t="e">
        <f>AND(Bills!#REF!,"AAAAAFdj7+Y=")</f>
        <v>#REF!</v>
      </c>
      <c r="HX205" t="e">
        <f>AND(Bills!#REF!,"AAAAAFdj7+c=")</f>
        <v>#REF!</v>
      </c>
      <c r="HY205" t="e">
        <f>AND(Bills!#REF!,"AAAAAFdj7+g=")</f>
        <v>#REF!</v>
      </c>
      <c r="HZ205" t="e">
        <f>AND(Bills!#REF!,"AAAAAFdj7+k=")</f>
        <v>#REF!</v>
      </c>
      <c r="IA205" t="e">
        <f>AND(Bills!#REF!,"AAAAAFdj7+o=")</f>
        <v>#REF!</v>
      </c>
      <c r="IB205" t="e">
        <f>AND(Bills!Y799,"AAAAAFdj7+s=")</f>
        <v>#VALUE!</v>
      </c>
      <c r="IC205" t="e">
        <f>AND(Bills!Z799,"AAAAAFdj7+w=")</f>
        <v>#VALUE!</v>
      </c>
      <c r="ID205" t="e">
        <f>AND(Bills!#REF!,"AAAAAFdj7+0=")</f>
        <v>#REF!</v>
      </c>
      <c r="IE205" t="e">
        <f>AND(Bills!#REF!,"AAAAAFdj7+4=")</f>
        <v>#REF!</v>
      </c>
      <c r="IF205" t="e">
        <f>AND(Bills!#REF!,"AAAAAFdj7+8=")</f>
        <v>#REF!</v>
      </c>
      <c r="IG205" t="e">
        <f>AND(Bills!AA799,"AAAAAFdj7/A=")</f>
        <v>#VALUE!</v>
      </c>
      <c r="IH205" t="e">
        <f>AND(Bills!AB799,"AAAAAFdj7/E=")</f>
        <v>#VALUE!</v>
      </c>
      <c r="II205" t="e">
        <f>AND(Bills!#REF!,"AAAAAFdj7/I=")</f>
        <v>#REF!</v>
      </c>
      <c r="IJ205">
        <f>IF(Bills!800:800,"AAAAAFdj7/M=",0)</f>
        <v>0</v>
      </c>
      <c r="IK205" t="e">
        <f>AND(Bills!B800,"AAAAAFdj7/Q=")</f>
        <v>#VALUE!</v>
      </c>
      <c r="IL205" t="e">
        <f>AND(Bills!#REF!,"AAAAAFdj7/U=")</f>
        <v>#REF!</v>
      </c>
      <c r="IM205" t="e">
        <f>AND(Bills!C800,"AAAAAFdj7/Y=")</f>
        <v>#VALUE!</v>
      </c>
      <c r="IN205" t="e">
        <f>AND(Bills!#REF!,"AAAAAFdj7/c=")</f>
        <v>#REF!</v>
      </c>
      <c r="IO205" t="e">
        <f>AND(Bills!#REF!,"AAAAAFdj7/g=")</f>
        <v>#REF!</v>
      </c>
      <c r="IP205" t="e">
        <f>AND(Bills!#REF!,"AAAAAFdj7/k=")</f>
        <v>#REF!</v>
      </c>
      <c r="IQ205" t="e">
        <f>AND(Bills!#REF!,"AAAAAFdj7/o=")</f>
        <v>#REF!</v>
      </c>
      <c r="IR205" t="e">
        <f>AND(Bills!#REF!,"AAAAAFdj7/s=")</f>
        <v>#REF!</v>
      </c>
      <c r="IS205" t="e">
        <f>AND(Bills!D800,"AAAAAFdj7/w=")</f>
        <v>#VALUE!</v>
      </c>
      <c r="IT205" t="e">
        <f>AND(Bills!#REF!,"AAAAAFdj7/0=")</f>
        <v>#REF!</v>
      </c>
      <c r="IU205" t="e">
        <f>AND(Bills!E800,"AAAAAFdj7/4=")</f>
        <v>#VALUE!</v>
      </c>
      <c r="IV205" t="e">
        <f>AND(Bills!F800,"AAAAAFdj7/8=")</f>
        <v>#VALUE!</v>
      </c>
    </row>
    <row r="206" spans="1:256">
      <c r="A206" t="e">
        <f>AND(Bills!G800,"AAAAAB/YewA=")</f>
        <v>#VALUE!</v>
      </c>
      <c r="B206" t="e">
        <f>AND(Bills!H800,"AAAAAB/YewE=")</f>
        <v>#VALUE!</v>
      </c>
      <c r="C206" t="e">
        <f>AND(Bills!I800,"AAAAAB/YewI=")</f>
        <v>#VALUE!</v>
      </c>
      <c r="D206" t="e">
        <f>AND(Bills!J800,"AAAAAB/YewM=")</f>
        <v>#VALUE!</v>
      </c>
      <c r="E206" t="e">
        <f>AND(Bills!#REF!,"AAAAAB/YewQ=")</f>
        <v>#REF!</v>
      </c>
      <c r="F206" t="e">
        <f>AND(Bills!K800,"AAAAAB/YewU=")</f>
        <v>#VALUE!</v>
      </c>
      <c r="G206" t="e">
        <f>AND(Bills!L800,"AAAAAB/YewY=")</f>
        <v>#VALUE!</v>
      </c>
      <c r="H206" t="e">
        <f>AND(Bills!M800,"AAAAAB/Yewc=")</f>
        <v>#VALUE!</v>
      </c>
      <c r="I206" t="e">
        <f>AND(Bills!N800,"AAAAAB/Yewg=")</f>
        <v>#VALUE!</v>
      </c>
      <c r="J206" t="e">
        <f>AND(Bills!O800,"AAAAAB/Yewk=")</f>
        <v>#VALUE!</v>
      </c>
      <c r="K206" t="e">
        <f>AND(Bills!P800,"AAAAAB/Yewo=")</f>
        <v>#VALUE!</v>
      </c>
      <c r="L206" t="e">
        <f>AND(Bills!Q800,"AAAAAB/Yews=")</f>
        <v>#VALUE!</v>
      </c>
      <c r="M206" t="e">
        <f>AND(Bills!R800,"AAAAAB/Yeww=")</f>
        <v>#VALUE!</v>
      </c>
      <c r="N206" t="e">
        <f>AND(Bills!#REF!,"AAAAAB/Yew0=")</f>
        <v>#REF!</v>
      </c>
      <c r="O206" t="e">
        <f>AND(Bills!S800,"AAAAAB/Yew4=")</f>
        <v>#VALUE!</v>
      </c>
      <c r="P206" t="e">
        <f>AND(Bills!T800,"AAAAAB/Yew8=")</f>
        <v>#VALUE!</v>
      </c>
      <c r="Q206" t="e">
        <f>AND(Bills!U800,"AAAAAB/YexA=")</f>
        <v>#VALUE!</v>
      </c>
      <c r="R206" t="e">
        <f>AND(Bills!#REF!,"AAAAAB/YexE=")</f>
        <v>#REF!</v>
      </c>
      <c r="S206" t="e">
        <f>AND(Bills!#REF!,"AAAAAB/YexI=")</f>
        <v>#REF!</v>
      </c>
      <c r="T206" t="e">
        <f>AND(Bills!W800,"AAAAAB/YexM=")</f>
        <v>#VALUE!</v>
      </c>
      <c r="U206" t="e">
        <f>AND(Bills!X800,"AAAAAB/YexQ=")</f>
        <v>#VALUE!</v>
      </c>
      <c r="V206" t="e">
        <f>AND(Bills!#REF!,"AAAAAB/YexU=")</f>
        <v>#REF!</v>
      </c>
      <c r="W206" t="e">
        <f>AND(Bills!#REF!,"AAAAAB/YexY=")</f>
        <v>#REF!</v>
      </c>
      <c r="X206" t="e">
        <f>AND(Bills!#REF!,"AAAAAB/Yexc=")</f>
        <v>#REF!</v>
      </c>
      <c r="Y206" t="e">
        <f>AND(Bills!#REF!,"AAAAAB/Yexg=")</f>
        <v>#REF!</v>
      </c>
      <c r="Z206" t="e">
        <f>AND(Bills!#REF!,"AAAAAB/Yexk=")</f>
        <v>#REF!</v>
      </c>
      <c r="AA206" t="e">
        <f>AND(Bills!#REF!,"AAAAAB/Yexo=")</f>
        <v>#REF!</v>
      </c>
      <c r="AB206" t="e">
        <f>AND(Bills!#REF!,"AAAAAB/Yexs=")</f>
        <v>#REF!</v>
      </c>
      <c r="AC206" t="e">
        <f>AND(Bills!#REF!,"AAAAAB/Yexw=")</f>
        <v>#REF!</v>
      </c>
      <c r="AD206" t="e">
        <f>AND(Bills!#REF!,"AAAAAB/Yex0=")</f>
        <v>#REF!</v>
      </c>
      <c r="AE206" t="e">
        <f>AND(Bills!Y800,"AAAAAB/Yex4=")</f>
        <v>#VALUE!</v>
      </c>
      <c r="AF206" t="e">
        <f>AND(Bills!Z800,"AAAAAB/Yex8=")</f>
        <v>#VALUE!</v>
      </c>
      <c r="AG206" t="e">
        <f>AND(Bills!#REF!,"AAAAAB/YeyA=")</f>
        <v>#REF!</v>
      </c>
      <c r="AH206" t="e">
        <f>AND(Bills!#REF!,"AAAAAB/YeyE=")</f>
        <v>#REF!</v>
      </c>
      <c r="AI206" t="e">
        <f>AND(Bills!#REF!,"AAAAAB/YeyI=")</f>
        <v>#REF!</v>
      </c>
      <c r="AJ206" t="e">
        <f>AND(Bills!AA800,"AAAAAB/YeyM=")</f>
        <v>#VALUE!</v>
      </c>
      <c r="AK206" t="e">
        <f>AND(Bills!AB800,"AAAAAB/YeyQ=")</f>
        <v>#VALUE!</v>
      </c>
      <c r="AL206" t="e">
        <f>AND(Bills!#REF!,"AAAAAB/YeyU=")</f>
        <v>#REF!</v>
      </c>
      <c r="AM206">
        <f>IF(Bills!801:801,"AAAAAB/YeyY=",0)</f>
        <v>0</v>
      </c>
      <c r="AN206" t="e">
        <f>AND(Bills!B801,"AAAAAB/Yeyc=")</f>
        <v>#VALUE!</v>
      </c>
      <c r="AO206" t="e">
        <f>AND(Bills!#REF!,"AAAAAB/Yeyg=")</f>
        <v>#REF!</v>
      </c>
      <c r="AP206" t="e">
        <f>AND(Bills!C801,"AAAAAB/Yeyk=")</f>
        <v>#VALUE!</v>
      </c>
      <c r="AQ206" t="e">
        <f>AND(Bills!#REF!,"AAAAAB/Yeyo=")</f>
        <v>#REF!</v>
      </c>
      <c r="AR206" t="e">
        <f>AND(Bills!#REF!,"AAAAAB/Yeys=")</f>
        <v>#REF!</v>
      </c>
      <c r="AS206" t="e">
        <f>AND(Bills!#REF!,"AAAAAB/Yeyw=")</f>
        <v>#REF!</v>
      </c>
      <c r="AT206" t="e">
        <f>AND(Bills!#REF!,"AAAAAB/Yey0=")</f>
        <v>#REF!</v>
      </c>
      <c r="AU206" t="e">
        <f>AND(Bills!#REF!,"AAAAAB/Yey4=")</f>
        <v>#REF!</v>
      </c>
      <c r="AV206" t="e">
        <f>AND(Bills!D801,"AAAAAB/Yey8=")</f>
        <v>#VALUE!</v>
      </c>
      <c r="AW206" t="e">
        <f>AND(Bills!#REF!,"AAAAAB/YezA=")</f>
        <v>#REF!</v>
      </c>
      <c r="AX206" t="e">
        <f>AND(Bills!E801,"AAAAAB/YezE=")</f>
        <v>#VALUE!</v>
      </c>
      <c r="AY206" t="e">
        <f>AND(Bills!F801,"AAAAAB/YezI=")</f>
        <v>#VALUE!</v>
      </c>
      <c r="AZ206" t="e">
        <f>AND(Bills!G801,"AAAAAB/YezM=")</f>
        <v>#VALUE!</v>
      </c>
      <c r="BA206" t="e">
        <f>AND(Bills!H801,"AAAAAB/YezQ=")</f>
        <v>#VALUE!</v>
      </c>
      <c r="BB206" t="e">
        <f>AND(Bills!I801,"AAAAAB/YezU=")</f>
        <v>#VALUE!</v>
      </c>
      <c r="BC206" t="e">
        <f>AND(Bills!J801,"AAAAAB/YezY=")</f>
        <v>#VALUE!</v>
      </c>
      <c r="BD206" t="e">
        <f>AND(Bills!#REF!,"AAAAAB/Yezc=")</f>
        <v>#REF!</v>
      </c>
      <c r="BE206" t="e">
        <f>AND(Bills!K801,"AAAAAB/Yezg=")</f>
        <v>#VALUE!</v>
      </c>
      <c r="BF206" t="e">
        <f>AND(Bills!L801,"AAAAAB/Yezk=")</f>
        <v>#VALUE!</v>
      </c>
      <c r="BG206" t="e">
        <f>AND(Bills!M801,"AAAAAB/Yezo=")</f>
        <v>#VALUE!</v>
      </c>
      <c r="BH206" t="e">
        <f>AND(Bills!N801,"AAAAAB/Yezs=")</f>
        <v>#VALUE!</v>
      </c>
      <c r="BI206" t="e">
        <f>AND(Bills!O801,"AAAAAB/Yezw=")</f>
        <v>#VALUE!</v>
      </c>
      <c r="BJ206" t="e">
        <f>AND(Bills!P801,"AAAAAB/Yez0=")</f>
        <v>#VALUE!</v>
      </c>
      <c r="BK206" t="e">
        <f>AND(Bills!Q801,"AAAAAB/Yez4=")</f>
        <v>#VALUE!</v>
      </c>
      <c r="BL206" t="e">
        <f>AND(Bills!R801,"AAAAAB/Yez8=")</f>
        <v>#VALUE!</v>
      </c>
      <c r="BM206" t="e">
        <f>AND(Bills!#REF!,"AAAAAB/Ye0A=")</f>
        <v>#REF!</v>
      </c>
      <c r="BN206" t="e">
        <f>AND(Bills!S801,"AAAAAB/Ye0E=")</f>
        <v>#VALUE!</v>
      </c>
      <c r="BO206" t="e">
        <f>AND(Bills!T801,"AAAAAB/Ye0I=")</f>
        <v>#VALUE!</v>
      </c>
      <c r="BP206" t="e">
        <f>AND(Bills!U801,"AAAAAB/Ye0M=")</f>
        <v>#VALUE!</v>
      </c>
      <c r="BQ206" t="e">
        <f>AND(Bills!#REF!,"AAAAAB/Ye0Q=")</f>
        <v>#REF!</v>
      </c>
      <c r="BR206" t="e">
        <f>AND(Bills!#REF!,"AAAAAB/Ye0U=")</f>
        <v>#REF!</v>
      </c>
      <c r="BS206" t="e">
        <f>AND(Bills!W801,"AAAAAB/Ye0Y=")</f>
        <v>#VALUE!</v>
      </c>
      <c r="BT206" t="e">
        <f>AND(Bills!X801,"AAAAAB/Ye0c=")</f>
        <v>#VALUE!</v>
      </c>
      <c r="BU206" t="e">
        <f>AND(Bills!#REF!,"AAAAAB/Ye0g=")</f>
        <v>#REF!</v>
      </c>
      <c r="BV206" t="e">
        <f>AND(Bills!#REF!,"AAAAAB/Ye0k=")</f>
        <v>#REF!</v>
      </c>
      <c r="BW206" t="e">
        <f>AND(Bills!#REF!,"AAAAAB/Ye0o=")</f>
        <v>#REF!</v>
      </c>
      <c r="BX206" t="e">
        <f>AND(Bills!#REF!,"AAAAAB/Ye0s=")</f>
        <v>#REF!</v>
      </c>
      <c r="BY206" t="e">
        <f>AND(Bills!#REF!,"AAAAAB/Ye0w=")</f>
        <v>#REF!</v>
      </c>
      <c r="BZ206" t="e">
        <f>AND(Bills!#REF!,"AAAAAB/Ye00=")</f>
        <v>#REF!</v>
      </c>
      <c r="CA206" t="e">
        <f>AND(Bills!#REF!,"AAAAAB/Ye04=")</f>
        <v>#REF!</v>
      </c>
      <c r="CB206" t="e">
        <f>AND(Bills!#REF!,"AAAAAB/Ye08=")</f>
        <v>#REF!</v>
      </c>
      <c r="CC206" t="e">
        <f>AND(Bills!#REF!,"AAAAAB/Ye1A=")</f>
        <v>#REF!</v>
      </c>
      <c r="CD206" t="e">
        <f>AND(Bills!Y801,"AAAAAB/Ye1E=")</f>
        <v>#VALUE!</v>
      </c>
      <c r="CE206" t="e">
        <f>AND(Bills!Z801,"AAAAAB/Ye1I=")</f>
        <v>#VALUE!</v>
      </c>
      <c r="CF206" t="e">
        <f>AND(Bills!#REF!,"AAAAAB/Ye1M=")</f>
        <v>#REF!</v>
      </c>
      <c r="CG206" t="e">
        <f>AND(Bills!#REF!,"AAAAAB/Ye1Q=")</f>
        <v>#REF!</v>
      </c>
      <c r="CH206" t="e">
        <f>AND(Bills!#REF!,"AAAAAB/Ye1U=")</f>
        <v>#REF!</v>
      </c>
      <c r="CI206" t="e">
        <f>AND(Bills!AA801,"AAAAAB/Ye1Y=")</f>
        <v>#VALUE!</v>
      </c>
      <c r="CJ206" t="e">
        <f>AND(Bills!AB801,"AAAAAB/Ye1c=")</f>
        <v>#VALUE!</v>
      </c>
      <c r="CK206" t="e">
        <f>AND(Bills!#REF!,"AAAAAB/Ye1g=")</f>
        <v>#REF!</v>
      </c>
      <c r="CL206">
        <f>IF(Bills!802:802,"AAAAAB/Ye1k=",0)</f>
        <v>0</v>
      </c>
      <c r="CM206" t="e">
        <f>AND(Bills!B802,"AAAAAB/Ye1o=")</f>
        <v>#VALUE!</v>
      </c>
      <c r="CN206" t="e">
        <f>AND(Bills!#REF!,"AAAAAB/Ye1s=")</f>
        <v>#REF!</v>
      </c>
      <c r="CO206" t="e">
        <f>AND(Bills!C802,"AAAAAB/Ye1w=")</f>
        <v>#VALUE!</v>
      </c>
      <c r="CP206" t="e">
        <f>AND(Bills!#REF!,"AAAAAB/Ye10=")</f>
        <v>#REF!</v>
      </c>
      <c r="CQ206" t="e">
        <f>AND(Bills!#REF!,"AAAAAB/Ye14=")</f>
        <v>#REF!</v>
      </c>
      <c r="CR206" t="e">
        <f>AND(Bills!#REF!,"AAAAAB/Ye18=")</f>
        <v>#REF!</v>
      </c>
      <c r="CS206" t="e">
        <f>AND(Bills!#REF!,"AAAAAB/Ye2A=")</f>
        <v>#REF!</v>
      </c>
      <c r="CT206" t="e">
        <f>AND(Bills!#REF!,"AAAAAB/Ye2E=")</f>
        <v>#REF!</v>
      </c>
      <c r="CU206" t="e">
        <f>AND(Bills!D802,"AAAAAB/Ye2I=")</f>
        <v>#VALUE!</v>
      </c>
      <c r="CV206" t="e">
        <f>AND(Bills!#REF!,"AAAAAB/Ye2M=")</f>
        <v>#REF!</v>
      </c>
      <c r="CW206" t="e">
        <f>AND(Bills!E802,"AAAAAB/Ye2Q=")</f>
        <v>#VALUE!</v>
      </c>
      <c r="CX206" t="e">
        <f>AND(Bills!F802,"AAAAAB/Ye2U=")</f>
        <v>#VALUE!</v>
      </c>
      <c r="CY206" t="e">
        <f>AND(Bills!G802,"AAAAAB/Ye2Y=")</f>
        <v>#VALUE!</v>
      </c>
      <c r="CZ206" t="e">
        <f>AND(Bills!H802,"AAAAAB/Ye2c=")</f>
        <v>#VALUE!</v>
      </c>
      <c r="DA206" t="e">
        <f>AND(Bills!I802,"AAAAAB/Ye2g=")</f>
        <v>#VALUE!</v>
      </c>
      <c r="DB206" t="e">
        <f>AND(Bills!J802,"AAAAAB/Ye2k=")</f>
        <v>#VALUE!</v>
      </c>
      <c r="DC206" t="e">
        <f>AND(Bills!#REF!,"AAAAAB/Ye2o=")</f>
        <v>#REF!</v>
      </c>
      <c r="DD206" t="e">
        <f>AND(Bills!K802,"AAAAAB/Ye2s=")</f>
        <v>#VALUE!</v>
      </c>
      <c r="DE206" t="e">
        <f>AND(Bills!L802,"AAAAAB/Ye2w=")</f>
        <v>#VALUE!</v>
      </c>
      <c r="DF206" t="e">
        <f>AND(Bills!M802,"AAAAAB/Ye20=")</f>
        <v>#VALUE!</v>
      </c>
      <c r="DG206" t="e">
        <f>AND(Bills!N802,"AAAAAB/Ye24=")</f>
        <v>#VALUE!</v>
      </c>
      <c r="DH206" t="e">
        <f>AND(Bills!O802,"AAAAAB/Ye28=")</f>
        <v>#VALUE!</v>
      </c>
      <c r="DI206" t="e">
        <f>AND(Bills!P802,"AAAAAB/Ye3A=")</f>
        <v>#VALUE!</v>
      </c>
      <c r="DJ206" t="e">
        <f>AND(Bills!Q802,"AAAAAB/Ye3E=")</f>
        <v>#VALUE!</v>
      </c>
      <c r="DK206" t="e">
        <f>AND(Bills!R802,"AAAAAB/Ye3I=")</f>
        <v>#VALUE!</v>
      </c>
      <c r="DL206" t="e">
        <f>AND(Bills!#REF!,"AAAAAB/Ye3M=")</f>
        <v>#REF!</v>
      </c>
      <c r="DM206" t="e">
        <f>AND(Bills!S802,"AAAAAB/Ye3Q=")</f>
        <v>#VALUE!</v>
      </c>
      <c r="DN206" t="e">
        <f>AND(Bills!T802,"AAAAAB/Ye3U=")</f>
        <v>#VALUE!</v>
      </c>
      <c r="DO206" t="e">
        <f>AND(Bills!U802,"AAAAAB/Ye3Y=")</f>
        <v>#VALUE!</v>
      </c>
      <c r="DP206" t="e">
        <f>AND(Bills!#REF!,"AAAAAB/Ye3c=")</f>
        <v>#REF!</v>
      </c>
      <c r="DQ206" t="e">
        <f>AND(Bills!#REF!,"AAAAAB/Ye3g=")</f>
        <v>#REF!</v>
      </c>
      <c r="DR206" t="e">
        <f>AND(Bills!W802,"AAAAAB/Ye3k=")</f>
        <v>#VALUE!</v>
      </c>
      <c r="DS206" t="e">
        <f>AND(Bills!X802,"AAAAAB/Ye3o=")</f>
        <v>#VALUE!</v>
      </c>
      <c r="DT206" t="e">
        <f>AND(Bills!#REF!,"AAAAAB/Ye3s=")</f>
        <v>#REF!</v>
      </c>
      <c r="DU206" t="e">
        <f>AND(Bills!#REF!,"AAAAAB/Ye3w=")</f>
        <v>#REF!</v>
      </c>
      <c r="DV206" t="e">
        <f>AND(Bills!#REF!,"AAAAAB/Ye30=")</f>
        <v>#REF!</v>
      </c>
      <c r="DW206" t="e">
        <f>AND(Bills!#REF!,"AAAAAB/Ye34=")</f>
        <v>#REF!</v>
      </c>
      <c r="DX206" t="e">
        <f>AND(Bills!#REF!,"AAAAAB/Ye38=")</f>
        <v>#REF!</v>
      </c>
      <c r="DY206" t="e">
        <f>AND(Bills!#REF!,"AAAAAB/Ye4A=")</f>
        <v>#REF!</v>
      </c>
      <c r="DZ206" t="e">
        <f>AND(Bills!#REF!,"AAAAAB/Ye4E=")</f>
        <v>#REF!</v>
      </c>
      <c r="EA206" t="e">
        <f>AND(Bills!#REF!,"AAAAAB/Ye4I=")</f>
        <v>#REF!</v>
      </c>
      <c r="EB206" t="e">
        <f>AND(Bills!#REF!,"AAAAAB/Ye4M=")</f>
        <v>#REF!</v>
      </c>
      <c r="EC206" t="e">
        <f>AND(Bills!Y802,"AAAAAB/Ye4Q=")</f>
        <v>#VALUE!</v>
      </c>
      <c r="ED206" t="e">
        <f>AND(Bills!Z802,"AAAAAB/Ye4U=")</f>
        <v>#VALUE!</v>
      </c>
      <c r="EE206" t="e">
        <f>AND(Bills!#REF!,"AAAAAB/Ye4Y=")</f>
        <v>#REF!</v>
      </c>
      <c r="EF206" t="e">
        <f>AND(Bills!#REF!,"AAAAAB/Ye4c=")</f>
        <v>#REF!</v>
      </c>
      <c r="EG206" t="e">
        <f>AND(Bills!#REF!,"AAAAAB/Ye4g=")</f>
        <v>#REF!</v>
      </c>
      <c r="EH206" t="e">
        <f>AND(Bills!AA802,"AAAAAB/Ye4k=")</f>
        <v>#VALUE!</v>
      </c>
      <c r="EI206" t="e">
        <f>AND(Bills!AB802,"AAAAAB/Ye4o=")</f>
        <v>#VALUE!</v>
      </c>
      <c r="EJ206" t="e">
        <f>AND(Bills!#REF!,"AAAAAB/Ye4s=")</f>
        <v>#REF!</v>
      </c>
      <c r="EK206">
        <f>IF(Bills!803:803,"AAAAAB/Ye4w=",0)</f>
        <v>0</v>
      </c>
      <c r="EL206" t="e">
        <f>AND(Bills!B803,"AAAAAB/Ye40=")</f>
        <v>#VALUE!</v>
      </c>
      <c r="EM206" t="e">
        <f>AND(Bills!#REF!,"AAAAAB/Ye44=")</f>
        <v>#REF!</v>
      </c>
      <c r="EN206" t="e">
        <f>AND(Bills!C803,"AAAAAB/Ye48=")</f>
        <v>#VALUE!</v>
      </c>
      <c r="EO206" t="e">
        <f>AND(Bills!#REF!,"AAAAAB/Ye5A=")</f>
        <v>#REF!</v>
      </c>
      <c r="EP206" t="e">
        <f>AND(Bills!#REF!,"AAAAAB/Ye5E=")</f>
        <v>#REF!</v>
      </c>
      <c r="EQ206" t="e">
        <f>AND(Bills!#REF!,"AAAAAB/Ye5I=")</f>
        <v>#REF!</v>
      </c>
      <c r="ER206" t="e">
        <f>AND(Bills!#REF!,"AAAAAB/Ye5M=")</f>
        <v>#REF!</v>
      </c>
      <c r="ES206" t="e">
        <f>AND(Bills!#REF!,"AAAAAB/Ye5Q=")</f>
        <v>#REF!</v>
      </c>
      <c r="ET206" t="e">
        <f>AND(Bills!D803,"AAAAAB/Ye5U=")</f>
        <v>#VALUE!</v>
      </c>
      <c r="EU206" t="e">
        <f>AND(Bills!#REF!,"AAAAAB/Ye5Y=")</f>
        <v>#REF!</v>
      </c>
      <c r="EV206" t="e">
        <f>AND(Bills!E803,"AAAAAB/Ye5c=")</f>
        <v>#VALUE!</v>
      </c>
      <c r="EW206" t="e">
        <f>AND(Bills!F803,"AAAAAB/Ye5g=")</f>
        <v>#VALUE!</v>
      </c>
      <c r="EX206" t="e">
        <f>AND(Bills!G803,"AAAAAB/Ye5k=")</f>
        <v>#VALUE!</v>
      </c>
      <c r="EY206" t="e">
        <f>AND(Bills!H803,"AAAAAB/Ye5o=")</f>
        <v>#VALUE!</v>
      </c>
      <c r="EZ206" t="e">
        <f>AND(Bills!I803,"AAAAAB/Ye5s=")</f>
        <v>#VALUE!</v>
      </c>
      <c r="FA206" t="e">
        <f>AND(Bills!J803,"AAAAAB/Ye5w=")</f>
        <v>#VALUE!</v>
      </c>
      <c r="FB206" t="e">
        <f>AND(Bills!#REF!,"AAAAAB/Ye50=")</f>
        <v>#REF!</v>
      </c>
      <c r="FC206" t="e">
        <f>AND(Bills!K803,"AAAAAB/Ye54=")</f>
        <v>#VALUE!</v>
      </c>
      <c r="FD206" t="e">
        <f>AND(Bills!L803,"AAAAAB/Ye58=")</f>
        <v>#VALUE!</v>
      </c>
      <c r="FE206" t="e">
        <f>AND(Bills!M803,"AAAAAB/Ye6A=")</f>
        <v>#VALUE!</v>
      </c>
      <c r="FF206" t="e">
        <f>AND(Bills!N803,"AAAAAB/Ye6E=")</f>
        <v>#VALUE!</v>
      </c>
      <c r="FG206" t="e">
        <f>AND(Bills!O803,"AAAAAB/Ye6I=")</f>
        <v>#VALUE!</v>
      </c>
      <c r="FH206" t="e">
        <f>AND(Bills!P803,"AAAAAB/Ye6M=")</f>
        <v>#VALUE!</v>
      </c>
      <c r="FI206" t="e">
        <f>AND(Bills!Q803,"AAAAAB/Ye6Q=")</f>
        <v>#VALUE!</v>
      </c>
      <c r="FJ206" t="e">
        <f>AND(Bills!R803,"AAAAAB/Ye6U=")</f>
        <v>#VALUE!</v>
      </c>
      <c r="FK206" t="e">
        <f>AND(Bills!#REF!,"AAAAAB/Ye6Y=")</f>
        <v>#REF!</v>
      </c>
      <c r="FL206" t="e">
        <f>AND(Bills!S803,"AAAAAB/Ye6c=")</f>
        <v>#VALUE!</v>
      </c>
      <c r="FM206" t="e">
        <f>AND(Bills!T803,"AAAAAB/Ye6g=")</f>
        <v>#VALUE!</v>
      </c>
      <c r="FN206" t="e">
        <f>AND(Bills!U803,"AAAAAB/Ye6k=")</f>
        <v>#VALUE!</v>
      </c>
      <c r="FO206" t="e">
        <f>AND(Bills!#REF!,"AAAAAB/Ye6o=")</f>
        <v>#REF!</v>
      </c>
      <c r="FP206" t="e">
        <f>AND(Bills!#REF!,"AAAAAB/Ye6s=")</f>
        <v>#REF!</v>
      </c>
      <c r="FQ206" t="e">
        <f>AND(Bills!W803,"AAAAAB/Ye6w=")</f>
        <v>#VALUE!</v>
      </c>
      <c r="FR206" t="e">
        <f>AND(Bills!X803,"AAAAAB/Ye60=")</f>
        <v>#VALUE!</v>
      </c>
      <c r="FS206" t="e">
        <f>AND(Bills!#REF!,"AAAAAB/Ye64=")</f>
        <v>#REF!</v>
      </c>
      <c r="FT206" t="e">
        <f>AND(Bills!#REF!,"AAAAAB/Ye68=")</f>
        <v>#REF!</v>
      </c>
      <c r="FU206" t="e">
        <f>AND(Bills!#REF!,"AAAAAB/Ye7A=")</f>
        <v>#REF!</v>
      </c>
      <c r="FV206" t="e">
        <f>AND(Bills!#REF!,"AAAAAB/Ye7E=")</f>
        <v>#REF!</v>
      </c>
      <c r="FW206" t="e">
        <f>AND(Bills!#REF!,"AAAAAB/Ye7I=")</f>
        <v>#REF!</v>
      </c>
      <c r="FX206" t="e">
        <f>AND(Bills!#REF!,"AAAAAB/Ye7M=")</f>
        <v>#REF!</v>
      </c>
      <c r="FY206" t="e">
        <f>AND(Bills!#REF!,"AAAAAB/Ye7Q=")</f>
        <v>#REF!</v>
      </c>
      <c r="FZ206" t="e">
        <f>AND(Bills!#REF!,"AAAAAB/Ye7U=")</f>
        <v>#REF!</v>
      </c>
      <c r="GA206" t="e">
        <f>AND(Bills!#REF!,"AAAAAB/Ye7Y=")</f>
        <v>#REF!</v>
      </c>
      <c r="GB206" t="e">
        <f>AND(Bills!Y803,"AAAAAB/Ye7c=")</f>
        <v>#VALUE!</v>
      </c>
      <c r="GC206" t="e">
        <f>AND(Bills!Z803,"AAAAAB/Ye7g=")</f>
        <v>#VALUE!</v>
      </c>
      <c r="GD206" t="e">
        <f>AND(Bills!#REF!,"AAAAAB/Ye7k=")</f>
        <v>#REF!</v>
      </c>
      <c r="GE206" t="e">
        <f>AND(Bills!#REF!,"AAAAAB/Ye7o=")</f>
        <v>#REF!</v>
      </c>
      <c r="GF206" t="e">
        <f>AND(Bills!#REF!,"AAAAAB/Ye7s=")</f>
        <v>#REF!</v>
      </c>
      <c r="GG206" t="e">
        <f>AND(Bills!AA803,"AAAAAB/Ye7w=")</f>
        <v>#VALUE!</v>
      </c>
      <c r="GH206" t="e">
        <f>AND(Bills!AB803,"AAAAAB/Ye70=")</f>
        <v>#VALUE!</v>
      </c>
      <c r="GI206" t="e">
        <f>AND(Bills!#REF!,"AAAAAB/Ye74=")</f>
        <v>#REF!</v>
      </c>
      <c r="GJ206">
        <f>IF(Bills!804:804,"AAAAAB/Ye78=",0)</f>
        <v>0</v>
      </c>
      <c r="GK206" t="e">
        <f>AND(Bills!B804,"AAAAAB/Ye8A=")</f>
        <v>#VALUE!</v>
      </c>
      <c r="GL206" t="e">
        <f>AND(Bills!#REF!,"AAAAAB/Ye8E=")</f>
        <v>#REF!</v>
      </c>
      <c r="GM206" t="e">
        <f>AND(Bills!C804,"AAAAAB/Ye8I=")</f>
        <v>#VALUE!</v>
      </c>
      <c r="GN206" t="e">
        <f>AND(Bills!#REF!,"AAAAAB/Ye8M=")</f>
        <v>#REF!</v>
      </c>
      <c r="GO206" t="e">
        <f>AND(Bills!#REF!,"AAAAAB/Ye8Q=")</f>
        <v>#REF!</v>
      </c>
      <c r="GP206" t="e">
        <f>AND(Bills!#REF!,"AAAAAB/Ye8U=")</f>
        <v>#REF!</v>
      </c>
      <c r="GQ206" t="e">
        <f>AND(Bills!#REF!,"AAAAAB/Ye8Y=")</f>
        <v>#REF!</v>
      </c>
      <c r="GR206" t="e">
        <f>AND(Bills!#REF!,"AAAAAB/Ye8c=")</f>
        <v>#REF!</v>
      </c>
      <c r="GS206" t="e">
        <f>AND(Bills!D804,"AAAAAB/Ye8g=")</f>
        <v>#VALUE!</v>
      </c>
      <c r="GT206" t="e">
        <f>AND(Bills!#REF!,"AAAAAB/Ye8k=")</f>
        <v>#REF!</v>
      </c>
      <c r="GU206" t="e">
        <f>AND(Bills!E804,"AAAAAB/Ye8o=")</f>
        <v>#VALUE!</v>
      </c>
      <c r="GV206" t="e">
        <f>AND(Bills!F804,"AAAAAB/Ye8s=")</f>
        <v>#VALUE!</v>
      </c>
      <c r="GW206" t="e">
        <f>AND(Bills!G804,"AAAAAB/Ye8w=")</f>
        <v>#VALUE!</v>
      </c>
      <c r="GX206" t="e">
        <f>AND(Bills!H804,"AAAAAB/Ye80=")</f>
        <v>#VALUE!</v>
      </c>
      <c r="GY206" t="e">
        <f>AND(Bills!I804,"AAAAAB/Ye84=")</f>
        <v>#VALUE!</v>
      </c>
      <c r="GZ206" t="e">
        <f>AND(Bills!J804,"AAAAAB/Ye88=")</f>
        <v>#VALUE!</v>
      </c>
      <c r="HA206" t="e">
        <f>AND(Bills!#REF!,"AAAAAB/Ye9A=")</f>
        <v>#REF!</v>
      </c>
      <c r="HB206" t="e">
        <f>AND(Bills!K804,"AAAAAB/Ye9E=")</f>
        <v>#VALUE!</v>
      </c>
      <c r="HC206" t="e">
        <f>AND(Bills!L804,"AAAAAB/Ye9I=")</f>
        <v>#VALUE!</v>
      </c>
      <c r="HD206" t="e">
        <f>AND(Bills!M804,"AAAAAB/Ye9M=")</f>
        <v>#VALUE!</v>
      </c>
      <c r="HE206" t="e">
        <f>AND(Bills!N804,"AAAAAB/Ye9Q=")</f>
        <v>#VALUE!</v>
      </c>
      <c r="HF206" t="e">
        <f>AND(Bills!O804,"AAAAAB/Ye9U=")</f>
        <v>#VALUE!</v>
      </c>
      <c r="HG206" t="e">
        <f>AND(Bills!P804,"AAAAAB/Ye9Y=")</f>
        <v>#VALUE!</v>
      </c>
      <c r="HH206" t="e">
        <f>AND(Bills!Q804,"AAAAAB/Ye9c=")</f>
        <v>#VALUE!</v>
      </c>
      <c r="HI206" t="e">
        <f>AND(Bills!R804,"AAAAAB/Ye9g=")</f>
        <v>#VALUE!</v>
      </c>
      <c r="HJ206" t="e">
        <f>AND(Bills!#REF!,"AAAAAB/Ye9k=")</f>
        <v>#REF!</v>
      </c>
      <c r="HK206" t="e">
        <f>AND(Bills!S804,"AAAAAB/Ye9o=")</f>
        <v>#VALUE!</v>
      </c>
      <c r="HL206" t="e">
        <f>AND(Bills!T804,"AAAAAB/Ye9s=")</f>
        <v>#VALUE!</v>
      </c>
      <c r="HM206" t="e">
        <f>AND(Bills!U804,"AAAAAB/Ye9w=")</f>
        <v>#VALUE!</v>
      </c>
      <c r="HN206" t="e">
        <f>AND(Bills!#REF!,"AAAAAB/Ye90=")</f>
        <v>#REF!</v>
      </c>
      <c r="HO206" t="e">
        <f>AND(Bills!#REF!,"AAAAAB/Ye94=")</f>
        <v>#REF!</v>
      </c>
      <c r="HP206" t="e">
        <f>AND(Bills!W804,"AAAAAB/Ye98=")</f>
        <v>#VALUE!</v>
      </c>
      <c r="HQ206" t="e">
        <f>AND(Bills!X804,"AAAAAB/Ye+A=")</f>
        <v>#VALUE!</v>
      </c>
      <c r="HR206" t="e">
        <f>AND(Bills!#REF!,"AAAAAB/Ye+E=")</f>
        <v>#REF!</v>
      </c>
      <c r="HS206" t="e">
        <f>AND(Bills!#REF!,"AAAAAB/Ye+I=")</f>
        <v>#REF!</v>
      </c>
      <c r="HT206" t="e">
        <f>AND(Bills!#REF!,"AAAAAB/Ye+M=")</f>
        <v>#REF!</v>
      </c>
      <c r="HU206" t="e">
        <f>AND(Bills!#REF!,"AAAAAB/Ye+Q=")</f>
        <v>#REF!</v>
      </c>
      <c r="HV206" t="e">
        <f>AND(Bills!#REF!,"AAAAAB/Ye+U=")</f>
        <v>#REF!</v>
      </c>
      <c r="HW206" t="e">
        <f>AND(Bills!#REF!,"AAAAAB/Ye+Y=")</f>
        <v>#REF!</v>
      </c>
      <c r="HX206" t="e">
        <f>AND(Bills!#REF!,"AAAAAB/Ye+c=")</f>
        <v>#REF!</v>
      </c>
      <c r="HY206" t="e">
        <f>AND(Bills!#REF!,"AAAAAB/Ye+g=")</f>
        <v>#REF!</v>
      </c>
      <c r="HZ206" t="e">
        <f>AND(Bills!#REF!,"AAAAAB/Ye+k=")</f>
        <v>#REF!</v>
      </c>
      <c r="IA206" t="e">
        <f>AND(Bills!Y804,"AAAAAB/Ye+o=")</f>
        <v>#VALUE!</v>
      </c>
      <c r="IB206" t="e">
        <f>AND(Bills!Z804,"AAAAAB/Ye+s=")</f>
        <v>#VALUE!</v>
      </c>
      <c r="IC206" t="e">
        <f>AND(Bills!#REF!,"AAAAAB/Ye+w=")</f>
        <v>#REF!</v>
      </c>
      <c r="ID206" t="e">
        <f>AND(Bills!#REF!,"AAAAAB/Ye+0=")</f>
        <v>#REF!</v>
      </c>
      <c r="IE206" t="e">
        <f>AND(Bills!#REF!,"AAAAAB/Ye+4=")</f>
        <v>#REF!</v>
      </c>
      <c r="IF206" t="e">
        <f>AND(Bills!AA804,"AAAAAB/Ye+8=")</f>
        <v>#VALUE!</v>
      </c>
      <c r="IG206" t="e">
        <f>AND(Bills!AB804,"AAAAAB/Ye/A=")</f>
        <v>#VALUE!</v>
      </c>
      <c r="IH206" t="e">
        <f>AND(Bills!#REF!,"AAAAAB/Ye/E=")</f>
        <v>#REF!</v>
      </c>
      <c r="II206">
        <f>IF(Bills!805:805,"AAAAAB/Ye/I=",0)</f>
        <v>0</v>
      </c>
      <c r="IJ206" t="e">
        <f>AND(Bills!B805,"AAAAAB/Ye/M=")</f>
        <v>#VALUE!</v>
      </c>
      <c r="IK206" t="e">
        <f>AND(Bills!#REF!,"AAAAAB/Ye/Q=")</f>
        <v>#REF!</v>
      </c>
      <c r="IL206" t="e">
        <f>AND(Bills!C805,"AAAAAB/Ye/U=")</f>
        <v>#VALUE!</v>
      </c>
      <c r="IM206" t="e">
        <f>AND(Bills!#REF!,"AAAAAB/Ye/Y=")</f>
        <v>#REF!</v>
      </c>
      <c r="IN206" t="e">
        <f>AND(Bills!#REF!,"AAAAAB/Ye/c=")</f>
        <v>#REF!</v>
      </c>
      <c r="IO206" t="e">
        <f>AND(Bills!#REF!,"AAAAAB/Ye/g=")</f>
        <v>#REF!</v>
      </c>
      <c r="IP206" t="e">
        <f>AND(Bills!#REF!,"AAAAAB/Ye/k=")</f>
        <v>#REF!</v>
      </c>
      <c r="IQ206" t="e">
        <f>AND(Bills!#REF!,"AAAAAB/Ye/o=")</f>
        <v>#REF!</v>
      </c>
      <c r="IR206" t="e">
        <f>AND(Bills!D805,"AAAAAB/Ye/s=")</f>
        <v>#VALUE!</v>
      </c>
      <c r="IS206" t="e">
        <f>AND(Bills!#REF!,"AAAAAB/Ye/w=")</f>
        <v>#REF!</v>
      </c>
      <c r="IT206" t="e">
        <f>AND(Bills!E805,"AAAAAB/Ye/0=")</f>
        <v>#VALUE!</v>
      </c>
      <c r="IU206" t="e">
        <f>AND(Bills!F805,"AAAAAB/Ye/4=")</f>
        <v>#VALUE!</v>
      </c>
      <c r="IV206" t="e">
        <f>AND(Bills!G805,"AAAAAB/Ye/8=")</f>
        <v>#VALUE!</v>
      </c>
    </row>
    <row r="207" spans="1:256">
      <c r="A207" t="e">
        <f>AND(Bills!H805,"AAAAAHa7/QA=")</f>
        <v>#VALUE!</v>
      </c>
      <c r="B207" t="e">
        <f>AND(Bills!I805,"AAAAAHa7/QE=")</f>
        <v>#VALUE!</v>
      </c>
      <c r="C207" t="e">
        <f>AND(Bills!J805,"AAAAAHa7/QI=")</f>
        <v>#VALUE!</v>
      </c>
      <c r="D207" t="e">
        <f>AND(Bills!#REF!,"AAAAAHa7/QM=")</f>
        <v>#REF!</v>
      </c>
      <c r="E207" t="e">
        <f>AND(Bills!K805,"AAAAAHa7/QQ=")</f>
        <v>#VALUE!</v>
      </c>
      <c r="F207" t="e">
        <f>AND(Bills!L805,"AAAAAHa7/QU=")</f>
        <v>#VALUE!</v>
      </c>
      <c r="G207" t="e">
        <f>AND(Bills!M805,"AAAAAHa7/QY=")</f>
        <v>#VALUE!</v>
      </c>
      <c r="H207" t="e">
        <f>AND(Bills!N805,"AAAAAHa7/Qc=")</f>
        <v>#VALUE!</v>
      </c>
      <c r="I207" t="e">
        <f>AND(Bills!O805,"AAAAAHa7/Qg=")</f>
        <v>#VALUE!</v>
      </c>
      <c r="J207" t="e">
        <f>AND(Bills!P805,"AAAAAHa7/Qk=")</f>
        <v>#VALUE!</v>
      </c>
      <c r="K207" t="e">
        <f>AND(Bills!Q805,"AAAAAHa7/Qo=")</f>
        <v>#VALUE!</v>
      </c>
      <c r="L207" t="e">
        <f>AND(Bills!R805,"AAAAAHa7/Qs=")</f>
        <v>#VALUE!</v>
      </c>
      <c r="M207" t="e">
        <f>AND(Bills!#REF!,"AAAAAHa7/Qw=")</f>
        <v>#REF!</v>
      </c>
      <c r="N207" t="e">
        <f>AND(Bills!S805,"AAAAAHa7/Q0=")</f>
        <v>#VALUE!</v>
      </c>
      <c r="O207" t="e">
        <f>AND(Bills!T805,"AAAAAHa7/Q4=")</f>
        <v>#VALUE!</v>
      </c>
      <c r="P207" t="e">
        <f>AND(Bills!U805,"AAAAAHa7/Q8=")</f>
        <v>#VALUE!</v>
      </c>
      <c r="Q207" t="e">
        <f>AND(Bills!#REF!,"AAAAAHa7/RA=")</f>
        <v>#REF!</v>
      </c>
      <c r="R207" t="e">
        <f>AND(Bills!#REF!,"AAAAAHa7/RE=")</f>
        <v>#REF!</v>
      </c>
      <c r="S207" t="e">
        <f>AND(Bills!W805,"AAAAAHa7/RI=")</f>
        <v>#VALUE!</v>
      </c>
      <c r="T207" t="e">
        <f>AND(Bills!X805,"AAAAAHa7/RM=")</f>
        <v>#VALUE!</v>
      </c>
      <c r="U207" t="e">
        <f>AND(Bills!#REF!,"AAAAAHa7/RQ=")</f>
        <v>#REF!</v>
      </c>
      <c r="V207" t="e">
        <f>AND(Bills!#REF!,"AAAAAHa7/RU=")</f>
        <v>#REF!</v>
      </c>
      <c r="W207" t="e">
        <f>AND(Bills!#REF!,"AAAAAHa7/RY=")</f>
        <v>#REF!</v>
      </c>
      <c r="X207" t="e">
        <f>AND(Bills!#REF!,"AAAAAHa7/Rc=")</f>
        <v>#REF!</v>
      </c>
      <c r="Y207" t="e">
        <f>AND(Bills!#REF!,"AAAAAHa7/Rg=")</f>
        <v>#REF!</v>
      </c>
      <c r="Z207" t="e">
        <f>AND(Bills!#REF!,"AAAAAHa7/Rk=")</f>
        <v>#REF!</v>
      </c>
      <c r="AA207" t="e">
        <f>AND(Bills!#REF!,"AAAAAHa7/Ro=")</f>
        <v>#REF!</v>
      </c>
      <c r="AB207" t="e">
        <f>AND(Bills!#REF!,"AAAAAHa7/Rs=")</f>
        <v>#REF!</v>
      </c>
      <c r="AC207" t="e">
        <f>AND(Bills!#REF!,"AAAAAHa7/Rw=")</f>
        <v>#REF!</v>
      </c>
      <c r="AD207" t="e">
        <f>AND(Bills!Y805,"AAAAAHa7/R0=")</f>
        <v>#VALUE!</v>
      </c>
      <c r="AE207" t="e">
        <f>AND(Bills!Z805,"AAAAAHa7/R4=")</f>
        <v>#VALUE!</v>
      </c>
      <c r="AF207" t="e">
        <f>AND(Bills!#REF!,"AAAAAHa7/R8=")</f>
        <v>#REF!</v>
      </c>
      <c r="AG207" t="e">
        <f>AND(Bills!#REF!,"AAAAAHa7/SA=")</f>
        <v>#REF!</v>
      </c>
      <c r="AH207" t="e">
        <f>AND(Bills!#REF!,"AAAAAHa7/SE=")</f>
        <v>#REF!</v>
      </c>
      <c r="AI207" t="e">
        <f>AND(Bills!AA805,"AAAAAHa7/SI=")</f>
        <v>#VALUE!</v>
      </c>
      <c r="AJ207" t="e">
        <f>AND(Bills!AB805,"AAAAAHa7/SM=")</f>
        <v>#VALUE!</v>
      </c>
      <c r="AK207" t="e">
        <f>AND(Bills!#REF!,"AAAAAHa7/SQ=")</f>
        <v>#REF!</v>
      </c>
      <c r="AL207">
        <f>IF(Bills!806:806,"AAAAAHa7/SU=",0)</f>
        <v>0</v>
      </c>
      <c r="AM207" t="e">
        <f>AND(Bills!B806,"AAAAAHa7/SY=")</f>
        <v>#VALUE!</v>
      </c>
      <c r="AN207" t="e">
        <f>AND(Bills!#REF!,"AAAAAHa7/Sc=")</f>
        <v>#REF!</v>
      </c>
      <c r="AO207" t="e">
        <f>AND(Bills!C806,"AAAAAHa7/Sg=")</f>
        <v>#VALUE!</v>
      </c>
      <c r="AP207" t="e">
        <f>AND(Bills!#REF!,"AAAAAHa7/Sk=")</f>
        <v>#REF!</v>
      </c>
      <c r="AQ207" t="e">
        <f>AND(Bills!#REF!,"AAAAAHa7/So=")</f>
        <v>#REF!</v>
      </c>
      <c r="AR207" t="e">
        <f>AND(Bills!#REF!,"AAAAAHa7/Ss=")</f>
        <v>#REF!</v>
      </c>
      <c r="AS207" t="e">
        <f>AND(Bills!#REF!,"AAAAAHa7/Sw=")</f>
        <v>#REF!</v>
      </c>
      <c r="AT207" t="e">
        <f>AND(Bills!#REF!,"AAAAAHa7/S0=")</f>
        <v>#REF!</v>
      </c>
      <c r="AU207" t="e">
        <f>AND(Bills!D806,"AAAAAHa7/S4=")</f>
        <v>#VALUE!</v>
      </c>
      <c r="AV207" t="e">
        <f>AND(Bills!#REF!,"AAAAAHa7/S8=")</f>
        <v>#REF!</v>
      </c>
      <c r="AW207" t="e">
        <f>AND(Bills!E806,"AAAAAHa7/TA=")</f>
        <v>#VALUE!</v>
      </c>
      <c r="AX207" t="e">
        <f>AND(Bills!F806,"AAAAAHa7/TE=")</f>
        <v>#VALUE!</v>
      </c>
      <c r="AY207" t="e">
        <f>AND(Bills!G806,"AAAAAHa7/TI=")</f>
        <v>#VALUE!</v>
      </c>
      <c r="AZ207" t="e">
        <f>AND(Bills!H806,"AAAAAHa7/TM=")</f>
        <v>#VALUE!</v>
      </c>
      <c r="BA207" t="e">
        <f>AND(Bills!I806,"AAAAAHa7/TQ=")</f>
        <v>#VALUE!</v>
      </c>
      <c r="BB207" t="e">
        <f>AND(Bills!J806,"AAAAAHa7/TU=")</f>
        <v>#VALUE!</v>
      </c>
      <c r="BC207" t="e">
        <f>AND(Bills!#REF!,"AAAAAHa7/TY=")</f>
        <v>#REF!</v>
      </c>
      <c r="BD207" t="e">
        <f>AND(Bills!K806,"AAAAAHa7/Tc=")</f>
        <v>#VALUE!</v>
      </c>
      <c r="BE207" t="e">
        <f>AND(Bills!L806,"AAAAAHa7/Tg=")</f>
        <v>#VALUE!</v>
      </c>
      <c r="BF207" t="e">
        <f>AND(Bills!M806,"AAAAAHa7/Tk=")</f>
        <v>#VALUE!</v>
      </c>
      <c r="BG207" t="e">
        <f>AND(Bills!N806,"AAAAAHa7/To=")</f>
        <v>#VALUE!</v>
      </c>
      <c r="BH207" t="e">
        <f>AND(Bills!O806,"AAAAAHa7/Ts=")</f>
        <v>#VALUE!</v>
      </c>
      <c r="BI207" t="e">
        <f>AND(Bills!P806,"AAAAAHa7/Tw=")</f>
        <v>#VALUE!</v>
      </c>
      <c r="BJ207" t="e">
        <f>AND(Bills!Q806,"AAAAAHa7/T0=")</f>
        <v>#VALUE!</v>
      </c>
      <c r="BK207" t="e">
        <f>AND(Bills!R806,"AAAAAHa7/T4=")</f>
        <v>#VALUE!</v>
      </c>
      <c r="BL207" t="e">
        <f>AND(Bills!#REF!,"AAAAAHa7/T8=")</f>
        <v>#REF!</v>
      </c>
      <c r="BM207" t="e">
        <f>AND(Bills!S806,"AAAAAHa7/UA=")</f>
        <v>#VALUE!</v>
      </c>
      <c r="BN207" t="e">
        <f>AND(Bills!T806,"AAAAAHa7/UE=")</f>
        <v>#VALUE!</v>
      </c>
      <c r="BO207" t="e">
        <f>AND(Bills!U806,"AAAAAHa7/UI=")</f>
        <v>#VALUE!</v>
      </c>
      <c r="BP207" t="e">
        <f>AND(Bills!#REF!,"AAAAAHa7/UM=")</f>
        <v>#REF!</v>
      </c>
      <c r="BQ207" t="e">
        <f>AND(Bills!#REF!,"AAAAAHa7/UQ=")</f>
        <v>#REF!</v>
      </c>
      <c r="BR207" t="e">
        <f>AND(Bills!W806,"AAAAAHa7/UU=")</f>
        <v>#VALUE!</v>
      </c>
      <c r="BS207" t="e">
        <f>AND(Bills!X806,"AAAAAHa7/UY=")</f>
        <v>#VALUE!</v>
      </c>
      <c r="BT207" t="e">
        <f>AND(Bills!#REF!,"AAAAAHa7/Uc=")</f>
        <v>#REF!</v>
      </c>
      <c r="BU207" t="e">
        <f>AND(Bills!#REF!,"AAAAAHa7/Ug=")</f>
        <v>#REF!</v>
      </c>
      <c r="BV207" t="e">
        <f>AND(Bills!#REF!,"AAAAAHa7/Uk=")</f>
        <v>#REF!</v>
      </c>
      <c r="BW207" t="e">
        <f>AND(Bills!#REF!,"AAAAAHa7/Uo=")</f>
        <v>#REF!</v>
      </c>
      <c r="BX207" t="e">
        <f>AND(Bills!#REF!,"AAAAAHa7/Us=")</f>
        <v>#REF!</v>
      </c>
      <c r="BY207" t="e">
        <f>AND(Bills!#REF!,"AAAAAHa7/Uw=")</f>
        <v>#REF!</v>
      </c>
      <c r="BZ207" t="e">
        <f>AND(Bills!#REF!,"AAAAAHa7/U0=")</f>
        <v>#REF!</v>
      </c>
      <c r="CA207" t="e">
        <f>AND(Bills!#REF!,"AAAAAHa7/U4=")</f>
        <v>#REF!</v>
      </c>
      <c r="CB207" t="e">
        <f>AND(Bills!#REF!,"AAAAAHa7/U8=")</f>
        <v>#REF!</v>
      </c>
      <c r="CC207" t="e">
        <f>AND(Bills!Y806,"AAAAAHa7/VA=")</f>
        <v>#VALUE!</v>
      </c>
      <c r="CD207" t="e">
        <f>AND(Bills!Z806,"AAAAAHa7/VE=")</f>
        <v>#VALUE!</v>
      </c>
      <c r="CE207" t="e">
        <f>AND(Bills!#REF!,"AAAAAHa7/VI=")</f>
        <v>#REF!</v>
      </c>
      <c r="CF207" t="e">
        <f>AND(Bills!#REF!,"AAAAAHa7/VM=")</f>
        <v>#REF!</v>
      </c>
      <c r="CG207" t="e">
        <f>AND(Bills!#REF!,"AAAAAHa7/VQ=")</f>
        <v>#REF!</v>
      </c>
      <c r="CH207" t="e">
        <f>AND(Bills!AA806,"AAAAAHa7/VU=")</f>
        <v>#VALUE!</v>
      </c>
      <c r="CI207" t="e">
        <f>AND(Bills!AB806,"AAAAAHa7/VY=")</f>
        <v>#VALUE!</v>
      </c>
      <c r="CJ207" t="e">
        <f>AND(Bills!#REF!,"AAAAAHa7/Vc=")</f>
        <v>#REF!</v>
      </c>
      <c r="CK207">
        <f>IF(Bills!807:807,"AAAAAHa7/Vg=",0)</f>
        <v>0</v>
      </c>
      <c r="CL207" t="e">
        <f>AND(Bills!B807,"AAAAAHa7/Vk=")</f>
        <v>#VALUE!</v>
      </c>
      <c r="CM207" t="e">
        <f>AND(Bills!#REF!,"AAAAAHa7/Vo=")</f>
        <v>#REF!</v>
      </c>
      <c r="CN207" t="e">
        <f>AND(Bills!C807,"AAAAAHa7/Vs=")</f>
        <v>#VALUE!</v>
      </c>
      <c r="CO207" t="e">
        <f>AND(Bills!#REF!,"AAAAAHa7/Vw=")</f>
        <v>#REF!</v>
      </c>
      <c r="CP207" t="e">
        <f>AND(Bills!#REF!,"AAAAAHa7/V0=")</f>
        <v>#REF!</v>
      </c>
      <c r="CQ207" t="e">
        <f>AND(Bills!#REF!,"AAAAAHa7/V4=")</f>
        <v>#REF!</v>
      </c>
      <c r="CR207" t="e">
        <f>AND(Bills!#REF!,"AAAAAHa7/V8=")</f>
        <v>#REF!</v>
      </c>
      <c r="CS207" t="e">
        <f>AND(Bills!#REF!,"AAAAAHa7/WA=")</f>
        <v>#REF!</v>
      </c>
      <c r="CT207" t="e">
        <f>AND(Bills!D807,"AAAAAHa7/WE=")</f>
        <v>#VALUE!</v>
      </c>
      <c r="CU207" t="e">
        <f>AND(Bills!#REF!,"AAAAAHa7/WI=")</f>
        <v>#REF!</v>
      </c>
      <c r="CV207" t="e">
        <f>AND(Bills!E807,"AAAAAHa7/WM=")</f>
        <v>#VALUE!</v>
      </c>
      <c r="CW207" t="e">
        <f>AND(Bills!F807,"AAAAAHa7/WQ=")</f>
        <v>#VALUE!</v>
      </c>
      <c r="CX207" t="e">
        <f>AND(Bills!G807,"AAAAAHa7/WU=")</f>
        <v>#VALUE!</v>
      </c>
      <c r="CY207" t="e">
        <f>AND(Bills!H807,"AAAAAHa7/WY=")</f>
        <v>#VALUE!</v>
      </c>
      <c r="CZ207" t="e">
        <f>AND(Bills!I807,"AAAAAHa7/Wc=")</f>
        <v>#VALUE!</v>
      </c>
      <c r="DA207" t="e">
        <f>AND(Bills!J807,"AAAAAHa7/Wg=")</f>
        <v>#VALUE!</v>
      </c>
      <c r="DB207" t="e">
        <f>AND(Bills!#REF!,"AAAAAHa7/Wk=")</f>
        <v>#REF!</v>
      </c>
      <c r="DC207" t="e">
        <f>AND(Bills!K807,"AAAAAHa7/Wo=")</f>
        <v>#VALUE!</v>
      </c>
      <c r="DD207" t="e">
        <f>AND(Bills!L807,"AAAAAHa7/Ws=")</f>
        <v>#VALUE!</v>
      </c>
      <c r="DE207" t="e">
        <f>AND(Bills!M807,"AAAAAHa7/Ww=")</f>
        <v>#VALUE!</v>
      </c>
      <c r="DF207" t="e">
        <f>AND(Bills!N807,"AAAAAHa7/W0=")</f>
        <v>#VALUE!</v>
      </c>
      <c r="DG207" t="e">
        <f>AND(Bills!O807,"AAAAAHa7/W4=")</f>
        <v>#VALUE!</v>
      </c>
      <c r="DH207" t="e">
        <f>AND(Bills!P807,"AAAAAHa7/W8=")</f>
        <v>#VALUE!</v>
      </c>
      <c r="DI207" t="e">
        <f>AND(Bills!Q807,"AAAAAHa7/XA=")</f>
        <v>#VALUE!</v>
      </c>
      <c r="DJ207" t="e">
        <f>AND(Bills!R807,"AAAAAHa7/XE=")</f>
        <v>#VALUE!</v>
      </c>
      <c r="DK207" t="e">
        <f>AND(Bills!#REF!,"AAAAAHa7/XI=")</f>
        <v>#REF!</v>
      </c>
      <c r="DL207" t="e">
        <f>AND(Bills!S807,"AAAAAHa7/XM=")</f>
        <v>#VALUE!</v>
      </c>
      <c r="DM207" t="e">
        <f>AND(Bills!T807,"AAAAAHa7/XQ=")</f>
        <v>#VALUE!</v>
      </c>
      <c r="DN207" t="e">
        <f>AND(Bills!U807,"AAAAAHa7/XU=")</f>
        <v>#VALUE!</v>
      </c>
      <c r="DO207" t="e">
        <f>AND(Bills!#REF!,"AAAAAHa7/XY=")</f>
        <v>#REF!</v>
      </c>
      <c r="DP207" t="e">
        <f>AND(Bills!#REF!,"AAAAAHa7/Xc=")</f>
        <v>#REF!</v>
      </c>
      <c r="DQ207" t="e">
        <f>AND(Bills!W807,"AAAAAHa7/Xg=")</f>
        <v>#VALUE!</v>
      </c>
      <c r="DR207" t="e">
        <f>AND(Bills!X807,"AAAAAHa7/Xk=")</f>
        <v>#VALUE!</v>
      </c>
      <c r="DS207" t="e">
        <f>AND(Bills!#REF!,"AAAAAHa7/Xo=")</f>
        <v>#REF!</v>
      </c>
      <c r="DT207" t="e">
        <f>AND(Bills!#REF!,"AAAAAHa7/Xs=")</f>
        <v>#REF!</v>
      </c>
      <c r="DU207" t="e">
        <f>AND(Bills!#REF!,"AAAAAHa7/Xw=")</f>
        <v>#REF!</v>
      </c>
      <c r="DV207" t="e">
        <f>AND(Bills!#REF!,"AAAAAHa7/X0=")</f>
        <v>#REF!</v>
      </c>
      <c r="DW207" t="e">
        <f>AND(Bills!#REF!,"AAAAAHa7/X4=")</f>
        <v>#REF!</v>
      </c>
      <c r="DX207" t="e">
        <f>AND(Bills!#REF!,"AAAAAHa7/X8=")</f>
        <v>#REF!</v>
      </c>
      <c r="DY207" t="e">
        <f>AND(Bills!#REF!,"AAAAAHa7/YA=")</f>
        <v>#REF!</v>
      </c>
      <c r="DZ207" t="e">
        <f>AND(Bills!#REF!,"AAAAAHa7/YE=")</f>
        <v>#REF!</v>
      </c>
      <c r="EA207" t="e">
        <f>AND(Bills!#REF!,"AAAAAHa7/YI=")</f>
        <v>#REF!</v>
      </c>
      <c r="EB207" t="e">
        <f>AND(Bills!Y807,"AAAAAHa7/YM=")</f>
        <v>#VALUE!</v>
      </c>
      <c r="EC207" t="e">
        <f>AND(Bills!Z807,"AAAAAHa7/YQ=")</f>
        <v>#VALUE!</v>
      </c>
      <c r="ED207" t="e">
        <f>AND(Bills!#REF!,"AAAAAHa7/YU=")</f>
        <v>#REF!</v>
      </c>
      <c r="EE207" t="e">
        <f>AND(Bills!#REF!,"AAAAAHa7/YY=")</f>
        <v>#REF!</v>
      </c>
      <c r="EF207" t="e">
        <f>AND(Bills!#REF!,"AAAAAHa7/Yc=")</f>
        <v>#REF!</v>
      </c>
      <c r="EG207" t="e">
        <f>AND(Bills!AA807,"AAAAAHa7/Yg=")</f>
        <v>#VALUE!</v>
      </c>
      <c r="EH207" t="e">
        <f>AND(Bills!AB807,"AAAAAHa7/Yk=")</f>
        <v>#VALUE!</v>
      </c>
      <c r="EI207" t="e">
        <f>AND(Bills!#REF!,"AAAAAHa7/Yo=")</f>
        <v>#REF!</v>
      </c>
      <c r="EJ207">
        <f>IF(Bills!808:808,"AAAAAHa7/Ys=",0)</f>
        <v>0</v>
      </c>
      <c r="EK207" t="e">
        <f>AND(Bills!B808,"AAAAAHa7/Yw=")</f>
        <v>#VALUE!</v>
      </c>
      <c r="EL207" t="e">
        <f>AND(Bills!#REF!,"AAAAAHa7/Y0=")</f>
        <v>#REF!</v>
      </c>
      <c r="EM207" t="e">
        <f>AND(Bills!C808,"AAAAAHa7/Y4=")</f>
        <v>#VALUE!</v>
      </c>
      <c r="EN207" t="e">
        <f>AND(Bills!#REF!,"AAAAAHa7/Y8=")</f>
        <v>#REF!</v>
      </c>
      <c r="EO207" t="e">
        <f>AND(Bills!#REF!,"AAAAAHa7/ZA=")</f>
        <v>#REF!</v>
      </c>
      <c r="EP207" t="e">
        <f>AND(Bills!#REF!,"AAAAAHa7/ZE=")</f>
        <v>#REF!</v>
      </c>
      <c r="EQ207" t="e">
        <f>AND(Bills!#REF!,"AAAAAHa7/ZI=")</f>
        <v>#REF!</v>
      </c>
      <c r="ER207" t="e">
        <f>AND(Bills!#REF!,"AAAAAHa7/ZM=")</f>
        <v>#REF!</v>
      </c>
      <c r="ES207" t="e">
        <f>AND(Bills!D808,"AAAAAHa7/ZQ=")</f>
        <v>#VALUE!</v>
      </c>
      <c r="ET207" t="e">
        <f>AND(Bills!#REF!,"AAAAAHa7/ZU=")</f>
        <v>#REF!</v>
      </c>
      <c r="EU207" t="e">
        <f>AND(Bills!E808,"AAAAAHa7/ZY=")</f>
        <v>#VALUE!</v>
      </c>
      <c r="EV207" t="e">
        <f>AND(Bills!F808,"AAAAAHa7/Zc=")</f>
        <v>#VALUE!</v>
      </c>
      <c r="EW207" t="e">
        <f>AND(Bills!G808,"AAAAAHa7/Zg=")</f>
        <v>#VALUE!</v>
      </c>
      <c r="EX207" t="e">
        <f>AND(Bills!H808,"AAAAAHa7/Zk=")</f>
        <v>#VALUE!</v>
      </c>
      <c r="EY207" t="e">
        <f>AND(Bills!I808,"AAAAAHa7/Zo=")</f>
        <v>#VALUE!</v>
      </c>
      <c r="EZ207" t="e">
        <f>AND(Bills!J808,"AAAAAHa7/Zs=")</f>
        <v>#VALUE!</v>
      </c>
      <c r="FA207" t="e">
        <f>AND(Bills!#REF!,"AAAAAHa7/Zw=")</f>
        <v>#REF!</v>
      </c>
      <c r="FB207" t="e">
        <f>AND(Bills!K808,"AAAAAHa7/Z0=")</f>
        <v>#VALUE!</v>
      </c>
      <c r="FC207" t="e">
        <f>AND(Bills!L808,"AAAAAHa7/Z4=")</f>
        <v>#VALUE!</v>
      </c>
      <c r="FD207" t="e">
        <f>AND(Bills!M808,"AAAAAHa7/Z8=")</f>
        <v>#VALUE!</v>
      </c>
      <c r="FE207" t="e">
        <f>AND(Bills!N808,"AAAAAHa7/aA=")</f>
        <v>#VALUE!</v>
      </c>
      <c r="FF207" t="e">
        <f>AND(Bills!O808,"AAAAAHa7/aE=")</f>
        <v>#VALUE!</v>
      </c>
      <c r="FG207" t="e">
        <f>AND(Bills!P808,"AAAAAHa7/aI=")</f>
        <v>#VALUE!</v>
      </c>
      <c r="FH207" t="e">
        <f>AND(Bills!Q808,"AAAAAHa7/aM=")</f>
        <v>#VALUE!</v>
      </c>
      <c r="FI207" t="e">
        <f>AND(Bills!R808,"AAAAAHa7/aQ=")</f>
        <v>#VALUE!</v>
      </c>
      <c r="FJ207" t="e">
        <f>AND(Bills!#REF!,"AAAAAHa7/aU=")</f>
        <v>#REF!</v>
      </c>
      <c r="FK207" t="e">
        <f>AND(Bills!S808,"AAAAAHa7/aY=")</f>
        <v>#VALUE!</v>
      </c>
      <c r="FL207" t="e">
        <f>AND(Bills!T808,"AAAAAHa7/ac=")</f>
        <v>#VALUE!</v>
      </c>
      <c r="FM207" t="e">
        <f>AND(Bills!U808,"AAAAAHa7/ag=")</f>
        <v>#VALUE!</v>
      </c>
      <c r="FN207" t="e">
        <f>AND(Bills!#REF!,"AAAAAHa7/ak=")</f>
        <v>#REF!</v>
      </c>
      <c r="FO207" t="e">
        <f>AND(Bills!#REF!,"AAAAAHa7/ao=")</f>
        <v>#REF!</v>
      </c>
      <c r="FP207" t="e">
        <f>AND(Bills!W808,"AAAAAHa7/as=")</f>
        <v>#VALUE!</v>
      </c>
      <c r="FQ207" t="e">
        <f>AND(Bills!X808,"AAAAAHa7/aw=")</f>
        <v>#VALUE!</v>
      </c>
      <c r="FR207" t="e">
        <f>AND(Bills!#REF!,"AAAAAHa7/a0=")</f>
        <v>#REF!</v>
      </c>
      <c r="FS207" t="e">
        <f>AND(Bills!#REF!,"AAAAAHa7/a4=")</f>
        <v>#REF!</v>
      </c>
      <c r="FT207" t="e">
        <f>AND(Bills!#REF!,"AAAAAHa7/a8=")</f>
        <v>#REF!</v>
      </c>
      <c r="FU207" t="e">
        <f>AND(Bills!#REF!,"AAAAAHa7/bA=")</f>
        <v>#REF!</v>
      </c>
      <c r="FV207" t="e">
        <f>AND(Bills!#REF!,"AAAAAHa7/bE=")</f>
        <v>#REF!</v>
      </c>
      <c r="FW207" t="e">
        <f>AND(Bills!#REF!,"AAAAAHa7/bI=")</f>
        <v>#REF!</v>
      </c>
      <c r="FX207" t="e">
        <f>AND(Bills!#REF!,"AAAAAHa7/bM=")</f>
        <v>#REF!</v>
      </c>
      <c r="FY207" t="e">
        <f>AND(Bills!#REF!,"AAAAAHa7/bQ=")</f>
        <v>#REF!</v>
      </c>
      <c r="FZ207" t="e">
        <f>AND(Bills!#REF!,"AAAAAHa7/bU=")</f>
        <v>#REF!</v>
      </c>
      <c r="GA207" t="e">
        <f>AND(Bills!Y808,"AAAAAHa7/bY=")</f>
        <v>#VALUE!</v>
      </c>
      <c r="GB207" t="e">
        <f>AND(Bills!Z808,"AAAAAHa7/bc=")</f>
        <v>#VALUE!</v>
      </c>
      <c r="GC207" t="e">
        <f>AND(Bills!#REF!,"AAAAAHa7/bg=")</f>
        <v>#REF!</v>
      </c>
      <c r="GD207" t="e">
        <f>AND(Bills!#REF!,"AAAAAHa7/bk=")</f>
        <v>#REF!</v>
      </c>
      <c r="GE207" t="e">
        <f>AND(Bills!#REF!,"AAAAAHa7/bo=")</f>
        <v>#REF!</v>
      </c>
      <c r="GF207" t="e">
        <f>AND(Bills!AA808,"AAAAAHa7/bs=")</f>
        <v>#VALUE!</v>
      </c>
      <c r="GG207" t="e">
        <f>AND(Bills!AB808,"AAAAAHa7/bw=")</f>
        <v>#VALUE!</v>
      </c>
      <c r="GH207" t="e">
        <f>AND(Bills!#REF!,"AAAAAHa7/b0=")</f>
        <v>#REF!</v>
      </c>
      <c r="GI207">
        <f>IF(Bills!809:809,"AAAAAHa7/b4=",0)</f>
        <v>0</v>
      </c>
      <c r="GJ207" t="e">
        <f>AND(Bills!B809,"AAAAAHa7/b8=")</f>
        <v>#VALUE!</v>
      </c>
      <c r="GK207" t="e">
        <f>AND(Bills!#REF!,"AAAAAHa7/cA=")</f>
        <v>#REF!</v>
      </c>
      <c r="GL207" t="e">
        <f>AND(Bills!C809,"AAAAAHa7/cE=")</f>
        <v>#VALUE!</v>
      </c>
      <c r="GM207" t="e">
        <f>AND(Bills!#REF!,"AAAAAHa7/cI=")</f>
        <v>#REF!</v>
      </c>
      <c r="GN207" t="e">
        <f>AND(Bills!#REF!,"AAAAAHa7/cM=")</f>
        <v>#REF!</v>
      </c>
      <c r="GO207" t="e">
        <f>AND(Bills!#REF!,"AAAAAHa7/cQ=")</f>
        <v>#REF!</v>
      </c>
      <c r="GP207" t="e">
        <f>AND(Bills!#REF!,"AAAAAHa7/cU=")</f>
        <v>#REF!</v>
      </c>
      <c r="GQ207" t="e">
        <f>AND(Bills!#REF!,"AAAAAHa7/cY=")</f>
        <v>#REF!</v>
      </c>
      <c r="GR207" t="e">
        <f>AND(Bills!D809,"AAAAAHa7/cc=")</f>
        <v>#VALUE!</v>
      </c>
      <c r="GS207" t="e">
        <f>AND(Bills!#REF!,"AAAAAHa7/cg=")</f>
        <v>#REF!</v>
      </c>
      <c r="GT207" t="e">
        <f>AND(Bills!E809,"AAAAAHa7/ck=")</f>
        <v>#VALUE!</v>
      </c>
      <c r="GU207" t="e">
        <f>AND(Bills!F809,"AAAAAHa7/co=")</f>
        <v>#VALUE!</v>
      </c>
      <c r="GV207" t="e">
        <f>AND(Bills!G809,"AAAAAHa7/cs=")</f>
        <v>#VALUE!</v>
      </c>
      <c r="GW207" t="e">
        <f>AND(Bills!H809,"AAAAAHa7/cw=")</f>
        <v>#VALUE!</v>
      </c>
      <c r="GX207" t="e">
        <f>AND(Bills!I809,"AAAAAHa7/c0=")</f>
        <v>#VALUE!</v>
      </c>
      <c r="GY207" t="e">
        <f>AND(Bills!J809,"AAAAAHa7/c4=")</f>
        <v>#VALUE!</v>
      </c>
      <c r="GZ207" t="e">
        <f>AND(Bills!#REF!,"AAAAAHa7/c8=")</f>
        <v>#REF!</v>
      </c>
      <c r="HA207" t="e">
        <f>AND(Bills!K809,"AAAAAHa7/dA=")</f>
        <v>#VALUE!</v>
      </c>
      <c r="HB207" t="e">
        <f>AND(Bills!L809,"AAAAAHa7/dE=")</f>
        <v>#VALUE!</v>
      </c>
      <c r="HC207" t="e">
        <f>AND(Bills!M809,"AAAAAHa7/dI=")</f>
        <v>#VALUE!</v>
      </c>
      <c r="HD207" t="e">
        <f>AND(Bills!N809,"AAAAAHa7/dM=")</f>
        <v>#VALUE!</v>
      </c>
      <c r="HE207" t="e">
        <f>AND(Bills!O809,"AAAAAHa7/dQ=")</f>
        <v>#VALUE!</v>
      </c>
      <c r="HF207" t="e">
        <f>AND(Bills!P809,"AAAAAHa7/dU=")</f>
        <v>#VALUE!</v>
      </c>
      <c r="HG207" t="e">
        <f>AND(Bills!Q809,"AAAAAHa7/dY=")</f>
        <v>#VALUE!</v>
      </c>
      <c r="HH207" t="e">
        <f>AND(Bills!R809,"AAAAAHa7/dc=")</f>
        <v>#VALUE!</v>
      </c>
      <c r="HI207" t="e">
        <f>AND(Bills!#REF!,"AAAAAHa7/dg=")</f>
        <v>#REF!</v>
      </c>
      <c r="HJ207" t="e">
        <f>AND(Bills!S809,"AAAAAHa7/dk=")</f>
        <v>#VALUE!</v>
      </c>
      <c r="HK207" t="e">
        <f>AND(Bills!T809,"AAAAAHa7/do=")</f>
        <v>#VALUE!</v>
      </c>
      <c r="HL207" t="e">
        <f>AND(Bills!U809,"AAAAAHa7/ds=")</f>
        <v>#VALUE!</v>
      </c>
      <c r="HM207" t="e">
        <f>AND(Bills!#REF!,"AAAAAHa7/dw=")</f>
        <v>#REF!</v>
      </c>
      <c r="HN207" t="e">
        <f>AND(Bills!#REF!,"AAAAAHa7/d0=")</f>
        <v>#REF!</v>
      </c>
      <c r="HO207" t="e">
        <f>AND(Bills!W809,"AAAAAHa7/d4=")</f>
        <v>#VALUE!</v>
      </c>
      <c r="HP207" t="e">
        <f>AND(Bills!X809,"AAAAAHa7/d8=")</f>
        <v>#VALUE!</v>
      </c>
      <c r="HQ207" t="e">
        <f>AND(Bills!#REF!,"AAAAAHa7/eA=")</f>
        <v>#REF!</v>
      </c>
      <c r="HR207" t="e">
        <f>AND(Bills!#REF!,"AAAAAHa7/eE=")</f>
        <v>#REF!</v>
      </c>
      <c r="HS207" t="e">
        <f>AND(Bills!#REF!,"AAAAAHa7/eI=")</f>
        <v>#REF!</v>
      </c>
      <c r="HT207" t="e">
        <f>AND(Bills!#REF!,"AAAAAHa7/eM=")</f>
        <v>#REF!</v>
      </c>
      <c r="HU207" t="e">
        <f>AND(Bills!#REF!,"AAAAAHa7/eQ=")</f>
        <v>#REF!</v>
      </c>
      <c r="HV207" t="e">
        <f>AND(Bills!#REF!,"AAAAAHa7/eU=")</f>
        <v>#REF!</v>
      </c>
      <c r="HW207" t="e">
        <f>AND(Bills!#REF!,"AAAAAHa7/eY=")</f>
        <v>#REF!</v>
      </c>
      <c r="HX207" t="e">
        <f>AND(Bills!#REF!,"AAAAAHa7/ec=")</f>
        <v>#REF!</v>
      </c>
      <c r="HY207" t="e">
        <f>AND(Bills!#REF!,"AAAAAHa7/eg=")</f>
        <v>#REF!</v>
      </c>
      <c r="HZ207" t="e">
        <f>AND(Bills!Y809,"AAAAAHa7/ek=")</f>
        <v>#VALUE!</v>
      </c>
      <c r="IA207" t="e">
        <f>AND(Bills!Z809,"AAAAAHa7/eo=")</f>
        <v>#VALUE!</v>
      </c>
      <c r="IB207" t="e">
        <f>AND(Bills!#REF!,"AAAAAHa7/es=")</f>
        <v>#REF!</v>
      </c>
      <c r="IC207" t="e">
        <f>AND(Bills!#REF!,"AAAAAHa7/ew=")</f>
        <v>#REF!</v>
      </c>
      <c r="ID207" t="e">
        <f>AND(Bills!#REF!,"AAAAAHa7/e0=")</f>
        <v>#REF!</v>
      </c>
      <c r="IE207" t="e">
        <f>AND(Bills!AA809,"AAAAAHa7/e4=")</f>
        <v>#VALUE!</v>
      </c>
      <c r="IF207" t="e">
        <f>AND(Bills!AB809,"AAAAAHa7/e8=")</f>
        <v>#VALUE!</v>
      </c>
      <c r="IG207" t="e">
        <f>AND(Bills!#REF!,"AAAAAHa7/fA=")</f>
        <v>#REF!</v>
      </c>
      <c r="IH207">
        <f>IF(Bills!810:810,"AAAAAHa7/fE=",0)</f>
        <v>0</v>
      </c>
      <c r="II207" t="e">
        <f>AND(Bills!B810,"AAAAAHa7/fI=")</f>
        <v>#VALUE!</v>
      </c>
      <c r="IJ207" t="e">
        <f>AND(Bills!#REF!,"AAAAAHa7/fM=")</f>
        <v>#REF!</v>
      </c>
      <c r="IK207" t="e">
        <f>AND(Bills!C810,"AAAAAHa7/fQ=")</f>
        <v>#VALUE!</v>
      </c>
      <c r="IL207" t="e">
        <f>AND(Bills!#REF!,"AAAAAHa7/fU=")</f>
        <v>#REF!</v>
      </c>
      <c r="IM207" t="e">
        <f>AND(Bills!#REF!,"AAAAAHa7/fY=")</f>
        <v>#REF!</v>
      </c>
      <c r="IN207" t="e">
        <f>AND(Bills!#REF!,"AAAAAHa7/fc=")</f>
        <v>#REF!</v>
      </c>
      <c r="IO207" t="e">
        <f>AND(Bills!#REF!,"AAAAAHa7/fg=")</f>
        <v>#REF!</v>
      </c>
      <c r="IP207" t="e">
        <f>AND(Bills!#REF!,"AAAAAHa7/fk=")</f>
        <v>#REF!</v>
      </c>
      <c r="IQ207" t="e">
        <f>AND(Bills!D810,"AAAAAHa7/fo=")</f>
        <v>#VALUE!</v>
      </c>
      <c r="IR207" t="e">
        <f>AND(Bills!#REF!,"AAAAAHa7/fs=")</f>
        <v>#REF!</v>
      </c>
      <c r="IS207" t="e">
        <f>AND(Bills!E810,"AAAAAHa7/fw=")</f>
        <v>#VALUE!</v>
      </c>
      <c r="IT207" t="e">
        <f>AND(Bills!F810,"AAAAAHa7/f0=")</f>
        <v>#VALUE!</v>
      </c>
      <c r="IU207" t="e">
        <f>AND(Bills!G810,"AAAAAHa7/f4=")</f>
        <v>#VALUE!</v>
      </c>
      <c r="IV207" t="e">
        <f>AND(Bills!H810,"AAAAAHa7/f8=")</f>
        <v>#VALUE!</v>
      </c>
    </row>
    <row r="208" spans="1:256">
      <c r="A208" t="e">
        <f>AND(Bills!I810,"AAAAAE+ztQA=")</f>
        <v>#VALUE!</v>
      </c>
      <c r="B208" t="e">
        <f>AND(Bills!J810,"AAAAAE+ztQE=")</f>
        <v>#VALUE!</v>
      </c>
      <c r="C208" t="e">
        <f>AND(Bills!#REF!,"AAAAAE+ztQI=")</f>
        <v>#REF!</v>
      </c>
      <c r="D208" t="e">
        <f>AND(Bills!K810,"AAAAAE+ztQM=")</f>
        <v>#VALUE!</v>
      </c>
      <c r="E208" t="e">
        <f>AND(Bills!L810,"AAAAAE+ztQQ=")</f>
        <v>#VALUE!</v>
      </c>
      <c r="F208" t="e">
        <f>AND(Bills!M810,"AAAAAE+ztQU=")</f>
        <v>#VALUE!</v>
      </c>
      <c r="G208" t="e">
        <f>AND(Bills!N810,"AAAAAE+ztQY=")</f>
        <v>#VALUE!</v>
      </c>
      <c r="H208" t="e">
        <f>AND(Bills!O810,"AAAAAE+ztQc=")</f>
        <v>#VALUE!</v>
      </c>
      <c r="I208" t="e">
        <f>AND(Bills!P810,"AAAAAE+ztQg=")</f>
        <v>#VALUE!</v>
      </c>
      <c r="J208" t="e">
        <f>AND(Bills!Q810,"AAAAAE+ztQk=")</f>
        <v>#VALUE!</v>
      </c>
      <c r="K208" t="e">
        <f>AND(Bills!R810,"AAAAAE+ztQo=")</f>
        <v>#VALUE!</v>
      </c>
      <c r="L208" t="e">
        <f>AND(Bills!#REF!,"AAAAAE+ztQs=")</f>
        <v>#REF!</v>
      </c>
      <c r="M208" t="e">
        <f>AND(Bills!S810,"AAAAAE+ztQw=")</f>
        <v>#VALUE!</v>
      </c>
      <c r="N208" t="e">
        <f>AND(Bills!T810,"AAAAAE+ztQ0=")</f>
        <v>#VALUE!</v>
      </c>
      <c r="O208" t="e">
        <f>AND(Bills!U810,"AAAAAE+ztQ4=")</f>
        <v>#VALUE!</v>
      </c>
      <c r="P208" t="e">
        <f>AND(Bills!#REF!,"AAAAAE+ztQ8=")</f>
        <v>#REF!</v>
      </c>
      <c r="Q208" t="e">
        <f>AND(Bills!#REF!,"AAAAAE+ztRA=")</f>
        <v>#REF!</v>
      </c>
      <c r="R208" t="e">
        <f>AND(Bills!W810,"AAAAAE+ztRE=")</f>
        <v>#VALUE!</v>
      </c>
      <c r="S208" t="e">
        <f>AND(Bills!X810,"AAAAAE+ztRI=")</f>
        <v>#VALUE!</v>
      </c>
      <c r="T208" t="e">
        <f>AND(Bills!#REF!,"AAAAAE+ztRM=")</f>
        <v>#REF!</v>
      </c>
      <c r="U208" t="e">
        <f>AND(Bills!#REF!,"AAAAAE+ztRQ=")</f>
        <v>#REF!</v>
      </c>
      <c r="V208" t="e">
        <f>AND(Bills!#REF!,"AAAAAE+ztRU=")</f>
        <v>#REF!</v>
      </c>
      <c r="W208" t="e">
        <f>AND(Bills!#REF!,"AAAAAE+ztRY=")</f>
        <v>#REF!</v>
      </c>
      <c r="X208" t="e">
        <f>AND(Bills!#REF!,"AAAAAE+ztRc=")</f>
        <v>#REF!</v>
      </c>
      <c r="Y208" t="e">
        <f>AND(Bills!#REF!,"AAAAAE+ztRg=")</f>
        <v>#REF!</v>
      </c>
      <c r="Z208" t="e">
        <f>AND(Bills!#REF!,"AAAAAE+ztRk=")</f>
        <v>#REF!</v>
      </c>
      <c r="AA208" t="e">
        <f>AND(Bills!#REF!,"AAAAAE+ztRo=")</f>
        <v>#REF!</v>
      </c>
      <c r="AB208" t="e">
        <f>AND(Bills!#REF!,"AAAAAE+ztRs=")</f>
        <v>#REF!</v>
      </c>
      <c r="AC208" t="e">
        <f>AND(Bills!Y810,"AAAAAE+ztRw=")</f>
        <v>#VALUE!</v>
      </c>
      <c r="AD208" t="e">
        <f>AND(Bills!Z810,"AAAAAE+ztR0=")</f>
        <v>#VALUE!</v>
      </c>
      <c r="AE208" t="e">
        <f>AND(Bills!#REF!,"AAAAAE+ztR4=")</f>
        <v>#REF!</v>
      </c>
      <c r="AF208" t="e">
        <f>AND(Bills!#REF!,"AAAAAE+ztR8=")</f>
        <v>#REF!</v>
      </c>
      <c r="AG208" t="e">
        <f>AND(Bills!#REF!,"AAAAAE+ztSA=")</f>
        <v>#REF!</v>
      </c>
      <c r="AH208" t="e">
        <f>AND(Bills!AA810,"AAAAAE+ztSE=")</f>
        <v>#VALUE!</v>
      </c>
      <c r="AI208" t="e">
        <f>AND(Bills!AB810,"AAAAAE+ztSI=")</f>
        <v>#VALUE!</v>
      </c>
      <c r="AJ208" t="e">
        <f>AND(Bills!#REF!,"AAAAAE+ztSM=")</f>
        <v>#REF!</v>
      </c>
      <c r="AK208">
        <f>IF(Bills!811:811,"AAAAAE+ztSQ=",0)</f>
        <v>0</v>
      </c>
      <c r="AL208" t="e">
        <f>AND(Bills!B811,"AAAAAE+ztSU=")</f>
        <v>#VALUE!</v>
      </c>
      <c r="AM208" t="e">
        <f>AND(Bills!#REF!,"AAAAAE+ztSY=")</f>
        <v>#REF!</v>
      </c>
      <c r="AN208" t="e">
        <f>AND(Bills!C811,"AAAAAE+ztSc=")</f>
        <v>#VALUE!</v>
      </c>
      <c r="AO208" t="e">
        <f>AND(Bills!#REF!,"AAAAAE+ztSg=")</f>
        <v>#REF!</v>
      </c>
      <c r="AP208" t="e">
        <f>AND(Bills!#REF!,"AAAAAE+ztSk=")</f>
        <v>#REF!</v>
      </c>
      <c r="AQ208" t="e">
        <f>AND(Bills!#REF!,"AAAAAE+ztSo=")</f>
        <v>#REF!</v>
      </c>
      <c r="AR208" t="e">
        <f>AND(Bills!#REF!,"AAAAAE+ztSs=")</f>
        <v>#REF!</v>
      </c>
      <c r="AS208" t="e">
        <f>AND(Bills!#REF!,"AAAAAE+ztSw=")</f>
        <v>#REF!</v>
      </c>
      <c r="AT208" t="e">
        <f>AND(Bills!D811,"AAAAAE+ztS0=")</f>
        <v>#VALUE!</v>
      </c>
      <c r="AU208" t="e">
        <f>AND(Bills!#REF!,"AAAAAE+ztS4=")</f>
        <v>#REF!</v>
      </c>
      <c r="AV208" t="e">
        <f>AND(Bills!E811,"AAAAAE+ztS8=")</f>
        <v>#VALUE!</v>
      </c>
      <c r="AW208" t="e">
        <f>AND(Bills!F811,"AAAAAE+ztTA=")</f>
        <v>#VALUE!</v>
      </c>
      <c r="AX208" t="e">
        <f>AND(Bills!G811,"AAAAAE+ztTE=")</f>
        <v>#VALUE!</v>
      </c>
      <c r="AY208" t="e">
        <f>AND(Bills!H811,"AAAAAE+ztTI=")</f>
        <v>#VALUE!</v>
      </c>
      <c r="AZ208" t="e">
        <f>AND(Bills!I811,"AAAAAE+ztTM=")</f>
        <v>#VALUE!</v>
      </c>
      <c r="BA208" t="e">
        <f>AND(Bills!J811,"AAAAAE+ztTQ=")</f>
        <v>#VALUE!</v>
      </c>
      <c r="BB208" t="e">
        <f>AND(Bills!#REF!,"AAAAAE+ztTU=")</f>
        <v>#REF!</v>
      </c>
      <c r="BC208" t="e">
        <f>AND(Bills!K811,"AAAAAE+ztTY=")</f>
        <v>#VALUE!</v>
      </c>
      <c r="BD208" t="e">
        <f>AND(Bills!L811,"AAAAAE+ztTc=")</f>
        <v>#VALUE!</v>
      </c>
      <c r="BE208" t="e">
        <f>AND(Bills!M811,"AAAAAE+ztTg=")</f>
        <v>#VALUE!</v>
      </c>
      <c r="BF208" t="e">
        <f>AND(Bills!N811,"AAAAAE+ztTk=")</f>
        <v>#VALUE!</v>
      </c>
      <c r="BG208" t="e">
        <f>AND(Bills!O811,"AAAAAE+ztTo=")</f>
        <v>#VALUE!</v>
      </c>
      <c r="BH208" t="e">
        <f>AND(Bills!P811,"AAAAAE+ztTs=")</f>
        <v>#VALUE!</v>
      </c>
      <c r="BI208" t="e">
        <f>AND(Bills!Q811,"AAAAAE+ztTw=")</f>
        <v>#VALUE!</v>
      </c>
      <c r="BJ208" t="e">
        <f>AND(Bills!R811,"AAAAAE+ztT0=")</f>
        <v>#VALUE!</v>
      </c>
      <c r="BK208" t="e">
        <f>AND(Bills!#REF!,"AAAAAE+ztT4=")</f>
        <v>#REF!</v>
      </c>
      <c r="BL208" t="e">
        <f>AND(Bills!S811,"AAAAAE+ztT8=")</f>
        <v>#VALUE!</v>
      </c>
      <c r="BM208" t="e">
        <f>AND(Bills!T811,"AAAAAE+ztUA=")</f>
        <v>#VALUE!</v>
      </c>
      <c r="BN208" t="e">
        <f>AND(Bills!U811,"AAAAAE+ztUE=")</f>
        <v>#VALUE!</v>
      </c>
      <c r="BO208" t="e">
        <f>AND(Bills!#REF!,"AAAAAE+ztUI=")</f>
        <v>#REF!</v>
      </c>
      <c r="BP208" t="e">
        <f>AND(Bills!#REF!,"AAAAAE+ztUM=")</f>
        <v>#REF!</v>
      </c>
      <c r="BQ208" t="e">
        <f>AND(Bills!W811,"AAAAAE+ztUQ=")</f>
        <v>#VALUE!</v>
      </c>
      <c r="BR208" t="e">
        <f>AND(Bills!X811,"AAAAAE+ztUU=")</f>
        <v>#VALUE!</v>
      </c>
      <c r="BS208" t="e">
        <f>AND(Bills!#REF!,"AAAAAE+ztUY=")</f>
        <v>#REF!</v>
      </c>
      <c r="BT208" t="e">
        <f>AND(Bills!#REF!,"AAAAAE+ztUc=")</f>
        <v>#REF!</v>
      </c>
      <c r="BU208" t="e">
        <f>AND(Bills!#REF!,"AAAAAE+ztUg=")</f>
        <v>#REF!</v>
      </c>
      <c r="BV208" t="e">
        <f>AND(Bills!#REF!,"AAAAAE+ztUk=")</f>
        <v>#REF!</v>
      </c>
      <c r="BW208" t="e">
        <f>AND(Bills!#REF!,"AAAAAE+ztUo=")</f>
        <v>#REF!</v>
      </c>
      <c r="BX208" t="e">
        <f>AND(Bills!#REF!,"AAAAAE+ztUs=")</f>
        <v>#REF!</v>
      </c>
      <c r="BY208" t="e">
        <f>AND(Bills!#REF!,"AAAAAE+ztUw=")</f>
        <v>#REF!</v>
      </c>
      <c r="BZ208" t="e">
        <f>AND(Bills!#REF!,"AAAAAE+ztU0=")</f>
        <v>#REF!</v>
      </c>
      <c r="CA208" t="e">
        <f>AND(Bills!#REF!,"AAAAAE+ztU4=")</f>
        <v>#REF!</v>
      </c>
      <c r="CB208" t="e">
        <f>AND(Bills!Y811,"AAAAAE+ztU8=")</f>
        <v>#VALUE!</v>
      </c>
      <c r="CC208" t="e">
        <f>AND(Bills!Z811,"AAAAAE+ztVA=")</f>
        <v>#VALUE!</v>
      </c>
      <c r="CD208" t="e">
        <f>AND(Bills!#REF!,"AAAAAE+ztVE=")</f>
        <v>#REF!</v>
      </c>
      <c r="CE208" t="e">
        <f>AND(Bills!#REF!,"AAAAAE+ztVI=")</f>
        <v>#REF!</v>
      </c>
      <c r="CF208" t="e">
        <f>AND(Bills!#REF!,"AAAAAE+ztVM=")</f>
        <v>#REF!</v>
      </c>
      <c r="CG208" t="e">
        <f>AND(Bills!AA811,"AAAAAE+ztVQ=")</f>
        <v>#VALUE!</v>
      </c>
      <c r="CH208" t="e">
        <f>AND(Bills!AB811,"AAAAAE+ztVU=")</f>
        <v>#VALUE!</v>
      </c>
      <c r="CI208" t="e">
        <f>AND(Bills!#REF!,"AAAAAE+ztVY=")</f>
        <v>#REF!</v>
      </c>
      <c r="CJ208">
        <f>IF(Bills!812:812,"AAAAAE+ztVc=",0)</f>
        <v>0</v>
      </c>
      <c r="CK208" t="e">
        <f>AND(Bills!B812,"AAAAAE+ztVg=")</f>
        <v>#VALUE!</v>
      </c>
      <c r="CL208" t="e">
        <f>AND(Bills!#REF!,"AAAAAE+ztVk=")</f>
        <v>#REF!</v>
      </c>
      <c r="CM208" t="e">
        <f>AND(Bills!C812,"AAAAAE+ztVo=")</f>
        <v>#VALUE!</v>
      </c>
      <c r="CN208" t="e">
        <f>AND(Bills!#REF!,"AAAAAE+ztVs=")</f>
        <v>#REF!</v>
      </c>
      <c r="CO208" t="e">
        <f>AND(Bills!#REF!,"AAAAAE+ztVw=")</f>
        <v>#REF!</v>
      </c>
      <c r="CP208" t="e">
        <f>AND(Bills!#REF!,"AAAAAE+ztV0=")</f>
        <v>#REF!</v>
      </c>
      <c r="CQ208" t="e">
        <f>AND(Bills!#REF!,"AAAAAE+ztV4=")</f>
        <v>#REF!</v>
      </c>
      <c r="CR208" t="e">
        <f>AND(Bills!#REF!,"AAAAAE+ztV8=")</f>
        <v>#REF!</v>
      </c>
      <c r="CS208" t="e">
        <f>AND(Bills!D812,"AAAAAE+ztWA=")</f>
        <v>#VALUE!</v>
      </c>
      <c r="CT208" t="e">
        <f>AND(Bills!#REF!,"AAAAAE+ztWE=")</f>
        <v>#REF!</v>
      </c>
      <c r="CU208" t="e">
        <f>AND(Bills!E812,"AAAAAE+ztWI=")</f>
        <v>#VALUE!</v>
      </c>
      <c r="CV208" t="e">
        <f>AND(Bills!F812,"AAAAAE+ztWM=")</f>
        <v>#VALUE!</v>
      </c>
      <c r="CW208" t="e">
        <f>AND(Bills!G812,"AAAAAE+ztWQ=")</f>
        <v>#VALUE!</v>
      </c>
      <c r="CX208" t="e">
        <f>AND(Bills!H812,"AAAAAE+ztWU=")</f>
        <v>#VALUE!</v>
      </c>
      <c r="CY208" t="e">
        <f>AND(Bills!I812,"AAAAAE+ztWY=")</f>
        <v>#VALUE!</v>
      </c>
      <c r="CZ208" t="e">
        <f>AND(Bills!J812,"AAAAAE+ztWc=")</f>
        <v>#VALUE!</v>
      </c>
      <c r="DA208" t="e">
        <f>AND(Bills!#REF!,"AAAAAE+ztWg=")</f>
        <v>#REF!</v>
      </c>
      <c r="DB208" t="e">
        <f>AND(Bills!K812,"AAAAAE+ztWk=")</f>
        <v>#VALUE!</v>
      </c>
      <c r="DC208" t="e">
        <f>AND(Bills!L812,"AAAAAE+ztWo=")</f>
        <v>#VALUE!</v>
      </c>
      <c r="DD208" t="e">
        <f>AND(Bills!M812,"AAAAAE+ztWs=")</f>
        <v>#VALUE!</v>
      </c>
      <c r="DE208" t="e">
        <f>AND(Bills!N812,"AAAAAE+ztWw=")</f>
        <v>#VALUE!</v>
      </c>
      <c r="DF208" t="e">
        <f>AND(Bills!O812,"AAAAAE+ztW0=")</f>
        <v>#VALUE!</v>
      </c>
      <c r="DG208" t="e">
        <f>AND(Bills!P812,"AAAAAE+ztW4=")</f>
        <v>#VALUE!</v>
      </c>
      <c r="DH208" t="e">
        <f>AND(Bills!Q812,"AAAAAE+ztW8=")</f>
        <v>#VALUE!</v>
      </c>
      <c r="DI208" t="e">
        <f>AND(Bills!R812,"AAAAAE+ztXA=")</f>
        <v>#VALUE!</v>
      </c>
      <c r="DJ208" t="e">
        <f>AND(Bills!#REF!,"AAAAAE+ztXE=")</f>
        <v>#REF!</v>
      </c>
      <c r="DK208" t="e">
        <f>AND(Bills!S812,"AAAAAE+ztXI=")</f>
        <v>#VALUE!</v>
      </c>
      <c r="DL208" t="e">
        <f>AND(Bills!T812,"AAAAAE+ztXM=")</f>
        <v>#VALUE!</v>
      </c>
      <c r="DM208" t="e">
        <f>AND(Bills!U812,"AAAAAE+ztXQ=")</f>
        <v>#VALUE!</v>
      </c>
      <c r="DN208" t="e">
        <f>AND(Bills!#REF!,"AAAAAE+ztXU=")</f>
        <v>#REF!</v>
      </c>
      <c r="DO208" t="e">
        <f>AND(Bills!#REF!,"AAAAAE+ztXY=")</f>
        <v>#REF!</v>
      </c>
      <c r="DP208" t="e">
        <f>AND(Bills!W812,"AAAAAE+ztXc=")</f>
        <v>#VALUE!</v>
      </c>
      <c r="DQ208" t="e">
        <f>AND(Bills!X812,"AAAAAE+ztXg=")</f>
        <v>#VALUE!</v>
      </c>
      <c r="DR208" t="e">
        <f>AND(Bills!#REF!,"AAAAAE+ztXk=")</f>
        <v>#REF!</v>
      </c>
      <c r="DS208" t="e">
        <f>AND(Bills!#REF!,"AAAAAE+ztXo=")</f>
        <v>#REF!</v>
      </c>
      <c r="DT208" t="e">
        <f>AND(Bills!#REF!,"AAAAAE+ztXs=")</f>
        <v>#REF!</v>
      </c>
      <c r="DU208" t="e">
        <f>AND(Bills!#REF!,"AAAAAE+ztXw=")</f>
        <v>#REF!</v>
      </c>
      <c r="DV208" t="e">
        <f>AND(Bills!#REF!,"AAAAAE+ztX0=")</f>
        <v>#REF!</v>
      </c>
      <c r="DW208" t="e">
        <f>AND(Bills!#REF!,"AAAAAE+ztX4=")</f>
        <v>#REF!</v>
      </c>
      <c r="DX208" t="e">
        <f>AND(Bills!#REF!,"AAAAAE+ztX8=")</f>
        <v>#REF!</v>
      </c>
      <c r="DY208" t="e">
        <f>AND(Bills!#REF!,"AAAAAE+ztYA=")</f>
        <v>#REF!</v>
      </c>
      <c r="DZ208" t="e">
        <f>AND(Bills!#REF!,"AAAAAE+ztYE=")</f>
        <v>#REF!</v>
      </c>
      <c r="EA208" t="e">
        <f>AND(Bills!Y812,"AAAAAE+ztYI=")</f>
        <v>#VALUE!</v>
      </c>
      <c r="EB208" t="e">
        <f>AND(Bills!Z812,"AAAAAE+ztYM=")</f>
        <v>#VALUE!</v>
      </c>
      <c r="EC208" t="e">
        <f>AND(Bills!#REF!,"AAAAAE+ztYQ=")</f>
        <v>#REF!</v>
      </c>
      <c r="ED208" t="e">
        <f>AND(Bills!#REF!,"AAAAAE+ztYU=")</f>
        <v>#REF!</v>
      </c>
      <c r="EE208" t="e">
        <f>AND(Bills!#REF!,"AAAAAE+ztYY=")</f>
        <v>#REF!</v>
      </c>
      <c r="EF208" t="e">
        <f>AND(Bills!AA812,"AAAAAE+ztYc=")</f>
        <v>#VALUE!</v>
      </c>
      <c r="EG208" t="e">
        <f>AND(Bills!AB812,"AAAAAE+ztYg=")</f>
        <v>#VALUE!</v>
      </c>
      <c r="EH208" t="e">
        <f>AND(Bills!#REF!,"AAAAAE+ztYk=")</f>
        <v>#REF!</v>
      </c>
      <c r="EI208">
        <f>IF(Bills!813:813,"AAAAAE+ztYo=",0)</f>
        <v>0</v>
      </c>
      <c r="EJ208" t="e">
        <f>AND(Bills!B813,"AAAAAE+ztYs=")</f>
        <v>#VALUE!</v>
      </c>
      <c r="EK208" t="e">
        <f>AND(Bills!#REF!,"AAAAAE+ztYw=")</f>
        <v>#REF!</v>
      </c>
      <c r="EL208" t="e">
        <f>AND(Bills!C813,"AAAAAE+ztY0=")</f>
        <v>#VALUE!</v>
      </c>
      <c r="EM208" t="e">
        <f>AND(Bills!#REF!,"AAAAAE+ztY4=")</f>
        <v>#REF!</v>
      </c>
      <c r="EN208" t="e">
        <f>AND(Bills!#REF!,"AAAAAE+ztY8=")</f>
        <v>#REF!</v>
      </c>
      <c r="EO208" t="e">
        <f>AND(Bills!#REF!,"AAAAAE+ztZA=")</f>
        <v>#REF!</v>
      </c>
      <c r="EP208" t="e">
        <f>AND(Bills!#REF!,"AAAAAE+ztZE=")</f>
        <v>#REF!</v>
      </c>
      <c r="EQ208" t="e">
        <f>AND(Bills!#REF!,"AAAAAE+ztZI=")</f>
        <v>#REF!</v>
      </c>
      <c r="ER208" t="e">
        <f>AND(Bills!D813,"AAAAAE+ztZM=")</f>
        <v>#VALUE!</v>
      </c>
      <c r="ES208" t="e">
        <f>AND(Bills!#REF!,"AAAAAE+ztZQ=")</f>
        <v>#REF!</v>
      </c>
      <c r="ET208" t="e">
        <f>AND(Bills!E813,"AAAAAE+ztZU=")</f>
        <v>#VALUE!</v>
      </c>
      <c r="EU208" t="e">
        <f>AND(Bills!F813,"AAAAAE+ztZY=")</f>
        <v>#VALUE!</v>
      </c>
      <c r="EV208" t="e">
        <f>AND(Bills!G813,"AAAAAE+ztZc=")</f>
        <v>#VALUE!</v>
      </c>
      <c r="EW208" t="e">
        <f>AND(Bills!H813,"AAAAAE+ztZg=")</f>
        <v>#VALUE!</v>
      </c>
      <c r="EX208" t="e">
        <f>AND(Bills!I813,"AAAAAE+ztZk=")</f>
        <v>#VALUE!</v>
      </c>
      <c r="EY208" t="e">
        <f>AND(Bills!J813,"AAAAAE+ztZo=")</f>
        <v>#VALUE!</v>
      </c>
      <c r="EZ208" t="e">
        <f>AND(Bills!#REF!,"AAAAAE+ztZs=")</f>
        <v>#REF!</v>
      </c>
      <c r="FA208" t="e">
        <f>AND(Bills!K813,"AAAAAE+ztZw=")</f>
        <v>#VALUE!</v>
      </c>
      <c r="FB208" t="e">
        <f>AND(Bills!L813,"AAAAAE+ztZ0=")</f>
        <v>#VALUE!</v>
      </c>
      <c r="FC208" t="e">
        <f>AND(Bills!M813,"AAAAAE+ztZ4=")</f>
        <v>#VALUE!</v>
      </c>
      <c r="FD208" t="e">
        <f>AND(Bills!N813,"AAAAAE+ztZ8=")</f>
        <v>#VALUE!</v>
      </c>
      <c r="FE208" t="e">
        <f>AND(Bills!O813,"AAAAAE+ztaA=")</f>
        <v>#VALUE!</v>
      </c>
      <c r="FF208" t="e">
        <f>AND(Bills!P813,"AAAAAE+ztaE=")</f>
        <v>#VALUE!</v>
      </c>
      <c r="FG208" t="e">
        <f>AND(Bills!Q813,"AAAAAE+ztaI=")</f>
        <v>#VALUE!</v>
      </c>
      <c r="FH208" t="e">
        <f>AND(Bills!R813,"AAAAAE+ztaM=")</f>
        <v>#VALUE!</v>
      </c>
      <c r="FI208" t="e">
        <f>AND(Bills!#REF!,"AAAAAE+ztaQ=")</f>
        <v>#REF!</v>
      </c>
      <c r="FJ208" t="e">
        <f>AND(Bills!S813,"AAAAAE+ztaU=")</f>
        <v>#VALUE!</v>
      </c>
      <c r="FK208" t="e">
        <f>AND(Bills!T813,"AAAAAE+ztaY=")</f>
        <v>#VALUE!</v>
      </c>
      <c r="FL208" t="e">
        <f>AND(Bills!U813,"AAAAAE+ztac=")</f>
        <v>#VALUE!</v>
      </c>
      <c r="FM208" t="e">
        <f>AND(Bills!#REF!,"AAAAAE+ztag=")</f>
        <v>#REF!</v>
      </c>
      <c r="FN208" t="e">
        <f>AND(Bills!#REF!,"AAAAAE+ztak=")</f>
        <v>#REF!</v>
      </c>
      <c r="FO208" t="e">
        <f>AND(Bills!W813,"AAAAAE+ztao=")</f>
        <v>#VALUE!</v>
      </c>
      <c r="FP208" t="e">
        <f>AND(Bills!X813,"AAAAAE+ztas=")</f>
        <v>#VALUE!</v>
      </c>
      <c r="FQ208" t="e">
        <f>AND(Bills!#REF!,"AAAAAE+ztaw=")</f>
        <v>#REF!</v>
      </c>
      <c r="FR208" t="e">
        <f>AND(Bills!#REF!,"AAAAAE+zta0=")</f>
        <v>#REF!</v>
      </c>
      <c r="FS208" t="e">
        <f>AND(Bills!#REF!,"AAAAAE+zta4=")</f>
        <v>#REF!</v>
      </c>
      <c r="FT208" t="e">
        <f>AND(Bills!#REF!,"AAAAAE+zta8=")</f>
        <v>#REF!</v>
      </c>
      <c r="FU208" t="e">
        <f>AND(Bills!#REF!,"AAAAAE+ztbA=")</f>
        <v>#REF!</v>
      </c>
      <c r="FV208" t="e">
        <f>AND(Bills!#REF!,"AAAAAE+ztbE=")</f>
        <v>#REF!</v>
      </c>
      <c r="FW208" t="e">
        <f>AND(Bills!#REF!,"AAAAAE+ztbI=")</f>
        <v>#REF!</v>
      </c>
      <c r="FX208" t="e">
        <f>AND(Bills!#REF!,"AAAAAE+ztbM=")</f>
        <v>#REF!</v>
      </c>
      <c r="FY208" t="e">
        <f>AND(Bills!#REF!,"AAAAAE+ztbQ=")</f>
        <v>#REF!</v>
      </c>
      <c r="FZ208" t="e">
        <f>AND(Bills!Y813,"AAAAAE+ztbU=")</f>
        <v>#VALUE!</v>
      </c>
      <c r="GA208" t="e">
        <f>AND(Bills!Z813,"AAAAAE+ztbY=")</f>
        <v>#VALUE!</v>
      </c>
      <c r="GB208" t="e">
        <f>AND(Bills!#REF!,"AAAAAE+ztbc=")</f>
        <v>#REF!</v>
      </c>
      <c r="GC208" t="e">
        <f>AND(Bills!#REF!,"AAAAAE+ztbg=")</f>
        <v>#REF!</v>
      </c>
      <c r="GD208" t="e">
        <f>AND(Bills!#REF!,"AAAAAE+ztbk=")</f>
        <v>#REF!</v>
      </c>
      <c r="GE208" t="e">
        <f>AND(Bills!AA813,"AAAAAE+ztbo=")</f>
        <v>#VALUE!</v>
      </c>
      <c r="GF208" t="e">
        <f>AND(Bills!AB813,"AAAAAE+ztbs=")</f>
        <v>#VALUE!</v>
      </c>
      <c r="GG208" t="e">
        <f>AND(Bills!#REF!,"AAAAAE+ztbw=")</f>
        <v>#REF!</v>
      </c>
      <c r="GH208">
        <f>IF(Bills!814:814,"AAAAAE+ztb0=",0)</f>
        <v>0</v>
      </c>
      <c r="GI208" t="e">
        <f>AND(Bills!B814,"AAAAAE+ztb4=")</f>
        <v>#VALUE!</v>
      </c>
      <c r="GJ208" t="e">
        <f>AND(Bills!#REF!,"AAAAAE+ztb8=")</f>
        <v>#REF!</v>
      </c>
      <c r="GK208" t="e">
        <f>AND(Bills!C814,"AAAAAE+ztcA=")</f>
        <v>#VALUE!</v>
      </c>
      <c r="GL208" t="e">
        <f>AND(Bills!#REF!,"AAAAAE+ztcE=")</f>
        <v>#REF!</v>
      </c>
      <c r="GM208" t="e">
        <f>AND(Bills!#REF!,"AAAAAE+ztcI=")</f>
        <v>#REF!</v>
      </c>
      <c r="GN208" t="e">
        <f>AND(Bills!#REF!,"AAAAAE+ztcM=")</f>
        <v>#REF!</v>
      </c>
      <c r="GO208" t="e">
        <f>AND(Bills!#REF!,"AAAAAE+ztcQ=")</f>
        <v>#REF!</v>
      </c>
      <c r="GP208" t="e">
        <f>AND(Bills!#REF!,"AAAAAE+ztcU=")</f>
        <v>#REF!</v>
      </c>
      <c r="GQ208" t="e">
        <f>AND(Bills!D814,"AAAAAE+ztcY=")</f>
        <v>#VALUE!</v>
      </c>
      <c r="GR208" t="e">
        <f>AND(Bills!#REF!,"AAAAAE+ztcc=")</f>
        <v>#REF!</v>
      </c>
      <c r="GS208" t="e">
        <f>AND(Bills!E814,"AAAAAE+ztcg=")</f>
        <v>#VALUE!</v>
      </c>
      <c r="GT208" t="e">
        <f>AND(Bills!F814,"AAAAAE+ztck=")</f>
        <v>#VALUE!</v>
      </c>
      <c r="GU208" t="e">
        <f>AND(Bills!G814,"AAAAAE+ztco=")</f>
        <v>#VALUE!</v>
      </c>
      <c r="GV208" t="e">
        <f>AND(Bills!H814,"AAAAAE+ztcs=")</f>
        <v>#VALUE!</v>
      </c>
      <c r="GW208" t="e">
        <f>AND(Bills!I814,"AAAAAE+ztcw=")</f>
        <v>#VALUE!</v>
      </c>
      <c r="GX208" t="e">
        <f>AND(Bills!J814,"AAAAAE+ztc0=")</f>
        <v>#VALUE!</v>
      </c>
      <c r="GY208" t="e">
        <f>AND(Bills!#REF!,"AAAAAE+ztc4=")</f>
        <v>#REF!</v>
      </c>
      <c r="GZ208" t="e">
        <f>AND(Bills!K814,"AAAAAE+ztc8=")</f>
        <v>#VALUE!</v>
      </c>
      <c r="HA208" t="e">
        <f>AND(Bills!L814,"AAAAAE+ztdA=")</f>
        <v>#VALUE!</v>
      </c>
      <c r="HB208" t="e">
        <f>AND(Bills!M814,"AAAAAE+ztdE=")</f>
        <v>#VALUE!</v>
      </c>
      <c r="HC208" t="e">
        <f>AND(Bills!N814,"AAAAAE+ztdI=")</f>
        <v>#VALUE!</v>
      </c>
      <c r="HD208" t="e">
        <f>AND(Bills!O814,"AAAAAE+ztdM=")</f>
        <v>#VALUE!</v>
      </c>
      <c r="HE208" t="e">
        <f>AND(Bills!P814,"AAAAAE+ztdQ=")</f>
        <v>#VALUE!</v>
      </c>
      <c r="HF208" t="e">
        <f>AND(Bills!Q814,"AAAAAE+ztdU=")</f>
        <v>#VALUE!</v>
      </c>
      <c r="HG208" t="e">
        <f>AND(Bills!R814,"AAAAAE+ztdY=")</f>
        <v>#VALUE!</v>
      </c>
      <c r="HH208" t="e">
        <f>AND(Bills!#REF!,"AAAAAE+ztdc=")</f>
        <v>#REF!</v>
      </c>
      <c r="HI208" t="e">
        <f>AND(Bills!S814,"AAAAAE+ztdg=")</f>
        <v>#VALUE!</v>
      </c>
      <c r="HJ208" t="e">
        <f>AND(Bills!T814,"AAAAAE+ztdk=")</f>
        <v>#VALUE!</v>
      </c>
      <c r="HK208" t="e">
        <f>AND(Bills!U814,"AAAAAE+ztdo=")</f>
        <v>#VALUE!</v>
      </c>
      <c r="HL208" t="e">
        <f>AND(Bills!#REF!,"AAAAAE+ztds=")</f>
        <v>#REF!</v>
      </c>
      <c r="HM208" t="e">
        <f>AND(Bills!#REF!,"AAAAAE+ztdw=")</f>
        <v>#REF!</v>
      </c>
      <c r="HN208" t="e">
        <f>AND(Bills!W814,"AAAAAE+ztd0=")</f>
        <v>#VALUE!</v>
      </c>
      <c r="HO208" t="e">
        <f>AND(Bills!X814,"AAAAAE+ztd4=")</f>
        <v>#VALUE!</v>
      </c>
      <c r="HP208" t="e">
        <f>AND(Bills!#REF!,"AAAAAE+ztd8=")</f>
        <v>#REF!</v>
      </c>
      <c r="HQ208" t="e">
        <f>AND(Bills!#REF!,"AAAAAE+zteA=")</f>
        <v>#REF!</v>
      </c>
      <c r="HR208" t="e">
        <f>AND(Bills!#REF!,"AAAAAE+zteE=")</f>
        <v>#REF!</v>
      </c>
      <c r="HS208" t="e">
        <f>AND(Bills!#REF!,"AAAAAE+zteI=")</f>
        <v>#REF!</v>
      </c>
      <c r="HT208" t="e">
        <f>AND(Bills!#REF!,"AAAAAE+zteM=")</f>
        <v>#REF!</v>
      </c>
      <c r="HU208" t="e">
        <f>AND(Bills!#REF!,"AAAAAE+zteQ=")</f>
        <v>#REF!</v>
      </c>
      <c r="HV208" t="e">
        <f>AND(Bills!#REF!,"AAAAAE+zteU=")</f>
        <v>#REF!</v>
      </c>
      <c r="HW208" t="e">
        <f>AND(Bills!#REF!,"AAAAAE+zteY=")</f>
        <v>#REF!</v>
      </c>
      <c r="HX208" t="e">
        <f>AND(Bills!#REF!,"AAAAAE+ztec=")</f>
        <v>#REF!</v>
      </c>
      <c r="HY208" t="e">
        <f>AND(Bills!Y814,"AAAAAE+zteg=")</f>
        <v>#VALUE!</v>
      </c>
      <c r="HZ208" t="e">
        <f>AND(Bills!Z814,"AAAAAE+ztek=")</f>
        <v>#VALUE!</v>
      </c>
      <c r="IA208" t="e">
        <f>AND(Bills!#REF!,"AAAAAE+zteo=")</f>
        <v>#REF!</v>
      </c>
      <c r="IB208" t="e">
        <f>AND(Bills!#REF!,"AAAAAE+ztes=")</f>
        <v>#REF!</v>
      </c>
      <c r="IC208" t="e">
        <f>AND(Bills!#REF!,"AAAAAE+ztew=")</f>
        <v>#REF!</v>
      </c>
      <c r="ID208" t="e">
        <f>AND(Bills!AA814,"AAAAAE+zte0=")</f>
        <v>#VALUE!</v>
      </c>
      <c r="IE208" t="e">
        <f>AND(Bills!AB814,"AAAAAE+zte4=")</f>
        <v>#VALUE!</v>
      </c>
      <c r="IF208" t="e">
        <f>AND(Bills!#REF!,"AAAAAE+zte8=")</f>
        <v>#REF!</v>
      </c>
      <c r="IG208">
        <f>IF(Bills!815:815,"AAAAAE+ztfA=",0)</f>
        <v>0</v>
      </c>
      <c r="IH208" t="e">
        <f>AND(Bills!B815,"AAAAAE+ztfE=")</f>
        <v>#VALUE!</v>
      </c>
      <c r="II208" t="e">
        <f>AND(Bills!#REF!,"AAAAAE+ztfI=")</f>
        <v>#REF!</v>
      </c>
      <c r="IJ208" t="e">
        <f>AND(Bills!C815,"AAAAAE+ztfM=")</f>
        <v>#VALUE!</v>
      </c>
      <c r="IK208" t="e">
        <f>AND(Bills!#REF!,"AAAAAE+ztfQ=")</f>
        <v>#REF!</v>
      </c>
      <c r="IL208" t="e">
        <f>AND(Bills!#REF!,"AAAAAE+ztfU=")</f>
        <v>#REF!</v>
      </c>
      <c r="IM208" t="e">
        <f>AND(Bills!#REF!,"AAAAAE+ztfY=")</f>
        <v>#REF!</v>
      </c>
      <c r="IN208" t="e">
        <f>AND(Bills!#REF!,"AAAAAE+ztfc=")</f>
        <v>#REF!</v>
      </c>
      <c r="IO208" t="e">
        <f>AND(Bills!#REF!,"AAAAAE+ztfg=")</f>
        <v>#REF!</v>
      </c>
      <c r="IP208" t="e">
        <f>AND(Bills!D815,"AAAAAE+ztfk=")</f>
        <v>#VALUE!</v>
      </c>
      <c r="IQ208" t="e">
        <f>AND(Bills!#REF!,"AAAAAE+ztfo=")</f>
        <v>#REF!</v>
      </c>
      <c r="IR208" t="e">
        <f>AND(Bills!E815,"AAAAAE+ztfs=")</f>
        <v>#VALUE!</v>
      </c>
      <c r="IS208" t="e">
        <f>AND(Bills!F815,"AAAAAE+ztfw=")</f>
        <v>#VALUE!</v>
      </c>
      <c r="IT208" t="e">
        <f>AND(Bills!G815,"AAAAAE+ztf0=")</f>
        <v>#VALUE!</v>
      </c>
      <c r="IU208" t="e">
        <f>AND(Bills!H815,"AAAAAE+ztf4=")</f>
        <v>#VALUE!</v>
      </c>
      <c r="IV208" t="e">
        <f>AND(Bills!I815,"AAAAAE+ztf8=")</f>
        <v>#VALUE!</v>
      </c>
    </row>
    <row r="209" spans="1:256">
      <c r="A209" t="e">
        <f>AND(Bills!J815,"AAAAAF3+5wA=")</f>
        <v>#VALUE!</v>
      </c>
      <c r="B209" t="e">
        <f>AND(Bills!#REF!,"AAAAAF3+5wE=")</f>
        <v>#REF!</v>
      </c>
      <c r="C209" t="e">
        <f>AND(Bills!K815,"AAAAAF3+5wI=")</f>
        <v>#VALUE!</v>
      </c>
      <c r="D209" t="e">
        <f>AND(Bills!L815,"AAAAAF3+5wM=")</f>
        <v>#VALUE!</v>
      </c>
      <c r="E209" t="e">
        <f>AND(Bills!M815,"AAAAAF3+5wQ=")</f>
        <v>#VALUE!</v>
      </c>
      <c r="F209" t="e">
        <f>AND(Bills!N815,"AAAAAF3+5wU=")</f>
        <v>#VALUE!</v>
      </c>
      <c r="G209" t="e">
        <f>AND(Bills!O815,"AAAAAF3+5wY=")</f>
        <v>#VALUE!</v>
      </c>
      <c r="H209" t="e">
        <f>AND(Bills!P815,"AAAAAF3+5wc=")</f>
        <v>#VALUE!</v>
      </c>
      <c r="I209" t="e">
        <f>AND(Bills!Q815,"AAAAAF3+5wg=")</f>
        <v>#VALUE!</v>
      </c>
      <c r="J209" t="e">
        <f>AND(Bills!R815,"AAAAAF3+5wk=")</f>
        <v>#VALUE!</v>
      </c>
      <c r="K209" t="e">
        <f>AND(Bills!#REF!,"AAAAAF3+5wo=")</f>
        <v>#REF!</v>
      </c>
      <c r="L209" t="e">
        <f>AND(Bills!S815,"AAAAAF3+5ws=")</f>
        <v>#VALUE!</v>
      </c>
      <c r="M209" t="e">
        <f>AND(Bills!T815,"AAAAAF3+5ww=")</f>
        <v>#VALUE!</v>
      </c>
      <c r="N209" t="e">
        <f>AND(Bills!U815,"AAAAAF3+5w0=")</f>
        <v>#VALUE!</v>
      </c>
      <c r="O209" t="e">
        <f>AND(Bills!#REF!,"AAAAAF3+5w4=")</f>
        <v>#REF!</v>
      </c>
      <c r="P209" t="e">
        <f>AND(Bills!#REF!,"AAAAAF3+5w8=")</f>
        <v>#REF!</v>
      </c>
      <c r="Q209" t="e">
        <f>AND(Bills!W815,"AAAAAF3+5xA=")</f>
        <v>#VALUE!</v>
      </c>
      <c r="R209" t="e">
        <f>AND(Bills!X815,"AAAAAF3+5xE=")</f>
        <v>#VALUE!</v>
      </c>
      <c r="S209" t="e">
        <f>AND(Bills!#REF!,"AAAAAF3+5xI=")</f>
        <v>#REF!</v>
      </c>
      <c r="T209" t="e">
        <f>AND(Bills!#REF!,"AAAAAF3+5xM=")</f>
        <v>#REF!</v>
      </c>
      <c r="U209" t="e">
        <f>AND(Bills!#REF!,"AAAAAF3+5xQ=")</f>
        <v>#REF!</v>
      </c>
      <c r="V209" t="e">
        <f>AND(Bills!#REF!,"AAAAAF3+5xU=")</f>
        <v>#REF!</v>
      </c>
      <c r="W209" t="e">
        <f>AND(Bills!#REF!,"AAAAAF3+5xY=")</f>
        <v>#REF!</v>
      </c>
      <c r="X209" t="e">
        <f>AND(Bills!#REF!,"AAAAAF3+5xc=")</f>
        <v>#REF!</v>
      </c>
      <c r="Y209" t="e">
        <f>AND(Bills!#REF!,"AAAAAF3+5xg=")</f>
        <v>#REF!</v>
      </c>
      <c r="Z209" t="e">
        <f>AND(Bills!#REF!,"AAAAAF3+5xk=")</f>
        <v>#REF!</v>
      </c>
      <c r="AA209" t="e">
        <f>AND(Bills!#REF!,"AAAAAF3+5xo=")</f>
        <v>#REF!</v>
      </c>
      <c r="AB209" t="e">
        <f>AND(Bills!Y815,"AAAAAF3+5xs=")</f>
        <v>#VALUE!</v>
      </c>
      <c r="AC209" t="e">
        <f>AND(Bills!Z815,"AAAAAF3+5xw=")</f>
        <v>#VALUE!</v>
      </c>
      <c r="AD209" t="e">
        <f>AND(Bills!#REF!,"AAAAAF3+5x0=")</f>
        <v>#REF!</v>
      </c>
      <c r="AE209" t="e">
        <f>AND(Bills!#REF!,"AAAAAF3+5x4=")</f>
        <v>#REF!</v>
      </c>
      <c r="AF209" t="e">
        <f>AND(Bills!#REF!,"AAAAAF3+5x8=")</f>
        <v>#REF!</v>
      </c>
      <c r="AG209" t="e">
        <f>AND(Bills!AA815,"AAAAAF3+5yA=")</f>
        <v>#VALUE!</v>
      </c>
      <c r="AH209" t="e">
        <f>AND(Bills!AB815,"AAAAAF3+5yE=")</f>
        <v>#VALUE!</v>
      </c>
      <c r="AI209" t="e">
        <f>AND(Bills!#REF!,"AAAAAF3+5yI=")</f>
        <v>#REF!</v>
      </c>
      <c r="AJ209">
        <f>IF(Bills!816:816,"AAAAAF3+5yM=",0)</f>
        <v>0</v>
      </c>
      <c r="AK209" t="e">
        <f>AND(Bills!B816,"AAAAAF3+5yQ=")</f>
        <v>#VALUE!</v>
      </c>
      <c r="AL209" t="e">
        <f>AND(Bills!#REF!,"AAAAAF3+5yU=")</f>
        <v>#REF!</v>
      </c>
      <c r="AM209" t="e">
        <f>AND(Bills!C816,"AAAAAF3+5yY=")</f>
        <v>#VALUE!</v>
      </c>
      <c r="AN209" t="e">
        <f>AND(Bills!#REF!,"AAAAAF3+5yc=")</f>
        <v>#REF!</v>
      </c>
      <c r="AO209" t="e">
        <f>AND(Bills!#REF!,"AAAAAF3+5yg=")</f>
        <v>#REF!</v>
      </c>
      <c r="AP209" t="e">
        <f>AND(Bills!#REF!,"AAAAAF3+5yk=")</f>
        <v>#REF!</v>
      </c>
      <c r="AQ209" t="e">
        <f>AND(Bills!#REF!,"AAAAAF3+5yo=")</f>
        <v>#REF!</v>
      </c>
      <c r="AR209" t="e">
        <f>AND(Bills!#REF!,"AAAAAF3+5ys=")</f>
        <v>#REF!</v>
      </c>
      <c r="AS209" t="e">
        <f>AND(Bills!D816,"AAAAAF3+5yw=")</f>
        <v>#VALUE!</v>
      </c>
      <c r="AT209" t="e">
        <f>AND(Bills!#REF!,"AAAAAF3+5y0=")</f>
        <v>#REF!</v>
      </c>
      <c r="AU209" t="e">
        <f>AND(Bills!E816,"AAAAAF3+5y4=")</f>
        <v>#VALUE!</v>
      </c>
      <c r="AV209" t="e">
        <f>AND(Bills!F816,"AAAAAF3+5y8=")</f>
        <v>#VALUE!</v>
      </c>
      <c r="AW209" t="e">
        <f>AND(Bills!G816,"AAAAAF3+5zA=")</f>
        <v>#VALUE!</v>
      </c>
      <c r="AX209" t="e">
        <f>AND(Bills!H816,"AAAAAF3+5zE=")</f>
        <v>#VALUE!</v>
      </c>
      <c r="AY209" t="e">
        <f>AND(Bills!I816,"AAAAAF3+5zI=")</f>
        <v>#VALUE!</v>
      </c>
      <c r="AZ209" t="e">
        <f>AND(Bills!J816,"AAAAAF3+5zM=")</f>
        <v>#VALUE!</v>
      </c>
      <c r="BA209" t="e">
        <f>AND(Bills!#REF!,"AAAAAF3+5zQ=")</f>
        <v>#REF!</v>
      </c>
      <c r="BB209" t="e">
        <f>AND(Bills!K816,"AAAAAF3+5zU=")</f>
        <v>#VALUE!</v>
      </c>
      <c r="BC209" t="e">
        <f>AND(Bills!L816,"AAAAAF3+5zY=")</f>
        <v>#VALUE!</v>
      </c>
      <c r="BD209" t="e">
        <f>AND(Bills!M816,"AAAAAF3+5zc=")</f>
        <v>#VALUE!</v>
      </c>
      <c r="BE209" t="e">
        <f>AND(Bills!N816,"AAAAAF3+5zg=")</f>
        <v>#VALUE!</v>
      </c>
      <c r="BF209" t="e">
        <f>AND(Bills!O816,"AAAAAF3+5zk=")</f>
        <v>#VALUE!</v>
      </c>
      <c r="BG209" t="e">
        <f>AND(Bills!P816,"AAAAAF3+5zo=")</f>
        <v>#VALUE!</v>
      </c>
      <c r="BH209" t="e">
        <f>AND(Bills!Q816,"AAAAAF3+5zs=")</f>
        <v>#VALUE!</v>
      </c>
      <c r="BI209" t="e">
        <f>AND(Bills!R816,"AAAAAF3+5zw=")</f>
        <v>#VALUE!</v>
      </c>
      <c r="BJ209" t="e">
        <f>AND(Bills!#REF!,"AAAAAF3+5z0=")</f>
        <v>#REF!</v>
      </c>
      <c r="BK209" t="e">
        <f>AND(Bills!S816,"AAAAAF3+5z4=")</f>
        <v>#VALUE!</v>
      </c>
      <c r="BL209" t="e">
        <f>AND(Bills!T816,"AAAAAF3+5z8=")</f>
        <v>#VALUE!</v>
      </c>
      <c r="BM209" t="e">
        <f>AND(Bills!U816,"AAAAAF3+50A=")</f>
        <v>#VALUE!</v>
      </c>
      <c r="BN209" t="e">
        <f>AND(Bills!#REF!,"AAAAAF3+50E=")</f>
        <v>#REF!</v>
      </c>
      <c r="BO209" t="e">
        <f>AND(Bills!#REF!,"AAAAAF3+50I=")</f>
        <v>#REF!</v>
      </c>
      <c r="BP209" t="e">
        <f>AND(Bills!W816,"AAAAAF3+50M=")</f>
        <v>#VALUE!</v>
      </c>
      <c r="BQ209" t="e">
        <f>AND(Bills!X816,"AAAAAF3+50Q=")</f>
        <v>#VALUE!</v>
      </c>
      <c r="BR209" t="e">
        <f>AND(Bills!#REF!,"AAAAAF3+50U=")</f>
        <v>#REF!</v>
      </c>
      <c r="BS209" t="e">
        <f>AND(Bills!#REF!,"AAAAAF3+50Y=")</f>
        <v>#REF!</v>
      </c>
      <c r="BT209" t="e">
        <f>AND(Bills!#REF!,"AAAAAF3+50c=")</f>
        <v>#REF!</v>
      </c>
      <c r="BU209" t="e">
        <f>AND(Bills!#REF!,"AAAAAF3+50g=")</f>
        <v>#REF!</v>
      </c>
      <c r="BV209" t="e">
        <f>AND(Bills!#REF!,"AAAAAF3+50k=")</f>
        <v>#REF!</v>
      </c>
      <c r="BW209" t="e">
        <f>AND(Bills!#REF!,"AAAAAF3+50o=")</f>
        <v>#REF!</v>
      </c>
      <c r="BX209" t="e">
        <f>AND(Bills!#REF!,"AAAAAF3+50s=")</f>
        <v>#REF!</v>
      </c>
      <c r="BY209" t="e">
        <f>AND(Bills!#REF!,"AAAAAF3+50w=")</f>
        <v>#REF!</v>
      </c>
      <c r="BZ209" t="e">
        <f>AND(Bills!#REF!,"AAAAAF3+500=")</f>
        <v>#REF!</v>
      </c>
      <c r="CA209" t="e">
        <f>AND(Bills!Y816,"AAAAAF3+504=")</f>
        <v>#VALUE!</v>
      </c>
      <c r="CB209" t="e">
        <f>AND(Bills!Z816,"AAAAAF3+508=")</f>
        <v>#VALUE!</v>
      </c>
      <c r="CC209" t="e">
        <f>AND(Bills!#REF!,"AAAAAF3+51A=")</f>
        <v>#REF!</v>
      </c>
      <c r="CD209" t="e">
        <f>AND(Bills!#REF!,"AAAAAF3+51E=")</f>
        <v>#REF!</v>
      </c>
      <c r="CE209" t="e">
        <f>AND(Bills!#REF!,"AAAAAF3+51I=")</f>
        <v>#REF!</v>
      </c>
      <c r="CF209" t="e">
        <f>AND(Bills!AA816,"AAAAAF3+51M=")</f>
        <v>#VALUE!</v>
      </c>
      <c r="CG209" t="e">
        <f>AND(Bills!AB816,"AAAAAF3+51Q=")</f>
        <v>#VALUE!</v>
      </c>
      <c r="CH209" t="e">
        <f>AND(Bills!#REF!,"AAAAAF3+51U=")</f>
        <v>#REF!</v>
      </c>
      <c r="CI209">
        <f>IF(Bills!817:817,"AAAAAF3+51Y=",0)</f>
        <v>0</v>
      </c>
      <c r="CJ209" t="e">
        <f>AND(Bills!B817,"AAAAAF3+51c=")</f>
        <v>#VALUE!</v>
      </c>
      <c r="CK209" t="e">
        <f>AND(Bills!#REF!,"AAAAAF3+51g=")</f>
        <v>#REF!</v>
      </c>
      <c r="CL209" t="e">
        <f>AND(Bills!C817,"AAAAAF3+51k=")</f>
        <v>#VALUE!</v>
      </c>
      <c r="CM209" t="e">
        <f>AND(Bills!#REF!,"AAAAAF3+51o=")</f>
        <v>#REF!</v>
      </c>
      <c r="CN209" t="e">
        <f>AND(Bills!#REF!,"AAAAAF3+51s=")</f>
        <v>#REF!</v>
      </c>
      <c r="CO209" t="e">
        <f>AND(Bills!#REF!,"AAAAAF3+51w=")</f>
        <v>#REF!</v>
      </c>
      <c r="CP209" t="e">
        <f>AND(Bills!#REF!,"AAAAAF3+510=")</f>
        <v>#REF!</v>
      </c>
      <c r="CQ209" t="e">
        <f>AND(Bills!#REF!,"AAAAAF3+514=")</f>
        <v>#REF!</v>
      </c>
      <c r="CR209" t="e">
        <f>AND(Bills!D817,"AAAAAF3+518=")</f>
        <v>#VALUE!</v>
      </c>
      <c r="CS209" t="e">
        <f>AND(Bills!#REF!,"AAAAAF3+52A=")</f>
        <v>#REF!</v>
      </c>
      <c r="CT209" t="e">
        <f>AND(Bills!E817,"AAAAAF3+52E=")</f>
        <v>#VALUE!</v>
      </c>
      <c r="CU209" t="e">
        <f>AND(Bills!F817,"AAAAAF3+52I=")</f>
        <v>#VALUE!</v>
      </c>
      <c r="CV209" t="e">
        <f>AND(Bills!G817,"AAAAAF3+52M=")</f>
        <v>#VALUE!</v>
      </c>
      <c r="CW209" t="e">
        <f>AND(Bills!H817,"AAAAAF3+52Q=")</f>
        <v>#VALUE!</v>
      </c>
      <c r="CX209" t="e">
        <f>AND(Bills!I817,"AAAAAF3+52U=")</f>
        <v>#VALUE!</v>
      </c>
      <c r="CY209" t="e">
        <f>AND(Bills!J817,"AAAAAF3+52Y=")</f>
        <v>#VALUE!</v>
      </c>
      <c r="CZ209" t="e">
        <f>AND(Bills!#REF!,"AAAAAF3+52c=")</f>
        <v>#REF!</v>
      </c>
      <c r="DA209" t="e">
        <f>AND(Bills!K817,"AAAAAF3+52g=")</f>
        <v>#VALUE!</v>
      </c>
      <c r="DB209" t="e">
        <f>AND(Bills!L817,"AAAAAF3+52k=")</f>
        <v>#VALUE!</v>
      </c>
      <c r="DC209" t="e">
        <f>AND(Bills!M817,"AAAAAF3+52o=")</f>
        <v>#VALUE!</v>
      </c>
      <c r="DD209" t="e">
        <f>AND(Bills!N817,"AAAAAF3+52s=")</f>
        <v>#VALUE!</v>
      </c>
      <c r="DE209" t="e">
        <f>AND(Bills!O817,"AAAAAF3+52w=")</f>
        <v>#VALUE!</v>
      </c>
      <c r="DF209" t="e">
        <f>AND(Bills!P817,"AAAAAF3+520=")</f>
        <v>#VALUE!</v>
      </c>
      <c r="DG209" t="e">
        <f>AND(Bills!Q817,"AAAAAF3+524=")</f>
        <v>#VALUE!</v>
      </c>
      <c r="DH209" t="e">
        <f>AND(Bills!R817,"AAAAAF3+528=")</f>
        <v>#VALUE!</v>
      </c>
      <c r="DI209" t="e">
        <f>AND(Bills!#REF!,"AAAAAF3+53A=")</f>
        <v>#REF!</v>
      </c>
      <c r="DJ209" t="e">
        <f>AND(Bills!S817,"AAAAAF3+53E=")</f>
        <v>#VALUE!</v>
      </c>
      <c r="DK209" t="e">
        <f>AND(Bills!T817,"AAAAAF3+53I=")</f>
        <v>#VALUE!</v>
      </c>
      <c r="DL209" t="e">
        <f>AND(Bills!U817,"AAAAAF3+53M=")</f>
        <v>#VALUE!</v>
      </c>
      <c r="DM209" t="e">
        <f>AND(Bills!#REF!,"AAAAAF3+53Q=")</f>
        <v>#REF!</v>
      </c>
      <c r="DN209" t="e">
        <f>AND(Bills!#REF!,"AAAAAF3+53U=")</f>
        <v>#REF!</v>
      </c>
      <c r="DO209" t="e">
        <f>AND(Bills!W817,"AAAAAF3+53Y=")</f>
        <v>#VALUE!</v>
      </c>
      <c r="DP209" t="e">
        <f>AND(Bills!X817,"AAAAAF3+53c=")</f>
        <v>#VALUE!</v>
      </c>
      <c r="DQ209" t="e">
        <f>AND(Bills!#REF!,"AAAAAF3+53g=")</f>
        <v>#REF!</v>
      </c>
      <c r="DR209" t="e">
        <f>AND(Bills!#REF!,"AAAAAF3+53k=")</f>
        <v>#REF!</v>
      </c>
      <c r="DS209" t="e">
        <f>AND(Bills!#REF!,"AAAAAF3+53o=")</f>
        <v>#REF!</v>
      </c>
      <c r="DT209" t="e">
        <f>AND(Bills!#REF!,"AAAAAF3+53s=")</f>
        <v>#REF!</v>
      </c>
      <c r="DU209" t="e">
        <f>AND(Bills!#REF!,"AAAAAF3+53w=")</f>
        <v>#REF!</v>
      </c>
      <c r="DV209" t="e">
        <f>AND(Bills!#REF!,"AAAAAF3+530=")</f>
        <v>#REF!</v>
      </c>
      <c r="DW209" t="e">
        <f>AND(Bills!#REF!,"AAAAAF3+534=")</f>
        <v>#REF!</v>
      </c>
      <c r="DX209" t="e">
        <f>AND(Bills!#REF!,"AAAAAF3+538=")</f>
        <v>#REF!</v>
      </c>
      <c r="DY209" t="e">
        <f>AND(Bills!#REF!,"AAAAAF3+54A=")</f>
        <v>#REF!</v>
      </c>
      <c r="DZ209" t="e">
        <f>AND(Bills!Y817,"AAAAAF3+54E=")</f>
        <v>#VALUE!</v>
      </c>
      <c r="EA209" t="e">
        <f>AND(Bills!Z817,"AAAAAF3+54I=")</f>
        <v>#VALUE!</v>
      </c>
      <c r="EB209" t="e">
        <f>AND(Bills!#REF!,"AAAAAF3+54M=")</f>
        <v>#REF!</v>
      </c>
      <c r="EC209" t="e">
        <f>AND(Bills!#REF!,"AAAAAF3+54Q=")</f>
        <v>#REF!</v>
      </c>
      <c r="ED209" t="e">
        <f>AND(Bills!#REF!,"AAAAAF3+54U=")</f>
        <v>#REF!</v>
      </c>
      <c r="EE209" t="e">
        <f>AND(Bills!AA817,"AAAAAF3+54Y=")</f>
        <v>#VALUE!</v>
      </c>
      <c r="EF209" t="e">
        <f>AND(Bills!AB817,"AAAAAF3+54c=")</f>
        <v>#VALUE!</v>
      </c>
      <c r="EG209" t="e">
        <f>AND(Bills!#REF!,"AAAAAF3+54g=")</f>
        <v>#REF!</v>
      </c>
      <c r="EH209">
        <f>IF(Bills!818:818,"AAAAAF3+54k=",0)</f>
        <v>0</v>
      </c>
      <c r="EI209" t="e">
        <f>AND(Bills!B818,"AAAAAF3+54o=")</f>
        <v>#VALUE!</v>
      </c>
      <c r="EJ209" t="e">
        <f>AND(Bills!#REF!,"AAAAAF3+54s=")</f>
        <v>#REF!</v>
      </c>
      <c r="EK209" t="e">
        <f>AND(Bills!C818,"AAAAAF3+54w=")</f>
        <v>#VALUE!</v>
      </c>
      <c r="EL209" t="e">
        <f>AND(Bills!#REF!,"AAAAAF3+540=")</f>
        <v>#REF!</v>
      </c>
      <c r="EM209" t="e">
        <f>AND(Bills!#REF!,"AAAAAF3+544=")</f>
        <v>#REF!</v>
      </c>
      <c r="EN209" t="e">
        <f>AND(Bills!#REF!,"AAAAAF3+548=")</f>
        <v>#REF!</v>
      </c>
      <c r="EO209" t="e">
        <f>AND(Bills!#REF!,"AAAAAF3+55A=")</f>
        <v>#REF!</v>
      </c>
      <c r="EP209" t="e">
        <f>AND(Bills!#REF!,"AAAAAF3+55E=")</f>
        <v>#REF!</v>
      </c>
      <c r="EQ209" t="e">
        <f>AND(Bills!D818,"AAAAAF3+55I=")</f>
        <v>#VALUE!</v>
      </c>
      <c r="ER209" t="e">
        <f>AND(Bills!#REF!,"AAAAAF3+55M=")</f>
        <v>#REF!</v>
      </c>
      <c r="ES209" t="e">
        <f>AND(Bills!E818,"AAAAAF3+55Q=")</f>
        <v>#VALUE!</v>
      </c>
      <c r="ET209" t="e">
        <f>AND(Bills!F818,"AAAAAF3+55U=")</f>
        <v>#VALUE!</v>
      </c>
      <c r="EU209" t="e">
        <f>AND(Bills!G818,"AAAAAF3+55Y=")</f>
        <v>#VALUE!</v>
      </c>
      <c r="EV209" t="e">
        <f>AND(Bills!H818,"AAAAAF3+55c=")</f>
        <v>#VALUE!</v>
      </c>
      <c r="EW209" t="e">
        <f>AND(Bills!I818,"AAAAAF3+55g=")</f>
        <v>#VALUE!</v>
      </c>
      <c r="EX209" t="e">
        <f>AND(Bills!J818,"AAAAAF3+55k=")</f>
        <v>#VALUE!</v>
      </c>
      <c r="EY209" t="e">
        <f>AND(Bills!#REF!,"AAAAAF3+55o=")</f>
        <v>#REF!</v>
      </c>
      <c r="EZ209" t="e">
        <f>AND(Bills!K818,"AAAAAF3+55s=")</f>
        <v>#VALUE!</v>
      </c>
      <c r="FA209" t="e">
        <f>AND(Bills!L818,"AAAAAF3+55w=")</f>
        <v>#VALUE!</v>
      </c>
      <c r="FB209" t="e">
        <f>AND(Bills!M818,"AAAAAF3+550=")</f>
        <v>#VALUE!</v>
      </c>
      <c r="FC209" t="e">
        <f>AND(Bills!N818,"AAAAAF3+554=")</f>
        <v>#VALUE!</v>
      </c>
      <c r="FD209" t="e">
        <f>AND(Bills!O818,"AAAAAF3+558=")</f>
        <v>#VALUE!</v>
      </c>
      <c r="FE209" t="e">
        <f>AND(Bills!P818,"AAAAAF3+56A=")</f>
        <v>#VALUE!</v>
      </c>
      <c r="FF209" t="e">
        <f>AND(Bills!Q818,"AAAAAF3+56E=")</f>
        <v>#VALUE!</v>
      </c>
      <c r="FG209" t="e">
        <f>AND(Bills!R818,"AAAAAF3+56I=")</f>
        <v>#VALUE!</v>
      </c>
      <c r="FH209" t="e">
        <f>AND(Bills!#REF!,"AAAAAF3+56M=")</f>
        <v>#REF!</v>
      </c>
      <c r="FI209" t="e">
        <f>AND(Bills!S818,"AAAAAF3+56Q=")</f>
        <v>#VALUE!</v>
      </c>
      <c r="FJ209" t="e">
        <f>AND(Bills!T818,"AAAAAF3+56U=")</f>
        <v>#VALUE!</v>
      </c>
      <c r="FK209" t="e">
        <f>AND(Bills!U818,"AAAAAF3+56Y=")</f>
        <v>#VALUE!</v>
      </c>
      <c r="FL209" t="e">
        <f>AND(Bills!#REF!,"AAAAAF3+56c=")</f>
        <v>#REF!</v>
      </c>
      <c r="FM209" t="e">
        <f>AND(Bills!#REF!,"AAAAAF3+56g=")</f>
        <v>#REF!</v>
      </c>
      <c r="FN209" t="e">
        <f>AND(Bills!W818,"AAAAAF3+56k=")</f>
        <v>#VALUE!</v>
      </c>
      <c r="FO209" t="e">
        <f>AND(Bills!X818,"AAAAAF3+56o=")</f>
        <v>#VALUE!</v>
      </c>
      <c r="FP209" t="e">
        <f>AND(Bills!#REF!,"AAAAAF3+56s=")</f>
        <v>#REF!</v>
      </c>
      <c r="FQ209" t="e">
        <f>AND(Bills!#REF!,"AAAAAF3+56w=")</f>
        <v>#REF!</v>
      </c>
      <c r="FR209" t="e">
        <f>AND(Bills!#REF!,"AAAAAF3+560=")</f>
        <v>#REF!</v>
      </c>
      <c r="FS209" t="e">
        <f>AND(Bills!#REF!,"AAAAAF3+564=")</f>
        <v>#REF!</v>
      </c>
      <c r="FT209" t="e">
        <f>AND(Bills!#REF!,"AAAAAF3+568=")</f>
        <v>#REF!</v>
      </c>
      <c r="FU209" t="e">
        <f>AND(Bills!#REF!,"AAAAAF3+57A=")</f>
        <v>#REF!</v>
      </c>
      <c r="FV209" t="e">
        <f>AND(Bills!#REF!,"AAAAAF3+57E=")</f>
        <v>#REF!</v>
      </c>
      <c r="FW209" t="e">
        <f>AND(Bills!#REF!,"AAAAAF3+57I=")</f>
        <v>#REF!</v>
      </c>
      <c r="FX209" t="e">
        <f>AND(Bills!#REF!,"AAAAAF3+57M=")</f>
        <v>#REF!</v>
      </c>
      <c r="FY209" t="e">
        <f>AND(Bills!Y818,"AAAAAF3+57Q=")</f>
        <v>#VALUE!</v>
      </c>
      <c r="FZ209" t="e">
        <f>AND(Bills!Z818,"AAAAAF3+57U=")</f>
        <v>#VALUE!</v>
      </c>
      <c r="GA209" t="e">
        <f>AND(Bills!#REF!,"AAAAAF3+57Y=")</f>
        <v>#REF!</v>
      </c>
      <c r="GB209" t="e">
        <f>AND(Bills!#REF!,"AAAAAF3+57c=")</f>
        <v>#REF!</v>
      </c>
      <c r="GC209" t="e">
        <f>AND(Bills!#REF!,"AAAAAF3+57g=")</f>
        <v>#REF!</v>
      </c>
      <c r="GD209" t="e">
        <f>AND(Bills!AA818,"AAAAAF3+57k=")</f>
        <v>#VALUE!</v>
      </c>
      <c r="GE209" t="e">
        <f>AND(Bills!AB818,"AAAAAF3+57o=")</f>
        <v>#VALUE!</v>
      </c>
      <c r="GF209" t="e">
        <f>AND(Bills!#REF!,"AAAAAF3+57s=")</f>
        <v>#REF!</v>
      </c>
      <c r="GG209">
        <f>IF(Bills!819:819,"AAAAAF3+57w=",0)</f>
        <v>0</v>
      </c>
      <c r="GH209" t="e">
        <f>AND(Bills!B819,"AAAAAF3+570=")</f>
        <v>#VALUE!</v>
      </c>
      <c r="GI209" t="e">
        <f>AND(Bills!#REF!,"AAAAAF3+574=")</f>
        <v>#REF!</v>
      </c>
      <c r="GJ209" t="e">
        <f>AND(Bills!C819,"AAAAAF3+578=")</f>
        <v>#VALUE!</v>
      </c>
      <c r="GK209" t="e">
        <f>AND(Bills!#REF!,"AAAAAF3+58A=")</f>
        <v>#REF!</v>
      </c>
      <c r="GL209" t="e">
        <f>AND(Bills!#REF!,"AAAAAF3+58E=")</f>
        <v>#REF!</v>
      </c>
      <c r="GM209" t="e">
        <f>AND(Bills!#REF!,"AAAAAF3+58I=")</f>
        <v>#REF!</v>
      </c>
      <c r="GN209" t="e">
        <f>AND(Bills!#REF!,"AAAAAF3+58M=")</f>
        <v>#REF!</v>
      </c>
      <c r="GO209" t="e">
        <f>AND(Bills!#REF!,"AAAAAF3+58Q=")</f>
        <v>#REF!</v>
      </c>
      <c r="GP209" t="e">
        <f>AND(Bills!D819,"AAAAAF3+58U=")</f>
        <v>#VALUE!</v>
      </c>
      <c r="GQ209" t="e">
        <f>AND(Bills!#REF!,"AAAAAF3+58Y=")</f>
        <v>#REF!</v>
      </c>
      <c r="GR209" t="e">
        <f>AND(Bills!E819,"AAAAAF3+58c=")</f>
        <v>#VALUE!</v>
      </c>
      <c r="GS209" t="e">
        <f>AND(Bills!F819,"AAAAAF3+58g=")</f>
        <v>#VALUE!</v>
      </c>
      <c r="GT209" t="e">
        <f>AND(Bills!G819,"AAAAAF3+58k=")</f>
        <v>#VALUE!</v>
      </c>
      <c r="GU209" t="e">
        <f>AND(Bills!H819,"AAAAAF3+58o=")</f>
        <v>#VALUE!</v>
      </c>
      <c r="GV209" t="e">
        <f>AND(Bills!I819,"AAAAAF3+58s=")</f>
        <v>#VALUE!</v>
      </c>
      <c r="GW209" t="e">
        <f>AND(Bills!J819,"AAAAAF3+58w=")</f>
        <v>#VALUE!</v>
      </c>
      <c r="GX209" t="e">
        <f>AND(Bills!#REF!,"AAAAAF3+580=")</f>
        <v>#REF!</v>
      </c>
      <c r="GY209" t="e">
        <f>AND(Bills!K819,"AAAAAF3+584=")</f>
        <v>#VALUE!</v>
      </c>
      <c r="GZ209" t="e">
        <f>AND(Bills!L819,"AAAAAF3+588=")</f>
        <v>#VALUE!</v>
      </c>
      <c r="HA209" t="e">
        <f>AND(Bills!M819,"AAAAAF3+59A=")</f>
        <v>#VALUE!</v>
      </c>
      <c r="HB209" t="e">
        <f>AND(Bills!N819,"AAAAAF3+59E=")</f>
        <v>#VALUE!</v>
      </c>
      <c r="HC209" t="e">
        <f>AND(Bills!O819,"AAAAAF3+59I=")</f>
        <v>#VALUE!</v>
      </c>
      <c r="HD209" t="e">
        <f>AND(Bills!P819,"AAAAAF3+59M=")</f>
        <v>#VALUE!</v>
      </c>
      <c r="HE209" t="e">
        <f>AND(Bills!Q819,"AAAAAF3+59Q=")</f>
        <v>#VALUE!</v>
      </c>
      <c r="HF209" t="e">
        <f>AND(Bills!R819,"AAAAAF3+59U=")</f>
        <v>#VALUE!</v>
      </c>
      <c r="HG209" t="e">
        <f>AND(Bills!#REF!,"AAAAAF3+59Y=")</f>
        <v>#REF!</v>
      </c>
      <c r="HH209" t="e">
        <f>AND(Bills!S819,"AAAAAF3+59c=")</f>
        <v>#VALUE!</v>
      </c>
      <c r="HI209" t="e">
        <f>AND(Bills!T819,"AAAAAF3+59g=")</f>
        <v>#VALUE!</v>
      </c>
      <c r="HJ209" t="e">
        <f>AND(Bills!U819,"AAAAAF3+59k=")</f>
        <v>#VALUE!</v>
      </c>
      <c r="HK209" t="e">
        <f>AND(Bills!#REF!,"AAAAAF3+59o=")</f>
        <v>#REF!</v>
      </c>
      <c r="HL209" t="e">
        <f>AND(Bills!#REF!,"AAAAAF3+59s=")</f>
        <v>#REF!</v>
      </c>
      <c r="HM209" t="e">
        <f>AND(Bills!W819,"AAAAAF3+59w=")</f>
        <v>#VALUE!</v>
      </c>
      <c r="HN209" t="e">
        <f>AND(Bills!X819,"AAAAAF3+590=")</f>
        <v>#VALUE!</v>
      </c>
      <c r="HO209" t="e">
        <f>AND(Bills!#REF!,"AAAAAF3+594=")</f>
        <v>#REF!</v>
      </c>
      <c r="HP209" t="e">
        <f>AND(Bills!#REF!,"AAAAAF3+598=")</f>
        <v>#REF!</v>
      </c>
      <c r="HQ209" t="e">
        <f>AND(Bills!#REF!,"AAAAAF3+5+A=")</f>
        <v>#REF!</v>
      </c>
      <c r="HR209" t="e">
        <f>AND(Bills!#REF!,"AAAAAF3+5+E=")</f>
        <v>#REF!</v>
      </c>
      <c r="HS209" t="e">
        <f>AND(Bills!#REF!,"AAAAAF3+5+I=")</f>
        <v>#REF!</v>
      </c>
      <c r="HT209" t="e">
        <f>AND(Bills!#REF!,"AAAAAF3+5+M=")</f>
        <v>#REF!</v>
      </c>
      <c r="HU209" t="e">
        <f>AND(Bills!#REF!,"AAAAAF3+5+Q=")</f>
        <v>#REF!</v>
      </c>
      <c r="HV209" t="e">
        <f>AND(Bills!#REF!,"AAAAAF3+5+U=")</f>
        <v>#REF!</v>
      </c>
      <c r="HW209" t="e">
        <f>AND(Bills!#REF!,"AAAAAF3+5+Y=")</f>
        <v>#REF!</v>
      </c>
      <c r="HX209" t="e">
        <f>AND(Bills!Y819,"AAAAAF3+5+c=")</f>
        <v>#VALUE!</v>
      </c>
      <c r="HY209" t="e">
        <f>AND(Bills!Z819,"AAAAAF3+5+g=")</f>
        <v>#VALUE!</v>
      </c>
      <c r="HZ209" t="e">
        <f>AND(Bills!#REF!,"AAAAAF3+5+k=")</f>
        <v>#REF!</v>
      </c>
      <c r="IA209" t="e">
        <f>AND(Bills!#REF!,"AAAAAF3+5+o=")</f>
        <v>#REF!</v>
      </c>
      <c r="IB209" t="e">
        <f>AND(Bills!#REF!,"AAAAAF3+5+s=")</f>
        <v>#REF!</v>
      </c>
      <c r="IC209" t="e">
        <f>AND(Bills!AA819,"AAAAAF3+5+w=")</f>
        <v>#VALUE!</v>
      </c>
      <c r="ID209" t="e">
        <f>AND(Bills!AB819,"AAAAAF3+5+0=")</f>
        <v>#VALUE!</v>
      </c>
      <c r="IE209" t="e">
        <f>AND(Bills!#REF!,"AAAAAF3+5+4=")</f>
        <v>#REF!</v>
      </c>
      <c r="IF209">
        <f>IF(Bills!820:820,"AAAAAF3+5+8=",0)</f>
        <v>0</v>
      </c>
      <c r="IG209" t="e">
        <f>AND(Bills!B820,"AAAAAF3+5/A=")</f>
        <v>#VALUE!</v>
      </c>
      <c r="IH209" t="e">
        <f>AND(Bills!#REF!,"AAAAAF3+5/E=")</f>
        <v>#REF!</v>
      </c>
      <c r="II209" t="e">
        <f>AND(Bills!C820,"AAAAAF3+5/I=")</f>
        <v>#VALUE!</v>
      </c>
      <c r="IJ209" t="e">
        <f>AND(Bills!#REF!,"AAAAAF3+5/M=")</f>
        <v>#REF!</v>
      </c>
      <c r="IK209" t="e">
        <f>AND(Bills!#REF!,"AAAAAF3+5/Q=")</f>
        <v>#REF!</v>
      </c>
      <c r="IL209" t="e">
        <f>AND(Bills!#REF!,"AAAAAF3+5/U=")</f>
        <v>#REF!</v>
      </c>
      <c r="IM209" t="e">
        <f>AND(Bills!#REF!,"AAAAAF3+5/Y=")</f>
        <v>#REF!</v>
      </c>
      <c r="IN209" t="e">
        <f>AND(Bills!#REF!,"AAAAAF3+5/c=")</f>
        <v>#REF!</v>
      </c>
      <c r="IO209" t="e">
        <f>AND(Bills!D820,"AAAAAF3+5/g=")</f>
        <v>#VALUE!</v>
      </c>
      <c r="IP209" t="e">
        <f>AND(Bills!#REF!,"AAAAAF3+5/k=")</f>
        <v>#REF!</v>
      </c>
      <c r="IQ209" t="e">
        <f>AND(Bills!E820,"AAAAAF3+5/o=")</f>
        <v>#VALUE!</v>
      </c>
      <c r="IR209" t="e">
        <f>AND(Bills!F820,"AAAAAF3+5/s=")</f>
        <v>#VALUE!</v>
      </c>
      <c r="IS209" t="e">
        <f>AND(Bills!G820,"AAAAAF3+5/w=")</f>
        <v>#VALUE!</v>
      </c>
      <c r="IT209" t="e">
        <f>AND(Bills!H820,"AAAAAF3+5/0=")</f>
        <v>#VALUE!</v>
      </c>
      <c r="IU209" t="e">
        <f>AND(Bills!I820,"AAAAAF3+5/4=")</f>
        <v>#VALUE!</v>
      </c>
      <c r="IV209" t="e">
        <f>AND(Bills!J820,"AAAAAF3+5/8=")</f>
        <v>#VALUE!</v>
      </c>
    </row>
    <row r="210" spans="1:256">
      <c r="A210" t="e">
        <f>AND(Bills!#REF!,"AAAAAF3V3QA=")</f>
        <v>#REF!</v>
      </c>
      <c r="B210" t="e">
        <f>AND(Bills!K820,"AAAAAF3V3QE=")</f>
        <v>#VALUE!</v>
      </c>
      <c r="C210" t="e">
        <f>AND(Bills!L820,"AAAAAF3V3QI=")</f>
        <v>#VALUE!</v>
      </c>
      <c r="D210" t="e">
        <f>AND(Bills!M820,"AAAAAF3V3QM=")</f>
        <v>#VALUE!</v>
      </c>
      <c r="E210" t="e">
        <f>AND(Bills!N820,"AAAAAF3V3QQ=")</f>
        <v>#VALUE!</v>
      </c>
      <c r="F210" t="e">
        <f>AND(Bills!O820,"AAAAAF3V3QU=")</f>
        <v>#VALUE!</v>
      </c>
      <c r="G210" t="e">
        <f>AND(Bills!P820,"AAAAAF3V3QY=")</f>
        <v>#VALUE!</v>
      </c>
      <c r="H210" t="e">
        <f>AND(Bills!Q820,"AAAAAF3V3Qc=")</f>
        <v>#VALUE!</v>
      </c>
      <c r="I210" t="e">
        <f>AND(Bills!R820,"AAAAAF3V3Qg=")</f>
        <v>#VALUE!</v>
      </c>
      <c r="J210" t="e">
        <f>AND(Bills!#REF!,"AAAAAF3V3Qk=")</f>
        <v>#REF!</v>
      </c>
      <c r="K210" t="e">
        <f>AND(Bills!S820,"AAAAAF3V3Qo=")</f>
        <v>#VALUE!</v>
      </c>
      <c r="L210" t="e">
        <f>AND(Bills!T820,"AAAAAF3V3Qs=")</f>
        <v>#VALUE!</v>
      </c>
      <c r="M210" t="e">
        <f>AND(Bills!U820,"AAAAAF3V3Qw=")</f>
        <v>#VALUE!</v>
      </c>
      <c r="N210" t="e">
        <f>AND(Bills!#REF!,"AAAAAF3V3Q0=")</f>
        <v>#REF!</v>
      </c>
      <c r="O210" t="e">
        <f>AND(Bills!#REF!,"AAAAAF3V3Q4=")</f>
        <v>#REF!</v>
      </c>
      <c r="P210" t="e">
        <f>AND(Bills!W820,"AAAAAF3V3Q8=")</f>
        <v>#VALUE!</v>
      </c>
      <c r="Q210" t="e">
        <f>AND(Bills!X820,"AAAAAF3V3RA=")</f>
        <v>#VALUE!</v>
      </c>
      <c r="R210" t="e">
        <f>AND(Bills!#REF!,"AAAAAF3V3RE=")</f>
        <v>#REF!</v>
      </c>
      <c r="S210" t="e">
        <f>AND(Bills!#REF!,"AAAAAF3V3RI=")</f>
        <v>#REF!</v>
      </c>
      <c r="T210" t="e">
        <f>AND(Bills!#REF!,"AAAAAF3V3RM=")</f>
        <v>#REF!</v>
      </c>
      <c r="U210" t="e">
        <f>AND(Bills!#REF!,"AAAAAF3V3RQ=")</f>
        <v>#REF!</v>
      </c>
      <c r="V210" t="e">
        <f>AND(Bills!#REF!,"AAAAAF3V3RU=")</f>
        <v>#REF!</v>
      </c>
      <c r="W210" t="e">
        <f>AND(Bills!#REF!,"AAAAAF3V3RY=")</f>
        <v>#REF!</v>
      </c>
      <c r="X210" t="e">
        <f>AND(Bills!#REF!,"AAAAAF3V3Rc=")</f>
        <v>#REF!</v>
      </c>
      <c r="Y210" t="e">
        <f>AND(Bills!#REF!,"AAAAAF3V3Rg=")</f>
        <v>#REF!</v>
      </c>
      <c r="Z210" t="e">
        <f>AND(Bills!#REF!,"AAAAAF3V3Rk=")</f>
        <v>#REF!</v>
      </c>
      <c r="AA210" t="e">
        <f>AND(Bills!Y820,"AAAAAF3V3Ro=")</f>
        <v>#VALUE!</v>
      </c>
      <c r="AB210" t="e">
        <f>AND(Bills!Z820,"AAAAAF3V3Rs=")</f>
        <v>#VALUE!</v>
      </c>
      <c r="AC210" t="e">
        <f>AND(Bills!#REF!,"AAAAAF3V3Rw=")</f>
        <v>#REF!</v>
      </c>
      <c r="AD210" t="e">
        <f>AND(Bills!#REF!,"AAAAAF3V3R0=")</f>
        <v>#REF!</v>
      </c>
      <c r="AE210" t="e">
        <f>AND(Bills!#REF!,"AAAAAF3V3R4=")</f>
        <v>#REF!</v>
      </c>
      <c r="AF210" t="e">
        <f>AND(Bills!AA820,"AAAAAF3V3R8=")</f>
        <v>#VALUE!</v>
      </c>
      <c r="AG210" t="e">
        <f>AND(Bills!AB820,"AAAAAF3V3SA=")</f>
        <v>#VALUE!</v>
      </c>
      <c r="AH210" t="e">
        <f>AND(Bills!#REF!,"AAAAAF3V3SE=")</f>
        <v>#REF!</v>
      </c>
      <c r="AI210">
        <f>IF(Bills!821:821,"AAAAAF3V3SI=",0)</f>
        <v>0</v>
      </c>
      <c r="AJ210" t="e">
        <f>AND(Bills!B821,"AAAAAF3V3SM=")</f>
        <v>#VALUE!</v>
      </c>
      <c r="AK210" t="e">
        <f>AND(Bills!#REF!,"AAAAAF3V3SQ=")</f>
        <v>#REF!</v>
      </c>
      <c r="AL210" t="e">
        <f>AND(Bills!C821,"AAAAAF3V3SU=")</f>
        <v>#VALUE!</v>
      </c>
      <c r="AM210" t="e">
        <f>AND(Bills!#REF!,"AAAAAF3V3SY=")</f>
        <v>#REF!</v>
      </c>
      <c r="AN210" t="e">
        <f>AND(Bills!#REF!,"AAAAAF3V3Sc=")</f>
        <v>#REF!</v>
      </c>
      <c r="AO210" t="e">
        <f>AND(Bills!#REF!,"AAAAAF3V3Sg=")</f>
        <v>#REF!</v>
      </c>
      <c r="AP210" t="e">
        <f>AND(Bills!#REF!,"AAAAAF3V3Sk=")</f>
        <v>#REF!</v>
      </c>
      <c r="AQ210" t="e">
        <f>AND(Bills!#REF!,"AAAAAF3V3So=")</f>
        <v>#REF!</v>
      </c>
      <c r="AR210" t="e">
        <f>AND(Bills!D821,"AAAAAF3V3Ss=")</f>
        <v>#VALUE!</v>
      </c>
      <c r="AS210" t="e">
        <f>AND(Bills!#REF!,"AAAAAF3V3Sw=")</f>
        <v>#REF!</v>
      </c>
      <c r="AT210" t="e">
        <f>AND(Bills!E821,"AAAAAF3V3S0=")</f>
        <v>#VALUE!</v>
      </c>
      <c r="AU210" t="e">
        <f>AND(Bills!F821,"AAAAAF3V3S4=")</f>
        <v>#VALUE!</v>
      </c>
      <c r="AV210" t="e">
        <f>AND(Bills!G821,"AAAAAF3V3S8=")</f>
        <v>#VALUE!</v>
      </c>
      <c r="AW210" t="e">
        <f>AND(Bills!H821,"AAAAAF3V3TA=")</f>
        <v>#VALUE!</v>
      </c>
      <c r="AX210" t="e">
        <f>AND(Bills!I821,"AAAAAF3V3TE=")</f>
        <v>#VALUE!</v>
      </c>
      <c r="AY210" t="e">
        <f>AND(Bills!J821,"AAAAAF3V3TI=")</f>
        <v>#VALUE!</v>
      </c>
      <c r="AZ210" t="e">
        <f>AND(Bills!#REF!,"AAAAAF3V3TM=")</f>
        <v>#REF!</v>
      </c>
      <c r="BA210" t="e">
        <f>AND(Bills!K821,"AAAAAF3V3TQ=")</f>
        <v>#VALUE!</v>
      </c>
      <c r="BB210" t="e">
        <f>AND(Bills!L821,"AAAAAF3V3TU=")</f>
        <v>#VALUE!</v>
      </c>
      <c r="BC210" t="e">
        <f>AND(Bills!M821,"AAAAAF3V3TY=")</f>
        <v>#VALUE!</v>
      </c>
      <c r="BD210" t="e">
        <f>AND(Bills!N821,"AAAAAF3V3Tc=")</f>
        <v>#VALUE!</v>
      </c>
      <c r="BE210" t="e">
        <f>AND(Bills!O821,"AAAAAF3V3Tg=")</f>
        <v>#VALUE!</v>
      </c>
      <c r="BF210" t="e">
        <f>AND(Bills!P821,"AAAAAF3V3Tk=")</f>
        <v>#VALUE!</v>
      </c>
      <c r="BG210" t="e">
        <f>AND(Bills!Q821,"AAAAAF3V3To=")</f>
        <v>#VALUE!</v>
      </c>
      <c r="BH210" t="e">
        <f>AND(Bills!R821,"AAAAAF3V3Ts=")</f>
        <v>#VALUE!</v>
      </c>
      <c r="BI210" t="e">
        <f>AND(Bills!#REF!,"AAAAAF3V3Tw=")</f>
        <v>#REF!</v>
      </c>
      <c r="BJ210" t="e">
        <f>AND(Bills!S821,"AAAAAF3V3T0=")</f>
        <v>#VALUE!</v>
      </c>
      <c r="BK210" t="e">
        <f>AND(Bills!T821,"AAAAAF3V3T4=")</f>
        <v>#VALUE!</v>
      </c>
      <c r="BL210" t="e">
        <f>AND(Bills!U821,"AAAAAF3V3T8=")</f>
        <v>#VALUE!</v>
      </c>
      <c r="BM210" t="e">
        <f>AND(Bills!#REF!,"AAAAAF3V3UA=")</f>
        <v>#REF!</v>
      </c>
      <c r="BN210" t="e">
        <f>AND(Bills!#REF!,"AAAAAF3V3UE=")</f>
        <v>#REF!</v>
      </c>
      <c r="BO210" t="e">
        <f>AND(Bills!W821,"AAAAAF3V3UI=")</f>
        <v>#VALUE!</v>
      </c>
      <c r="BP210" t="e">
        <f>AND(Bills!X821,"AAAAAF3V3UM=")</f>
        <v>#VALUE!</v>
      </c>
      <c r="BQ210" t="e">
        <f>AND(Bills!#REF!,"AAAAAF3V3UQ=")</f>
        <v>#REF!</v>
      </c>
      <c r="BR210" t="e">
        <f>AND(Bills!#REF!,"AAAAAF3V3UU=")</f>
        <v>#REF!</v>
      </c>
      <c r="BS210" t="e">
        <f>AND(Bills!#REF!,"AAAAAF3V3UY=")</f>
        <v>#REF!</v>
      </c>
      <c r="BT210" t="e">
        <f>AND(Bills!#REF!,"AAAAAF3V3Uc=")</f>
        <v>#REF!</v>
      </c>
      <c r="BU210" t="e">
        <f>AND(Bills!#REF!,"AAAAAF3V3Ug=")</f>
        <v>#REF!</v>
      </c>
      <c r="BV210" t="e">
        <f>AND(Bills!#REF!,"AAAAAF3V3Uk=")</f>
        <v>#REF!</v>
      </c>
      <c r="BW210" t="e">
        <f>AND(Bills!#REF!,"AAAAAF3V3Uo=")</f>
        <v>#REF!</v>
      </c>
      <c r="BX210" t="e">
        <f>AND(Bills!#REF!,"AAAAAF3V3Us=")</f>
        <v>#REF!</v>
      </c>
      <c r="BY210" t="e">
        <f>AND(Bills!#REF!,"AAAAAF3V3Uw=")</f>
        <v>#REF!</v>
      </c>
      <c r="BZ210" t="e">
        <f>AND(Bills!Y821,"AAAAAF3V3U0=")</f>
        <v>#VALUE!</v>
      </c>
      <c r="CA210" t="e">
        <f>AND(Bills!Z821,"AAAAAF3V3U4=")</f>
        <v>#VALUE!</v>
      </c>
      <c r="CB210" t="e">
        <f>AND(Bills!#REF!,"AAAAAF3V3U8=")</f>
        <v>#REF!</v>
      </c>
      <c r="CC210" t="e">
        <f>AND(Bills!#REF!,"AAAAAF3V3VA=")</f>
        <v>#REF!</v>
      </c>
      <c r="CD210" t="e">
        <f>AND(Bills!#REF!,"AAAAAF3V3VE=")</f>
        <v>#REF!</v>
      </c>
      <c r="CE210" t="e">
        <f>AND(Bills!AA821,"AAAAAF3V3VI=")</f>
        <v>#VALUE!</v>
      </c>
      <c r="CF210" t="e">
        <f>AND(Bills!AB821,"AAAAAF3V3VM=")</f>
        <v>#VALUE!</v>
      </c>
      <c r="CG210" t="e">
        <f>AND(Bills!#REF!,"AAAAAF3V3VQ=")</f>
        <v>#REF!</v>
      </c>
      <c r="CH210">
        <f>IF(Bills!822:822,"AAAAAF3V3VU=",0)</f>
        <v>0</v>
      </c>
      <c r="CI210" t="e">
        <f>AND(Bills!B822,"AAAAAF3V3VY=")</f>
        <v>#VALUE!</v>
      </c>
      <c r="CJ210" t="e">
        <f>AND(Bills!#REF!,"AAAAAF3V3Vc=")</f>
        <v>#REF!</v>
      </c>
      <c r="CK210" t="e">
        <f>AND(Bills!C822,"AAAAAF3V3Vg=")</f>
        <v>#VALUE!</v>
      </c>
      <c r="CL210" t="e">
        <f>AND(Bills!#REF!,"AAAAAF3V3Vk=")</f>
        <v>#REF!</v>
      </c>
      <c r="CM210" t="e">
        <f>AND(Bills!#REF!,"AAAAAF3V3Vo=")</f>
        <v>#REF!</v>
      </c>
      <c r="CN210" t="e">
        <f>AND(Bills!#REF!,"AAAAAF3V3Vs=")</f>
        <v>#REF!</v>
      </c>
      <c r="CO210" t="e">
        <f>AND(Bills!#REF!,"AAAAAF3V3Vw=")</f>
        <v>#REF!</v>
      </c>
      <c r="CP210" t="e">
        <f>AND(Bills!#REF!,"AAAAAF3V3V0=")</f>
        <v>#REF!</v>
      </c>
      <c r="CQ210" t="e">
        <f>AND(Bills!D822,"AAAAAF3V3V4=")</f>
        <v>#VALUE!</v>
      </c>
      <c r="CR210" t="e">
        <f>AND(Bills!#REF!,"AAAAAF3V3V8=")</f>
        <v>#REF!</v>
      </c>
      <c r="CS210" t="e">
        <f>AND(Bills!E822,"AAAAAF3V3WA=")</f>
        <v>#VALUE!</v>
      </c>
      <c r="CT210" t="e">
        <f>AND(Bills!F822,"AAAAAF3V3WE=")</f>
        <v>#VALUE!</v>
      </c>
      <c r="CU210" t="e">
        <f>AND(Bills!G822,"AAAAAF3V3WI=")</f>
        <v>#VALUE!</v>
      </c>
      <c r="CV210" t="e">
        <f>AND(Bills!H822,"AAAAAF3V3WM=")</f>
        <v>#VALUE!</v>
      </c>
      <c r="CW210" t="e">
        <f>AND(Bills!I822,"AAAAAF3V3WQ=")</f>
        <v>#VALUE!</v>
      </c>
      <c r="CX210" t="e">
        <f>AND(Bills!J822,"AAAAAF3V3WU=")</f>
        <v>#VALUE!</v>
      </c>
      <c r="CY210" t="e">
        <f>AND(Bills!#REF!,"AAAAAF3V3WY=")</f>
        <v>#REF!</v>
      </c>
      <c r="CZ210" t="e">
        <f>AND(Bills!K822,"AAAAAF3V3Wc=")</f>
        <v>#VALUE!</v>
      </c>
      <c r="DA210" t="e">
        <f>AND(Bills!L822,"AAAAAF3V3Wg=")</f>
        <v>#VALUE!</v>
      </c>
      <c r="DB210" t="e">
        <f>AND(Bills!M822,"AAAAAF3V3Wk=")</f>
        <v>#VALUE!</v>
      </c>
      <c r="DC210" t="e">
        <f>AND(Bills!N822,"AAAAAF3V3Wo=")</f>
        <v>#VALUE!</v>
      </c>
      <c r="DD210" t="e">
        <f>AND(Bills!O822,"AAAAAF3V3Ws=")</f>
        <v>#VALUE!</v>
      </c>
      <c r="DE210" t="e">
        <f>AND(Bills!P822,"AAAAAF3V3Ww=")</f>
        <v>#VALUE!</v>
      </c>
      <c r="DF210" t="e">
        <f>AND(Bills!Q822,"AAAAAF3V3W0=")</f>
        <v>#VALUE!</v>
      </c>
      <c r="DG210" t="e">
        <f>AND(Bills!R822,"AAAAAF3V3W4=")</f>
        <v>#VALUE!</v>
      </c>
      <c r="DH210" t="e">
        <f>AND(Bills!#REF!,"AAAAAF3V3W8=")</f>
        <v>#REF!</v>
      </c>
      <c r="DI210" t="e">
        <f>AND(Bills!S822,"AAAAAF3V3XA=")</f>
        <v>#VALUE!</v>
      </c>
      <c r="DJ210" t="e">
        <f>AND(Bills!T822,"AAAAAF3V3XE=")</f>
        <v>#VALUE!</v>
      </c>
      <c r="DK210" t="e">
        <f>AND(Bills!U822,"AAAAAF3V3XI=")</f>
        <v>#VALUE!</v>
      </c>
      <c r="DL210" t="e">
        <f>AND(Bills!#REF!,"AAAAAF3V3XM=")</f>
        <v>#REF!</v>
      </c>
      <c r="DM210" t="e">
        <f>AND(Bills!#REF!,"AAAAAF3V3XQ=")</f>
        <v>#REF!</v>
      </c>
      <c r="DN210" t="e">
        <f>AND(Bills!W822,"AAAAAF3V3XU=")</f>
        <v>#VALUE!</v>
      </c>
      <c r="DO210" t="e">
        <f>AND(Bills!X822,"AAAAAF3V3XY=")</f>
        <v>#VALUE!</v>
      </c>
      <c r="DP210" t="e">
        <f>AND(Bills!#REF!,"AAAAAF3V3Xc=")</f>
        <v>#REF!</v>
      </c>
      <c r="DQ210" t="e">
        <f>AND(Bills!#REF!,"AAAAAF3V3Xg=")</f>
        <v>#REF!</v>
      </c>
      <c r="DR210" t="e">
        <f>AND(Bills!#REF!,"AAAAAF3V3Xk=")</f>
        <v>#REF!</v>
      </c>
      <c r="DS210" t="e">
        <f>AND(Bills!#REF!,"AAAAAF3V3Xo=")</f>
        <v>#REF!</v>
      </c>
      <c r="DT210" t="e">
        <f>AND(Bills!#REF!,"AAAAAF3V3Xs=")</f>
        <v>#REF!</v>
      </c>
      <c r="DU210" t="e">
        <f>AND(Bills!#REF!,"AAAAAF3V3Xw=")</f>
        <v>#REF!</v>
      </c>
      <c r="DV210" t="e">
        <f>AND(Bills!#REF!,"AAAAAF3V3X0=")</f>
        <v>#REF!</v>
      </c>
      <c r="DW210" t="e">
        <f>AND(Bills!#REF!,"AAAAAF3V3X4=")</f>
        <v>#REF!</v>
      </c>
      <c r="DX210" t="e">
        <f>AND(Bills!#REF!,"AAAAAF3V3X8=")</f>
        <v>#REF!</v>
      </c>
      <c r="DY210" t="e">
        <f>AND(Bills!Y822,"AAAAAF3V3YA=")</f>
        <v>#VALUE!</v>
      </c>
      <c r="DZ210" t="e">
        <f>AND(Bills!Z822,"AAAAAF3V3YE=")</f>
        <v>#VALUE!</v>
      </c>
      <c r="EA210" t="e">
        <f>AND(Bills!#REF!,"AAAAAF3V3YI=")</f>
        <v>#REF!</v>
      </c>
      <c r="EB210" t="e">
        <f>AND(Bills!#REF!,"AAAAAF3V3YM=")</f>
        <v>#REF!</v>
      </c>
      <c r="EC210" t="e">
        <f>AND(Bills!#REF!,"AAAAAF3V3YQ=")</f>
        <v>#REF!</v>
      </c>
      <c r="ED210" t="e">
        <f>AND(Bills!AA822,"AAAAAF3V3YU=")</f>
        <v>#VALUE!</v>
      </c>
      <c r="EE210" t="e">
        <f>AND(Bills!AB822,"AAAAAF3V3YY=")</f>
        <v>#VALUE!</v>
      </c>
      <c r="EF210" t="e">
        <f>AND(Bills!#REF!,"AAAAAF3V3Yc=")</f>
        <v>#REF!</v>
      </c>
      <c r="EG210">
        <f>IF(Bills!823:823,"AAAAAF3V3Yg=",0)</f>
        <v>0</v>
      </c>
      <c r="EH210" t="e">
        <f>AND(Bills!B823,"AAAAAF3V3Yk=")</f>
        <v>#VALUE!</v>
      </c>
      <c r="EI210" t="e">
        <f>AND(Bills!#REF!,"AAAAAF3V3Yo=")</f>
        <v>#REF!</v>
      </c>
      <c r="EJ210" t="e">
        <f>AND(Bills!C823,"AAAAAF3V3Ys=")</f>
        <v>#VALUE!</v>
      </c>
      <c r="EK210" t="e">
        <f>AND(Bills!#REF!,"AAAAAF3V3Yw=")</f>
        <v>#REF!</v>
      </c>
      <c r="EL210" t="e">
        <f>AND(Bills!#REF!,"AAAAAF3V3Y0=")</f>
        <v>#REF!</v>
      </c>
      <c r="EM210" t="e">
        <f>AND(Bills!#REF!,"AAAAAF3V3Y4=")</f>
        <v>#REF!</v>
      </c>
      <c r="EN210" t="e">
        <f>AND(Bills!#REF!,"AAAAAF3V3Y8=")</f>
        <v>#REF!</v>
      </c>
      <c r="EO210" t="e">
        <f>AND(Bills!#REF!,"AAAAAF3V3ZA=")</f>
        <v>#REF!</v>
      </c>
      <c r="EP210" t="e">
        <f>AND(Bills!D823,"AAAAAF3V3ZE=")</f>
        <v>#VALUE!</v>
      </c>
      <c r="EQ210" t="e">
        <f>AND(Bills!#REF!,"AAAAAF3V3ZI=")</f>
        <v>#REF!</v>
      </c>
      <c r="ER210" t="e">
        <f>AND(Bills!E823,"AAAAAF3V3ZM=")</f>
        <v>#VALUE!</v>
      </c>
      <c r="ES210" t="e">
        <f>AND(Bills!F823,"AAAAAF3V3ZQ=")</f>
        <v>#VALUE!</v>
      </c>
      <c r="ET210" t="e">
        <f>AND(Bills!G823,"AAAAAF3V3ZU=")</f>
        <v>#VALUE!</v>
      </c>
      <c r="EU210" t="e">
        <f>AND(Bills!H823,"AAAAAF3V3ZY=")</f>
        <v>#VALUE!</v>
      </c>
      <c r="EV210" t="e">
        <f>AND(Bills!I823,"AAAAAF3V3Zc=")</f>
        <v>#VALUE!</v>
      </c>
      <c r="EW210" t="e">
        <f>AND(Bills!J823,"AAAAAF3V3Zg=")</f>
        <v>#VALUE!</v>
      </c>
      <c r="EX210" t="e">
        <f>AND(Bills!#REF!,"AAAAAF3V3Zk=")</f>
        <v>#REF!</v>
      </c>
      <c r="EY210" t="e">
        <f>AND(Bills!K823,"AAAAAF3V3Zo=")</f>
        <v>#VALUE!</v>
      </c>
      <c r="EZ210" t="e">
        <f>AND(Bills!L823,"AAAAAF3V3Zs=")</f>
        <v>#VALUE!</v>
      </c>
      <c r="FA210" t="e">
        <f>AND(Bills!M823,"AAAAAF3V3Zw=")</f>
        <v>#VALUE!</v>
      </c>
      <c r="FB210" t="e">
        <f>AND(Bills!N823,"AAAAAF3V3Z0=")</f>
        <v>#VALUE!</v>
      </c>
      <c r="FC210" t="e">
        <f>AND(Bills!O823,"AAAAAF3V3Z4=")</f>
        <v>#VALUE!</v>
      </c>
      <c r="FD210" t="e">
        <f>AND(Bills!P823,"AAAAAF3V3Z8=")</f>
        <v>#VALUE!</v>
      </c>
      <c r="FE210" t="e">
        <f>AND(Bills!Q823,"AAAAAF3V3aA=")</f>
        <v>#VALUE!</v>
      </c>
      <c r="FF210" t="e">
        <f>AND(Bills!R823,"AAAAAF3V3aE=")</f>
        <v>#VALUE!</v>
      </c>
      <c r="FG210" t="e">
        <f>AND(Bills!#REF!,"AAAAAF3V3aI=")</f>
        <v>#REF!</v>
      </c>
      <c r="FH210" t="e">
        <f>AND(Bills!S823,"AAAAAF3V3aM=")</f>
        <v>#VALUE!</v>
      </c>
      <c r="FI210" t="e">
        <f>AND(Bills!T823,"AAAAAF3V3aQ=")</f>
        <v>#VALUE!</v>
      </c>
      <c r="FJ210" t="e">
        <f>AND(Bills!U823,"AAAAAF3V3aU=")</f>
        <v>#VALUE!</v>
      </c>
      <c r="FK210" t="e">
        <f>AND(Bills!#REF!,"AAAAAF3V3aY=")</f>
        <v>#REF!</v>
      </c>
      <c r="FL210" t="e">
        <f>AND(Bills!#REF!,"AAAAAF3V3ac=")</f>
        <v>#REF!</v>
      </c>
      <c r="FM210" t="e">
        <f>AND(Bills!W823,"AAAAAF3V3ag=")</f>
        <v>#VALUE!</v>
      </c>
      <c r="FN210" t="e">
        <f>AND(Bills!X823,"AAAAAF3V3ak=")</f>
        <v>#VALUE!</v>
      </c>
      <c r="FO210" t="e">
        <f>AND(Bills!#REF!,"AAAAAF3V3ao=")</f>
        <v>#REF!</v>
      </c>
      <c r="FP210" t="e">
        <f>AND(Bills!#REF!,"AAAAAF3V3as=")</f>
        <v>#REF!</v>
      </c>
      <c r="FQ210" t="e">
        <f>AND(Bills!#REF!,"AAAAAF3V3aw=")</f>
        <v>#REF!</v>
      </c>
      <c r="FR210" t="e">
        <f>AND(Bills!#REF!,"AAAAAF3V3a0=")</f>
        <v>#REF!</v>
      </c>
      <c r="FS210" t="e">
        <f>AND(Bills!#REF!,"AAAAAF3V3a4=")</f>
        <v>#REF!</v>
      </c>
      <c r="FT210" t="e">
        <f>AND(Bills!#REF!,"AAAAAF3V3a8=")</f>
        <v>#REF!</v>
      </c>
      <c r="FU210" t="e">
        <f>AND(Bills!#REF!,"AAAAAF3V3bA=")</f>
        <v>#REF!</v>
      </c>
      <c r="FV210" t="e">
        <f>AND(Bills!#REF!,"AAAAAF3V3bE=")</f>
        <v>#REF!</v>
      </c>
      <c r="FW210" t="e">
        <f>AND(Bills!#REF!,"AAAAAF3V3bI=")</f>
        <v>#REF!</v>
      </c>
      <c r="FX210" t="e">
        <f>AND(Bills!Y823,"AAAAAF3V3bM=")</f>
        <v>#VALUE!</v>
      </c>
      <c r="FY210" t="e">
        <f>AND(Bills!Z823,"AAAAAF3V3bQ=")</f>
        <v>#VALUE!</v>
      </c>
      <c r="FZ210" t="e">
        <f>AND(Bills!#REF!,"AAAAAF3V3bU=")</f>
        <v>#REF!</v>
      </c>
      <c r="GA210" t="e">
        <f>AND(Bills!#REF!,"AAAAAF3V3bY=")</f>
        <v>#REF!</v>
      </c>
      <c r="GB210" t="e">
        <f>AND(Bills!#REF!,"AAAAAF3V3bc=")</f>
        <v>#REF!</v>
      </c>
      <c r="GC210" t="e">
        <f>AND(Bills!AA823,"AAAAAF3V3bg=")</f>
        <v>#VALUE!</v>
      </c>
      <c r="GD210" t="e">
        <f>AND(Bills!AB823,"AAAAAF3V3bk=")</f>
        <v>#VALUE!</v>
      </c>
      <c r="GE210" t="e">
        <f>AND(Bills!#REF!,"AAAAAF3V3bo=")</f>
        <v>#REF!</v>
      </c>
      <c r="GF210">
        <f>IF(Bills!824:824,"AAAAAF3V3bs=",0)</f>
        <v>0</v>
      </c>
      <c r="GG210" t="e">
        <f>AND(Bills!B824,"AAAAAF3V3bw=")</f>
        <v>#VALUE!</v>
      </c>
      <c r="GH210" t="e">
        <f>AND(Bills!#REF!,"AAAAAF3V3b0=")</f>
        <v>#REF!</v>
      </c>
      <c r="GI210" t="e">
        <f>AND(Bills!C824,"AAAAAF3V3b4=")</f>
        <v>#VALUE!</v>
      </c>
      <c r="GJ210" t="e">
        <f>AND(Bills!#REF!,"AAAAAF3V3b8=")</f>
        <v>#REF!</v>
      </c>
      <c r="GK210" t="e">
        <f>AND(Bills!#REF!,"AAAAAF3V3cA=")</f>
        <v>#REF!</v>
      </c>
      <c r="GL210" t="e">
        <f>AND(Bills!#REF!,"AAAAAF3V3cE=")</f>
        <v>#REF!</v>
      </c>
      <c r="GM210" t="e">
        <f>AND(Bills!#REF!,"AAAAAF3V3cI=")</f>
        <v>#REF!</v>
      </c>
      <c r="GN210" t="e">
        <f>AND(Bills!#REF!,"AAAAAF3V3cM=")</f>
        <v>#REF!</v>
      </c>
      <c r="GO210" t="e">
        <f>AND(Bills!D824,"AAAAAF3V3cQ=")</f>
        <v>#VALUE!</v>
      </c>
      <c r="GP210" t="e">
        <f>AND(Bills!#REF!,"AAAAAF3V3cU=")</f>
        <v>#REF!</v>
      </c>
      <c r="GQ210" t="e">
        <f>AND(Bills!E824,"AAAAAF3V3cY=")</f>
        <v>#VALUE!</v>
      </c>
      <c r="GR210" t="e">
        <f>AND(Bills!F824,"AAAAAF3V3cc=")</f>
        <v>#VALUE!</v>
      </c>
      <c r="GS210" t="e">
        <f>AND(Bills!G824,"AAAAAF3V3cg=")</f>
        <v>#VALUE!</v>
      </c>
      <c r="GT210" t="e">
        <f>AND(Bills!H824,"AAAAAF3V3ck=")</f>
        <v>#VALUE!</v>
      </c>
      <c r="GU210" t="e">
        <f>AND(Bills!I824,"AAAAAF3V3co=")</f>
        <v>#VALUE!</v>
      </c>
      <c r="GV210" t="e">
        <f>AND(Bills!J824,"AAAAAF3V3cs=")</f>
        <v>#VALUE!</v>
      </c>
      <c r="GW210" t="e">
        <f>AND(Bills!#REF!,"AAAAAF3V3cw=")</f>
        <v>#REF!</v>
      </c>
      <c r="GX210" t="e">
        <f>AND(Bills!K824,"AAAAAF3V3c0=")</f>
        <v>#VALUE!</v>
      </c>
      <c r="GY210" t="e">
        <f>AND(Bills!L824,"AAAAAF3V3c4=")</f>
        <v>#VALUE!</v>
      </c>
      <c r="GZ210" t="e">
        <f>AND(Bills!M824,"AAAAAF3V3c8=")</f>
        <v>#VALUE!</v>
      </c>
      <c r="HA210" t="e">
        <f>AND(Bills!N824,"AAAAAF3V3dA=")</f>
        <v>#VALUE!</v>
      </c>
      <c r="HB210" t="e">
        <f>AND(Bills!O824,"AAAAAF3V3dE=")</f>
        <v>#VALUE!</v>
      </c>
      <c r="HC210" t="e">
        <f>AND(Bills!P824,"AAAAAF3V3dI=")</f>
        <v>#VALUE!</v>
      </c>
      <c r="HD210" t="e">
        <f>AND(Bills!Q824,"AAAAAF3V3dM=")</f>
        <v>#VALUE!</v>
      </c>
      <c r="HE210" t="e">
        <f>AND(Bills!R824,"AAAAAF3V3dQ=")</f>
        <v>#VALUE!</v>
      </c>
      <c r="HF210" t="e">
        <f>AND(Bills!#REF!,"AAAAAF3V3dU=")</f>
        <v>#REF!</v>
      </c>
      <c r="HG210" t="e">
        <f>AND(Bills!S824,"AAAAAF3V3dY=")</f>
        <v>#VALUE!</v>
      </c>
      <c r="HH210" t="e">
        <f>AND(Bills!T824,"AAAAAF3V3dc=")</f>
        <v>#VALUE!</v>
      </c>
      <c r="HI210" t="e">
        <f>AND(Bills!U824,"AAAAAF3V3dg=")</f>
        <v>#VALUE!</v>
      </c>
      <c r="HJ210" t="e">
        <f>AND(Bills!#REF!,"AAAAAF3V3dk=")</f>
        <v>#REF!</v>
      </c>
      <c r="HK210" t="e">
        <f>AND(Bills!#REF!,"AAAAAF3V3do=")</f>
        <v>#REF!</v>
      </c>
      <c r="HL210" t="e">
        <f>AND(Bills!W824,"AAAAAF3V3ds=")</f>
        <v>#VALUE!</v>
      </c>
      <c r="HM210" t="e">
        <f>AND(Bills!X824,"AAAAAF3V3dw=")</f>
        <v>#VALUE!</v>
      </c>
      <c r="HN210" t="e">
        <f>AND(Bills!#REF!,"AAAAAF3V3d0=")</f>
        <v>#REF!</v>
      </c>
      <c r="HO210" t="e">
        <f>AND(Bills!#REF!,"AAAAAF3V3d4=")</f>
        <v>#REF!</v>
      </c>
      <c r="HP210" t="e">
        <f>AND(Bills!#REF!,"AAAAAF3V3d8=")</f>
        <v>#REF!</v>
      </c>
      <c r="HQ210" t="e">
        <f>AND(Bills!#REF!,"AAAAAF3V3eA=")</f>
        <v>#REF!</v>
      </c>
      <c r="HR210" t="e">
        <f>AND(Bills!#REF!,"AAAAAF3V3eE=")</f>
        <v>#REF!</v>
      </c>
      <c r="HS210" t="e">
        <f>AND(Bills!#REF!,"AAAAAF3V3eI=")</f>
        <v>#REF!</v>
      </c>
      <c r="HT210" t="e">
        <f>AND(Bills!#REF!,"AAAAAF3V3eM=")</f>
        <v>#REF!</v>
      </c>
      <c r="HU210" t="e">
        <f>AND(Bills!#REF!,"AAAAAF3V3eQ=")</f>
        <v>#REF!</v>
      </c>
      <c r="HV210" t="e">
        <f>AND(Bills!#REF!,"AAAAAF3V3eU=")</f>
        <v>#REF!</v>
      </c>
      <c r="HW210" t="e">
        <f>AND(Bills!Y824,"AAAAAF3V3eY=")</f>
        <v>#VALUE!</v>
      </c>
      <c r="HX210" t="e">
        <f>AND(Bills!Z824,"AAAAAF3V3ec=")</f>
        <v>#VALUE!</v>
      </c>
      <c r="HY210" t="e">
        <f>AND(Bills!#REF!,"AAAAAF3V3eg=")</f>
        <v>#REF!</v>
      </c>
      <c r="HZ210" t="e">
        <f>AND(Bills!#REF!,"AAAAAF3V3ek=")</f>
        <v>#REF!</v>
      </c>
      <c r="IA210" t="e">
        <f>AND(Bills!#REF!,"AAAAAF3V3eo=")</f>
        <v>#REF!</v>
      </c>
      <c r="IB210" t="e">
        <f>AND(Bills!AA824,"AAAAAF3V3es=")</f>
        <v>#VALUE!</v>
      </c>
      <c r="IC210" t="e">
        <f>AND(Bills!AB824,"AAAAAF3V3ew=")</f>
        <v>#VALUE!</v>
      </c>
      <c r="ID210" t="e">
        <f>AND(Bills!#REF!,"AAAAAF3V3e0=")</f>
        <v>#REF!</v>
      </c>
      <c r="IE210">
        <f>IF(Bills!825:825,"AAAAAF3V3e4=",0)</f>
        <v>0</v>
      </c>
      <c r="IF210" t="e">
        <f>AND(Bills!B825,"AAAAAF3V3e8=")</f>
        <v>#VALUE!</v>
      </c>
      <c r="IG210" t="e">
        <f>AND(Bills!#REF!,"AAAAAF3V3fA=")</f>
        <v>#REF!</v>
      </c>
      <c r="IH210" t="e">
        <f>AND(Bills!C825,"AAAAAF3V3fE=")</f>
        <v>#VALUE!</v>
      </c>
      <c r="II210" t="e">
        <f>AND(Bills!#REF!,"AAAAAF3V3fI=")</f>
        <v>#REF!</v>
      </c>
      <c r="IJ210" t="e">
        <f>AND(Bills!#REF!,"AAAAAF3V3fM=")</f>
        <v>#REF!</v>
      </c>
      <c r="IK210" t="e">
        <f>AND(Bills!#REF!,"AAAAAF3V3fQ=")</f>
        <v>#REF!</v>
      </c>
      <c r="IL210" t="e">
        <f>AND(Bills!#REF!,"AAAAAF3V3fU=")</f>
        <v>#REF!</v>
      </c>
      <c r="IM210" t="e">
        <f>AND(Bills!#REF!,"AAAAAF3V3fY=")</f>
        <v>#REF!</v>
      </c>
      <c r="IN210" t="e">
        <f>AND(Bills!D825,"AAAAAF3V3fc=")</f>
        <v>#VALUE!</v>
      </c>
      <c r="IO210" t="e">
        <f>AND(Bills!#REF!,"AAAAAF3V3fg=")</f>
        <v>#REF!</v>
      </c>
      <c r="IP210" t="e">
        <f>AND(Bills!E825,"AAAAAF3V3fk=")</f>
        <v>#VALUE!</v>
      </c>
      <c r="IQ210" t="e">
        <f>AND(Bills!F825,"AAAAAF3V3fo=")</f>
        <v>#VALUE!</v>
      </c>
      <c r="IR210" t="e">
        <f>AND(Bills!G825,"AAAAAF3V3fs=")</f>
        <v>#VALUE!</v>
      </c>
      <c r="IS210" t="e">
        <f>AND(Bills!H825,"AAAAAF3V3fw=")</f>
        <v>#VALUE!</v>
      </c>
      <c r="IT210" t="e">
        <f>AND(Bills!I825,"AAAAAF3V3f0=")</f>
        <v>#VALUE!</v>
      </c>
      <c r="IU210" t="e">
        <f>AND(Bills!J825,"AAAAAF3V3f4=")</f>
        <v>#VALUE!</v>
      </c>
      <c r="IV210" t="e">
        <f>AND(Bills!#REF!,"AAAAAF3V3f8=")</f>
        <v>#REF!</v>
      </c>
    </row>
    <row r="211" spans="1:256">
      <c r="A211" t="e">
        <f>AND(Bills!K825,"AAAAAH+fOwA=")</f>
        <v>#VALUE!</v>
      </c>
      <c r="B211" t="e">
        <f>AND(Bills!L825,"AAAAAH+fOwE=")</f>
        <v>#VALUE!</v>
      </c>
      <c r="C211" t="e">
        <f>AND(Bills!M825,"AAAAAH+fOwI=")</f>
        <v>#VALUE!</v>
      </c>
      <c r="D211" t="e">
        <f>AND(Bills!N825,"AAAAAH+fOwM=")</f>
        <v>#VALUE!</v>
      </c>
      <c r="E211" t="e">
        <f>AND(Bills!O825,"AAAAAH+fOwQ=")</f>
        <v>#VALUE!</v>
      </c>
      <c r="F211" t="e">
        <f>AND(Bills!P825,"AAAAAH+fOwU=")</f>
        <v>#VALUE!</v>
      </c>
      <c r="G211" t="e">
        <f>AND(Bills!Q825,"AAAAAH+fOwY=")</f>
        <v>#VALUE!</v>
      </c>
      <c r="H211" t="e">
        <f>AND(Bills!R825,"AAAAAH+fOwc=")</f>
        <v>#VALUE!</v>
      </c>
      <c r="I211" t="e">
        <f>AND(Bills!#REF!,"AAAAAH+fOwg=")</f>
        <v>#REF!</v>
      </c>
      <c r="J211" t="e">
        <f>AND(Bills!S825,"AAAAAH+fOwk=")</f>
        <v>#VALUE!</v>
      </c>
      <c r="K211" t="e">
        <f>AND(Bills!T825,"AAAAAH+fOwo=")</f>
        <v>#VALUE!</v>
      </c>
      <c r="L211" t="e">
        <f>AND(Bills!U825,"AAAAAH+fOws=")</f>
        <v>#VALUE!</v>
      </c>
      <c r="M211" t="e">
        <f>AND(Bills!#REF!,"AAAAAH+fOww=")</f>
        <v>#REF!</v>
      </c>
      <c r="N211" t="e">
        <f>AND(Bills!#REF!,"AAAAAH+fOw0=")</f>
        <v>#REF!</v>
      </c>
      <c r="O211" t="e">
        <f>AND(Bills!W825,"AAAAAH+fOw4=")</f>
        <v>#VALUE!</v>
      </c>
      <c r="P211" t="e">
        <f>AND(Bills!X825,"AAAAAH+fOw8=")</f>
        <v>#VALUE!</v>
      </c>
      <c r="Q211" t="e">
        <f>AND(Bills!#REF!,"AAAAAH+fOxA=")</f>
        <v>#REF!</v>
      </c>
      <c r="R211" t="e">
        <f>AND(Bills!#REF!,"AAAAAH+fOxE=")</f>
        <v>#REF!</v>
      </c>
      <c r="S211" t="e">
        <f>AND(Bills!#REF!,"AAAAAH+fOxI=")</f>
        <v>#REF!</v>
      </c>
      <c r="T211" t="e">
        <f>AND(Bills!#REF!,"AAAAAH+fOxM=")</f>
        <v>#REF!</v>
      </c>
      <c r="U211" t="e">
        <f>AND(Bills!#REF!,"AAAAAH+fOxQ=")</f>
        <v>#REF!</v>
      </c>
      <c r="V211" t="e">
        <f>AND(Bills!#REF!,"AAAAAH+fOxU=")</f>
        <v>#REF!</v>
      </c>
      <c r="W211" t="e">
        <f>AND(Bills!#REF!,"AAAAAH+fOxY=")</f>
        <v>#REF!</v>
      </c>
      <c r="X211" t="e">
        <f>AND(Bills!#REF!,"AAAAAH+fOxc=")</f>
        <v>#REF!</v>
      </c>
      <c r="Y211" t="e">
        <f>AND(Bills!#REF!,"AAAAAH+fOxg=")</f>
        <v>#REF!</v>
      </c>
      <c r="Z211" t="e">
        <f>AND(Bills!Y825,"AAAAAH+fOxk=")</f>
        <v>#VALUE!</v>
      </c>
      <c r="AA211" t="e">
        <f>AND(Bills!Z825,"AAAAAH+fOxo=")</f>
        <v>#VALUE!</v>
      </c>
      <c r="AB211" t="e">
        <f>AND(Bills!#REF!,"AAAAAH+fOxs=")</f>
        <v>#REF!</v>
      </c>
      <c r="AC211" t="e">
        <f>AND(Bills!#REF!,"AAAAAH+fOxw=")</f>
        <v>#REF!</v>
      </c>
      <c r="AD211" t="e">
        <f>AND(Bills!#REF!,"AAAAAH+fOx0=")</f>
        <v>#REF!</v>
      </c>
      <c r="AE211" t="e">
        <f>AND(Bills!AA825,"AAAAAH+fOx4=")</f>
        <v>#VALUE!</v>
      </c>
      <c r="AF211" t="e">
        <f>AND(Bills!AB825,"AAAAAH+fOx8=")</f>
        <v>#VALUE!</v>
      </c>
      <c r="AG211" t="e">
        <f>AND(Bills!#REF!,"AAAAAH+fOyA=")</f>
        <v>#REF!</v>
      </c>
      <c r="AH211">
        <f>IF(Bills!826:826,"AAAAAH+fOyE=",0)</f>
        <v>0</v>
      </c>
      <c r="AI211" t="e">
        <f>AND(Bills!B826,"AAAAAH+fOyI=")</f>
        <v>#VALUE!</v>
      </c>
      <c r="AJ211" t="e">
        <f>AND(Bills!#REF!,"AAAAAH+fOyM=")</f>
        <v>#REF!</v>
      </c>
      <c r="AK211" t="e">
        <f>AND(Bills!C826,"AAAAAH+fOyQ=")</f>
        <v>#VALUE!</v>
      </c>
      <c r="AL211" t="e">
        <f>AND(Bills!#REF!,"AAAAAH+fOyU=")</f>
        <v>#REF!</v>
      </c>
      <c r="AM211" t="e">
        <f>AND(Bills!#REF!,"AAAAAH+fOyY=")</f>
        <v>#REF!</v>
      </c>
      <c r="AN211" t="e">
        <f>AND(Bills!#REF!,"AAAAAH+fOyc=")</f>
        <v>#REF!</v>
      </c>
      <c r="AO211" t="e">
        <f>AND(Bills!#REF!,"AAAAAH+fOyg=")</f>
        <v>#REF!</v>
      </c>
      <c r="AP211" t="e">
        <f>AND(Bills!#REF!,"AAAAAH+fOyk=")</f>
        <v>#REF!</v>
      </c>
      <c r="AQ211" t="e">
        <f>AND(Bills!D826,"AAAAAH+fOyo=")</f>
        <v>#VALUE!</v>
      </c>
      <c r="AR211" t="e">
        <f>AND(Bills!#REF!,"AAAAAH+fOys=")</f>
        <v>#REF!</v>
      </c>
      <c r="AS211" t="e">
        <f>AND(Bills!E826,"AAAAAH+fOyw=")</f>
        <v>#VALUE!</v>
      </c>
      <c r="AT211" t="e">
        <f>AND(Bills!F826,"AAAAAH+fOy0=")</f>
        <v>#VALUE!</v>
      </c>
      <c r="AU211" t="e">
        <f>AND(Bills!G826,"AAAAAH+fOy4=")</f>
        <v>#VALUE!</v>
      </c>
      <c r="AV211" t="e">
        <f>AND(Bills!H826,"AAAAAH+fOy8=")</f>
        <v>#VALUE!</v>
      </c>
      <c r="AW211" t="e">
        <f>AND(Bills!I826,"AAAAAH+fOzA=")</f>
        <v>#VALUE!</v>
      </c>
      <c r="AX211" t="e">
        <f>AND(Bills!J826,"AAAAAH+fOzE=")</f>
        <v>#VALUE!</v>
      </c>
      <c r="AY211" t="e">
        <f>AND(Bills!#REF!,"AAAAAH+fOzI=")</f>
        <v>#REF!</v>
      </c>
      <c r="AZ211" t="e">
        <f>AND(Bills!K826,"AAAAAH+fOzM=")</f>
        <v>#VALUE!</v>
      </c>
      <c r="BA211" t="e">
        <f>AND(Bills!L826,"AAAAAH+fOzQ=")</f>
        <v>#VALUE!</v>
      </c>
      <c r="BB211" t="e">
        <f>AND(Bills!M826,"AAAAAH+fOzU=")</f>
        <v>#VALUE!</v>
      </c>
      <c r="BC211" t="e">
        <f>AND(Bills!N826,"AAAAAH+fOzY=")</f>
        <v>#VALUE!</v>
      </c>
      <c r="BD211" t="e">
        <f>AND(Bills!O826,"AAAAAH+fOzc=")</f>
        <v>#VALUE!</v>
      </c>
      <c r="BE211" t="e">
        <f>AND(Bills!P826,"AAAAAH+fOzg=")</f>
        <v>#VALUE!</v>
      </c>
      <c r="BF211" t="e">
        <f>AND(Bills!Q826,"AAAAAH+fOzk=")</f>
        <v>#VALUE!</v>
      </c>
      <c r="BG211" t="e">
        <f>AND(Bills!R826,"AAAAAH+fOzo=")</f>
        <v>#VALUE!</v>
      </c>
      <c r="BH211" t="e">
        <f>AND(Bills!#REF!,"AAAAAH+fOzs=")</f>
        <v>#REF!</v>
      </c>
      <c r="BI211" t="e">
        <f>AND(Bills!S826,"AAAAAH+fOzw=")</f>
        <v>#VALUE!</v>
      </c>
      <c r="BJ211" t="e">
        <f>AND(Bills!T826,"AAAAAH+fOz0=")</f>
        <v>#VALUE!</v>
      </c>
      <c r="BK211" t="e">
        <f>AND(Bills!U826,"AAAAAH+fOz4=")</f>
        <v>#VALUE!</v>
      </c>
      <c r="BL211" t="e">
        <f>AND(Bills!#REF!,"AAAAAH+fOz8=")</f>
        <v>#REF!</v>
      </c>
      <c r="BM211" t="e">
        <f>AND(Bills!#REF!,"AAAAAH+fO0A=")</f>
        <v>#REF!</v>
      </c>
      <c r="BN211" t="e">
        <f>AND(Bills!W826,"AAAAAH+fO0E=")</f>
        <v>#VALUE!</v>
      </c>
      <c r="BO211" t="e">
        <f>AND(Bills!X826,"AAAAAH+fO0I=")</f>
        <v>#VALUE!</v>
      </c>
      <c r="BP211" t="e">
        <f>AND(Bills!#REF!,"AAAAAH+fO0M=")</f>
        <v>#REF!</v>
      </c>
      <c r="BQ211" t="e">
        <f>AND(Bills!#REF!,"AAAAAH+fO0Q=")</f>
        <v>#REF!</v>
      </c>
      <c r="BR211" t="e">
        <f>AND(Bills!#REF!,"AAAAAH+fO0U=")</f>
        <v>#REF!</v>
      </c>
      <c r="BS211" t="e">
        <f>AND(Bills!#REF!,"AAAAAH+fO0Y=")</f>
        <v>#REF!</v>
      </c>
      <c r="BT211" t="e">
        <f>AND(Bills!#REF!,"AAAAAH+fO0c=")</f>
        <v>#REF!</v>
      </c>
      <c r="BU211" t="e">
        <f>AND(Bills!#REF!,"AAAAAH+fO0g=")</f>
        <v>#REF!</v>
      </c>
      <c r="BV211" t="e">
        <f>AND(Bills!#REF!,"AAAAAH+fO0k=")</f>
        <v>#REF!</v>
      </c>
      <c r="BW211" t="e">
        <f>AND(Bills!#REF!,"AAAAAH+fO0o=")</f>
        <v>#REF!</v>
      </c>
      <c r="BX211" t="e">
        <f>AND(Bills!#REF!,"AAAAAH+fO0s=")</f>
        <v>#REF!</v>
      </c>
      <c r="BY211" t="e">
        <f>AND(Bills!Y826,"AAAAAH+fO0w=")</f>
        <v>#VALUE!</v>
      </c>
      <c r="BZ211" t="e">
        <f>AND(Bills!Z826,"AAAAAH+fO00=")</f>
        <v>#VALUE!</v>
      </c>
      <c r="CA211" t="e">
        <f>AND(Bills!#REF!,"AAAAAH+fO04=")</f>
        <v>#REF!</v>
      </c>
      <c r="CB211" t="e">
        <f>AND(Bills!#REF!,"AAAAAH+fO08=")</f>
        <v>#REF!</v>
      </c>
      <c r="CC211" t="e">
        <f>AND(Bills!#REF!,"AAAAAH+fO1A=")</f>
        <v>#REF!</v>
      </c>
      <c r="CD211" t="e">
        <f>AND(Bills!AA826,"AAAAAH+fO1E=")</f>
        <v>#VALUE!</v>
      </c>
      <c r="CE211" t="e">
        <f>AND(Bills!AB826,"AAAAAH+fO1I=")</f>
        <v>#VALUE!</v>
      </c>
      <c r="CF211" t="e">
        <f>AND(Bills!#REF!,"AAAAAH+fO1M=")</f>
        <v>#REF!</v>
      </c>
      <c r="CG211">
        <f>IF(Bills!827:827,"AAAAAH+fO1Q=",0)</f>
        <v>0</v>
      </c>
      <c r="CH211" t="e">
        <f>AND(Bills!B827,"AAAAAH+fO1U=")</f>
        <v>#VALUE!</v>
      </c>
      <c r="CI211" t="e">
        <f>AND(Bills!#REF!,"AAAAAH+fO1Y=")</f>
        <v>#REF!</v>
      </c>
      <c r="CJ211" t="e">
        <f>AND(Bills!C827,"AAAAAH+fO1c=")</f>
        <v>#VALUE!</v>
      </c>
      <c r="CK211" t="e">
        <f>AND(Bills!#REF!,"AAAAAH+fO1g=")</f>
        <v>#REF!</v>
      </c>
      <c r="CL211" t="e">
        <f>AND(Bills!#REF!,"AAAAAH+fO1k=")</f>
        <v>#REF!</v>
      </c>
      <c r="CM211" t="e">
        <f>AND(Bills!#REF!,"AAAAAH+fO1o=")</f>
        <v>#REF!</v>
      </c>
      <c r="CN211" t="e">
        <f>AND(Bills!#REF!,"AAAAAH+fO1s=")</f>
        <v>#REF!</v>
      </c>
      <c r="CO211" t="e">
        <f>AND(Bills!#REF!,"AAAAAH+fO1w=")</f>
        <v>#REF!</v>
      </c>
      <c r="CP211" t="e">
        <f>AND(Bills!D827,"AAAAAH+fO10=")</f>
        <v>#VALUE!</v>
      </c>
      <c r="CQ211" t="e">
        <f>AND(Bills!#REF!,"AAAAAH+fO14=")</f>
        <v>#REF!</v>
      </c>
      <c r="CR211" t="e">
        <f>AND(Bills!E827,"AAAAAH+fO18=")</f>
        <v>#VALUE!</v>
      </c>
      <c r="CS211" t="e">
        <f>AND(Bills!F827,"AAAAAH+fO2A=")</f>
        <v>#VALUE!</v>
      </c>
      <c r="CT211" t="e">
        <f>AND(Bills!G827,"AAAAAH+fO2E=")</f>
        <v>#VALUE!</v>
      </c>
      <c r="CU211" t="e">
        <f>AND(Bills!H827,"AAAAAH+fO2I=")</f>
        <v>#VALUE!</v>
      </c>
      <c r="CV211" t="e">
        <f>AND(Bills!I827,"AAAAAH+fO2M=")</f>
        <v>#VALUE!</v>
      </c>
      <c r="CW211" t="e">
        <f>AND(Bills!J827,"AAAAAH+fO2Q=")</f>
        <v>#VALUE!</v>
      </c>
      <c r="CX211" t="e">
        <f>AND(Bills!#REF!,"AAAAAH+fO2U=")</f>
        <v>#REF!</v>
      </c>
      <c r="CY211" t="e">
        <f>AND(Bills!K827,"AAAAAH+fO2Y=")</f>
        <v>#VALUE!</v>
      </c>
      <c r="CZ211" t="e">
        <f>AND(Bills!L827,"AAAAAH+fO2c=")</f>
        <v>#VALUE!</v>
      </c>
      <c r="DA211" t="e">
        <f>AND(Bills!M827,"AAAAAH+fO2g=")</f>
        <v>#VALUE!</v>
      </c>
      <c r="DB211" t="e">
        <f>AND(Bills!N827,"AAAAAH+fO2k=")</f>
        <v>#VALUE!</v>
      </c>
      <c r="DC211" t="e">
        <f>AND(Bills!O827,"AAAAAH+fO2o=")</f>
        <v>#VALUE!</v>
      </c>
      <c r="DD211" t="e">
        <f>AND(Bills!P827,"AAAAAH+fO2s=")</f>
        <v>#VALUE!</v>
      </c>
      <c r="DE211" t="e">
        <f>AND(Bills!Q827,"AAAAAH+fO2w=")</f>
        <v>#VALUE!</v>
      </c>
      <c r="DF211" t="e">
        <f>AND(Bills!R827,"AAAAAH+fO20=")</f>
        <v>#VALUE!</v>
      </c>
      <c r="DG211" t="e">
        <f>AND(Bills!#REF!,"AAAAAH+fO24=")</f>
        <v>#REF!</v>
      </c>
      <c r="DH211" t="e">
        <f>AND(Bills!S827,"AAAAAH+fO28=")</f>
        <v>#VALUE!</v>
      </c>
      <c r="DI211" t="e">
        <f>AND(Bills!T827,"AAAAAH+fO3A=")</f>
        <v>#VALUE!</v>
      </c>
      <c r="DJ211" t="e">
        <f>AND(Bills!U827,"AAAAAH+fO3E=")</f>
        <v>#VALUE!</v>
      </c>
      <c r="DK211" t="e">
        <f>AND(Bills!#REF!,"AAAAAH+fO3I=")</f>
        <v>#REF!</v>
      </c>
      <c r="DL211" t="e">
        <f>AND(Bills!#REF!,"AAAAAH+fO3M=")</f>
        <v>#REF!</v>
      </c>
      <c r="DM211" t="e">
        <f>AND(Bills!W827,"AAAAAH+fO3Q=")</f>
        <v>#VALUE!</v>
      </c>
      <c r="DN211" t="e">
        <f>AND(Bills!X827,"AAAAAH+fO3U=")</f>
        <v>#VALUE!</v>
      </c>
      <c r="DO211" t="e">
        <f>AND(Bills!#REF!,"AAAAAH+fO3Y=")</f>
        <v>#REF!</v>
      </c>
      <c r="DP211" t="e">
        <f>AND(Bills!#REF!,"AAAAAH+fO3c=")</f>
        <v>#REF!</v>
      </c>
      <c r="DQ211" t="e">
        <f>AND(Bills!#REF!,"AAAAAH+fO3g=")</f>
        <v>#REF!</v>
      </c>
      <c r="DR211" t="e">
        <f>AND(Bills!#REF!,"AAAAAH+fO3k=")</f>
        <v>#REF!</v>
      </c>
      <c r="DS211" t="e">
        <f>AND(Bills!#REF!,"AAAAAH+fO3o=")</f>
        <v>#REF!</v>
      </c>
      <c r="DT211" t="e">
        <f>AND(Bills!#REF!,"AAAAAH+fO3s=")</f>
        <v>#REF!</v>
      </c>
      <c r="DU211" t="e">
        <f>AND(Bills!#REF!,"AAAAAH+fO3w=")</f>
        <v>#REF!</v>
      </c>
      <c r="DV211" t="e">
        <f>AND(Bills!#REF!,"AAAAAH+fO30=")</f>
        <v>#REF!</v>
      </c>
      <c r="DW211" t="e">
        <f>AND(Bills!#REF!,"AAAAAH+fO34=")</f>
        <v>#REF!</v>
      </c>
      <c r="DX211" t="e">
        <f>AND(Bills!Y827,"AAAAAH+fO38=")</f>
        <v>#VALUE!</v>
      </c>
      <c r="DY211" t="e">
        <f>AND(Bills!Z827,"AAAAAH+fO4A=")</f>
        <v>#VALUE!</v>
      </c>
      <c r="DZ211" t="e">
        <f>AND(Bills!#REF!,"AAAAAH+fO4E=")</f>
        <v>#REF!</v>
      </c>
      <c r="EA211" t="e">
        <f>AND(Bills!#REF!,"AAAAAH+fO4I=")</f>
        <v>#REF!</v>
      </c>
      <c r="EB211" t="e">
        <f>AND(Bills!#REF!,"AAAAAH+fO4M=")</f>
        <v>#REF!</v>
      </c>
      <c r="EC211" t="e">
        <f>AND(Bills!AA827,"AAAAAH+fO4Q=")</f>
        <v>#VALUE!</v>
      </c>
      <c r="ED211" t="e">
        <f>AND(Bills!AB827,"AAAAAH+fO4U=")</f>
        <v>#VALUE!</v>
      </c>
      <c r="EE211" t="e">
        <f>AND(Bills!#REF!,"AAAAAH+fO4Y=")</f>
        <v>#REF!</v>
      </c>
      <c r="EF211">
        <f>IF(Bills!828:828,"AAAAAH+fO4c=",0)</f>
        <v>0</v>
      </c>
      <c r="EG211" t="e">
        <f>AND(Bills!B828,"AAAAAH+fO4g=")</f>
        <v>#VALUE!</v>
      </c>
      <c r="EH211" t="e">
        <f>AND(Bills!#REF!,"AAAAAH+fO4k=")</f>
        <v>#REF!</v>
      </c>
      <c r="EI211" t="e">
        <f>AND(Bills!C828,"AAAAAH+fO4o=")</f>
        <v>#VALUE!</v>
      </c>
      <c r="EJ211" t="e">
        <f>AND(Bills!#REF!,"AAAAAH+fO4s=")</f>
        <v>#REF!</v>
      </c>
      <c r="EK211" t="e">
        <f>AND(Bills!#REF!,"AAAAAH+fO4w=")</f>
        <v>#REF!</v>
      </c>
      <c r="EL211" t="e">
        <f>AND(Bills!#REF!,"AAAAAH+fO40=")</f>
        <v>#REF!</v>
      </c>
      <c r="EM211" t="e">
        <f>AND(Bills!#REF!,"AAAAAH+fO44=")</f>
        <v>#REF!</v>
      </c>
      <c r="EN211" t="e">
        <f>AND(Bills!#REF!,"AAAAAH+fO48=")</f>
        <v>#REF!</v>
      </c>
      <c r="EO211" t="e">
        <f>AND(Bills!D828,"AAAAAH+fO5A=")</f>
        <v>#VALUE!</v>
      </c>
      <c r="EP211" t="e">
        <f>AND(Bills!#REF!,"AAAAAH+fO5E=")</f>
        <v>#REF!</v>
      </c>
      <c r="EQ211" t="e">
        <f>AND(Bills!E828,"AAAAAH+fO5I=")</f>
        <v>#VALUE!</v>
      </c>
      <c r="ER211" t="e">
        <f>AND(Bills!F828,"AAAAAH+fO5M=")</f>
        <v>#VALUE!</v>
      </c>
      <c r="ES211" t="e">
        <f>AND(Bills!G828,"AAAAAH+fO5Q=")</f>
        <v>#VALUE!</v>
      </c>
      <c r="ET211" t="e">
        <f>AND(Bills!H828,"AAAAAH+fO5U=")</f>
        <v>#VALUE!</v>
      </c>
      <c r="EU211" t="e">
        <f>AND(Bills!I828,"AAAAAH+fO5Y=")</f>
        <v>#VALUE!</v>
      </c>
      <c r="EV211" t="e">
        <f>AND(Bills!J828,"AAAAAH+fO5c=")</f>
        <v>#VALUE!</v>
      </c>
      <c r="EW211" t="e">
        <f>AND(Bills!#REF!,"AAAAAH+fO5g=")</f>
        <v>#REF!</v>
      </c>
      <c r="EX211" t="e">
        <f>AND(Bills!K828,"AAAAAH+fO5k=")</f>
        <v>#VALUE!</v>
      </c>
      <c r="EY211" t="e">
        <f>AND(Bills!L828,"AAAAAH+fO5o=")</f>
        <v>#VALUE!</v>
      </c>
      <c r="EZ211" t="e">
        <f>AND(Bills!M828,"AAAAAH+fO5s=")</f>
        <v>#VALUE!</v>
      </c>
      <c r="FA211" t="e">
        <f>AND(Bills!N828,"AAAAAH+fO5w=")</f>
        <v>#VALUE!</v>
      </c>
      <c r="FB211" t="e">
        <f>AND(Bills!O828,"AAAAAH+fO50=")</f>
        <v>#VALUE!</v>
      </c>
      <c r="FC211" t="e">
        <f>AND(Bills!P828,"AAAAAH+fO54=")</f>
        <v>#VALUE!</v>
      </c>
      <c r="FD211" t="e">
        <f>AND(Bills!Q828,"AAAAAH+fO58=")</f>
        <v>#VALUE!</v>
      </c>
      <c r="FE211" t="e">
        <f>AND(Bills!R828,"AAAAAH+fO6A=")</f>
        <v>#VALUE!</v>
      </c>
      <c r="FF211" t="e">
        <f>AND(Bills!#REF!,"AAAAAH+fO6E=")</f>
        <v>#REF!</v>
      </c>
      <c r="FG211" t="e">
        <f>AND(Bills!S828,"AAAAAH+fO6I=")</f>
        <v>#VALUE!</v>
      </c>
      <c r="FH211" t="e">
        <f>AND(Bills!T828,"AAAAAH+fO6M=")</f>
        <v>#VALUE!</v>
      </c>
      <c r="FI211" t="e">
        <f>AND(Bills!U828,"AAAAAH+fO6Q=")</f>
        <v>#VALUE!</v>
      </c>
      <c r="FJ211" t="e">
        <f>AND(Bills!#REF!,"AAAAAH+fO6U=")</f>
        <v>#REF!</v>
      </c>
      <c r="FK211" t="e">
        <f>AND(Bills!#REF!,"AAAAAH+fO6Y=")</f>
        <v>#REF!</v>
      </c>
      <c r="FL211" t="e">
        <f>AND(Bills!W828,"AAAAAH+fO6c=")</f>
        <v>#VALUE!</v>
      </c>
      <c r="FM211" t="e">
        <f>AND(Bills!X828,"AAAAAH+fO6g=")</f>
        <v>#VALUE!</v>
      </c>
      <c r="FN211" t="e">
        <f>AND(Bills!#REF!,"AAAAAH+fO6k=")</f>
        <v>#REF!</v>
      </c>
      <c r="FO211" t="e">
        <f>AND(Bills!#REF!,"AAAAAH+fO6o=")</f>
        <v>#REF!</v>
      </c>
      <c r="FP211" t="e">
        <f>AND(Bills!#REF!,"AAAAAH+fO6s=")</f>
        <v>#REF!</v>
      </c>
      <c r="FQ211" t="e">
        <f>AND(Bills!#REF!,"AAAAAH+fO6w=")</f>
        <v>#REF!</v>
      </c>
      <c r="FR211" t="e">
        <f>AND(Bills!#REF!,"AAAAAH+fO60=")</f>
        <v>#REF!</v>
      </c>
      <c r="FS211" t="e">
        <f>AND(Bills!#REF!,"AAAAAH+fO64=")</f>
        <v>#REF!</v>
      </c>
      <c r="FT211" t="e">
        <f>AND(Bills!#REF!,"AAAAAH+fO68=")</f>
        <v>#REF!</v>
      </c>
      <c r="FU211" t="e">
        <f>AND(Bills!#REF!,"AAAAAH+fO7A=")</f>
        <v>#REF!</v>
      </c>
      <c r="FV211" t="e">
        <f>AND(Bills!#REF!,"AAAAAH+fO7E=")</f>
        <v>#REF!</v>
      </c>
      <c r="FW211" t="e">
        <f>AND(Bills!Y828,"AAAAAH+fO7I=")</f>
        <v>#VALUE!</v>
      </c>
      <c r="FX211" t="e">
        <f>AND(Bills!Z828,"AAAAAH+fO7M=")</f>
        <v>#VALUE!</v>
      </c>
      <c r="FY211" t="e">
        <f>AND(Bills!#REF!,"AAAAAH+fO7Q=")</f>
        <v>#REF!</v>
      </c>
      <c r="FZ211" t="e">
        <f>AND(Bills!#REF!,"AAAAAH+fO7U=")</f>
        <v>#REF!</v>
      </c>
      <c r="GA211" t="e">
        <f>AND(Bills!#REF!,"AAAAAH+fO7Y=")</f>
        <v>#REF!</v>
      </c>
      <c r="GB211" t="e">
        <f>AND(Bills!AA828,"AAAAAH+fO7c=")</f>
        <v>#VALUE!</v>
      </c>
      <c r="GC211" t="e">
        <f>AND(Bills!AB828,"AAAAAH+fO7g=")</f>
        <v>#VALUE!</v>
      </c>
      <c r="GD211" t="e">
        <f>AND(Bills!#REF!,"AAAAAH+fO7k=")</f>
        <v>#REF!</v>
      </c>
      <c r="GE211">
        <f>IF(Bills!829:829,"AAAAAH+fO7o=",0)</f>
        <v>0</v>
      </c>
      <c r="GF211" t="e">
        <f>AND(Bills!B829,"AAAAAH+fO7s=")</f>
        <v>#VALUE!</v>
      </c>
      <c r="GG211" t="e">
        <f>AND(Bills!#REF!,"AAAAAH+fO7w=")</f>
        <v>#REF!</v>
      </c>
      <c r="GH211" t="e">
        <f>AND(Bills!C829,"AAAAAH+fO70=")</f>
        <v>#VALUE!</v>
      </c>
      <c r="GI211" t="e">
        <f>AND(Bills!#REF!,"AAAAAH+fO74=")</f>
        <v>#REF!</v>
      </c>
      <c r="GJ211" t="e">
        <f>AND(Bills!#REF!,"AAAAAH+fO78=")</f>
        <v>#REF!</v>
      </c>
      <c r="GK211" t="e">
        <f>AND(Bills!#REF!,"AAAAAH+fO8A=")</f>
        <v>#REF!</v>
      </c>
      <c r="GL211" t="e">
        <f>AND(Bills!#REF!,"AAAAAH+fO8E=")</f>
        <v>#REF!</v>
      </c>
      <c r="GM211" t="e">
        <f>AND(Bills!#REF!,"AAAAAH+fO8I=")</f>
        <v>#REF!</v>
      </c>
      <c r="GN211" t="e">
        <f>AND(Bills!D829,"AAAAAH+fO8M=")</f>
        <v>#VALUE!</v>
      </c>
      <c r="GO211" t="e">
        <f>AND(Bills!#REF!,"AAAAAH+fO8Q=")</f>
        <v>#REF!</v>
      </c>
      <c r="GP211" t="e">
        <f>AND(Bills!E829,"AAAAAH+fO8U=")</f>
        <v>#VALUE!</v>
      </c>
      <c r="GQ211" t="e">
        <f>AND(Bills!F829,"AAAAAH+fO8Y=")</f>
        <v>#VALUE!</v>
      </c>
      <c r="GR211" t="e">
        <f>AND(Bills!G829,"AAAAAH+fO8c=")</f>
        <v>#VALUE!</v>
      </c>
      <c r="GS211" t="e">
        <f>AND(Bills!H829,"AAAAAH+fO8g=")</f>
        <v>#VALUE!</v>
      </c>
      <c r="GT211" t="e">
        <f>AND(Bills!I829,"AAAAAH+fO8k=")</f>
        <v>#VALUE!</v>
      </c>
      <c r="GU211" t="e">
        <f>AND(Bills!J829,"AAAAAH+fO8o=")</f>
        <v>#VALUE!</v>
      </c>
      <c r="GV211" t="e">
        <f>AND(Bills!#REF!,"AAAAAH+fO8s=")</f>
        <v>#REF!</v>
      </c>
      <c r="GW211" t="e">
        <f>AND(Bills!K829,"AAAAAH+fO8w=")</f>
        <v>#VALUE!</v>
      </c>
      <c r="GX211" t="e">
        <f>AND(Bills!L829,"AAAAAH+fO80=")</f>
        <v>#VALUE!</v>
      </c>
      <c r="GY211" t="e">
        <f>AND(Bills!M829,"AAAAAH+fO84=")</f>
        <v>#VALUE!</v>
      </c>
      <c r="GZ211" t="e">
        <f>AND(Bills!N829,"AAAAAH+fO88=")</f>
        <v>#VALUE!</v>
      </c>
      <c r="HA211" t="e">
        <f>AND(Bills!O829,"AAAAAH+fO9A=")</f>
        <v>#VALUE!</v>
      </c>
      <c r="HB211" t="e">
        <f>AND(Bills!P829,"AAAAAH+fO9E=")</f>
        <v>#VALUE!</v>
      </c>
      <c r="HC211" t="e">
        <f>AND(Bills!Q829,"AAAAAH+fO9I=")</f>
        <v>#VALUE!</v>
      </c>
      <c r="HD211" t="e">
        <f>AND(Bills!R829,"AAAAAH+fO9M=")</f>
        <v>#VALUE!</v>
      </c>
      <c r="HE211" t="e">
        <f>AND(Bills!#REF!,"AAAAAH+fO9Q=")</f>
        <v>#REF!</v>
      </c>
      <c r="HF211" t="e">
        <f>AND(Bills!S829,"AAAAAH+fO9U=")</f>
        <v>#VALUE!</v>
      </c>
      <c r="HG211" t="e">
        <f>AND(Bills!T829,"AAAAAH+fO9Y=")</f>
        <v>#VALUE!</v>
      </c>
      <c r="HH211" t="e">
        <f>AND(Bills!U829,"AAAAAH+fO9c=")</f>
        <v>#VALUE!</v>
      </c>
      <c r="HI211" t="e">
        <f>AND(Bills!#REF!,"AAAAAH+fO9g=")</f>
        <v>#REF!</v>
      </c>
      <c r="HJ211" t="e">
        <f>AND(Bills!#REF!,"AAAAAH+fO9k=")</f>
        <v>#REF!</v>
      </c>
      <c r="HK211" t="e">
        <f>AND(Bills!W829,"AAAAAH+fO9o=")</f>
        <v>#VALUE!</v>
      </c>
      <c r="HL211" t="e">
        <f>AND(Bills!X829,"AAAAAH+fO9s=")</f>
        <v>#VALUE!</v>
      </c>
      <c r="HM211" t="e">
        <f>AND(Bills!#REF!,"AAAAAH+fO9w=")</f>
        <v>#REF!</v>
      </c>
      <c r="HN211" t="e">
        <f>AND(Bills!#REF!,"AAAAAH+fO90=")</f>
        <v>#REF!</v>
      </c>
      <c r="HO211" t="e">
        <f>AND(Bills!#REF!,"AAAAAH+fO94=")</f>
        <v>#REF!</v>
      </c>
      <c r="HP211" t="e">
        <f>AND(Bills!#REF!,"AAAAAH+fO98=")</f>
        <v>#REF!</v>
      </c>
      <c r="HQ211" t="e">
        <f>AND(Bills!#REF!,"AAAAAH+fO+A=")</f>
        <v>#REF!</v>
      </c>
      <c r="HR211" t="e">
        <f>AND(Bills!#REF!,"AAAAAH+fO+E=")</f>
        <v>#REF!</v>
      </c>
      <c r="HS211" t="e">
        <f>AND(Bills!#REF!,"AAAAAH+fO+I=")</f>
        <v>#REF!</v>
      </c>
      <c r="HT211" t="e">
        <f>AND(Bills!#REF!,"AAAAAH+fO+M=")</f>
        <v>#REF!</v>
      </c>
      <c r="HU211" t="e">
        <f>AND(Bills!#REF!,"AAAAAH+fO+Q=")</f>
        <v>#REF!</v>
      </c>
      <c r="HV211" t="e">
        <f>AND(Bills!Y829,"AAAAAH+fO+U=")</f>
        <v>#VALUE!</v>
      </c>
      <c r="HW211" t="e">
        <f>AND(Bills!Z829,"AAAAAH+fO+Y=")</f>
        <v>#VALUE!</v>
      </c>
      <c r="HX211" t="e">
        <f>AND(Bills!#REF!,"AAAAAH+fO+c=")</f>
        <v>#REF!</v>
      </c>
      <c r="HY211" t="e">
        <f>AND(Bills!#REF!,"AAAAAH+fO+g=")</f>
        <v>#REF!</v>
      </c>
      <c r="HZ211" t="e">
        <f>AND(Bills!#REF!,"AAAAAH+fO+k=")</f>
        <v>#REF!</v>
      </c>
      <c r="IA211" t="e">
        <f>AND(Bills!AA829,"AAAAAH+fO+o=")</f>
        <v>#VALUE!</v>
      </c>
      <c r="IB211" t="e">
        <f>AND(Bills!AB829,"AAAAAH+fO+s=")</f>
        <v>#VALUE!</v>
      </c>
      <c r="IC211" t="e">
        <f>AND(Bills!#REF!,"AAAAAH+fO+w=")</f>
        <v>#REF!</v>
      </c>
      <c r="ID211">
        <f>IF(Bills!830:830,"AAAAAH+fO+0=",0)</f>
        <v>0</v>
      </c>
      <c r="IE211" t="e">
        <f>AND(Bills!B830,"AAAAAH+fO+4=")</f>
        <v>#VALUE!</v>
      </c>
      <c r="IF211" t="e">
        <f>AND(Bills!#REF!,"AAAAAH+fO+8=")</f>
        <v>#REF!</v>
      </c>
      <c r="IG211" t="e">
        <f>AND(Bills!C830,"AAAAAH+fO/A=")</f>
        <v>#VALUE!</v>
      </c>
      <c r="IH211" t="e">
        <f>AND(Bills!#REF!,"AAAAAH+fO/E=")</f>
        <v>#REF!</v>
      </c>
      <c r="II211" t="e">
        <f>AND(Bills!#REF!,"AAAAAH+fO/I=")</f>
        <v>#REF!</v>
      </c>
      <c r="IJ211" t="e">
        <f>AND(Bills!#REF!,"AAAAAH+fO/M=")</f>
        <v>#REF!</v>
      </c>
      <c r="IK211" t="e">
        <f>AND(Bills!#REF!,"AAAAAH+fO/Q=")</f>
        <v>#REF!</v>
      </c>
      <c r="IL211" t="e">
        <f>AND(Bills!#REF!,"AAAAAH+fO/U=")</f>
        <v>#REF!</v>
      </c>
      <c r="IM211" t="e">
        <f>AND(Bills!D830,"AAAAAH+fO/Y=")</f>
        <v>#VALUE!</v>
      </c>
      <c r="IN211" t="e">
        <f>AND(Bills!#REF!,"AAAAAH+fO/c=")</f>
        <v>#REF!</v>
      </c>
      <c r="IO211" t="e">
        <f>AND(Bills!E830,"AAAAAH+fO/g=")</f>
        <v>#VALUE!</v>
      </c>
      <c r="IP211" t="e">
        <f>AND(Bills!F830,"AAAAAH+fO/k=")</f>
        <v>#VALUE!</v>
      </c>
      <c r="IQ211" t="e">
        <f>AND(Bills!G830,"AAAAAH+fO/o=")</f>
        <v>#VALUE!</v>
      </c>
      <c r="IR211" t="e">
        <f>AND(Bills!H830,"AAAAAH+fO/s=")</f>
        <v>#VALUE!</v>
      </c>
      <c r="IS211" t="e">
        <f>AND(Bills!I830,"AAAAAH+fO/w=")</f>
        <v>#VALUE!</v>
      </c>
      <c r="IT211" t="e">
        <f>AND(Bills!J830,"AAAAAH+fO/0=")</f>
        <v>#VALUE!</v>
      </c>
      <c r="IU211" t="e">
        <f>AND(Bills!#REF!,"AAAAAH+fO/4=")</f>
        <v>#REF!</v>
      </c>
      <c r="IV211" t="e">
        <f>AND(Bills!K830,"AAAAAH+fO/8=")</f>
        <v>#VALUE!</v>
      </c>
    </row>
    <row r="212" spans="1:256">
      <c r="A212" t="e">
        <f>AND(Bills!L830,"AAAAAH/9vgA=")</f>
        <v>#VALUE!</v>
      </c>
      <c r="B212" t="e">
        <f>AND(Bills!M830,"AAAAAH/9vgE=")</f>
        <v>#VALUE!</v>
      </c>
      <c r="C212" t="e">
        <f>AND(Bills!N830,"AAAAAH/9vgI=")</f>
        <v>#VALUE!</v>
      </c>
      <c r="D212" t="e">
        <f>AND(Bills!O830,"AAAAAH/9vgM=")</f>
        <v>#VALUE!</v>
      </c>
      <c r="E212" t="e">
        <f>AND(Bills!P830,"AAAAAH/9vgQ=")</f>
        <v>#VALUE!</v>
      </c>
      <c r="F212" t="e">
        <f>AND(Bills!Q830,"AAAAAH/9vgU=")</f>
        <v>#VALUE!</v>
      </c>
      <c r="G212" t="e">
        <f>AND(Bills!R830,"AAAAAH/9vgY=")</f>
        <v>#VALUE!</v>
      </c>
      <c r="H212" t="e">
        <f>AND(Bills!#REF!,"AAAAAH/9vgc=")</f>
        <v>#REF!</v>
      </c>
      <c r="I212" t="e">
        <f>AND(Bills!S830,"AAAAAH/9vgg=")</f>
        <v>#VALUE!</v>
      </c>
      <c r="J212" t="e">
        <f>AND(Bills!T830,"AAAAAH/9vgk=")</f>
        <v>#VALUE!</v>
      </c>
      <c r="K212" t="e">
        <f>AND(Bills!U830,"AAAAAH/9vgo=")</f>
        <v>#VALUE!</v>
      </c>
      <c r="L212" t="e">
        <f>AND(Bills!#REF!,"AAAAAH/9vgs=")</f>
        <v>#REF!</v>
      </c>
      <c r="M212" t="e">
        <f>AND(Bills!#REF!,"AAAAAH/9vgw=")</f>
        <v>#REF!</v>
      </c>
      <c r="N212" t="e">
        <f>AND(Bills!W830,"AAAAAH/9vg0=")</f>
        <v>#VALUE!</v>
      </c>
      <c r="O212" t="e">
        <f>AND(Bills!X830,"AAAAAH/9vg4=")</f>
        <v>#VALUE!</v>
      </c>
      <c r="P212" t="e">
        <f>AND(Bills!#REF!,"AAAAAH/9vg8=")</f>
        <v>#REF!</v>
      </c>
      <c r="Q212" t="e">
        <f>AND(Bills!#REF!,"AAAAAH/9vhA=")</f>
        <v>#REF!</v>
      </c>
      <c r="R212" t="e">
        <f>AND(Bills!#REF!,"AAAAAH/9vhE=")</f>
        <v>#REF!</v>
      </c>
      <c r="S212" t="e">
        <f>AND(Bills!#REF!,"AAAAAH/9vhI=")</f>
        <v>#REF!</v>
      </c>
      <c r="T212" t="e">
        <f>AND(Bills!#REF!,"AAAAAH/9vhM=")</f>
        <v>#REF!</v>
      </c>
      <c r="U212" t="e">
        <f>AND(Bills!#REF!,"AAAAAH/9vhQ=")</f>
        <v>#REF!</v>
      </c>
      <c r="V212" t="e">
        <f>AND(Bills!#REF!,"AAAAAH/9vhU=")</f>
        <v>#REF!</v>
      </c>
      <c r="W212" t="e">
        <f>AND(Bills!#REF!,"AAAAAH/9vhY=")</f>
        <v>#REF!</v>
      </c>
      <c r="X212" t="e">
        <f>AND(Bills!#REF!,"AAAAAH/9vhc=")</f>
        <v>#REF!</v>
      </c>
      <c r="Y212" t="e">
        <f>AND(Bills!Y830,"AAAAAH/9vhg=")</f>
        <v>#VALUE!</v>
      </c>
      <c r="Z212" t="e">
        <f>AND(Bills!Z830,"AAAAAH/9vhk=")</f>
        <v>#VALUE!</v>
      </c>
      <c r="AA212" t="e">
        <f>AND(Bills!#REF!,"AAAAAH/9vho=")</f>
        <v>#REF!</v>
      </c>
      <c r="AB212" t="e">
        <f>AND(Bills!#REF!,"AAAAAH/9vhs=")</f>
        <v>#REF!</v>
      </c>
      <c r="AC212" t="e">
        <f>AND(Bills!#REF!,"AAAAAH/9vhw=")</f>
        <v>#REF!</v>
      </c>
      <c r="AD212" t="e">
        <f>AND(Bills!AA830,"AAAAAH/9vh0=")</f>
        <v>#VALUE!</v>
      </c>
      <c r="AE212" t="e">
        <f>AND(Bills!AB830,"AAAAAH/9vh4=")</f>
        <v>#VALUE!</v>
      </c>
      <c r="AF212" t="e">
        <f>AND(Bills!#REF!,"AAAAAH/9vh8=")</f>
        <v>#REF!</v>
      </c>
      <c r="AG212">
        <f>IF(Bills!831:831,"AAAAAH/9viA=",0)</f>
        <v>0</v>
      </c>
      <c r="AH212" t="e">
        <f>AND(Bills!B831,"AAAAAH/9viE=")</f>
        <v>#VALUE!</v>
      </c>
      <c r="AI212" t="e">
        <f>AND(Bills!#REF!,"AAAAAH/9viI=")</f>
        <v>#REF!</v>
      </c>
      <c r="AJ212" t="e">
        <f>AND(Bills!C831,"AAAAAH/9viM=")</f>
        <v>#VALUE!</v>
      </c>
      <c r="AK212" t="e">
        <f>AND(Bills!#REF!,"AAAAAH/9viQ=")</f>
        <v>#REF!</v>
      </c>
      <c r="AL212" t="e">
        <f>AND(Bills!#REF!,"AAAAAH/9viU=")</f>
        <v>#REF!</v>
      </c>
      <c r="AM212" t="e">
        <f>AND(Bills!#REF!,"AAAAAH/9viY=")</f>
        <v>#REF!</v>
      </c>
      <c r="AN212" t="e">
        <f>AND(Bills!#REF!,"AAAAAH/9vic=")</f>
        <v>#REF!</v>
      </c>
      <c r="AO212" t="e">
        <f>AND(Bills!#REF!,"AAAAAH/9vig=")</f>
        <v>#REF!</v>
      </c>
      <c r="AP212" t="e">
        <f>AND(Bills!D831,"AAAAAH/9vik=")</f>
        <v>#VALUE!</v>
      </c>
      <c r="AQ212" t="e">
        <f>AND(Bills!#REF!,"AAAAAH/9vio=")</f>
        <v>#REF!</v>
      </c>
      <c r="AR212" t="e">
        <f>AND(Bills!E831,"AAAAAH/9vis=")</f>
        <v>#VALUE!</v>
      </c>
      <c r="AS212" t="e">
        <f>AND(Bills!F831,"AAAAAH/9viw=")</f>
        <v>#VALUE!</v>
      </c>
      <c r="AT212" t="e">
        <f>AND(Bills!G831,"AAAAAH/9vi0=")</f>
        <v>#VALUE!</v>
      </c>
      <c r="AU212" t="e">
        <f>AND(Bills!H831,"AAAAAH/9vi4=")</f>
        <v>#VALUE!</v>
      </c>
      <c r="AV212" t="e">
        <f>AND(Bills!I831,"AAAAAH/9vi8=")</f>
        <v>#VALUE!</v>
      </c>
      <c r="AW212" t="e">
        <f>AND(Bills!J831,"AAAAAH/9vjA=")</f>
        <v>#VALUE!</v>
      </c>
      <c r="AX212" t="e">
        <f>AND(Bills!#REF!,"AAAAAH/9vjE=")</f>
        <v>#REF!</v>
      </c>
      <c r="AY212" t="e">
        <f>AND(Bills!K831,"AAAAAH/9vjI=")</f>
        <v>#VALUE!</v>
      </c>
      <c r="AZ212" t="e">
        <f>AND(Bills!L831,"AAAAAH/9vjM=")</f>
        <v>#VALUE!</v>
      </c>
      <c r="BA212" t="e">
        <f>AND(Bills!M831,"AAAAAH/9vjQ=")</f>
        <v>#VALUE!</v>
      </c>
      <c r="BB212" t="e">
        <f>AND(Bills!N831,"AAAAAH/9vjU=")</f>
        <v>#VALUE!</v>
      </c>
      <c r="BC212" t="e">
        <f>AND(Bills!O831,"AAAAAH/9vjY=")</f>
        <v>#VALUE!</v>
      </c>
      <c r="BD212" t="e">
        <f>AND(Bills!P831,"AAAAAH/9vjc=")</f>
        <v>#VALUE!</v>
      </c>
      <c r="BE212" t="e">
        <f>AND(Bills!Q831,"AAAAAH/9vjg=")</f>
        <v>#VALUE!</v>
      </c>
      <c r="BF212" t="e">
        <f>AND(Bills!R831,"AAAAAH/9vjk=")</f>
        <v>#VALUE!</v>
      </c>
      <c r="BG212" t="e">
        <f>AND(Bills!#REF!,"AAAAAH/9vjo=")</f>
        <v>#REF!</v>
      </c>
      <c r="BH212" t="e">
        <f>AND(Bills!S831,"AAAAAH/9vjs=")</f>
        <v>#VALUE!</v>
      </c>
      <c r="BI212" t="e">
        <f>AND(Bills!T831,"AAAAAH/9vjw=")</f>
        <v>#VALUE!</v>
      </c>
      <c r="BJ212" t="e">
        <f>AND(Bills!U831,"AAAAAH/9vj0=")</f>
        <v>#VALUE!</v>
      </c>
      <c r="BK212" t="e">
        <f>AND(Bills!#REF!,"AAAAAH/9vj4=")</f>
        <v>#REF!</v>
      </c>
      <c r="BL212" t="e">
        <f>AND(Bills!#REF!,"AAAAAH/9vj8=")</f>
        <v>#REF!</v>
      </c>
      <c r="BM212" t="e">
        <f>AND(Bills!W831,"AAAAAH/9vkA=")</f>
        <v>#VALUE!</v>
      </c>
      <c r="BN212" t="e">
        <f>AND(Bills!X831,"AAAAAH/9vkE=")</f>
        <v>#VALUE!</v>
      </c>
      <c r="BO212" t="e">
        <f>AND(Bills!#REF!,"AAAAAH/9vkI=")</f>
        <v>#REF!</v>
      </c>
      <c r="BP212" t="e">
        <f>AND(Bills!#REF!,"AAAAAH/9vkM=")</f>
        <v>#REF!</v>
      </c>
      <c r="BQ212" t="e">
        <f>AND(Bills!#REF!,"AAAAAH/9vkQ=")</f>
        <v>#REF!</v>
      </c>
      <c r="BR212" t="e">
        <f>AND(Bills!#REF!,"AAAAAH/9vkU=")</f>
        <v>#REF!</v>
      </c>
      <c r="BS212" t="e">
        <f>AND(Bills!#REF!,"AAAAAH/9vkY=")</f>
        <v>#REF!</v>
      </c>
      <c r="BT212" t="e">
        <f>AND(Bills!#REF!,"AAAAAH/9vkc=")</f>
        <v>#REF!</v>
      </c>
      <c r="BU212" t="e">
        <f>AND(Bills!#REF!,"AAAAAH/9vkg=")</f>
        <v>#REF!</v>
      </c>
      <c r="BV212" t="e">
        <f>AND(Bills!#REF!,"AAAAAH/9vkk=")</f>
        <v>#REF!</v>
      </c>
      <c r="BW212" t="e">
        <f>AND(Bills!#REF!,"AAAAAH/9vko=")</f>
        <v>#REF!</v>
      </c>
      <c r="BX212" t="e">
        <f>AND(Bills!Y831,"AAAAAH/9vks=")</f>
        <v>#VALUE!</v>
      </c>
      <c r="BY212" t="e">
        <f>AND(Bills!Z831,"AAAAAH/9vkw=")</f>
        <v>#VALUE!</v>
      </c>
      <c r="BZ212" t="e">
        <f>AND(Bills!#REF!,"AAAAAH/9vk0=")</f>
        <v>#REF!</v>
      </c>
      <c r="CA212" t="e">
        <f>AND(Bills!#REF!,"AAAAAH/9vk4=")</f>
        <v>#REF!</v>
      </c>
      <c r="CB212" t="e">
        <f>AND(Bills!#REF!,"AAAAAH/9vk8=")</f>
        <v>#REF!</v>
      </c>
      <c r="CC212" t="e">
        <f>AND(Bills!AA831,"AAAAAH/9vlA=")</f>
        <v>#VALUE!</v>
      </c>
      <c r="CD212" t="e">
        <f>AND(Bills!AB831,"AAAAAH/9vlE=")</f>
        <v>#VALUE!</v>
      </c>
      <c r="CE212" t="e">
        <f>AND(Bills!#REF!,"AAAAAH/9vlI=")</f>
        <v>#REF!</v>
      </c>
      <c r="CF212">
        <f>IF(Bills!832:832,"AAAAAH/9vlM=",0)</f>
        <v>0</v>
      </c>
      <c r="CG212" t="e">
        <f>AND(Bills!B832,"AAAAAH/9vlQ=")</f>
        <v>#VALUE!</v>
      </c>
      <c r="CH212" t="e">
        <f>AND(Bills!#REF!,"AAAAAH/9vlU=")</f>
        <v>#REF!</v>
      </c>
      <c r="CI212" t="e">
        <f>AND(Bills!C832,"AAAAAH/9vlY=")</f>
        <v>#VALUE!</v>
      </c>
      <c r="CJ212" t="e">
        <f>AND(Bills!#REF!,"AAAAAH/9vlc=")</f>
        <v>#REF!</v>
      </c>
      <c r="CK212" t="e">
        <f>AND(Bills!#REF!,"AAAAAH/9vlg=")</f>
        <v>#REF!</v>
      </c>
      <c r="CL212" t="e">
        <f>AND(Bills!#REF!,"AAAAAH/9vlk=")</f>
        <v>#REF!</v>
      </c>
      <c r="CM212" t="e">
        <f>AND(Bills!#REF!,"AAAAAH/9vlo=")</f>
        <v>#REF!</v>
      </c>
      <c r="CN212" t="e">
        <f>AND(Bills!#REF!,"AAAAAH/9vls=")</f>
        <v>#REF!</v>
      </c>
      <c r="CO212" t="e">
        <f>AND(Bills!D832,"AAAAAH/9vlw=")</f>
        <v>#VALUE!</v>
      </c>
      <c r="CP212" t="e">
        <f>AND(Bills!#REF!,"AAAAAH/9vl0=")</f>
        <v>#REF!</v>
      </c>
      <c r="CQ212" t="e">
        <f>AND(Bills!E832,"AAAAAH/9vl4=")</f>
        <v>#VALUE!</v>
      </c>
      <c r="CR212" t="e">
        <f>AND(Bills!F832,"AAAAAH/9vl8=")</f>
        <v>#VALUE!</v>
      </c>
      <c r="CS212" t="e">
        <f>AND(Bills!G832,"AAAAAH/9vmA=")</f>
        <v>#VALUE!</v>
      </c>
      <c r="CT212" t="e">
        <f>AND(Bills!H832,"AAAAAH/9vmE=")</f>
        <v>#VALUE!</v>
      </c>
      <c r="CU212" t="e">
        <f>AND(Bills!I832,"AAAAAH/9vmI=")</f>
        <v>#VALUE!</v>
      </c>
      <c r="CV212" t="e">
        <f>AND(Bills!J832,"AAAAAH/9vmM=")</f>
        <v>#VALUE!</v>
      </c>
      <c r="CW212" t="e">
        <f>AND(Bills!#REF!,"AAAAAH/9vmQ=")</f>
        <v>#REF!</v>
      </c>
      <c r="CX212" t="e">
        <f>AND(Bills!K832,"AAAAAH/9vmU=")</f>
        <v>#VALUE!</v>
      </c>
      <c r="CY212" t="e">
        <f>AND(Bills!L832,"AAAAAH/9vmY=")</f>
        <v>#VALUE!</v>
      </c>
      <c r="CZ212" t="e">
        <f>AND(Bills!M832,"AAAAAH/9vmc=")</f>
        <v>#VALUE!</v>
      </c>
      <c r="DA212" t="e">
        <f>AND(Bills!N832,"AAAAAH/9vmg=")</f>
        <v>#VALUE!</v>
      </c>
      <c r="DB212" t="e">
        <f>AND(Bills!O832,"AAAAAH/9vmk=")</f>
        <v>#VALUE!</v>
      </c>
      <c r="DC212" t="e">
        <f>AND(Bills!P832,"AAAAAH/9vmo=")</f>
        <v>#VALUE!</v>
      </c>
      <c r="DD212" t="e">
        <f>AND(Bills!Q832,"AAAAAH/9vms=")</f>
        <v>#VALUE!</v>
      </c>
      <c r="DE212" t="e">
        <f>AND(Bills!R832,"AAAAAH/9vmw=")</f>
        <v>#VALUE!</v>
      </c>
      <c r="DF212" t="e">
        <f>AND(Bills!#REF!,"AAAAAH/9vm0=")</f>
        <v>#REF!</v>
      </c>
      <c r="DG212" t="e">
        <f>AND(Bills!S832,"AAAAAH/9vm4=")</f>
        <v>#VALUE!</v>
      </c>
      <c r="DH212" t="e">
        <f>AND(Bills!T832,"AAAAAH/9vm8=")</f>
        <v>#VALUE!</v>
      </c>
      <c r="DI212" t="e">
        <f>AND(Bills!U832,"AAAAAH/9vnA=")</f>
        <v>#VALUE!</v>
      </c>
      <c r="DJ212" t="e">
        <f>AND(Bills!#REF!,"AAAAAH/9vnE=")</f>
        <v>#REF!</v>
      </c>
      <c r="DK212" t="e">
        <f>AND(Bills!#REF!,"AAAAAH/9vnI=")</f>
        <v>#REF!</v>
      </c>
      <c r="DL212" t="e">
        <f>AND(Bills!W832,"AAAAAH/9vnM=")</f>
        <v>#VALUE!</v>
      </c>
      <c r="DM212" t="e">
        <f>AND(Bills!X832,"AAAAAH/9vnQ=")</f>
        <v>#VALUE!</v>
      </c>
      <c r="DN212" t="e">
        <f>AND(Bills!#REF!,"AAAAAH/9vnU=")</f>
        <v>#REF!</v>
      </c>
      <c r="DO212" t="e">
        <f>AND(Bills!#REF!,"AAAAAH/9vnY=")</f>
        <v>#REF!</v>
      </c>
      <c r="DP212" t="e">
        <f>AND(Bills!#REF!,"AAAAAH/9vnc=")</f>
        <v>#REF!</v>
      </c>
      <c r="DQ212" t="e">
        <f>AND(Bills!#REF!,"AAAAAH/9vng=")</f>
        <v>#REF!</v>
      </c>
      <c r="DR212" t="e">
        <f>AND(Bills!#REF!,"AAAAAH/9vnk=")</f>
        <v>#REF!</v>
      </c>
      <c r="DS212" t="e">
        <f>AND(Bills!#REF!,"AAAAAH/9vno=")</f>
        <v>#REF!</v>
      </c>
      <c r="DT212" t="e">
        <f>AND(Bills!#REF!,"AAAAAH/9vns=")</f>
        <v>#REF!</v>
      </c>
      <c r="DU212" t="e">
        <f>AND(Bills!#REF!,"AAAAAH/9vnw=")</f>
        <v>#REF!</v>
      </c>
      <c r="DV212" t="e">
        <f>AND(Bills!#REF!,"AAAAAH/9vn0=")</f>
        <v>#REF!</v>
      </c>
      <c r="DW212" t="e">
        <f>AND(Bills!Y832,"AAAAAH/9vn4=")</f>
        <v>#VALUE!</v>
      </c>
      <c r="DX212" t="e">
        <f>AND(Bills!Z832,"AAAAAH/9vn8=")</f>
        <v>#VALUE!</v>
      </c>
      <c r="DY212" t="e">
        <f>AND(Bills!#REF!,"AAAAAH/9voA=")</f>
        <v>#REF!</v>
      </c>
      <c r="DZ212" t="e">
        <f>AND(Bills!#REF!,"AAAAAH/9voE=")</f>
        <v>#REF!</v>
      </c>
      <c r="EA212" t="e">
        <f>AND(Bills!#REF!,"AAAAAH/9voI=")</f>
        <v>#REF!</v>
      </c>
      <c r="EB212" t="e">
        <f>AND(Bills!AA832,"AAAAAH/9voM=")</f>
        <v>#VALUE!</v>
      </c>
      <c r="EC212" t="e">
        <f>AND(Bills!AB832,"AAAAAH/9voQ=")</f>
        <v>#VALUE!</v>
      </c>
      <c r="ED212" t="e">
        <f>AND(Bills!#REF!,"AAAAAH/9voU=")</f>
        <v>#REF!</v>
      </c>
      <c r="EE212">
        <f>IF(Bills!833:833,"AAAAAH/9voY=",0)</f>
        <v>0</v>
      </c>
      <c r="EF212" t="e">
        <f>AND(Bills!B833,"AAAAAH/9voc=")</f>
        <v>#VALUE!</v>
      </c>
      <c r="EG212" t="e">
        <f>AND(Bills!#REF!,"AAAAAH/9vog=")</f>
        <v>#REF!</v>
      </c>
      <c r="EH212" t="e">
        <f>AND(Bills!C833,"AAAAAH/9vok=")</f>
        <v>#VALUE!</v>
      </c>
      <c r="EI212" t="e">
        <f>AND(Bills!#REF!,"AAAAAH/9voo=")</f>
        <v>#REF!</v>
      </c>
      <c r="EJ212" t="e">
        <f>AND(Bills!#REF!,"AAAAAH/9vos=")</f>
        <v>#REF!</v>
      </c>
      <c r="EK212" t="e">
        <f>AND(Bills!#REF!,"AAAAAH/9vow=")</f>
        <v>#REF!</v>
      </c>
      <c r="EL212" t="e">
        <f>AND(Bills!#REF!,"AAAAAH/9vo0=")</f>
        <v>#REF!</v>
      </c>
      <c r="EM212" t="e">
        <f>AND(Bills!#REF!,"AAAAAH/9vo4=")</f>
        <v>#REF!</v>
      </c>
      <c r="EN212" t="e">
        <f>AND(Bills!D833,"AAAAAH/9vo8=")</f>
        <v>#VALUE!</v>
      </c>
      <c r="EO212" t="e">
        <f>AND(Bills!#REF!,"AAAAAH/9vpA=")</f>
        <v>#REF!</v>
      </c>
      <c r="EP212" t="e">
        <f>AND(Bills!E833,"AAAAAH/9vpE=")</f>
        <v>#VALUE!</v>
      </c>
      <c r="EQ212" t="e">
        <f>AND(Bills!F833,"AAAAAH/9vpI=")</f>
        <v>#VALUE!</v>
      </c>
      <c r="ER212" t="e">
        <f>AND(Bills!G833,"AAAAAH/9vpM=")</f>
        <v>#VALUE!</v>
      </c>
      <c r="ES212" t="e">
        <f>AND(Bills!H833,"AAAAAH/9vpQ=")</f>
        <v>#VALUE!</v>
      </c>
      <c r="ET212" t="e">
        <f>AND(Bills!I833,"AAAAAH/9vpU=")</f>
        <v>#VALUE!</v>
      </c>
      <c r="EU212" t="e">
        <f>AND(Bills!J833,"AAAAAH/9vpY=")</f>
        <v>#VALUE!</v>
      </c>
      <c r="EV212" t="e">
        <f>AND(Bills!#REF!,"AAAAAH/9vpc=")</f>
        <v>#REF!</v>
      </c>
      <c r="EW212" t="e">
        <f>AND(Bills!K833,"AAAAAH/9vpg=")</f>
        <v>#VALUE!</v>
      </c>
      <c r="EX212" t="e">
        <f>AND(Bills!L833,"AAAAAH/9vpk=")</f>
        <v>#VALUE!</v>
      </c>
      <c r="EY212" t="e">
        <f>AND(Bills!M833,"AAAAAH/9vpo=")</f>
        <v>#VALUE!</v>
      </c>
      <c r="EZ212" t="e">
        <f>AND(Bills!N833,"AAAAAH/9vps=")</f>
        <v>#VALUE!</v>
      </c>
      <c r="FA212" t="e">
        <f>AND(Bills!O833,"AAAAAH/9vpw=")</f>
        <v>#VALUE!</v>
      </c>
      <c r="FB212" t="e">
        <f>AND(Bills!P833,"AAAAAH/9vp0=")</f>
        <v>#VALUE!</v>
      </c>
      <c r="FC212" t="e">
        <f>AND(Bills!Q833,"AAAAAH/9vp4=")</f>
        <v>#VALUE!</v>
      </c>
      <c r="FD212" t="e">
        <f>AND(Bills!R833,"AAAAAH/9vp8=")</f>
        <v>#VALUE!</v>
      </c>
      <c r="FE212" t="e">
        <f>AND(Bills!#REF!,"AAAAAH/9vqA=")</f>
        <v>#REF!</v>
      </c>
      <c r="FF212" t="e">
        <f>AND(Bills!S833,"AAAAAH/9vqE=")</f>
        <v>#VALUE!</v>
      </c>
      <c r="FG212" t="e">
        <f>AND(Bills!T833,"AAAAAH/9vqI=")</f>
        <v>#VALUE!</v>
      </c>
      <c r="FH212" t="e">
        <f>AND(Bills!U833,"AAAAAH/9vqM=")</f>
        <v>#VALUE!</v>
      </c>
      <c r="FI212" t="e">
        <f>AND(Bills!#REF!,"AAAAAH/9vqQ=")</f>
        <v>#REF!</v>
      </c>
      <c r="FJ212" t="e">
        <f>AND(Bills!#REF!,"AAAAAH/9vqU=")</f>
        <v>#REF!</v>
      </c>
      <c r="FK212" t="e">
        <f>AND(Bills!W833,"AAAAAH/9vqY=")</f>
        <v>#VALUE!</v>
      </c>
      <c r="FL212" t="e">
        <f>AND(Bills!X833,"AAAAAH/9vqc=")</f>
        <v>#VALUE!</v>
      </c>
      <c r="FM212" t="e">
        <f>AND(Bills!#REF!,"AAAAAH/9vqg=")</f>
        <v>#REF!</v>
      </c>
      <c r="FN212" t="e">
        <f>AND(Bills!#REF!,"AAAAAH/9vqk=")</f>
        <v>#REF!</v>
      </c>
      <c r="FO212" t="e">
        <f>AND(Bills!#REF!,"AAAAAH/9vqo=")</f>
        <v>#REF!</v>
      </c>
      <c r="FP212" t="e">
        <f>AND(Bills!#REF!,"AAAAAH/9vqs=")</f>
        <v>#REF!</v>
      </c>
      <c r="FQ212" t="e">
        <f>AND(Bills!#REF!,"AAAAAH/9vqw=")</f>
        <v>#REF!</v>
      </c>
      <c r="FR212" t="e">
        <f>AND(Bills!#REF!,"AAAAAH/9vq0=")</f>
        <v>#REF!</v>
      </c>
      <c r="FS212" t="e">
        <f>AND(Bills!#REF!,"AAAAAH/9vq4=")</f>
        <v>#REF!</v>
      </c>
      <c r="FT212" t="e">
        <f>AND(Bills!#REF!,"AAAAAH/9vq8=")</f>
        <v>#REF!</v>
      </c>
      <c r="FU212" t="e">
        <f>AND(Bills!#REF!,"AAAAAH/9vrA=")</f>
        <v>#REF!</v>
      </c>
      <c r="FV212" t="e">
        <f>AND(Bills!Y833,"AAAAAH/9vrE=")</f>
        <v>#VALUE!</v>
      </c>
      <c r="FW212" t="e">
        <f>AND(Bills!Z833,"AAAAAH/9vrI=")</f>
        <v>#VALUE!</v>
      </c>
      <c r="FX212" t="e">
        <f>AND(Bills!#REF!,"AAAAAH/9vrM=")</f>
        <v>#REF!</v>
      </c>
      <c r="FY212" t="e">
        <f>AND(Bills!#REF!,"AAAAAH/9vrQ=")</f>
        <v>#REF!</v>
      </c>
      <c r="FZ212" t="e">
        <f>AND(Bills!#REF!,"AAAAAH/9vrU=")</f>
        <v>#REF!</v>
      </c>
      <c r="GA212" t="e">
        <f>AND(Bills!AA833,"AAAAAH/9vrY=")</f>
        <v>#VALUE!</v>
      </c>
      <c r="GB212" t="e">
        <f>AND(Bills!AB833,"AAAAAH/9vrc=")</f>
        <v>#VALUE!</v>
      </c>
      <c r="GC212" t="e">
        <f>AND(Bills!#REF!,"AAAAAH/9vrg=")</f>
        <v>#REF!</v>
      </c>
      <c r="GD212">
        <f>IF(Bills!834:834,"AAAAAH/9vrk=",0)</f>
        <v>0</v>
      </c>
      <c r="GE212" t="e">
        <f>AND(Bills!B834,"AAAAAH/9vro=")</f>
        <v>#VALUE!</v>
      </c>
      <c r="GF212" t="e">
        <f>AND(Bills!#REF!,"AAAAAH/9vrs=")</f>
        <v>#REF!</v>
      </c>
      <c r="GG212" t="e">
        <f>AND(Bills!C834,"AAAAAH/9vrw=")</f>
        <v>#VALUE!</v>
      </c>
      <c r="GH212" t="e">
        <f>AND(Bills!#REF!,"AAAAAH/9vr0=")</f>
        <v>#REF!</v>
      </c>
      <c r="GI212" t="e">
        <f>AND(Bills!#REF!,"AAAAAH/9vr4=")</f>
        <v>#REF!</v>
      </c>
      <c r="GJ212" t="e">
        <f>AND(Bills!#REF!,"AAAAAH/9vr8=")</f>
        <v>#REF!</v>
      </c>
      <c r="GK212" t="e">
        <f>AND(Bills!#REF!,"AAAAAH/9vsA=")</f>
        <v>#REF!</v>
      </c>
      <c r="GL212" t="e">
        <f>AND(Bills!#REF!,"AAAAAH/9vsE=")</f>
        <v>#REF!</v>
      </c>
      <c r="GM212" t="e">
        <f>AND(Bills!D834,"AAAAAH/9vsI=")</f>
        <v>#VALUE!</v>
      </c>
      <c r="GN212" t="e">
        <f>AND(Bills!#REF!,"AAAAAH/9vsM=")</f>
        <v>#REF!</v>
      </c>
      <c r="GO212" t="e">
        <f>AND(Bills!E834,"AAAAAH/9vsQ=")</f>
        <v>#VALUE!</v>
      </c>
      <c r="GP212" t="e">
        <f>AND(Bills!F834,"AAAAAH/9vsU=")</f>
        <v>#VALUE!</v>
      </c>
      <c r="GQ212" t="e">
        <f>AND(Bills!G834,"AAAAAH/9vsY=")</f>
        <v>#VALUE!</v>
      </c>
      <c r="GR212" t="e">
        <f>AND(Bills!H834,"AAAAAH/9vsc=")</f>
        <v>#VALUE!</v>
      </c>
      <c r="GS212" t="e">
        <f>AND(Bills!I834,"AAAAAH/9vsg=")</f>
        <v>#VALUE!</v>
      </c>
      <c r="GT212" t="e">
        <f>AND(Bills!J834,"AAAAAH/9vsk=")</f>
        <v>#VALUE!</v>
      </c>
      <c r="GU212" t="e">
        <f>AND(Bills!#REF!,"AAAAAH/9vso=")</f>
        <v>#REF!</v>
      </c>
      <c r="GV212" t="e">
        <f>AND(Bills!K834,"AAAAAH/9vss=")</f>
        <v>#VALUE!</v>
      </c>
      <c r="GW212" t="e">
        <f>AND(Bills!L834,"AAAAAH/9vsw=")</f>
        <v>#VALUE!</v>
      </c>
      <c r="GX212" t="e">
        <f>AND(Bills!M834,"AAAAAH/9vs0=")</f>
        <v>#VALUE!</v>
      </c>
      <c r="GY212" t="e">
        <f>AND(Bills!N834,"AAAAAH/9vs4=")</f>
        <v>#VALUE!</v>
      </c>
      <c r="GZ212" t="e">
        <f>AND(Bills!O834,"AAAAAH/9vs8=")</f>
        <v>#VALUE!</v>
      </c>
      <c r="HA212" t="e">
        <f>AND(Bills!P834,"AAAAAH/9vtA=")</f>
        <v>#VALUE!</v>
      </c>
      <c r="HB212" t="e">
        <f>AND(Bills!Q834,"AAAAAH/9vtE=")</f>
        <v>#VALUE!</v>
      </c>
      <c r="HC212" t="e">
        <f>AND(Bills!R834,"AAAAAH/9vtI=")</f>
        <v>#VALUE!</v>
      </c>
      <c r="HD212" t="e">
        <f>AND(Bills!#REF!,"AAAAAH/9vtM=")</f>
        <v>#REF!</v>
      </c>
      <c r="HE212" t="e">
        <f>AND(Bills!S834,"AAAAAH/9vtQ=")</f>
        <v>#VALUE!</v>
      </c>
      <c r="HF212" t="e">
        <f>AND(Bills!T834,"AAAAAH/9vtU=")</f>
        <v>#VALUE!</v>
      </c>
      <c r="HG212" t="e">
        <f>AND(Bills!U834,"AAAAAH/9vtY=")</f>
        <v>#VALUE!</v>
      </c>
      <c r="HH212" t="e">
        <f>AND(Bills!#REF!,"AAAAAH/9vtc=")</f>
        <v>#REF!</v>
      </c>
      <c r="HI212" t="e">
        <f>AND(Bills!#REF!,"AAAAAH/9vtg=")</f>
        <v>#REF!</v>
      </c>
      <c r="HJ212" t="e">
        <f>AND(Bills!W834,"AAAAAH/9vtk=")</f>
        <v>#VALUE!</v>
      </c>
      <c r="HK212" t="e">
        <f>AND(Bills!X834,"AAAAAH/9vto=")</f>
        <v>#VALUE!</v>
      </c>
      <c r="HL212" t="e">
        <f>AND(Bills!#REF!,"AAAAAH/9vts=")</f>
        <v>#REF!</v>
      </c>
      <c r="HM212" t="e">
        <f>AND(Bills!#REF!,"AAAAAH/9vtw=")</f>
        <v>#REF!</v>
      </c>
      <c r="HN212" t="e">
        <f>AND(Bills!#REF!,"AAAAAH/9vt0=")</f>
        <v>#REF!</v>
      </c>
      <c r="HO212" t="e">
        <f>AND(Bills!#REF!,"AAAAAH/9vt4=")</f>
        <v>#REF!</v>
      </c>
      <c r="HP212" t="e">
        <f>AND(Bills!#REF!,"AAAAAH/9vt8=")</f>
        <v>#REF!</v>
      </c>
      <c r="HQ212" t="e">
        <f>AND(Bills!#REF!,"AAAAAH/9vuA=")</f>
        <v>#REF!</v>
      </c>
      <c r="HR212" t="e">
        <f>AND(Bills!#REF!,"AAAAAH/9vuE=")</f>
        <v>#REF!</v>
      </c>
      <c r="HS212" t="e">
        <f>AND(Bills!#REF!,"AAAAAH/9vuI=")</f>
        <v>#REF!</v>
      </c>
      <c r="HT212" t="e">
        <f>AND(Bills!#REF!,"AAAAAH/9vuM=")</f>
        <v>#REF!</v>
      </c>
      <c r="HU212" t="e">
        <f>AND(Bills!Y834,"AAAAAH/9vuQ=")</f>
        <v>#VALUE!</v>
      </c>
      <c r="HV212" t="e">
        <f>AND(Bills!Z834,"AAAAAH/9vuU=")</f>
        <v>#VALUE!</v>
      </c>
      <c r="HW212" t="e">
        <f>AND(Bills!#REF!,"AAAAAH/9vuY=")</f>
        <v>#REF!</v>
      </c>
      <c r="HX212" t="e">
        <f>AND(Bills!#REF!,"AAAAAH/9vuc=")</f>
        <v>#REF!</v>
      </c>
      <c r="HY212" t="e">
        <f>AND(Bills!#REF!,"AAAAAH/9vug=")</f>
        <v>#REF!</v>
      </c>
      <c r="HZ212" t="e">
        <f>AND(Bills!AA834,"AAAAAH/9vuk=")</f>
        <v>#VALUE!</v>
      </c>
      <c r="IA212" t="e">
        <f>AND(Bills!AB834,"AAAAAH/9vuo=")</f>
        <v>#VALUE!</v>
      </c>
      <c r="IB212" t="e">
        <f>AND(Bills!#REF!,"AAAAAH/9vus=")</f>
        <v>#REF!</v>
      </c>
      <c r="IC212">
        <f>IF(Bills!835:835,"AAAAAH/9vuw=",0)</f>
        <v>0</v>
      </c>
      <c r="ID212" t="e">
        <f>AND(Bills!B835,"AAAAAH/9vu0=")</f>
        <v>#VALUE!</v>
      </c>
      <c r="IE212" t="e">
        <f>AND(Bills!#REF!,"AAAAAH/9vu4=")</f>
        <v>#REF!</v>
      </c>
      <c r="IF212" t="e">
        <f>AND(Bills!C835,"AAAAAH/9vu8=")</f>
        <v>#VALUE!</v>
      </c>
      <c r="IG212" t="e">
        <f>AND(Bills!#REF!,"AAAAAH/9vvA=")</f>
        <v>#REF!</v>
      </c>
      <c r="IH212" t="e">
        <f>AND(Bills!#REF!,"AAAAAH/9vvE=")</f>
        <v>#REF!</v>
      </c>
      <c r="II212" t="e">
        <f>AND(Bills!#REF!,"AAAAAH/9vvI=")</f>
        <v>#REF!</v>
      </c>
      <c r="IJ212" t="e">
        <f>AND(Bills!#REF!,"AAAAAH/9vvM=")</f>
        <v>#REF!</v>
      </c>
      <c r="IK212" t="e">
        <f>AND(Bills!#REF!,"AAAAAH/9vvQ=")</f>
        <v>#REF!</v>
      </c>
      <c r="IL212" t="e">
        <f>AND(Bills!D835,"AAAAAH/9vvU=")</f>
        <v>#VALUE!</v>
      </c>
      <c r="IM212" t="e">
        <f>AND(Bills!#REF!,"AAAAAH/9vvY=")</f>
        <v>#REF!</v>
      </c>
      <c r="IN212" t="e">
        <f>AND(Bills!E835,"AAAAAH/9vvc=")</f>
        <v>#VALUE!</v>
      </c>
      <c r="IO212" t="e">
        <f>AND(Bills!F835,"AAAAAH/9vvg=")</f>
        <v>#VALUE!</v>
      </c>
      <c r="IP212" t="e">
        <f>AND(Bills!G835,"AAAAAH/9vvk=")</f>
        <v>#VALUE!</v>
      </c>
      <c r="IQ212" t="e">
        <f>AND(Bills!H835,"AAAAAH/9vvo=")</f>
        <v>#VALUE!</v>
      </c>
      <c r="IR212" t="e">
        <f>AND(Bills!I835,"AAAAAH/9vvs=")</f>
        <v>#VALUE!</v>
      </c>
      <c r="IS212" t="e">
        <f>AND(Bills!J835,"AAAAAH/9vvw=")</f>
        <v>#VALUE!</v>
      </c>
      <c r="IT212" t="e">
        <f>AND(Bills!#REF!,"AAAAAH/9vv0=")</f>
        <v>#REF!</v>
      </c>
      <c r="IU212" t="e">
        <f>AND(Bills!K835,"AAAAAH/9vv4=")</f>
        <v>#VALUE!</v>
      </c>
      <c r="IV212" t="e">
        <f>AND(Bills!L835,"AAAAAH/9vv8=")</f>
        <v>#VALUE!</v>
      </c>
    </row>
    <row r="213" spans="1:256">
      <c r="A213" t="e">
        <f>AND(Bills!M835,"AAAAAH//+gA=")</f>
        <v>#VALUE!</v>
      </c>
      <c r="B213" t="e">
        <f>AND(Bills!N835,"AAAAAH//+gE=")</f>
        <v>#VALUE!</v>
      </c>
      <c r="C213" t="e">
        <f>AND(Bills!O835,"AAAAAH//+gI=")</f>
        <v>#VALUE!</v>
      </c>
      <c r="D213" t="e">
        <f>AND(Bills!P835,"AAAAAH//+gM=")</f>
        <v>#VALUE!</v>
      </c>
      <c r="E213" t="e">
        <f>AND(Bills!Q835,"AAAAAH//+gQ=")</f>
        <v>#VALUE!</v>
      </c>
      <c r="F213" t="e">
        <f>AND(Bills!R835,"AAAAAH//+gU=")</f>
        <v>#VALUE!</v>
      </c>
      <c r="G213" t="e">
        <f>AND(Bills!#REF!,"AAAAAH//+gY=")</f>
        <v>#REF!</v>
      </c>
      <c r="H213" t="e">
        <f>AND(Bills!S835,"AAAAAH//+gc=")</f>
        <v>#VALUE!</v>
      </c>
      <c r="I213" t="e">
        <f>AND(Bills!T835,"AAAAAH//+gg=")</f>
        <v>#VALUE!</v>
      </c>
      <c r="J213" t="e">
        <f>AND(Bills!U835,"AAAAAH//+gk=")</f>
        <v>#VALUE!</v>
      </c>
      <c r="K213" t="e">
        <f>AND(Bills!#REF!,"AAAAAH//+go=")</f>
        <v>#REF!</v>
      </c>
      <c r="L213" t="e">
        <f>AND(Bills!#REF!,"AAAAAH//+gs=")</f>
        <v>#REF!</v>
      </c>
      <c r="M213" t="e">
        <f>AND(Bills!W835,"AAAAAH//+gw=")</f>
        <v>#VALUE!</v>
      </c>
      <c r="N213" t="e">
        <f>AND(Bills!X835,"AAAAAH//+g0=")</f>
        <v>#VALUE!</v>
      </c>
      <c r="O213" t="e">
        <f>AND(Bills!#REF!,"AAAAAH//+g4=")</f>
        <v>#REF!</v>
      </c>
      <c r="P213" t="e">
        <f>AND(Bills!#REF!,"AAAAAH//+g8=")</f>
        <v>#REF!</v>
      </c>
      <c r="Q213" t="e">
        <f>AND(Bills!#REF!,"AAAAAH//+hA=")</f>
        <v>#REF!</v>
      </c>
      <c r="R213" t="e">
        <f>AND(Bills!#REF!,"AAAAAH//+hE=")</f>
        <v>#REF!</v>
      </c>
      <c r="S213" t="e">
        <f>AND(Bills!#REF!,"AAAAAH//+hI=")</f>
        <v>#REF!</v>
      </c>
      <c r="T213" t="e">
        <f>AND(Bills!#REF!,"AAAAAH//+hM=")</f>
        <v>#REF!</v>
      </c>
      <c r="U213" t="e">
        <f>AND(Bills!#REF!,"AAAAAH//+hQ=")</f>
        <v>#REF!</v>
      </c>
      <c r="V213" t="e">
        <f>AND(Bills!#REF!,"AAAAAH//+hU=")</f>
        <v>#REF!</v>
      </c>
      <c r="W213" t="e">
        <f>AND(Bills!#REF!,"AAAAAH//+hY=")</f>
        <v>#REF!</v>
      </c>
      <c r="X213" t="e">
        <f>AND(Bills!Y835,"AAAAAH//+hc=")</f>
        <v>#VALUE!</v>
      </c>
      <c r="Y213" t="e">
        <f>AND(Bills!Z835,"AAAAAH//+hg=")</f>
        <v>#VALUE!</v>
      </c>
      <c r="Z213" t="e">
        <f>AND(Bills!#REF!,"AAAAAH//+hk=")</f>
        <v>#REF!</v>
      </c>
      <c r="AA213" t="e">
        <f>AND(Bills!#REF!,"AAAAAH//+ho=")</f>
        <v>#REF!</v>
      </c>
      <c r="AB213" t="e">
        <f>AND(Bills!#REF!,"AAAAAH//+hs=")</f>
        <v>#REF!</v>
      </c>
      <c r="AC213" t="e">
        <f>AND(Bills!AA835,"AAAAAH//+hw=")</f>
        <v>#VALUE!</v>
      </c>
      <c r="AD213" t="e">
        <f>AND(Bills!AB835,"AAAAAH//+h0=")</f>
        <v>#VALUE!</v>
      </c>
      <c r="AE213" t="e">
        <f>AND(Bills!#REF!,"AAAAAH//+h4=")</f>
        <v>#REF!</v>
      </c>
      <c r="AF213">
        <f>IF(Bills!836:836,"AAAAAH//+h8=",0)</f>
        <v>0</v>
      </c>
      <c r="AG213" t="e">
        <f>AND(Bills!B836,"AAAAAH//+iA=")</f>
        <v>#VALUE!</v>
      </c>
      <c r="AH213" t="e">
        <f>AND(Bills!#REF!,"AAAAAH//+iE=")</f>
        <v>#REF!</v>
      </c>
      <c r="AI213" t="e">
        <f>AND(Bills!C836,"AAAAAH//+iI=")</f>
        <v>#VALUE!</v>
      </c>
      <c r="AJ213" t="e">
        <f>AND(Bills!#REF!,"AAAAAH//+iM=")</f>
        <v>#REF!</v>
      </c>
      <c r="AK213" t="e">
        <f>AND(Bills!#REF!,"AAAAAH//+iQ=")</f>
        <v>#REF!</v>
      </c>
      <c r="AL213" t="e">
        <f>AND(Bills!#REF!,"AAAAAH//+iU=")</f>
        <v>#REF!</v>
      </c>
      <c r="AM213" t="e">
        <f>AND(Bills!#REF!,"AAAAAH//+iY=")</f>
        <v>#REF!</v>
      </c>
      <c r="AN213" t="e">
        <f>AND(Bills!#REF!,"AAAAAH//+ic=")</f>
        <v>#REF!</v>
      </c>
      <c r="AO213" t="e">
        <f>AND(Bills!D836,"AAAAAH//+ig=")</f>
        <v>#VALUE!</v>
      </c>
      <c r="AP213" t="e">
        <f>AND(Bills!#REF!,"AAAAAH//+ik=")</f>
        <v>#REF!</v>
      </c>
      <c r="AQ213" t="e">
        <f>AND(Bills!E836,"AAAAAH//+io=")</f>
        <v>#VALUE!</v>
      </c>
      <c r="AR213" t="e">
        <f>AND(Bills!F836,"AAAAAH//+is=")</f>
        <v>#VALUE!</v>
      </c>
      <c r="AS213" t="e">
        <f>AND(Bills!G836,"AAAAAH//+iw=")</f>
        <v>#VALUE!</v>
      </c>
      <c r="AT213" t="e">
        <f>AND(Bills!H836,"AAAAAH//+i0=")</f>
        <v>#VALUE!</v>
      </c>
      <c r="AU213" t="e">
        <f>AND(Bills!I836,"AAAAAH//+i4=")</f>
        <v>#VALUE!</v>
      </c>
      <c r="AV213" t="e">
        <f>AND(Bills!J836,"AAAAAH//+i8=")</f>
        <v>#VALUE!</v>
      </c>
      <c r="AW213" t="e">
        <f>AND(Bills!#REF!,"AAAAAH//+jA=")</f>
        <v>#REF!</v>
      </c>
      <c r="AX213" t="e">
        <f>AND(Bills!K836,"AAAAAH//+jE=")</f>
        <v>#VALUE!</v>
      </c>
      <c r="AY213" t="e">
        <f>AND(Bills!L836,"AAAAAH//+jI=")</f>
        <v>#VALUE!</v>
      </c>
      <c r="AZ213" t="e">
        <f>AND(Bills!M836,"AAAAAH//+jM=")</f>
        <v>#VALUE!</v>
      </c>
      <c r="BA213" t="e">
        <f>AND(Bills!N836,"AAAAAH//+jQ=")</f>
        <v>#VALUE!</v>
      </c>
      <c r="BB213" t="e">
        <f>AND(Bills!O836,"AAAAAH//+jU=")</f>
        <v>#VALUE!</v>
      </c>
      <c r="BC213" t="e">
        <f>AND(Bills!P836,"AAAAAH//+jY=")</f>
        <v>#VALUE!</v>
      </c>
      <c r="BD213" t="e">
        <f>AND(Bills!Q836,"AAAAAH//+jc=")</f>
        <v>#VALUE!</v>
      </c>
      <c r="BE213" t="e">
        <f>AND(Bills!R836,"AAAAAH//+jg=")</f>
        <v>#VALUE!</v>
      </c>
      <c r="BF213" t="e">
        <f>AND(Bills!#REF!,"AAAAAH//+jk=")</f>
        <v>#REF!</v>
      </c>
      <c r="BG213" t="e">
        <f>AND(Bills!S836,"AAAAAH//+jo=")</f>
        <v>#VALUE!</v>
      </c>
      <c r="BH213" t="e">
        <f>AND(Bills!T836,"AAAAAH//+js=")</f>
        <v>#VALUE!</v>
      </c>
      <c r="BI213" t="e">
        <f>AND(Bills!U836,"AAAAAH//+jw=")</f>
        <v>#VALUE!</v>
      </c>
      <c r="BJ213" t="e">
        <f>AND(Bills!#REF!,"AAAAAH//+j0=")</f>
        <v>#REF!</v>
      </c>
      <c r="BK213" t="e">
        <f>AND(Bills!#REF!,"AAAAAH//+j4=")</f>
        <v>#REF!</v>
      </c>
      <c r="BL213" t="e">
        <f>AND(Bills!W836,"AAAAAH//+j8=")</f>
        <v>#VALUE!</v>
      </c>
      <c r="BM213" t="e">
        <f>AND(Bills!X836,"AAAAAH//+kA=")</f>
        <v>#VALUE!</v>
      </c>
      <c r="BN213" t="e">
        <f>AND(Bills!#REF!,"AAAAAH//+kE=")</f>
        <v>#REF!</v>
      </c>
      <c r="BO213" t="e">
        <f>AND(Bills!#REF!,"AAAAAH//+kI=")</f>
        <v>#REF!</v>
      </c>
      <c r="BP213" t="e">
        <f>AND(Bills!#REF!,"AAAAAH//+kM=")</f>
        <v>#REF!</v>
      </c>
      <c r="BQ213" t="e">
        <f>AND(Bills!#REF!,"AAAAAH//+kQ=")</f>
        <v>#REF!</v>
      </c>
      <c r="BR213" t="e">
        <f>AND(Bills!#REF!,"AAAAAH//+kU=")</f>
        <v>#REF!</v>
      </c>
      <c r="BS213" t="e">
        <f>AND(Bills!#REF!,"AAAAAH//+kY=")</f>
        <v>#REF!</v>
      </c>
      <c r="BT213" t="e">
        <f>AND(Bills!#REF!,"AAAAAH//+kc=")</f>
        <v>#REF!</v>
      </c>
      <c r="BU213" t="e">
        <f>AND(Bills!#REF!,"AAAAAH//+kg=")</f>
        <v>#REF!</v>
      </c>
      <c r="BV213" t="e">
        <f>AND(Bills!#REF!,"AAAAAH//+kk=")</f>
        <v>#REF!</v>
      </c>
      <c r="BW213" t="e">
        <f>AND(Bills!Y836,"AAAAAH//+ko=")</f>
        <v>#VALUE!</v>
      </c>
      <c r="BX213" t="e">
        <f>AND(Bills!Z836,"AAAAAH//+ks=")</f>
        <v>#VALUE!</v>
      </c>
      <c r="BY213" t="e">
        <f>AND(Bills!#REF!,"AAAAAH//+kw=")</f>
        <v>#REF!</v>
      </c>
      <c r="BZ213" t="e">
        <f>AND(Bills!#REF!,"AAAAAH//+k0=")</f>
        <v>#REF!</v>
      </c>
      <c r="CA213" t="e">
        <f>AND(Bills!#REF!,"AAAAAH//+k4=")</f>
        <v>#REF!</v>
      </c>
      <c r="CB213" t="e">
        <f>AND(Bills!AA836,"AAAAAH//+k8=")</f>
        <v>#VALUE!</v>
      </c>
      <c r="CC213" t="e">
        <f>AND(Bills!AB836,"AAAAAH//+lA=")</f>
        <v>#VALUE!</v>
      </c>
      <c r="CD213" t="e">
        <f>AND(Bills!#REF!,"AAAAAH//+lE=")</f>
        <v>#REF!</v>
      </c>
      <c r="CE213">
        <f>IF(Bills!837:837,"AAAAAH//+lI=",0)</f>
        <v>0</v>
      </c>
      <c r="CF213" t="e">
        <f>AND(Bills!B837,"AAAAAH//+lM=")</f>
        <v>#VALUE!</v>
      </c>
      <c r="CG213" t="e">
        <f>AND(Bills!#REF!,"AAAAAH//+lQ=")</f>
        <v>#REF!</v>
      </c>
      <c r="CH213" t="e">
        <f>AND(Bills!C837,"AAAAAH//+lU=")</f>
        <v>#VALUE!</v>
      </c>
      <c r="CI213" t="e">
        <f>AND(Bills!#REF!,"AAAAAH//+lY=")</f>
        <v>#REF!</v>
      </c>
      <c r="CJ213" t="e">
        <f>AND(Bills!#REF!,"AAAAAH//+lc=")</f>
        <v>#REF!</v>
      </c>
      <c r="CK213" t="e">
        <f>AND(Bills!#REF!,"AAAAAH//+lg=")</f>
        <v>#REF!</v>
      </c>
      <c r="CL213" t="e">
        <f>AND(Bills!#REF!,"AAAAAH//+lk=")</f>
        <v>#REF!</v>
      </c>
      <c r="CM213" t="e">
        <f>AND(Bills!#REF!,"AAAAAH//+lo=")</f>
        <v>#REF!</v>
      </c>
      <c r="CN213" t="e">
        <f>AND(Bills!D837,"AAAAAH//+ls=")</f>
        <v>#VALUE!</v>
      </c>
      <c r="CO213" t="e">
        <f>AND(Bills!#REF!,"AAAAAH//+lw=")</f>
        <v>#REF!</v>
      </c>
      <c r="CP213" t="e">
        <f>AND(Bills!E837,"AAAAAH//+l0=")</f>
        <v>#VALUE!</v>
      </c>
      <c r="CQ213" t="e">
        <f>AND(Bills!F837,"AAAAAH//+l4=")</f>
        <v>#VALUE!</v>
      </c>
      <c r="CR213" t="e">
        <f>AND(Bills!G837,"AAAAAH//+l8=")</f>
        <v>#VALUE!</v>
      </c>
      <c r="CS213" t="e">
        <f>AND(Bills!H837,"AAAAAH//+mA=")</f>
        <v>#VALUE!</v>
      </c>
      <c r="CT213" t="e">
        <f>AND(Bills!I837,"AAAAAH//+mE=")</f>
        <v>#VALUE!</v>
      </c>
      <c r="CU213" t="e">
        <f>AND(Bills!J837,"AAAAAH//+mI=")</f>
        <v>#VALUE!</v>
      </c>
      <c r="CV213" t="e">
        <f>AND(Bills!#REF!,"AAAAAH//+mM=")</f>
        <v>#REF!</v>
      </c>
      <c r="CW213" t="e">
        <f>AND(Bills!K837,"AAAAAH//+mQ=")</f>
        <v>#VALUE!</v>
      </c>
      <c r="CX213" t="e">
        <f>AND(Bills!L837,"AAAAAH//+mU=")</f>
        <v>#VALUE!</v>
      </c>
      <c r="CY213" t="e">
        <f>AND(Bills!M837,"AAAAAH//+mY=")</f>
        <v>#VALUE!</v>
      </c>
      <c r="CZ213" t="e">
        <f>AND(Bills!N837,"AAAAAH//+mc=")</f>
        <v>#VALUE!</v>
      </c>
      <c r="DA213" t="e">
        <f>AND(Bills!O837,"AAAAAH//+mg=")</f>
        <v>#VALUE!</v>
      </c>
      <c r="DB213" t="e">
        <f>AND(Bills!P837,"AAAAAH//+mk=")</f>
        <v>#VALUE!</v>
      </c>
      <c r="DC213" t="e">
        <f>AND(Bills!Q837,"AAAAAH//+mo=")</f>
        <v>#VALUE!</v>
      </c>
      <c r="DD213" t="e">
        <f>AND(Bills!R837,"AAAAAH//+ms=")</f>
        <v>#VALUE!</v>
      </c>
      <c r="DE213" t="e">
        <f>AND(Bills!#REF!,"AAAAAH//+mw=")</f>
        <v>#REF!</v>
      </c>
      <c r="DF213" t="e">
        <f>AND(Bills!S837,"AAAAAH//+m0=")</f>
        <v>#VALUE!</v>
      </c>
      <c r="DG213" t="e">
        <f>AND(Bills!T837,"AAAAAH//+m4=")</f>
        <v>#VALUE!</v>
      </c>
      <c r="DH213" t="e">
        <f>AND(Bills!U837,"AAAAAH//+m8=")</f>
        <v>#VALUE!</v>
      </c>
      <c r="DI213" t="e">
        <f>AND(Bills!#REF!,"AAAAAH//+nA=")</f>
        <v>#REF!</v>
      </c>
      <c r="DJ213" t="e">
        <f>AND(Bills!#REF!,"AAAAAH//+nE=")</f>
        <v>#REF!</v>
      </c>
      <c r="DK213" t="e">
        <f>AND(Bills!W837,"AAAAAH//+nI=")</f>
        <v>#VALUE!</v>
      </c>
      <c r="DL213" t="e">
        <f>AND(Bills!X837,"AAAAAH//+nM=")</f>
        <v>#VALUE!</v>
      </c>
      <c r="DM213" t="e">
        <f>AND(Bills!#REF!,"AAAAAH//+nQ=")</f>
        <v>#REF!</v>
      </c>
      <c r="DN213" t="e">
        <f>AND(Bills!#REF!,"AAAAAH//+nU=")</f>
        <v>#REF!</v>
      </c>
      <c r="DO213" t="e">
        <f>AND(Bills!#REF!,"AAAAAH//+nY=")</f>
        <v>#REF!</v>
      </c>
      <c r="DP213" t="e">
        <f>AND(Bills!#REF!,"AAAAAH//+nc=")</f>
        <v>#REF!</v>
      </c>
      <c r="DQ213" t="e">
        <f>AND(Bills!#REF!,"AAAAAH//+ng=")</f>
        <v>#REF!</v>
      </c>
      <c r="DR213" t="e">
        <f>AND(Bills!#REF!,"AAAAAH//+nk=")</f>
        <v>#REF!</v>
      </c>
      <c r="DS213" t="e">
        <f>AND(Bills!#REF!,"AAAAAH//+no=")</f>
        <v>#REF!</v>
      </c>
      <c r="DT213" t="e">
        <f>AND(Bills!#REF!,"AAAAAH//+ns=")</f>
        <v>#REF!</v>
      </c>
      <c r="DU213" t="e">
        <f>AND(Bills!#REF!,"AAAAAH//+nw=")</f>
        <v>#REF!</v>
      </c>
      <c r="DV213" t="e">
        <f>AND(Bills!Y837,"AAAAAH//+n0=")</f>
        <v>#VALUE!</v>
      </c>
      <c r="DW213" t="e">
        <f>AND(Bills!Z837,"AAAAAH//+n4=")</f>
        <v>#VALUE!</v>
      </c>
      <c r="DX213" t="e">
        <f>AND(Bills!#REF!,"AAAAAH//+n8=")</f>
        <v>#REF!</v>
      </c>
      <c r="DY213" t="e">
        <f>AND(Bills!#REF!,"AAAAAH//+oA=")</f>
        <v>#REF!</v>
      </c>
      <c r="DZ213" t="e">
        <f>AND(Bills!#REF!,"AAAAAH//+oE=")</f>
        <v>#REF!</v>
      </c>
      <c r="EA213" t="e">
        <f>AND(Bills!AA837,"AAAAAH//+oI=")</f>
        <v>#VALUE!</v>
      </c>
      <c r="EB213" t="e">
        <f>AND(Bills!AB837,"AAAAAH//+oM=")</f>
        <v>#VALUE!</v>
      </c>
      <c r="EC213" t="e">
        <f>AND(Bills!#REF!,"AAAAAH//+oQ=")</f>
        <v>#REF!</v>
      </c>
      <c r="ED213">
        <f>IF(Bills!838:838,"AAAAAH//+oU=",0)</f>
        <v>0</v>
      </c>
      <c r="EE213" t="e">
        <f>AND(Bills!B838,"AAAAAH//+oY=")</f>
        <v>#VALUE!</v>
      </c>
      <c r="EF213" t="e">
        <f>AND(Bills!#REF!,"AAAAAH//+oc=")</f>
        <v>#REF!</v>
      </c>
      <c r="EG213" t="e">
        <f>AND(Bills!C838,"AAAAAH//+og=")</f>
        <v>#VALUE!</v>
      </c>
      <c r="EH213" t="e">
        <f>AND(Bills!#REF!,"AAAAAH//+ok=")</f>
        <v>#REF!</v>
      </c>
      <c r="EI213" t="e">
        <f>AND(Bills!#REF!,"AAAAAH//+oo=")</f>
        <v>#REF!</v>
      </c>
      <c r="EJ213" t="e">
        <f>AND(Bills!#REF!,"AAAAAH//+os=")</f>
        <v>#REF!</v>
      </c>
      <c r="EK213" t="e">
        <f>AND(Bills!#REF!,"AAAAAH//+ow=")</f>
        <v>#REF!</v>
      </c>
      <c r="EL213" t="e">
        <f>AND(Bills!#REF!,"AAAAAH//+o0=")</f>
        <v>#REF!</v>
      </c>
      <c r="EM213" t="e">
        <f>AND(Bills!D838,"AAAAAH//+o4=")</f>
        <v>#VALUE!</v>
      </c>
      <c r="EN213" t="e">
        <f>AND(Bills!#REF!,"AAAAAH//+o8=")</f>
        <v>#REF!</v>
      </c>
      <c r="EO213" t="e">
        <f>AND(Bills!E838,"AAAAAH//+pA=")</f>
        <v>#VALUE!</v>
      </c>
      <c r="EP213" t="e">
        <f>AND(Bills!F838,"AAAAAH//+pE=")</f>
        <v>#VALUE!</v>
      </c>
      <c r="EQ213" t="e">
        <f>AND(Bills!G838,"AAAAAH//+pI=")</f>
        <v>#VALUE!</v>
      </c>
      <c r="ER213" t="e">
        <f>AND(Bills!H838,"AAAAAH//+pM=")</f>
        <v>#VALUE!</v>
      </c>
      <c r="ES213" t="e">
        <f>AND(Bills!I838,"AAAAAH//+pQ=")</f>
        <v>#VALUE!</v>
      </c>
      <c r="ET213" t="e">
        <f>AND(Bills!J838,"AAAAAH//+pU=")</f>
        <v>#VALUE!</v>
      </c>
      <c r="EU213" t="e">
        <f>AND(Bills!#REF!,"AAAAAH//+pY=")</f>
        <v>#REF!</v>
      </c>
      <c r="EV213" t="e">
        <f>AND(Bills!K838,"AAAAAH//+pc=")</f>
        <v>#VALUE!</v>
      </c>
      <c r="EW213" t="e">
        <f>AND(Bills!L838,"AAAAAH//+pg=")</f>
        <v>#VALUE!</v>
      </c>
      <c r="EX213" t="e">
        <f>AND(Bills!M838,"AAAAAH//+pk=")</f>
        <v>#VALUE!</v>
      </c>
      <c r="EY213" t="e">
        <f>AND(Bills!N838,"AAAAAH//+po=")</f>
        <v>#VALUE!</v>
      </c>
      <c r="EZ213" t="e">
        <f>AND(Bills!O838,"AAAAAH//+ps=")</f>
        <v>#VALUE!</v>
      </c>
      <c r="FA213" t="e">
        <f>AND(Bills!P838,"AAAAAH//+pw=")</f>
        <v>#VALUE!</v>
      </c>
      <c r="FB213" t="e">
        <f>AND(Bills!Q838,"AAAAAH//+p0=")</f>
        <v>#VALUE!</v>
      </c>
      <c r="FC213" t="e">
        <f>AND(Bills!R838,"AAAAAH//+p4=")</f>
        <v>#VALUE!</v>
      </c>
      <c r="FD213" t="e">
        <f>AND(Bills!#REF!,"AAAAAH//+p8=")</f>
        <v>#REF!</v>
      </c>
      <c r="FE213" t="e">
        <f>AND(Bills!S838,"AAAAAH//+qA=")</f>
        <v>#VALUE!</v>
      </c>
      <c r="FF213" t="e">
        <f>AND(Bills!T838,"AAAAAH//+qE=")</f>
        <v>#VALUE!</v>
      </c>
      <c r="FG213" t="e">
        <f>AND(Bills!U838,"AAAAAH//+qI=")</f>
        <v>#VALUE!</v>
      </c>
      <c r="FH213" t="e">
        <f>AND(Bills!#REF!,"AAAAAH//+qM=")</f>
        <v>#REF!</v>
      </c>
      <c r="FI213" t="e">
        <f>AND(Bills!#REF!,"AAAAAH//+qQ=")</f>
        <v>#REF!</v>
      </c>
      <c r="FJ213" t="e">
        <f>AND(Bills!W838,"AAAAAH//+qU=")</f>
        <v>#VALUE!</v>
      </c>
      <c r="FK213" t="e">
        <f>AND(Bills!X838,"AAAAAH//+qY=")</f>
        <v>#VALUE!</v>
      </c>
      <c r="FL213" t="e">
        <f>AND(Bills!#REF!,"AAAAAH//+qc=")</f>
        <v>#REF!</v>
      </c>
      <c r="FM213" t="e">
        <f>AND(Bills!#REF!,"AAAAAH//+qg=")</f>
        <v>#REF!</v>
      </c>
      <c r="FN213" t="e">
        <f>AND(Bills!#REF!,"AAAAAH//+qk=")</f>
        <v>#REF!</v>
      </c>
      <c r="FO213" t="e">
        <f>AND(Bills!#REF!,"AAAAAH//+qo=")</f>
        <v>#REF!</v>
      </c>
      <c r="FP213" t="e">
        <f>AND(Bills!#REF!,"AAAAAH//+qs=")</f>
        <v>#REF!</v>
      </c>
      <c r="FQ213" t="e">
        <f>AND(Bills!#REF!,"AAAAAH//+qw=")</f>
        <v>#REF!</v>
      </c>
      <c r="FR213" t="e">
        <f>AND(Bills!#REF!,"AAAAAH//+q0=")</f>
        <v>#REF!</v>
      </c>
      <c r="FS213" t="e">
        <f>AND(Bills!#REF!,"AAAAAH//+q4=")</f>
        <v>#REF!</v>
      </c>
      <c r="FT213" t="e">
        <f>AND(Bills!#REF!,"AAAAAH//+q8=")</f>
        <v>#REF!</v>
      </c>
      <c r="FU213" t="e">
        <f>AND(Bills!Y838,"AAAAAH//+rA=")</f>
        <v>#VALUE!</v>
      </c>
      <c r="FV213" t="e">
        <f>AND(Bills!Z838,"AAAAAH//+rE=")</f>
        <v>#VALUE!</v>
      </c>
      <c r="FW213" t="e">
        <f>AND(Bills!#REF!,"AAAAAH//+rI=")</f>
        <v>#REF!</v>
      </c>
      <c r="FX213" t="e">
        <f>AND(Bills!#REF!,"AAAAAH//+rM=")</f>
        <v>#REF!</v>
      </c>
      <c r="FY213" t="e">
        <f>AND(Bills!#REF!,"AAAAAH//+rQ=")</f>
        <v>#REF!</v>
      </c>
      <c r="FZ213" t="e">
        <f>AND(Bills!AA838,"AAAAAH//+rU=")</f>
        <v>#VALUE!</v>
      </c>
      <c r="GA213" t="e">
        <f>AND(Bills!AB838,"AAAAAH//+rY=")</f>
        <v>#VALUE!</v>
      </c>
      <c r="GB213" t="e">
        <f>AND(Bills!#REF!,"AAAAAH//+rc=")</f>
        <v>#REF!</v>
      </c>
      <c r="GC213">
        <f>IF(Bills!839:839,"AAAAAH//+rg=",0)</f>
        <v>0</v>
      </c>
      <c r="GD213" t="e">
        <f>AND(Bills!B839,"AAAAAH//+rk=")</f>
        <v>#VALUE!</v>
      </c>
      <c r="GE213" t="e">
        <f>AND(Bills!#REF!,"AAAAAH//+ro=")</f>
        <v>#REF!</v>
      </c>
      <c r="GF213" t="e">
        <f>AND(Bills!C839,"AAAAAH//+rs=")</f>
        <v>#VALUE!</v>
      </c>
      <c r="GG213" t="e">
        <f>AND(Bills!#REF!,"AAAAAH//+rw=")</f>
        <v>#REF!</v>
      </c>
      <c r="GH213" t="e">
        <f>AND(Bills!#REF!,"AAAAAH//+r0=")</f>
        <v>#REF!</v>
      </c>
      <c r="GI213" t="e">
        <f>AND(Bills!#REF!,"AAAAAH//+r4=")</f>
        <v>#REF!</v>
      </c>
      <c r="GJ213" t="e">
        <f>AND(Bills!#REF!,"AAAAAH//+r8=")</f>
        <v>#REF!</v>
      </c>
      <c r="GK213" t="e">
        <f>AND(Bills!#REF!,"AAAAAH//+sA=")</f>
        <v>#REF!</v>
      </c>
      <c r="GL213" t="e">
        <f>AND(Bills!D839,"AAAAAH//+sE=")</f>
        <v>#VALUE!</v>
      </c>
      <c r="GM213" t="e">
        <f>AND(Bills!#REF!,"AAAAAH//+sI=")</f>
        <v>#REF!</v>
      </c>
      <c r="GN213" t="e">
        <f>AND(Bills!E839,"AAAAAH//+sM=")</f>
        <v>#VALUE!</v>
      </c>
      <c r="GO213" t="e">
        <f>AND(Bills!F839,"AAAAAH//+sQ=")</f>
        <v>#VALUE!</v>
      </c>
      <c r="GP213" t="e">
        <f>AND(Bills!G839,"AAAAAH//+sU=")</f>
        <v>#VALUE!</v>
      </c>
      <c r="GQ213" t="e">
        <f>AND(Bills!H839,"AAAAAH//+sY=")</f>
        <v>#VALUE!</v>
      </c>
      <c r="GR213" t="e">
        <f>AND(Bills!I839,"AAAAAH//+sc=")</f>
        <v>#VALUE!</v>
      </c>
      <c r="GS213" t="e">
        <f>AND(Bills!J839,"AAAAAH//+sg=")</f>
        <v>#VALUE!</v>
      </c>
      <c r="GT213" t="e">
        <f>AND(Bills!#REF!,"AAAAAH//+sk=")</f>
        <v>#REF!</v>
      </c>
      <c r="GU213" t="e">
        <f>AND(Bills!K839,"AAAAAH//+so=")</f>
        <v>#VALUE!</v>
      </c>
      <c r="GV213" t="e">
        <f>AND(Bills!L839,"AAAAAH//+ss=")</f>
        <v>#VALUE!</v>
      </c>
      <c r="GW213" t="e">
        <f>AND(Bills!M839,"AAAAAH//+sw=")</f>
        <v>#VALUE!</v>
      </c>
      <c r="GX213" t="e">
        <f>AND(Bills!N839,"AAAAAH//+s0=")</f>
        <v>#VALUE!</v>
      </c>
      <c r="GY213" t="e">
        <f>AND(Bills!O839,"AAAAAH//+s4=")</f>
        <v>#VALUE!</v>
      </c>
      <c r="GZ213" t="e">
        <f>AND(Bills!P839,"AAAAAH//+s8=")</f>
        <v>#VALUE!</v>
      </c>
      <c r="HA213" t="e">
        <f>AND(Bills!Q839,"AAAAAH//+tA=")</f>
        <v>#VALUE!</v>
      </c>
      <c r="HB213" t="e">
        <f>AND(Bills!R839,"AAAAAH//+tE=")</f>
        <v>#VALUE!</v>
      </c>
      <c r="HC213" t="e">
        <f>AND(Bills!#REF!,"AAAAAH//+tI=")</f>
        <v>#REF!</v>
      </c>
      <c r="HD213" t="e">
        <f>AND(Bills!S839,"AAAAAH//+tM=")</f>
        <v>#VALUE!</v>
      </c>
      <c r="HE213" t="e">
        <f>AND(Bills!T839,"AAAAAH//+tQ=")</f>
        <v>#VALUE!</v>
      </c>
      <c r="HF213" t="e">
        <f>AND(Bills!U839,"AAAAAH//+tU=")</f>
        <v>#VALUE!</v>
      </c>
      <c r="HG213" t="e">
        <f>AND(Bills!#REF!,"AAAAAH//+tY=")</f>
        <v>#REF!</v>
      </c>
      <c r="HH213" t="e">
        <f>AND(Bills!#REF!,"AAAAAH//+tc=")</f>
        <v>#REF!</v>
      </c>
      <c r="HI213" t="e">
        <f>AND(Bills!W839,"AAAAAH//+tg=")</f>
        <v>#VALUE!</v>
      </c>
      <c r="HJ213" t="e">
        <f>AND(Bills!X839,"AAAAAH//+tk=")</f>
        <v>#VALUE!</v>
      </c>
      <c r="HK213" t="e">
        <f>AND(Bills!#REF!,"AAAAAH//+to=")</f>
        <v>#REF!</v>
      </c>
      <c r="HL213" t="e">
        <f>AND(Bills!#REF!,"AAAAAH//+ts=")</f>
        <v>#REF!</v>
      </c>
      <c r="HM213" t="e">
        <f>AND(Bills!#REF!,"AAAAAH//+tw=")</f>
        <v>#REF!</v>
      </c>
      <c r="HN213" t="e">
        <f>AND(Bills!#REF!,"AAAAAH//+t0=")</f>
        <v>#REF!</v>
      </c>
      <c r="HO213" t="e">
        <f>AND(Bills!#REF!,"AAAAAH//+t4=")</f>
        <v>#REF!</v>
      </c>
      <c r="HP213" t="e">
        <f>AND(Bills!#REF!,"AAAAAH//+t8=")</f>
        <v>#REF!</v>
      </c>
      <c r="HQ213" t="e">
        <f>AND(Bills!#REF!,"AAAAAH//+uA=")</f>
        <v>#REF!</v>
      </c>
      <c r="HR213" t="e">
        <f>AND(Bills!#REF!,"AAAAAH//+uE=")</f>
        <v>#REF!</v>
      </c>
      <c r="HS213" t="e">
        <f>AND(Bills!#REF!,"AAAAAH//+uI=")</f>
        <v>#REF!</v>
      </c>
      <c r="HT213" t="e">
        <f>AND(Bills!Y839,"AAAAAH//+uM=")</f>
        <v>#VALUE!</v>
      </c>
      <c r="HU213" t="e">
        <f>AND(Bills!Z839,"AAAAAH//+uQ=")</f>
        <v>#VALUE!</v>
      </c>
      <c r="HV213" t="e">
        <f>AND(Bills!#REF!,"AAAAAH//+uU=")</f>
        <v>#REF!</v>
      </c>
      <c r="HW213" t="e">
        <f>AND(Bills!#REF!,"AAAAAH//+uY=")</f>
        <v>#REF!</v>
      </c>
      <c r="HX213" t="e">
        <f>AND(Bills!#REF!,"AAAAAH//+uc=")</f>
        <v>#REF!</v>
      </c>
      <c r="HY213" t="e">
        <f>AND(Bills!AA839,"AAAAAH//+ug=")</f>
        <v>#VALUE!</v>
      </c>
      <c r="HZ213" t="e">
        <f>AND(Bills!AB839,"AAAAAH//+uk=")</f>
        <v>#VALUE!</v>
      </c>
      <c r="IA213" t="e">
        <f>AND(Bills!#REF!,"AAAAAH//+uo=")</f>
        <v>#REF!</v>
      </c>
      <c r="IB213">
        <f>IF(Bills!840:840,"AAAAAH//+us=",0)</f>
        <v>0</v>
      </c>
      <c r="IC213" t="e">
        <f>AND(Bills!B840,"AAAAAH//+uw=")</f>
        <v>#VALUE!</v>
      </c>
      <c r="ID213" t="e">
        <f>AND(Bills!#REF!,"AAAAAH//+u0=")</f>
        <v>#REF!</v>
      </c>
      <c r="IE213" t="e">
        <f>AND(Bills!C840,"AAAAAH//+u4=")</f>
        <v>#VALUE!</v>
      </c>
      <c r="IF213" t="e">
        <f>AND(Bills!#REF!,"AAAAAH//+u8=")</f>
        <v>#REF!</v>
      </c>
      <c r="IG213" t="e">
        <f>AND(Bills!#REF!,"AAAAAH//+vA=")</f>
        <v>#REF!</v>
      </c>
      <c r="IH213" t="e">
        <f>AND(Bills!#REF!,"AAAAAH//+vE=")</f>
        <v>#REF!</v>
      </c>
      <c r="II213" t="e">
        <f>AND(Bills!#REF!,"AAAAAH//+vI=")</f>
        <v>#REF!</v>
      </c>
      <c r="IJ213" t="e">
        <f>AND(Bills!#REF!,"AAAAAH//+vM=")</f>
        <v>#REF!</v>
      </c>
      <c r="IK213" t="e">
        <f>AND(Bills!D840,"AAAAAH//+vQ=")</f>
        <v>#VALUE!</v>
      </c>
      <c r="IL213" t="e">
        <f>AND(Bills!#REF!,"AAAAAH//+vU=")</f>
        <v>#REF!</v>
      </c>
      <c r="IM213" t="e">
        <f>AND(Bills!E840,"AAAAAH//+vY=")</f>
        <v>#VALUE!</v>
      </c>
      <c r="IN213" t="e">
        <f>AND(Bills!F840,"AAAAAH//+vc=")</f>
        <v>#VALUE!</v>
      </c>
      <c r="IO213" t="e">
        <f>AND(Bills!G840,"AAAAAH//+vg=")</f>
        <v>#VALUE!</v>
      </c>
      <c r="IP213" t="e">
        <f>AND(Bills!H840,"AAAAAH//+vk=")</f>
        <v>#VALUE!</v>
      </c>
      <c r="IQ213" t="e">
        <f>AND(Bills!I840,"AAAAAH//+vo=")</f>
        <v>#VALUE!</v>
      </c>
      <c r="IR213" t="e">
        <f>AND(Bills!J840,"AAAAAH//+vs=")</f>
        <v>#VALUE!</v>
      </c>
      <c r="IS213" t="e">
        <f>AND(Bills!#REF!,"AAAAAH//+vw=")</f>
        <v>#REF!</v>
      </c>
      <c r="IT213" t="e">
        <f>AND(Bills!K840,"AAAAAH//+v0=")</f>
        <v>#VALUE!</v>
      </c>
      <c r="IU213" t="e">
        <f>AND(Bills!L840,"AAAAAH//+v4=")</f>
        <v>#VALUE!</v>
      </c>
      <c r="IV213" t="e">
        <f>AND(Bills!M840,"AAAAAH//+v8=")</f>
        <v>#VALUE!</v>
      </c>
    </row>
    <row r="214" spans="1:256">
      <c r="A214" t="e">
        <f>AND(Bills!N840,"AAAAADf61gA=")</f>
        <v>#VALUE!</v>
      </c>
      <c r="B214" t="e">
        <f>AND(Bills!O840,"AAAAADf61gE=")</f>
        <v>#VALUE!</v>
      </c>
      <c r="C214" t="e">
        <f>AND(Bills!P840,"AAAAADf61gI=")</f>
        <v>#VALUE!</v>
      </c>
      <c r="D214" t="e">
        <f>AND(Bills!Q840,"AAAAADf61gM=")</f>
        <v>#VALUE!</v>
      </c>
      <c r="E214" t="e">
        <f>AND(Bills!R840,"AAAAADf61gQ=")</f>
        <v>#VALUE!</v>
      </c>
      <c r="F214" t="e">
        <f>AND(Bills!#REF!,"AAAAADf61gU=")</f>
        <v>#REF!</v>
      </c>
      <c r="G214" t="e">
        <f>AND(Bills!S840,"AAAAADf61gY=")</f>
        <v>#VALUE!</v>
      </c>
      <c r="H214" t="e">
        <f>AND(Bills!T840,"AAAAADf61gc=")</f>
        <v>#VALUE!</v>
      </c>
      <c r="I214" t="e">
        <f>AND(Bills!U840,"AAAAADf61gg=")</f>
        <v>#VALUE!</v>
      </c>
      <c r="J214" t="e">
        <f>AND(Bills!#REF!,"AAAAADf61gk=")</f>
        <v>#REF!</v>
      </c>
      <c r="K214" t="e">
        <f>AND(Bills!#REF!,"AAAAADf61go=")</f>
        <v>#REF!</v>
      </c>
      <c r="L214" t="e">
        <f>AND(Bills!W840,"AAAAADf61gs=")</f>
        <v>#VALUE!</v>
      </c>
      <c r="M214" t="e">
        <f>AND(Bills!X840,"AAAAADf61gw=")</f>
        <v>#VALUE!</v>
      </c>
      <c r="N214" t="e">
        <f>AND(Bills!#REF!,"AAAAADf61g0=")</f>
        <v>#REF!</v>
      </c>
      <c r="O214" t="e">
        <f>AND(Bills!#REF!,"AAAAADf61g4=")</f>
        <v>#REF!</v>
      </c>
      <c r="P214" t="e">
        <f>AND(Bills!#REF!,"AAAAADf61g8=")</f>
        <v>#REF!</v>
      </c>
      <c r="Q214" t="e">
        <f>AND(Bills!#REF!,"AAAAADf61hA=")</f>
        <v>#REF!</v>
      </c>
      <c r="R214" t="e">
        <f>AND(Bills!#REF!,"AAAAADf61hE=")</f>
        <v>#REF!</v>
      </c>
      <c r="S214" t="e">
        <f>AND(Bills!#REF!,"AAAAADf61hI=")</f>
        <v>#REF!</v>
      </c>
      <c r="T214" t="e">
        <f>AND(Bills!#REF!,"AAAAADf61hM=")</f>
        <v>#REF!</v>
      </c>
      <c r="U214" t="e">
        <f>AND(Bills!#REF!,"AAAAADf61hQ=")</f>
        <v>#REF!</v>
      </c>
      <c r="V214" t="e">
        <f>AND(Bills!#REF!,"AAAAADf61hU=")</f>
        <v>#REF!</v>
      </c>
      <c r="W214" t="e">
        <f>AND(Bills!Y840,"AAAAADf61hY=")</f>
        <v>#VALUE!</v>
      </c>
      <c r="X214" t="e">
        <f>AND(Bills!Z840,"AAAAADf61hc=")</f>
        <v>#VALUE!</v>
      </c>
      <c r="Y214" t="e">
        <f>AND(Bills!#REF!,"AAAAADf61hg=")</f>
        <v>#REF!</v>
      </c>
      <c r="Z214" t="e">
        <f>AND(Bills!#REF!,"AAAAADf61hk=")</f>
        <v>#REF!</v>
      </c>
      <c r="AA214" t="e">
        <f>AND(Bills!#REF!,"AAAAADf61ho=")</f>
        <v>#REF!</v>
      </c>
      <c r="AB214" t="e">
        <f>AND(Bills!AA840,"AAAAADf61hs=")</f>
        <v>#VALUE!</v>
      </c>
      <c r="AC214" t="e">
        <f>AND(Bills!AB840,"AAAAADf61hw=")</f>
        <v>#VALUE!</v>
      </c>
      <c r="AD214" t="e">
        <f>AND(Bills!#REF!,"AAAAADf61h0=")</f>
        <v>#REF!</v>
      </c>
      <c r="AE214">
        <f>IF(Bills!841:841,"AAAAADf61h4=",0)</f>
        <v>0</v>
      </c>
      <c r="AF214" t="e">
        <f>AND(Bills!B841,"AAAAADf61h8=")</f>
        <v>#VALUE!</v>
      </c>
      <c r="AG214" t="e">
        <f>AND(Bills!#REF!,"AAAAADf61iA=")</f>
        <v>#REF!</v>
      </c>
      <c r="AH214" t="e">
        <f>AND(Bills!C841,"AAAAADf61iE=")</f>
        <v>#VALUE!</v>
      </c>
      <c r="AI214" t="e">
        <f>AND(Bills!#REF!,"AAAAADf61iI=")</f>
        <v>#REF!</v>
      </c>
      <c r="AJ214" t="e">
        <f>AND(Bills!#REF!,"AAAAADf61iM=")</f>
        <v>#REF!</v>
      </c>
      <c r="AK214" t="e">
        <f>AND(Bills!#REF!,"AAAAADf61iQ=")</f>
        <v>#REF!</v>
      </c>
      <c r="AL214" t="e">
        <f>AND(Bills!#REF!,"AAAAADf61iU=")</f>
        <v>#REF!</v>
      </c>
      <c r="AM214" t="e">
        <f>AND(Bills!#REF!,"AAAAADf61iY=")</f>
        <v>#REF!</v>
      </c>
      <c r="AN214" t="e">
        <f>AND(Bills!D841,"AAAAADf61ic=")</f>
        <v>#VALUE!</v>
      </c>
      <c r="AO214" t="e">
        <f>AND(Bills!#REF!,"AAAAADf61ig=")</f>
        <v>#REF!</v>
      </c>
      <c r="AP214" t="e">
        <f>AND(Bills!E841,"AAAAADf61ik=")</f>
        <v>#VALUE!</v>
      </c>
      <c r="AQ214" t="e">
        <f>AND(Bills!F841,"AAAAADf61io=")</f>
        <v>#VALUE!</v>
      </c>
      <c r="AR214" t="e">
        <f>AND(Bills!G841,"AAAAADf61is=")</f>
        <v>#VALUE!</v>
      </c>
      <c r="AS214" t="e">
        <f>AND(Bills!H841,"AAAAADf61iw=")</f>
        <v>#VALUE!</v>
      </c>
      <c r="AT214" t="e">
        <f>AND(Bills!I841,"AAAAADf61i0=")</f>
        <v>#VALUE!</v>
      </c>
      <c r="AU214" t="e">
        <f>AND(Bills!J841,"AAAAADf61i4=")</f>
        <v>#VALUE!</v>
      </c>
      <c r="AV214" t="e">
        <f>AND(Bills!#REF!,"AAAAADf61i8=")</f>
        <v>#REF!</v>
      </c>
      <c r="AW214" t="e">
        <f>AND(Bills!K841,"AAAAADf61jA=")</f>
        <v>#VALUE!</v>
      </c>
      <c r="AX214" t="e">
        <f>AND(Bills!L841,"AAAAADf61jE=")</f>
        <v>#VALUE!</v>
      </c>
      <c r="AY214" t="e">
        <f>AND(Bills!M841,"AAAAADf61jI=")</f>
        <v>#VALUE!</v>
      </c>
      <c r="AZ214" t="e">
        <f>AND(Bills!N841,"AAAAADf61jM=")</f>
        <v>#VALUE!</v>
      </c>
      <c r="BA214" t="e">
        <f>AND(Bills!O841,"AAAAADf61jQ=")</f>
        <v>#VALUE!</v>
      </c>
      <c r="BB214" t="e">
        <f>AND(Bills!P841,"AAAAADf61jU=")</f>
        <v>#VALUE!</v>
      </c>
      <c r="BC214" t="e">
        <f>AND(Bills!Q841,"AAAAADf61jY=")</f>
        <v>#VALUE!</v>
      </c>
      <c r="BD214" t="e">
        <f>AND(Bills!R841,"AAAAADf61jc=")</f>
        <v>#VALUE!</v>
      </c>
      <c r="BE214" t="e">
        <f>AND(Bills!#REF!,"AAAAADf61jg=")</f>
        <v>#REF!</v>
      </c>
      <c r="BF214" t="e">
        <f>AND(Bills!S841,"AAAAADf61jk=")</f>
        <v>#VALUE!</v>
      </c>
      <c r="BG214" t="e">
        <f>AND(Bills!T841,"AAAAADf61jo=")</f>
        <v>#VALUE!</v>
      </c>
      <c r="BH214" t="e">
        <f>AND(Bills!U841,"AAAAADf61js=")</f>
        <v>#VALUE!</v>
      </c>
      <c r="BI214" t="e">
        <f>AND(Bills!#REF!,"AAAAADf61jw=")</f>
        <v>#REF!</v>
      </c>
      <c r="BJ214" t="e">
        <f>AND(Bills!#REF!,"AAAAADf61j0=")</f>
        <v>#REF!</v>
      </c>
      <c r="BK214" t="e">
        <f>AND(Bills!W841,"AAAAADf61j4=")</f>
        <v>#VALUE!</v>
      </c>
      <c r="BL214" t="e">
        <f>AND(Bills!X841,"AAAAADf61j8=")</f>
        <v>#VALUE!</v>
      </c>
      <c r="BM214" t="e">
        <f>AND(Bills!#REF!,"AAAAADf61kA=")</f>
        <v>#REF!</v>
      </c>
      <c r="BN214" t="e">
        <f>AND(Bills!#REF!,"AAAAADf61kE=")</f>
        <v>#REF!</v>
      </c>
      <c r="BO214" t="e">
        <f>AND(Bills!#REF!,"AAAAADf61kI=")</f>
        <v>#REF!</v>
      </c>
      <c r="BP214" t="e">
        <f>AND(Bills!#REF!,"AAAAADf61kM=")</f>
        <v>#REF!</v>
      </c>
      <c r="BQ214" t="e">
        <f>AND(Bills!#REF!,"AAAAADf61kQ=")</f>
        <v>#REF!</v>
      </c>
      <c r="BR214" t="e">
        <f>AND(Bills!#REF!,"AAAAADf61kU=")</f>
        <v>#REF!</v>
      </c>
      <c r="BS214" t="e">
        <f>AND(Bills!#REF!,"AAAAADf61kY=")</f>
        <v>#REF!</v>
      </c>
      <c r="BT214" t="e">
        <f>AND(Bills!#REF!,"AAAAADf61kc=")</f>
        <v>#REF!</v>
      </c>
      <c r="BU214" t="e">
        <f>AND(Bills!#REF!,"AAAAADf61kg=")</f>
        <v>#REF!</v>
      </c>
      <c r="BV214" t="e">
        <f>AND(Bills!Y841,"AAAAADf61kk=")</f>
        <v>#VALUE!</v>
      </c>
      <c r="BW214" t="e">
        <f>AND(Bills!Z841,"AAAAADf61ko=")</f>
        <v>#VALUE!</v>
      </c>
      <c r="BX214" t="e">
        <f>AND(Bills!#REF!,"AAAAADf61ks=")</f>
        <v>#REF!</v>
      </c>
      <c r="BY214" t="e">
        <f>AND(Bills!#REF!,"AAAAADf61kw=")</f>
        <v>#REF!</v>
      </c>
      <c r="BZ214" t="e">
        <f>AND(Bills!#REF!,"AAAAADf61k0=")</f>
        <v>#REF!</v>
      </c>
      <c r="CA214" t="e">
        <f>AND(Bills!AA841,"AAAAADf61k4=")</f>
        <v>#VALUE!</v>
      </c>
      <c r="CB214" t="e">
        <f>AND(Bills!AB841,"AAAAADf61k8=")</f>
        <v>#VALUE!</v>
      </c>
      <c r="CC214" t="e">
        <f>AND(Bills!#REF!,"AAAAADf61lA=")</f>
        <v>#REF!</v>
      </c>
      <c r="CD214">
        <f>IF(Bills!842:842,"AAAAADf61lE=",0)</f>
        <v>0</v>
      </c>
      <c r="CE214" t="e">
        <f>AND(Bills!B842,"AAAAADf61lI=")</f>
        <v>#VALUE!</v>
      </c>
      <c r="CF214" t="e">
        <f>AND(Bills!#REF!,"AAAAADf61lM=")</f>
        <v>#REF!</v>
      </c>
      <c r="CG214" t="e">
        <f>AND(Bills!C842,"AAAAADf61lQ=")</f>
        <v>#VALUE!</v>
      </c>
      <c r="CH214" t="e">
        <f>AND(Bills!#REF!,"AAAAADf61lU=")</f>
        <v>#REF!</v>
      </c>
      <c r="CI214" t="e">
        <f>AND(Bills!#REF!,"AAAAADf61lY=")</f>
        <v>#REF!</v>
      </c>
      <c r="CJ214" t="e">
        <f>AND(Bills!#REF!,"AAAAADf61lc=")</f>
        <v>#REF!</v>
      </c>
      <c r="CK214" t="e">
        <f>AND(Bills!#REF!,"AAAAADf61lg=")</f>
        <v>#REF!</v>
      </c>
      <c r="CL214" t="e">
        <f>AND(Bills!#REF!,"AAAAADf61lk=")</f>
        <v>#REF!</v>
      </c>
      <c r="CM214" t="e">
        <f>AND(Bills!D842,"AAAAADf61lo=")</f>
        <v>#VALUE!</v>
      </c>
      <c r="CN214" t="e">
        <f>AND(Bills!#REF!,"AAAAADf61ls=")</f>
        <v>#REF!</v>
      </c>
      <c r="CO214" t="e">
        <f>AND(Bills!E842,"AAAAADf61lw=")</f>
        <v>#VALUE!</v>
      </c>
      <c r="CP214" t="e">
        <f>AND(Bills!F842,"AAAAADf61l0=")</f>
        <v>#VALUE!</v>
      </c>
      <c r="CQ214" t="e">
        <f>AND(Bills!G842,"AAAAADf61l4=")</f>
        <v>#VALUE!</v>
      </c>
      <c r="CR214" t="e">
        <f>AND(Bills!H842,"AAAAADf61l8=")</f>
        <v>#VALUE!</v>
      </c>
      <c r="CS214" t="e">
        <f>AND(Bills!I842,"AAAAADf61mA=")</f>
        <v>#VALUE!</v>
      </c>
      <c r="CT214" t="e">
        <f>AND(Bills!J842,"AAAAADf61mE=")</f>
        <v>#VALUE!</v>
      </c>
      <c r="CU214" t="e">
        <f>AND(Bills!#REF!,"AAAAADf61mI=")</f>
        <v>#REF!</v>
      </c>
      <c r="CV214" t="e">
        <f>AND(Bills!K842,"AAAAADf61mM=")</f>
        <v>#VALUE!</v>
      </c>
      <c r="CW214" t="e">
        <f>AND(Bills!L842,"AAAAADf61mQ=")</f>
        <v>#VALUE!</v>
      </c>
      <c r="CX214" t="e">
        <f>AND(Bills!M842,"AAAAADf61mU=")</f>
        <v>#VALUE!</v>
      </c>
      <c r="CY214" t="e">
        <f>AND(Bills!N842,"AAAAADf61mY=")</f>
        <v>#VALUE!</v>
      </c>
      <c r="CZ214" t="e">
        <f>AND(Bills!O842,"AAAAADf61mc=")</f>
        <v>#VALUE!</v>
      </c>
      <c r="DA214" t="e">
        <f>AND(Bills!P842,"AAAAADf61mg=")</f>
        <v>#VALUE!</v>
      </c>
      <c r="DB214" t="e">
        <f>AND(Bills!Q842,"AAAAADf61mk=")</f>
        <v>#VALUE!</v>
      </c>
      <c r="DC214" t="e">
        <f>AND(Bills!R842,"AAAAADf61mo=")</f>
        <v>#VALUE!</v>
      </c>
      <c r="DD214" t="e">
        <f>AND(Bills!#REF!,"AAAAADf61ms=")</f>
        <v>#REF!</v>
      </c>
      <c r="DE214" t="e">
        <f>AND(Bills!S842,"AAAAADf61mw=")</f>
        <v>#VALUE!</v>
      </c>
      <c r="DF214" t="e">
        <f>AND(Bills!T842,"AAAAADf61m0=")</f>
        <v>#VALUE!</v>
      </c>
      <c r="DG214" t="e">
        <f>AND(Bills!U842,"AAAAADf61m4=")</f>
        <v>#VALUE!</v>
      </c>
      <c r="DH214" t="e">
        <f>AND(Bills!#REF!,"AAAAADf61m8=")</f>
        <v>#REF!</v>
      </c>
      <c r="DI214" t="e">
        <f>AND(Bills!#REF!,"AAAAADf61nA=")</f>
        <v>#REF!</v>
      </c>
      <c r="DJ214" t="e">
        <f>AND(Bills!W842,"AAAAADf61nE=")</f>
        <v>#VALUE!</v>
      </c>
      <c r="DK214" t="e">
        <f>AND(Bills!X842,"AAAAADf61nI=")</f>
        <v>#VALUE!</v>
      </c>
      <c r="DL214" t="e">
        <f>AND(Bills!#REF!,"AAAAADf61nM=")</f>
        <v>#REF!</v>
      </c>
      <c r="DM214" t="e">
        <f>AND(Bills!#REF!,"AAAAADf61nQ=")</f>
        <v>#REF!</v>
      </c>
      <c r="DN214" t="e">
        <f>AND(Bills!#REF!,"AAAAADf61nU=")</f>
        <v>#REF!</v>
      </c>
      <c r="DO214" t="e">
        <f>AND(Bills!#REF!,"AAAAADf61nY=")</f>
        <v>#REF!</v>
      </c>
      <c r="DP214" t="e">
        <f>AND(Bills!#REF!,"AAAAADf61nc=")</f>
        <v>#REF!</v>
      </c>
      <c r="DQ214" t="e">
        <f>AND(Bills!#REF!,"AAAAADf61ng=")</f>
        <v>#REF!</v>
      </c>
      <c r="DR214" t="e">
        <f>AND(Bills!#REF!,"AAAAADf61nk=")</f>
        <v>#REF!</v>
      </c>
      <c r="DS214" t="e">
        <f>AND(Bills!#REF!,"AAAAADf61no=")</f>
        <v>#REF!</v>
      </c>
      <c r="DT214" t="e">
        <f>AND(Bills!#REF!,"AAAAADf61ns=")</f>
        <v>#REF!</v>
      </c>
      <c r="DU214" t="e">
        <f>AND(Bills!Y842,"AAAAADf61nw=")</f>
        <v>#VALUE!</v>
      </c>
      <c r="DV214" t="e">
        <f>AND(Bills!Z842,"AAAAADf61n0=")</f>
        <v>#VALUE!</v>
      </c>
      <c r="DW214" t="e">
        <f>AND(Bills!#REF!,"AAAAADf61n4=")</f>
        <v>#REF!</v>
      </c>
      <c r="DX214" t="e">
        <f>AND(Bills!#REF!,"AAAAADf61n8=")</f>
        <v>#REF!</v>
      </c>
      <c r="DY214" t="e">
        <f>AND(Bills!#REF!,"AAAAADf61oA=")</f>
        <v>#REF!</v>
      </c>
      <c r="DZ214" t="e">
        <f>AND(Bills!AA842,"AAAAADf61oE=")</f>
        <v>#VALUE!</v>
      </c>
      <c r="EA214" t="e">
        <f>AND(Bills!AB842,"AAAAADf61oI=")</f>
        <v>#VALUE!</v>
      </c>
      <c r="EB214" t="e">
        <f>AND(Bills!#REF!,"AAAAADf61oM=")</f>
        <v>#REF!</v>
      </c>
      <c r="EC214">
        <f>IF(Bills!843:843,"AAAAADf61oQ=",0)</f>
        <v>0</v>
      </c>
      <c r="ED214" t="e">
        <f>AND(Bills!B843,"AAAAADf61oU=")</f>
        <v>#VALUE!</v>
      </c>
      <c r="EE214" t="e">
        <f>AND(Bills!#REF!,"AAAAADf61oY=")</f>
        <v>#REF!</v>
      </c>
      <c r="EF214" t="e">
        <f>AND(Bills!C843,"AAAAADf61oc=")</f>
        <v>#VALUE!</v>
      </c>
      <c r="EG214" t="e">
        <f>AND(Bills!#REF!,"AAAAADf61og=")</f>
        <v>#REF!</v>
      </c>
      <c r="EH214" t="e">
        <f>AND(Bills!#REF!,"AAAAADf61ok=")</f>
        <v>#REF!</v>
      </c>
      <c r="EI214" t="e">
        <f>AND(Bills!#REF!,"AAAAADf61oo=")</f>
        <v>#REF!</v>
      </c>
      <c r="EJ214" t="e">
        <f>AND(Bills!#REF!,"AAAAADf61os=")</f>
        <v>#REF!</v>
      </c>
      <c r="EK214" t="e">
        <f>AND(Bills!#REF!,"AAAAADf61ow=")</f>
        <v>#REF!</v>
      </c>
      <c r="EL214" t="e">
        <f>AND(Bills!D843,"AAAAADf61o0=")</f>
        <v>#VALUE!</v>
      </c>
      <c r="EM214" t="e">
        <f>AND(Bills!#REF!,"AAAAADf61o4=")</f>
        <v>#REF!</v>
      </c>
      <c r="EN214" t="e">
        <f>AND(Bills!E843,"AAAAADf61o8=")</f>
        <v>#VALUE!</v>
      </c>
      <c r="EO214" t="e">
        <f>AND(Bills!F843,"AAAAADf61pA=")</f>
        <v>#VALUE!</v>
      </c>
      <c r="EP214" t="e">
        <f>AND(Bills!G843,"AAAAADf61pE=")</f>
        <v>#VALUE!</v>
      </c>
      <c r="EQ214" t="e">
        <f>AND(Bills!H843,"AAAAADf61pI=")</f>
        <v>#VALUE!</v>
      </c>
      <c r="ER214" t="e">
        <f>AND(Bills!I843,"AAAAADf61pM=")</f>
        <v>#VALUE!</v>
      </c>
      <c r="ES214" t="e">
        <f>AND(Bills!J843,"AAAAADf61pQ=")</f>
        <v>#VALUE!</v>
      </c>
      <c r="ET214" t="e">
        <f>AND(Bills!#REF!,"AAAAADf61pU=")</f>
        <v>#REF!</v>
      </c>
      <c r="EU214" t="e">
        <f>AND(Bills!K843,"AAAAADf61pY=")</f>
        <v>#VALUE!</v>
      </c>
      <c r="EV214" t="e">
        <f>AND(Bills!L843,"AAAAADf61pc=")</f>
        <v>#VALUE!</v>
      </c>
      <c r="EW214" t="e">
        <f>AND(Bills!M843,"AAAAADf61pg=")</f>
        <v>#VALUE!</v>
      </c>
      <c r="EX214" t="e">
        <f>AND(Bills!N843,"AAAAADf61pk=")</f>
        <v>#VALUE!</v>
      </c>
      <c r="EY214" t="e">
        <f>AND(Bills!O843,"AAAAADf61po=")</f>
        <v>#VALUE!</v>
      </c>
      <c r="EZ214" t="e">
        <f>AND(Bills!P843,"AAAAADf61ps=")</f>
        <v>#VALUE!</v>
      </c>
      <c r="FA214" t="e">
        <f>AND(Bills!Q843,"AAAAADf61pw=")</f>
        <v>#VALUE!</v>
      </c>
      <c r="FB214" t="e">
        <f>AND(Bills!R843,"AAAAADf61p0=")</f>
        <v>#VALUE!</v>
      </c>
      <c r="FC214" t="e">
        <f>AND(Bills!#REF!,"AAAAADf61p4=")</f>
        <v>#REF!</v>
      </c>
      <c r="FD214" t="e">
        <f>AND(Bills!S843,"AAAAADf61p8=")</f>
        <v>#VALUE!</v>
      </c>
      <c r="FE214" t="e">
        <f>AND(Bills!T843,"AAAAADf61qA=")</f>
        <v>#VALUE!</v>
      </c>
      <c r="FF214" t="e">
        <f>AND(Bills!U843,"AAAAADf61qE=")</f>
        <v>#VALUE!</v>
      </c>
      <c r="FG214" t="e">
        <f>AND(Bills!#REF!,"AAAAADf61qI=")</f>
        <v>#REF!</v>
      </c>
      <c r="FH214" t="e">
        <f>AND(Bills!#REF!,"AAAAADf61qM=")</f>
        <v>#REF!</v>
      </c>
      <c r="FI214" t="e">
        <f>AND(Bills!W843,"AAAAADf61qQ=")</f>
        <v>#VALUE!</v>
      </c>
      <c r="FJ214" t="e">
        <f>AND(Bills!X843,"AAAAADf61qU=")</f>
        <v>#VALUE!</v>
      </c>
      <c r="FK214" t="e">
        <f>AND(Bills!#REF!,"AAAAADf61qY=")</f>
        <v>#REF!</v>
      </c>
      <c r="FL214" t="e">
        <f>AND(Bills!#REF!,"AAAAADf61qc=")</f>
        <v>#REF!</v>
      </c>
      <c r="FM214" t="e">
        <f>AND(Bills!#REF!,"AAAAADf61qg=")</f>
        <v>#REF!</v>
      </c>
      <c r="FN214" t="e">
        <f>AND(Bills!#REF!,"AAAAADf61qk=")</f>
        <v>#REF!</v>
      </c>
      <c r="FO214" t="e">
        <f>AND(Bills!#REF!,"AAAAADf61qo=")</f>
        <v>#REF!</v>
      </c>
      <c r="FP214" t="e">
        <f>AND(Bills!#REF!,"AAAAADf61qs=")</f>
        <v>#REF!</v>
      </c>
      <c r="FQ214" t="e">
        <f>AND(Bills!#REF!,"AAAAADf61qw=")</f>
        <v>#REF!</v>
      </c>
      <c r="FR214" t="e">
        <f>AND(Bills!#REF!,"AAAAADf61q0=")</f>
        <v>#REF!</v>
      </c>
      <c r="FS214" t="e">
        <f>AND(Bills!#REF!,"AAAAADf61q4=")</f>
        <v>#REF!</v>
      </c>
      <c r="FT214" t="e">
        <f>AND(Bills!Y843,"AAAAADf61q8=")</f>
        <v>#VALUE!</v>
      </c>
      <c r="FU214" t="e">
        <f>AND(Bills!Z843,"AAAAADf61rA=")</f>
        <v>#VALUE!</v>
      </c>
      <c r="FV214" t="e">
        <f>AND(Bills!#REF!,"AAAAADf61rE=")</f>
        <v>#REF!</v>
      </c>
      <c r="FW214" t="e">
        <f>AND(Bills!#REF!,"AAAAADf61rI=")</f>
        <v>#REF!</v>
      </c>
      <c r="FX214" t="e">
        <f>AND(Bills!#REF!,"AAAAADf61rM=")</f>
        <v>#REF!</v>
      </c>
      <c r="FY214" t="e">
        <f>AND(Bills!AA843,"AAAAADf61rQ=")</f>
        <v>#VALUE!</v>
      </c>
      <c r="FZ214" t="e">
        <f>AND(Bills!AB843,"AAAAADf61rU=")</f>
        <v>#VALUE!</v>
      </c>
      <c r="GA214" t="e">
        <f>AND(Bills!#REF!,"AAAAADf61rY=")</f>
        <v>#REF!</v>
      </c>
      <c r="GB214">
        <f>IF(Bills!844:844,"AAAAADf61rc=",0)</f>
        <v>0</v>
      </c>
      <c r="GC214" t="e">
        <f>AND(Bills!B844,"AAAAADf61rg=")</f>
        <v>#VALUE!</v>
      </c>
      <c r="GD214" t="e">
        <f>AND(Bills!#REF!,"AAAAADf61rk=")</f>
        <v>#REF!</v>
      </c>
      <c r="GE214" t="e">
        <f>AND(Bills!C844,"AAAAADf61ro=")</f>
        <v>#VALUE!</v>
      </c>
      <c r="GF214" t="e">
        <f>AND(Bills!#REF!,"AAAAADf61rs=")</f>
        <v>#REF!</v>
      </c>
      <c r="GG214" t="e">
        <f>AND(Bills!#REF!,"AAAAADf61rw=")</f>
        <v>#REF!</v>
      </c>
      <c r="GH214" t="e">
        <f>AND(Bills!#REF!,"AAAAADf61r0=")</f>
        <v>#REF!</v>
      </c>
      <c r="GI214" t="e">
        <f>AND(Bills!#REF!,"AAAAADf61r4=")</f>
        <v>#REF!</v>
      </c>
      <c r="GJ214" t="e">
        <f>AND(Bills!#REF!,"AAAAADf61r8=")</f>
        <v>#REF!</v>
      </c>
      <c r="GK214" t="e">
        <f>AND(Bills!D844,"AAAAADf61sA=")</f>
        <v>#VALUE!</v>
      </c>
      <c r="GL214" t="e">
        <f>AND(Bills!#REF!,"AAAAADf61sE=")</f>
        <v>#REF!</v>
      </c>
      <c r="GM214" t="e">
        <f>AND(Bills!E844,"AAAAADf61sI=")</f>
        <v>#VALUE!</v>
      </c>
      <c r="GN214" t="e">
        <f>AND(Bills!F844,"AAAAADf61sM=")</f>
        <v>#VALUE!</v>
      </c>
      <c r="GO214" t="e">
        <f>AND(Bills!G844,"AAAAADf61sQ=")</f>
        <v>#VALUE!</v>
      </c>
      <c r="GP214" t="e">
        <f>AND(Bills!H844,"AAAAADf61sU=")</f>
        <v>#VALUE!</v>
      </c>
      <c r="GQ214" t="e">
        <f>AND(Bills!I844,"AAAAADf61sY=")</f>
        <v>#VALUE!</v>
      </c>
      <c r="GR214" t="e">
        <f>AND(Bills!J844,"AAAAADf61sc=")</f>
        <v>#VALUE!</v>
      </c>
      <c r="GS214" t="e">
        <f>AND(Bills!#REF!,"AAAAADf61sg=")</f>
        <v>#REF!</v>
      </c>
      <c r="GT214" t="e">
        <f>AND(Bills!K844,"AAAAADf61sk=")</f>
        <v>#VALUE!</v>
      </c>
      <c r="GU214" t="e">
        <f>AND(Bills!L844,"AAAAADf61so=")</f>
        <v>#VALUE!</v>
      </c>
      <c r="GV214" t="e">
        <f>AND(Bills!M844,"AAAAADf61ss=")</f>
        <v>#VALUE!</v>
      </c>
      <c r="GW214" t="e">
        <f>AND(Bills!N844,"AAAAADf61sw=")</f>
        <v>#VALUE!</v>
      </c>
      <c r="GX214" t="e">
        <f>AND(Bills!O844,"AAAAADf61s0=")</f>
        <v>#VALUE!</v>
      </c>
      <c r="GY214" t="e">
        <f>AND(Bills!P844,"AAAAADf61s4=")</f>
        <v>#VALUE!</v>
      </c>
      <c r="GZ214" t="e">
        <f>AND(Bills!Q844,"AAAAADf61s8=")</f>
        <v>#VALUE!</v>
      </c>
      <c r="HA214" t="e">
        <f>AND(Bills!R844,"AAAAADf61tA=")</f>
        <v>#VALUE!</v>
      </c>
      <c r="HB214" t="e">
        <f>AND(Bills!#REF!,"AAAAADf61tE=")</f>
        <v>#REF!</v>
      </c>
      <c r="HC214" t="e">
        <f>AND(Bills!S844,"AAAAADf61tI=")</f>
        <v>#VALUE!</v>
      </c>
      <c r="HD214" t="e">
        <f>AND(Bills!T844,"AAAAADf61tM=")</f>
        <v>#VALUE!</v>
      </c>
      <c r="HE214" t="e">
        <f>AND(Bills!U844,"AAAAADf61tQ=")</f>
        <v>#VALUE!</v>
      </c>
      <c r="HF214" t="e">
        <f>AND(Bills!#REF!,"AAAAADf61tU=")</f>
        <v>#REF!</v>
      </c>
      <c r="HG214" t="e">
        <f>AND(Bills!#REF!,"AAAAADf61tY=")</f>
        <v>#REF!</v>
      </c>
      <c r="HH214" t="e">
        <f>AND(Bills!W844,"AAAAADf61tc=")</f>
        <v>#VALUE!</v>
      </c>
      <c r="HI214" t="e">
        <f>AND(Bills!X844,"AAAAADf61tg=")</f>
        <v>#VALUE!</v>
      </c>
      <c r="HJ214" t="e">
        <f>AND(Bills!#REF!,"AAAAADf61tk=")</f>
        <v>#REF!</v>
      </c>
      <c r="HK214" t="e">
        <f>AND(Bills!#REF!,"AAAAADf61to=")</f>
        <v>#REF!</v>
      </c>
      <c r="HL214" t="e">
        <f>AND(Bills!#REF!,"AAAAADf61ts=")</f>
        <v>#REF!</v>
      </c>
      <c r="HM214" t="e">
        <f>AND(Bills!#REF!,"AAAAADf61tw=")</f>
        <v>#REF!</v>
      </c>
      <c r="HN214" t="e">
        <f>AND(Bills!#REF!,"AAAAADf61t0=")</f>
        <v>#REF!</v>
      </c>
      <c r="HO214" t="e">
        <f>AND(Bills!#REF!,"AAAAADf61t4=")</f>
        <v>#REF!</v>
      </c>
      <c r="HP214" t="e">
        <f>AND(Bills!#REF!,"AAAAADf61t8=")</f>
        <v>#REF!</v>
      </c>
      <c r="HQ214" t="e">
        <f>AND(Bills!#REF!,"AAAAADf61uA=")</f>
        <v>#REF!</v>
      </c>
      <c r="HR214" t="e">
        <f>AND(Bills!#REF!,"AAAAADf61uE=")</f>
        <v>#REF!</v>
      </c>
      <c r="HS214" t="e">
        <f>AND(Bills!Y844,"AAAAADf61uI=")</f>
        <v>#VALUE!</v>
      </c>
      <c r="HT214" t="e">
        <f>AND(Bills!Z844,"AAAAADf61uM=")</f>
        <v>#VALUE!</v>
      </c>
      <c r="HU214" t="e">
        <f>AND(Bills!#REF!,"AAAAADf61uQ=")</f>
        <v>#REF!</v>
      </c>
      <c r="HV214" t="e">
        <f>AND(Bills!#REF!,"AAAAADf61uU=")</f>
        <v>#REF!</v>
      </c>
      <c r="HW214" t="e">
        <f>AND(Bills!#REF!,"AAAAADf61uY=")</f>
        <v>#REF!</v>
      </c>
      <c r="HX214" t="e">
        <f>AND(Bills!AA844,"AAAAADf61uc=")</f>
        <v>#VALUE!</v>
      </c>
      <c r="HY214" t="e">
        <f>AND(Bills!AB844,"AAAAADf61ug=")</f>
        <v>#VALUE!</v>
      </c>
      <c r="HZ214" t="e">
        <f>AND(Bills!#REF!,"AAAAADf61uk=")</f>
        <v>#REF!</v>
      </c>
      <c r="IA214">
        <f>IF(Bills!845:845,"AAAAADf61uo=",0)</f>
        <v>0</v>
      </c>
      <c r="IB214" t="e">
        <f>AND(Bills!B845,"AAAAADf61us=")</f>
        <v>#VALUE!</v>
      </c>
      <c r="IC214" t="e">
        <f>AND(Bills!#REF!,"AAAAADf61uw=")</f>
        <v>#REF!</v>
      </c>
      <c r="ID214" t="e">
        <f>AND(Bills!C845,"AAAAADf61u0=")</f>
        <v>#VALUE!</v>
      </c>
      <c r="IE214" t="e">
        <f>AND(Bills!#REF!,"AAAAADf61u4=")</f>
        <v>#REF!</v>
      </c>
      <c r="IF214" t="e">
        <f>AND(Bills!#REF!,"AAAAADf61u8=")</f>
        <v>#REF!</v>
      </c>
      <c r="IG214" t="e">
        <f>AND(Bills!#REF!,"AAAAADf61vA=")</f>
        <v>#REF!</v>
      </c>
      <c r="IH214" t="e">
        <f>AND(Bills!#REF!,"AAAAADf61vE=")</f>
        <v>#REF!</v>
      </c>
      <c r="II214" t="e">
        <f>AND(Bills!#REF!,"AAAAADf61vI=")</f>
        <v>#REF!</v>
      </c>
      <c r="IJ214" t="e">
        <f>AND(Bills!D845,"AAAAADf61vM=")</f>
        <v>#VALUE!</v>
      </c>
      <c r="IK214" t="e">
        <f>AND(Bills!#REF!,"AAAAADf61vQ=")</f>
        <v>#REF!</v>
      </c>
      <c r="IL214" t="e">
        <f>AND(Bills!E845,"AAAAADf61vU=")</f>
        <v>#VALUE!</v>
      </c>
      <c r="IM214" t="e">
        <f>AND(Bills!F845,"AAAAADf61vY=")</f>
        <v>#VALUE!</v>
      </c>
      <c r="IN214" t="e">
        <f>AND(Bills!G845,"AAAAADf61vc=")</f>
        <v>#VALUE!</v>
      </c>
      <c r="IO214" t="e">
        <f>AND(Bills!H845,"AAAAADf61vg=")</f>
        <v>#VALUE!</v>
      </c>
      <c r="IP214" t="e">
        <f>AND(Bills!I845,"AAAAADf61vk=")</f>
        <v>#VALUE!</v>
      </c>
      <c r="IQ214" t="e">
        <f>AND(Bills!J845,"AAAAADf61vo=")</f>
        <v>#VALUE!</v>
      </c>
      <c r="IR214" t="e">
        <f>AND(Bills!#REF!,"AAAAADf61vs=")</f>
        <v>#REF!</v>
      </c>
      <c r="IS214" t="e">
        <f>AND(Bills!K845,"AAAAADf61vw=")</f>
        <v>#VALUE!</v>
      </c>
      <c r="IT214" t="e">
        <f>AND(Bills!L845,"AAAAADf61v0=")</f>
        <v>#VALUE!</v>
      </c>
      <c r="IU214" t="e">
        <f>AND(Bills!M845,"AAAAADf61v4=")</f>
        <v>#VALUE!</v>
      </c>
      <c r="IV214" t="e">
        <f>AND(Bills!N845,"AAAAADf61v8=")</f>
        <v>#VALUE!</v>
      </c>
    </row>
    <row r="215" spans="1:256">
      <c r="A215" t="e">
        <f>AND(Bills!O845,"AAAAACT++wA=")</f>
        <v>#VALUE!</v>
      </c>
      <c r="B215" t="e">
        <f>AND(Bills!P845,"AAAAACT++wE=")</f>
        <v>#VALUE!</v>
      </c>
      <c r="C215" t="e">
        <f>AND(Bills!Q845,"AAAAACT++wI=")</f>
        <v>#VALUE!</v>
      </c>
      <c r="D215" t="e">
        <f>AND(Bills!R845,"AAAAACT++wM=")</f>
        <v>#VALUE!</v>
      </c>
      <c r="E215" t="e">
        <f>AND(Bills!#REF!,"AAAAACT++wQ=")</f>
        <v>#REF!</v>
      </c>
      <c r="F215" t="e">
        <f>AND(Bills!S845,"AAAAACT++wU=")</f>
        <v>#VALUE!</v>
      </c>
      <c r="G215" t="e">
        <f>AND(Bills!T845,"AAAAACT++wY=")</f>
        <v>#VALUE!</v>
      </c>
      <c r="H215" t="e">
        <f>AND(Bills!U845,"AAAAACT++wc=")</f>
        <v>#VALUE!</v>
      </c>
      <c r="I215" t="e">
        <f>AND(Bills!#REF!,"AAAAACT++wg=")</f>
        <v>#REF!</v>
      </c>
      <c r="J215" t="e">
        <f>AND(Bills!#REF!,"AAAAACT++wk=")</f>
        <v>#REF!</v>
      </c>
      <c r="K215" t="e">
        <f>AND(Bills!W845,"AAAAACT++wo=")</f>
        <v>#VALUE!</v>
      </c>
      <c r="L215" t="e">
        <f>AND(Bills!X845,"AAAAACT++ws=")</f>
        <v>#VALUE!</v>
      </c>
      <c r="M215" t="e">
        <f>AND(Bills!#REF!,"AAAAACT++ww=")</f>
        <v>#REF!</v>
      </c>
      <c r="N215" t="e">
        <f>AND(Bills!#REF!,"AAAAACT++w0=")</f>
        <v>#REF!</v>
      </c>
      <c r="O215" t="e">
        <f>AND(Bills!#REF!,"AAAAACT++w4=")</f>
        <v>#REF!</v>
      </c>
      <c r="P215" t="e">
        <f>AND(Bills!#REF!,"AAAAACT++w8=")</f>
        <v>#REF!</v>
      </c>
      <c r="Q215" t="e">
        <f>AND(Bills!#REF!,"AAAAACT++xA=")</f>
        <v>#REF!</v>
      </c>
      <c r="R215" t="e">
        <f>AND(Bills!#REF!,"AAAAACT++xE=")</f>
        <v>#REF!</v>
      </c>
      <c r="S215" t="e">
        <f>AND(Bills!#REF!,"AAAAACT++xI=")</f>
        <v>#REF!</v>
      </c>
      <c r="T215" t="e">
        <f>AND(Bills!#REF!,"AAAAACT++xM=")</f>
        <v>#REF!</v>
      </c>
      <c r="U215" t="e">
        <f>AND(Bills!#REF!,"AAAAACT++xQ=")</f>
        <v>#REF!</v>
      </c>
      <c r="V215" t="e">
        <f>AND(Bills!Y845,"AAAAACT++xU=")</f>
        <v>#VALUE!</v>
      </c>
      <c r="W215" t="e">
        <f>AND(Bills!Z845,"AAAAACT++xY=")</f>
        <v>#VALUE!</v>
      </c>
      <c r="X215" t="e">
        <f>AND(Bills!#REF!,"AAAAACT++xc=")</f>
        <v>#REF!</v>
      </c>
      <c r="Y215" t="e">
        <f>AND(Bills!#REF!,"AAAAACT++xg=")</f>
        <v>#REF!</v>
      </c>
      <c r="Z215" t="e">
        <f>AND(Bills!#REF!,"AAAAACT++xk=")</f>
        <v>#REF!</v>
      </c>
      <c r="AA215" t="e">
        <f>AND(Bills!AA845,"AAAAACT++xo=")</f>
        <v>#VALUE!</v>
      </c>
      <c r="AB215" t="e">
        <f>AND(Bills!AB845,"AAAAACT++xs=")</f>
        <v>#VALUE!</v>
      </c>
      <c r="AC215" t="e">
        <f>AND(Bills!#REF!,"AAAAACT++xw=")</f>
        <v>#REF!</v>
      </c>
      <c r="AD215">
        <f>IF(Bills!846:846,"AAAAACT++x0=",0)</f>
        <v>0</v>
      </c>
      <c r="AE215" t="e">
        <f>AND(Bills!B846,"AAAAACT++x4=")</f>
        <v>#VALUE!</v>
      </c>
      <c r="AF215" t="e">
        <f>AND(Bills!#REF!,"AAAAACT++x8=")</f>
        <v>#REF!</v>
      </c>
      <c r="AG215" t="e">
        <f>AND(Bills!C846,"AAAAACT++yA=")</f>
        <v>#VALUE!</v>
      </c>
      <c r="AH215" t="e">
        <f>AND(Bills!#REF!,"AAAAACT++yE=")</f>
        <v>#REF!</v>
      </c>
      <c r="AI215" t="e">
        <f>AND(Bills!#REF!,"AAAAACT++yI=")</f>
        <v>#REF!</v>
      </c>
      <c r="AJ215" t="e">
        <f>AND(Bills!#REF!,"AAAAACT++yM=")</f>
        <v>#REF!</v>
      </c>
      <c r="AK215" t="e">
        <f>AND(Bills!#REF!,"AAAAACT++yQ=")</f>
        <v>#REF!</v>
      </c>
      <c r="AL215" t="e">
        <f>AND(Bills!#REF!,"AAAAACT++yU=")</f>
        <v>#REF!</v>
      </c>
      <c r="AM215" t="e">
        <f>AND(Bills!D846,"AAAAACT++yY=")</f>
        <v>#VALUE!</v>
      </c>
      <c r="AN215" t="e">
        <f>AND(Bills!#REF!,"AAAAACT++yc=")</f>
        <v>#REF!</v>
      </c>
      <c r="AO215" t="e">
        <f>AND(Bills!E846,"AAAAACT++yg=")</f>
        <v>#VALUE!</v>
      </c>
      <c r="AP215" t="e">
        <f>AND(Bills!F846,"AAAAACT++yk=")</f>
        <v>#VALUE!</v>
      </c>
      <c r="AQ215" t="e">
        <f>AND(Bills!G846,"AAAAACT++yo=")</f>
        <v>#VALUE!</v>
      </c>
      <c r="AR215" t="e">
        <f>AND(Bills!H846,"AAAAACT++ys=")</f>
        <v>#VALUE!</v>
      </c>
      <c r="AS215" t="e">
        <f>AND(Bills!I846,"AAAAACT++yw=")</f>
        <v>#VALUE!</v>
      </c>
      <c r="AT215" t="e">
        <f>AND(Bills!J846,"AAAAACT++y0=")</f>
        <v>#VALUE!</v>
      </c>
      <c r="AU215" t="e">
        <f>AND(Bills!#REF!,"AAAAACT++y4=")</f>
        <v>#REF!</v>
      </c>
      <c r="AV215" t="e">
        <f>AND(Bills!K846,"AAAAACT++y8=")</f>
        <v>#VALUE!</v>
      </c>
      <c r="AW215" t="e">
        <f>AND(Bills!L846,"AAAAACT++zA=")</f>
        <v>#VALUE!</v>
      </c>
      <c r="AX215" t="e">
        <f>AND(Bills!M846,"AAAAACT++zE=")</f>
        <v>#VALUE!</v>
      </c>
      <c r="AY215" t="e">
        <f>AND(Bills!N846,"AAAAACT++zI=")</f>
        <v>#VALUE!</v>
      </c>
      <c r="AZ215" t="e">
        <f>AND(Bills!O846,"AAAAACT++zM=")</f>
        <v>#VALUE!</v>
      </c>
      <c r="BA215" t="e">
        <f>AND(Bills!P846,"AAAAACT++zQ=")</f>
        <v>#VALUE!</v>
      </c>
      <c r="BB215" t="e">
        <f>AND(Bills!Q846,"AAAAACT++zU=")</f>
        <v>#VALUE!</v>
      </c>
      <c r="BC215" t="e">
        <f>AND(Bills!R846,"AAAAACT++zY=")</f>
        <v>#VALUE!</v>
      </c>
      <c r="BD215" t="e">
        <f>AND(Bills!#REF!,"AAAAACT++zc=")</f>
        <v>#REF!</v>
      </c>
      <c r="BE215" t="e">
        <f>AND(Bills!S846,"AAAAACT++zg=")</f>
        <v>#VALUE!</v>
      </c>
      <c r="BF215" t="e">
        <f>AND(Bills!T846,"AAAAACT++zk=")</f>
        <v>#VALUE!</v>
      </c>
      <c r="BG215" t="e">
        <f>AND(Bills!U846,"AAAAACT++zo=")</f>
        <v>#VALUE!</v>
      </c>
      <c r="BH215" t="e">
        <f>AND(Bills!#REF!,"AAAAACT++zs=")</f>
        <v>#REF!</v>
      </c>
      <c r="BI215" t="e">
        <f>AND(Bills!#REF!,"AAAAACT++zw=")</f>
        <v>#REF!</v>
      </c>
      <c r="BJ215" t="e">
        <f>AND(Bills!W846,"AAAAACT++z0=")</f>
        <v>#VALUE!</v>
      </c>
      <c r="BK215" t="e">
        <f>AND(Bills!X846,"AAAAACT++z4=")</f>
        <v>#VALUE!</v>
      </c>
      <c r="BL215" t="e">
        <f>AND(Bills!#REF!,"AAAAACT++z8=")</f>
        <v>#REF!</v>
      </c>
      <c r="BM215" t="e">
        <f>AND(Bills!#REF!,"AAAAACT++0A=")</f>
        <v>#REF!</v>
      </c>
      <c r="BN215" t="e">
        <f>AND(Bills!#REF!,"AAAAACT++0E=")</f>
        <v>#REF!</v>
      </c>
      <c r="BO215" t="e">
        <f>AND(Bills!#REF!,"AAAAACT++0I=")</f>
        <v>#REF!</v>
      </c>
      <c r="BP215" t="e">
        <f>AND(Bills!#REF!,"AAAAACT++0M=")</f>
        <v>#REF!</v>
      </c>
      <c r="BQ215" t="e">
        <f>AND(Bills!#REF!,"AAAAACT++0Q=")</f>
        <v>#REF!</v>
      </c>
      <c r="BR215" t="e">
        <f>AND(Bills!#REF!,"AAAAACT++0U=")</f>
        <v>#REF!</v>
      </c>
      <c r="BS215" t="e">
        <f>AND(Bills!#REF!,"AAAAACT++0Y=")</f>
        <v>#REF!</v>
      </c>
      <c r="BT215" t="e">
        <f>AND(Bills!#REF!,"AAAAACT++0c=")</f>
        <v>#REF!</v>
      </c>
      <c r="BU215" t="e">
        <f>AND(Bills!Y846,"AAAAACT++0g=")</f>
        <v>#VALUE!</v>
      </c>
      <c r="BV215" t="e">
        <f>AND(Bills!Z846,"AAAAACT++0k=")</f>
        <v>#VALUE!</v>
      </c>
      <c r="BW215" t="e">
        <f>AND(Bills!#REF!,"AAAAACT++0o=")</f>
        <v>#REF!</v>
      </c>
      <c r="BX215" t="e">
        <f>AND(Bills!#REF!,"AAAAACT++0s=")</f>
        <v>#REF!</v>
      </c>
      <c r="BY215" t="e">
        <f>AND(Bills!#REF!,"AAAAACT++0w=")</f>
        <v>#REF!</v>
      </c>
      <c r="BZ215" t="e">
        <f>AND(Bills!AA846,"AAAAACT++00=")</f>
        <v>#VALUE!</v>
      </c>
      <c r="CA215" t="e">
        <f>AND(Bills!AB846,"AAAAACT++04=")</f>
        <v>#VALUE!</v>
      </c>
      <c r="CB215" t="e">
        <f>AND(Bills!#REF!,"AAAAACT++08=")</f>
        <v>#REF!</v>
      </c>
      <c r="CC215">
        <f>IF(Bills!847:847,"AAAAACT++1A=",0)</f>
        <v>0</v>
      </c>
      <c r="CD215" t="e">
        <f>AND(Bills!B847,"AAAAACT++1E=")</f>
        <v>#VALUE!</v>
      </c>
      <c r="CE215" t="e">
        <f>AND(Bills!#REF!,"AAAAACT++1I=")</f>
        <v>#REF!</v>
      </c>
      <c r="CF215" t="e">
        <f>AND(Bills!C847,"AAAAACT++1M=")</f>
        <v>#VALUE!</v>
      </c>
      <c r="CG215" t="e">
        <f>AND(Bills!#REF!,"AAAAACT++1Q=")</f>
        <v>#REF!</v>
      </c>
      <c r="CH215" t="e">
        <f>AND(Bills!#REF!,"AAAAACT++1U=")</f>
        <v>#REF!</v>
      </c>
      <c r="CI215" t="e">
        <f>AND(Bills!#REF!,"AAAAACT++1Y=")</f>
        <v>#REF!</v>
      </c>
      <c r="CJ215" t="e">
        <f>AND(Bills!#REF!,"AAAAACT++1c=")</f>
        <v>#REF!</v>
      </c>
      <c r="CK215" t="e">
        <f>AND(Bills!#REF!,"AAAAACT++1g=")</f>
        <v>#REF!</v>
      </c>
      <c r="CL215" t="e">
        <f>AND(Bills!D847,"AAAAACT++1k=")</f>
        <v>#VALUE!</v>
      </c>
      <c r="CM215" t="e">
        <f>AND(Bills!#REF!,"AAAAACT++1o=")</f>
        <v>#REF!</v>
      </c>
      <c r="CN215" t="e">
        <f>AND(Bills!E847,"AAAAACT++1s=")</f>
        <v>#VALUE!</v>
      </c>
      <c r="CO215" t="e">
        <f>AND(Bills!F847,"AAAAACT++1w=")</f>
        <v>#VALUE!</v>
      </c>
      <c r="CP215" t="e">
        <f>AND(Bills!G847,"AAAAACT++10=")</f>
        <v>#VALUE!</v>
      </c>
      <c r="CQ215" t="e">
        <f>AND(Bills!H847,"AAAAACT++14=")</f>
        <v>#VALUE!</v>
      </c>
      <c r="CR215" t="e">
        <f>AND(Bills!I847,"AAAAACT++18=")</f>
        <v>#VALUE!</v>
      </c>
      <c r="CS215" t="e">
        <f>AND(Bills!J847,"AAAAACT++2A=")</f>
        <v>#VALUE!</v>
      </c>
      <c r="CT215" t="e">
        <f>AND(Bills!#REF!,"AAAAACT++2E=")</f>
        <v>#REF!</v>
      </c>
      <c r="CU215" t="e">
        <f>AND(Bills!K847,"AAAAACT++2I=")</f>
        <v>#VALUE!</v>
      </c>
      <c r="CV215" t="e">
        <f>AND(Bills!L847,"AAAAACT++2M=")</f>
        <v>#VALUE!</v>
      </c>
      <c r="CW215" t="e">
        <f>AND(Bills!M847,"AAAAACT++2Q=")</f>
        <v>#VALUE!</v>
      </c>
      <c r="CX215" t="e">
        <f>AND(Bills!N847,"AAAAACT++2U=")</f>
        <v>#VALUE!</v>
      </c>
      <c r="CY215" t="e">
        <f>AND(Bills!O847,"AAAAACT++2Y=")</f>
        <v>#VALUE!</v>
      </c>
      <c r="CZ215" t="e">
        <f>AND(Bills!P847,"AAAAACT++2c=")</f>
        <v>#VALUE!</v>
      </c>
      <c r="DA215" t="e">
        <f>AND(Bills!Q847,"AAAAACT++2g=")</f>
        <v>#VALUE!</v>
      </c>
      <c r="DB215" t="e">
        <f>AND(Bills!R847,"AAAAACT++2k=")</f>
        <v>#VALUE!</v>
      </c>
      <c r="DC215" t="e">
        <f>AND(Bills!#REF!,"AAAAACT++2o=")</f>
        <v>#REF!</v>
      </c>
      <c r="DD215" t="e">
        <f>AND(Bills!S847,"AAAAACT++2s=")</f>
        <v>#VALUE!</v>
      </c>
      <c r="DE215" t="e">
        <f>AND(Bills!T847,"AAAAACT++2w=")</f>
        <v>#VALUE!</v>
      </c>
      <c r="DF215" t="e">
        <f>AND(Bills!U847,"AAAAACT++20=")</f>
        <v>#VALUE!</v>
      </c>
      <c r="DG215" t="e">
        <f>AND(Bills!#REF!,"AAAAACT++24=")</f>
        <v>#REF!</v>
      </c>
      <c r="DH215" t="e">
        <f>AND(Bills!#REF!,"AAAAACT++28=")</f>
        <v>#REF!</v>
      </c>
      <c r="DI215" t="e">
        <f>AND(Bills!W847,"AAAAACT++3A=")</f>
        <v>#VALUE!</v>
      </c>
      <c r="DJ215" t="e">
        <f>AND(Bills!X847,"AAAAACT++3E=")</f>
        <v>#VALUE!</v>
      </c>
      <c r="DK215" t="e">
        <f>AND(Bills!#REF!,"AAAAACT++3I=")</f>
        <v>#REF!</v>
      </c>
      <c r="DL215" t="e">
        <f>AND(Bills!#REF!,"AAAAACT++3M=")</f>
        <v>#REF!</v>
      </c>
      <c r="DM215" t="e">
        <f>AND(Bills!#REF!,"AAAAACT++3Q=")</f>
        <v>#REF!</v>
      </c>
      <c r="DN215" t="e">
        <f>AND(Bills!#REF!,"AAAAACT++3U=")</f>
        <v>#REF!</v>
      </c>
      <c r="DO215" t="e">
        <f>AND(Bills!#REF!,"AAAAACT++3Y=")</f>
        <v>#REF!</v>
      </c>
      <c r="DP215" t="e">
        <f>AND(Bills!#REF!,"AAAAACT++3c=")</f>
        <v>#REF!</v>
      </c>
      <c r="DQ215" t="e">
        <f>AND(Bills!#REF!,"AAAAACT++3g=")</f>
        <v>#REF!</v>
      </c>
      <c r="DR215" t="e">
        <f>AND(Bills!#REF!,"AAAAACT++3k=")</f>
        <v>#REF!</v>
      </c>
      <c r="DS215" t="e">
        <f>AND(Bills!#REF!,"AAAAACT++3o=")</f>
        <v>#REF!</v>
      </c>
      <c r="DT215" t="e">
        <f>AND(Bills!Y847,"AAAAACT++3s=")</f>
        <v>#VALUE!</v>
      </c>
      <c r="DU215" t="e">
        <f>AND(Bills!Z847,"AAAAACT++3w=")</f>
        <v>#VALUE!</v>
      </c>
      <c r="DV215" t="e">
        <f>AND(Bills!#REF!,"AAAAACT++30=")</f>
        <v>#REF!</v>
      </c>
      <c r="DW215" t="e">
        <f>AND(Bills!#REF!,"AAAAACT++34=")</f>
        <v>#REF!</v>
      </c>
      <c r="DX215" t="e">
        <f>AND(Bills!#REF!,"AAAAACT++38=")</f>
        <v>#REF!</v>
      </c>
      <c r="DY215" t="e">
        <f>AND(Bills!AA847,"AAAAACT++4A=")</f>
        <v>#VALUE!</v>
      </c>
      <c r="DZ215" t="e">
        <f>AND(Bills!AB847,"AAAAACT++4E=")</f>
        <v>#VALUE!</v>
      </c>
      <c r="EA215" t="e">
        <f>AND(Bills!#REF!,"AAAAACT++4I=")</f>
        <v>#REF!</v>
      </c>
      <c r="EB215">
        <f>IF(Bills!848:848,"AAAAACT++4M=",0)</f>
        <v>0</v>
      </c>
      <c r="EC215" t="e">
        <f>AND(Bills!B848,"AAAAACT++4Q=")</f>
        <v>#VALUE!</v>
      </c>
      <c r="ED215" t="e">
        <f>AND(Bills!#REF!,"AAAAACT++4U=")</f>
        <v>#REF!</v>
      </c>
      <c r="EE215" t="e">
        <f>AND(Bills!C848,"AAAAACT++4Y=")</f>
        <v>#VALUE!</v>
      </c>
      <c r="EF215" t="e">
        <f>AND(Bills!#REF!,"AAAAACT++4c=")</f>
        <v>#REF!</v>
      </c>
      <c r="EG215" t="e">
        <f>AND(Bills!#REF!,"AAAAACT++4g=")</f>
        <v>#REF!</v>
      </c>
      <c r="EH215" t="e">
        <f>AND(Bills!#REF!,"AAAAACT++4k=")</f>
        <v>#REF!</v>
      </c>
      <c r="EI215" t="e">
        <f>AND(Bills!#REF!,"AAAAACT++4o=")</f>
        <v>#REF!</v>
      </c>
      <c r="EJ215" t="e">
        <f>AND(Bills!#REF!,"AAAAACT++4s=")</f>
        <v>#REF!</v>
      </c>
      <c r="EK215" t="e">
        <f>AND(Bills!D848,"AAAAACT++4w=")</f>
        <v>#VALUE!</v>
      </c>
      <c r="EL215" t="e">
        <f>AND(Bills!#REF!,"AAAAACT++40=")</f>
        <v>#REF!</v>
      </c>
      <c r="EM215" t="e">
        <f>AND(Bills!E848,"AAAAACT++44=")</f>
        <v>#VALUE!</v>
      </c>
      <c r="EN215" t="e">
        <f>AND(Bills!F848,"AAAAACT++48=")</f>
        <v>#VALUE!</v>
      </c>
      <c r="EO215" t="e">
        <f>AND(Bills!G848,"AAAAACT++5A=")</f>
        <v>#VALUE!</v>
      </c>
      <c r="EP215" t="e">
        <f>AND(Bills!H848,"AAAAACT++5E=")</f>
        <v>#VALUE!</v>
      </c>
      <c r="EQ215" t="e">
        <f>AND(Bills!I848,"AAAAACT++5I=")</f>
        <v>#VALUE!</v>
      </c>
      <c r="ER215" t="e">
        <f>AND(Bills!J848,"AAAAACT++5M=")</f>
        <v>#VALUE!</v>
      </c>
      <c r="ES215" t="e">
        <f>AND(Bills!#REF!,"AAAAACT++5Q=")</f>
        <v>#REF!</v>
      </c>
      <c r="ET215" t="e">
        <f>AND(Bills!K848,"AAAAACT++5U=")</f>
        <v>#VALUE!</v>
      </c>
      <c r="EU215" t="e">
        <f>AND(Bills!L848,"AAAAACT++5Y=")</f>
        <v>#VALUE!</v>
      </c>
      <c r="EV215" t="e">
        <f>AND(Bills!M848,"AAAAACT++5c=")</f>
        <v>#VALUE!</v>
      </c>
      <c r="EW215" t="e">
        <f>AND(Bills!N848,"AAAAACT++5g=")</f>
        <v>#VALUE!</v>
      </c>
      <c r="EX215" t="e">
        <f>AND(Bills!O848,"AAAAACT++5k=")</f>
        <v>#VALUE!</v>
      </c>
      <c r="EY215" t="e">
        <f>AND(Bills!P848,"AAAAACT++5o=")</f>
        <v>#VALUE!</v>
      </c>
      <c r="EZ215" t="e">
        <f>AND(Bills!Q848,"AAAAACT++5s=")</f>
        <v>#VALUE!</v>
      </c>
      <c r="FA215" t="e">
        <f>AND(Bills!R848,"AAAAACT++5w=")</f>
        <v>#VALUE!</v>
      </c>
      <c r="FB215" t="e">
        <f>AND(Bills!#REF!,"AAAAACT++50=")</f>
        <v>#REF!</v>
      </c>
      <c r="FC215" t="e">
        <f>AND(Bills!S848,"AAAAACT++54=")</f>
        <v>#VALUE!</v>
      </c>
      <c r="FD215" t="e">
        <f>AND(Bills!T848,"AAAAACT++58=")</f>
        <v>#VALUE!</v>
      </c>
      <c r="FE215" t="e">
        <f>AND(Bills!U848,"AAAAACT++6A=")</f>
        <v>#VALUE!</v>
      </c>
      <c r="FF215" t="e">
        <f>AND(Bills!#REF!,"AAAAACT++6E=")</f>
        <v>#REF!</v>
      </c>
      <c r="FG215" t="e">
        <f>AND(Bills!#REF!,"AAAAACT++6I=")</f>
        <v>#REF!</v>
      </c>
      <c r="FH215" t="e">
        <f>AND(Bills!W848,"AAAAACT++6M=")</f>
        <v>#VALUE!</v>
      </c>
      <c r="FI215" t="e">
        <f>AND(Bills!X848,"AAAAACT++6Q=")</f>
        <v>#VALUE!</v>
      </c>
      <c r="FJ215" t="e">
        <f>AND(Bills!#REF!,"AAAAACT++6U=")</f>
        <v>#REF!</v>
      </c>
      <c r="FK215" t="e">
        <f>AND(Bills!#REF!,"AAAAACT++6Y=")</f>
        <v>#REF!</v>
      </c>
      <c r="FL215" t="e">
        <f>AND(Bills!#REF!,"AAAAACT++6c=")</f>
        <v>#REF!</v>
      </c>
      <c r="FM215" t="e">
        <f>AND(Bills!#REF!,"AAAAACT++6g=")</f>
        <v>#REF!</v>
      </c>
      <c r="FN215" t="e">
        <f>AND(Bills!#REF!,"AAAAACT++6k=")</f>
        <v>#REF!</v>
      </c>
      <c r="FO215" t="e">
        <f>AND(Bills!#REF!,"AAAAACT++6o=")</f>
        <v>#REF!</v>
      </c>
      <c r="FP215" t="e">
        <f>AND(Bills!#REF!,"AAAAACT++6s=")</f>
        <v>#REF!</v>
      </c>
      <c r="FQ215" t="e">
        <f>AND(Bills!#REF!,"AAAAACT++6w=")</f>
        <v>#REF!</v>
      </c>
      <c r="FR215" t="e">
        <f>AND(Bills!#REF!,"AAAAACT++60=")</f>
        <v>#REF!</v>
      </c>
      <c r="FS215" t="e">
        <f>AND(Bills!Y848,"AAAAACT++64=")</f>
        <v>#VALUE!</v>
      </c>
      <c r="FT215" t="e">
        <f>AND(Bills!Z848,"AAAAACT++68=")</f>
        <v>#VALUE!</v>
      </c>
      <c r="FU215" t="e">
        <f>AND(Bills!#REF!,"AAAAACT++7A=")</f>
        <v>#REF!</v>
      </c>
      <c r="FV215" t="e">
        <f>AND(Bills!#REF!,"AAAAACT++7E=")</f>
        <v>#REF!</v>
      </c>
      <c r="FW215" t="e">
        <f>AND(Bills!#REF!,"AAAAACT++7I=")</f>
        <v>#REF!</v>
      </c>
      <c r="FX215" t="e">
        <f>AND(Bills!AA848,"AAAAACT++7M=")</f>
        <v>#VALUE!</v>
      </c>
      <c r="FY215" t="e">
        <f>AND(Bills!AB848,"AAAAACT++7Q=")</f>
        <v>#VALUE!</v>
      </c>
      <c r="FZ215" t="e">
        <f>AND(Bills!#REF!,"AAAAACT++7U=")</f>
        <v>#REF!</v>
      </c>
      <c r="GA215">
        <f>IF(Bills!849:849,"AAAAACT++7Y=",0)</f>
        <v>0</v>
      </c>
      <c r="GB215" t="e">
        <f>AND(Bills!B849,"AAAAACT++7c=")</f>
        <v>#VALUE!</v>
      </c>
      <c r="GC215" t="e">
        <f>AND(Bills!#REF!,"AAAAACT++7g=")</f>
        <v>#REF!</v>
      </c>
      <c r="GD215" t="e">
        <f>AND(Bills!C849,"AAAAACT++7k=")</f>
        <v>#VALUE!</v>
      </c>
      <c r="GE215" t="e">
        <f>AND(Bills!#REF!,"AAAAACT++7o=")</f>
        <v>#REF!</v>
      </c>
      <c r="GF215" t="e">
        <f>AND(Bills!#REF!,"AAAAACT++7s=")</f>
        <v>#REF!</v>
      </c>
      <c r="GG215" t="e">
        <f>AND(Bills!#REF!,"AAAAACT++7w=")</f>
        <v>#REF!</v>
      </c>
      <c r="GH215" t="e">
        <f>AND(Bills!#REF!,"AAAAACT++70=")</f>
        <v>#REF!</v>
      </c>
      <c r="GI215" t="e">
        <f>AND(Bills!#REF!,"AAAAACT++74=")</f>
        <v>#REF!</v>
      </c>
      <c r="GJ215" t="e">
        <f>AND(Bills!D849,"AAAAACT++78=")</f>
        <v>#VALUE!</v>
      </c>
      <c r="GK215" t="e">
        <f>AND(Bills!#REF!,"AAAAACT++8A=")</f>
        <v>#REF!</v>
      </c>
      <c r="GL215" t="e">
        <f>AND(Bills!E849,"AAAAACT++8E=")</f>
        <v>#VALUE!</v>
      </c>
      <c r="GM215" t="e">
        <f>AND(Bills!F849,"AAAAACT++8I=")</f>
        <v>#VALUE!</v>
      </c>
      <c r="GN215" t="e">
        <f>AND(Bills!G849,"AAAAACT++8M=")</f>
        <v>#VALUE!</v>
      </c>
      <c r="GO215" t="e">
        <f>AND(Bills!H849,"AAAAACT++8Q=")</f>
        <v>#VALUE!</v>
      </c>
      <c r="GP215" t="e">
        <f>AND(Bills!I849,"AAAAACT++8U=")</f>
        <v>#VALUE!</v>
      </c>
      <c r="GQ215" t="e">
        <f>AND(Bills!J849,"AAAAACT++8Y=")</f>
        <v>#VALUE!</v>
      </c>
      <c r="GR215" t="e">
        <f>AND(Bills!#REF!,"AAAAACT++8c=")</f>
        <v>#REF!</v>
      </c>
      <c r="GS215" t="e">
        <f>AND(Bills!K849,"AAAAACT++8g=")</f>
        <v>#VALUE!</v>
      </c>
      <c r="GT215" t="e">
        <f>AND(Bills!L849,"AAAAACT++8k=")</f>
        <v>#VALUE!</v>
      </c>
      <c r="GU215" t="e">
        <f>AND(Bills!M849,"AAAAACT++8o=")</f>
        <v>#VALUE!</v>
      </c>
      <c r="GV215" t="e">
        <f>AND(Bills!N849,"AAAAACT++8s=")</f>
        <v>#VALUE!</v>
      </c>
      <c r="GW215" t="e">
        <f>AND(Bills!O849,"AAAAACT++8w=")</f>
        <v>#VALUE!</v>
      </c>
      <c r="GX215" t="e">
        <f>AND(Bills!P849,"AAAAACT++80=")</f>
        <v>#VALUE!</v>
      </c>
      <c r="GY215" t="e">
        <f>AND(Bills!Q849,"AAAAACT++84=")</f>
        <v>#VALUE!</v>
      </c>
      <c r="GZ215" t="e">
        <f>AND(Bills!R849,"AAAAACT++88=")</f>
        <v>#VALUE!</v>
      </c>
      <c r="HA215" t="e">
        <f>AND(Bills!#REF!,"AAAAACT++9A=")</f>
        <v>#REF!</v>
      </c>
      <c r="HB215" t="e">
        <f>AND(Bills!S849,"AAAAACT++9E=")</f>
        <v>#VALUE!</v>
      </c>
      <c r="HC215" t="e">
        <f>AND(Bills!T849,"AAAAACT++9I=")</f>
        <v>#VALUE!</v>
      </c>
      <c r="HD215" t="e">
        <f>AND(Bills!U849,"AAAAACT++9M=")</f>
        <v>#VALUE!</v>
      </c>
      <c r="HE215" t="e">
        <f>AND(Bills!#REF!,"AAAAACT++9Q=")</f>
        <v>#REF!</v>
      </c>
      <c r="HF215" t="e">
        <f>AND(Bills!#REF!,"AAAAACT++9U=")</f>
        <v>#REF!</v>
      </c>
      <c r="HG215" t="e">
        <f>AND(Bills!W849,"AAAAACT++9Y=")</f>
        <v>#VALUE!</v>
      </c>
      <c r="HH215" t="e">
        <f>AND(Bills!X849,"AAAAACT++9c=")</f>
        <v>#VALUE!</v>
      </c>
      <c r="HI215" t="e">
        <f>AND(Bills!#REF!,"AAAAACT++9g=")</f>
        <v>#REF!</v>
      </c>
      <c r="HJ215" t="e">
        <f>AND(Bills!#REF!,"AAAAACT++9k=")</f>
        <v>#REF!</v>
      </c>
      <c r="HK215" t="e">
        <f>AND(Bills!#REF!,"AAAAACT++9o=")</f>
        <v>#REF!</v>
      </c>
      <c r="HL215" t="e">
        <f>AND(Bills!#REF!,"AAAAACT++9s=")</f>
        <v>#REF!</v>
      </c>
      <c r="HM215" t="e">
        <f>AND(Bills!#REF!,"AAAAACT++9w=")</f>
        <v>#REF!</v>
      </c>
      <c r="HN215" t="e">
        <f>AND(Bills!#REF!,"AAAAACT++90=")</f>
        <v>#REF!</v>
      </c>
      <c r="HO215" t="e">
        <f>AND(Bills!#REF!,"AAAAACT++94=")</f>
        <v>#REF!</v>
      </c>
      <c r="HP215" t="e">
        <f>AND(Bills!#REF!,"AAAAACT++98=")</f>
        <v>#REF!</v>
      </c>
      <c r="HQ215" t="e">
        <f>AND(Bills!#REF!,"AAAAACT+++A=")</f>
        <v>#REF!</v>
      </c>
      <c r="HR215" t="e">
        <f>AND(Bills!Y849,"AAAAACT+++E=")</f>
        <v>#VALUE!</v>
      </c>
      <c r="HS215" t="e">
        <f>AND(Bills!Z849,"AAAAACT+++I=")</f>
        <v>#VALUE!</v>
      </c>
      <c r="HT215" t="e">
        <f>AND(Bills!#REF!,"AAAAACT+++M=")</f>
        <v>#REF!</v>
      </c>
      <c r="HU215" t="e">
        <f>AND(Bills!#REF!,"AAAAACT+++Q=")</f>
        <v>#REF!</v>
      </c>
      <c r="HV215" t="e">
        <f>AND(Bills!#REF!,"AAAAACT+++U=")</f>
        <v>#REF!</v>
      </c>
      <c r="HW215" t="e">
        <f>AND(Bills!AA849,"AAAAACT+++Y=")</f>
        <v>#VALUE!</v>
      </c>
      <c r="HX215" t="e">
        <f>AND(Bills!AB849,"AAAAACT+++c=")</f>
        <v>#VALUE!</v>
      </c>
      <c r="HY215" t="e">
        <f>AND(Bills!#REF!,"AAAAACT+++g=")</f>
        <v>#REF!</v>
      </c>
      <c r="HZ215">
        <f>IF(Bills!850:850,"AAAAACT+++k=",0)</f>
        <v>0</v>
      </c>
      <c r="IA215" t="e">
        <f>AND(Bills!B850,"AAAAACT+++o=")</f>
        <v>#VALUE!</v>
      </c>
      <c r="IB215" t="e">
        <f>AND(Bills!#REF!,"AAAAACT+++s=")</f>
        <v>#REF!</v>
      </c>
      <c r="IC215" t="e">
        <f>AND(Bills!C850,"AAAAACT+++w=")</f>
        <v>#VALUE!</v>
      </c>
      <c r="ID215" t="e">
        <f>AND(Bills!#REF!,"AAAAACT+++0=")</f>
        <v>#REF!</v>
      </c>
      <c r="IE215" t="e">
        <f>AND(Bills!#REF!,"AAAAACT+++4=")</f>
        <v>#REF!</v>
      </c>
      <c r="IF215" t="e">
        <f>AND(Bills!#REF!,"AAAAACT+++8=")</f>
        <v>#REF!</v>
      </c>
      <c r="IG215" t="e">
        <f>AND(Bills!#REF!,"AAAAACT++/A=")</f>
        <v>#REF!</v>
      </c>
      <c r="IH215" t="e">
        <f>AND(Bills!#REF!,"AAAAACT++/E=")</f>
        <v>#REF!</v>
      </c>
      <c r="II215" t="e">
        <f>AND(Bills!D850,"AAAAACT++/I=")</f>
        <v>#VALUE!</v>
      </c>
      <c r="IJ215" t="e">
        <f>AND(Bills!#REF!,"AAAAACT++/M=")</f>
        <v>#REF!</v>
      </c>
      <c r="IK215" t="e">
        <f>AND(Bills!E850,"AAAAACT++/Q=")</f>
        <v>#VALUE!</v>
      </c>
      <c r="IL215" t="e">
        <f>AND(Bills!F850,"AAAAACT++/U=")</f>
        <v>#VALUE!</v>
      </c>
      <c r="IM215" t="e">
        <f>AND(Bills!G850,"AAAAACT++/Y=")</f>
        <v>#VALUE!</v>
      </c>
      <c r="IN215" t="e">
        <f>AND(Bills!H850,"AAAAACT++/c=")</f>
        <v>#VALUE!</v>
      </c>
      <c r="IO215" t="e">
        <f>AND(Bills!I850,"AAAAACT++/g=")</f>
        <v>#VALUE!</v>
      </c>
      <c r="IP215" t="e">
        <f>AND(Bills!J850,"AAAAACT++/k=")</f>
        <v>#VALUE!</v>
      </c>
      <c r="IQ215" t="e">
        <f>AND(Bills!#REF!,"AAAAACT++/o=")</f>
        <v>#REF!</v>
      </c>
      <c r="IR215" t="e">
        <f>AND(Bills!K850,"AAAAACT++/s=")</f>
        <v>#VALUE!</v>
      </c>
      <c r="IS215" t="e">
        <f>AND(Bills!L850,"AAAAACT++/w=")</f>
        <v>#VALUE!</v>
      </c>
      <c r="IT215" t="e">
        <f>AND(Bills!M850,"AAAAACT++/0=")</f>
        <v>#VALUE!</v>
      </c>
      <c r="IU215" t="e">
        <f>AND(Bills!N850,"AAAAACT++/4=")</f>
        <v>#VALUE!</v>
      </c>
      <c r="IV215" t="e">
        <f>AND(Bills!O850,"AAAAACT++/8=")</f>
        <v>#VALUE!</v>
      </c>
    </row>
    <row r="216" spans="1:256">
      <c r="A216" t="e">
        <f>AND(Bills!P850,"AAAAAD/s9wA=")</f>
        <v>#VALUE!</v>
      </c>
      <c r="B216" t="e">
        <f>AND(Bills!Q850,"AAAAAD/s9wE=")</f>
        <v>#VALUE!</v>
      </c>
      <c r="C216" t="e">
        <f>AND(Bills!R850,"AAAAAD/s9wI=")</f>
        <v>#VALUE!</v>
      </c>
      <c r="D216" t="e">
        <f>AND(Bills!#REF!,"AAAAAD/s9wM=")</f>
        <v>#REF!</v>
      </c>
      <c r="E216" t="e">
        <f>AND(Bills!S850,"AAAAAD/s9wQ=")</f>
        <v>#VALUE!</v>
      </c>
      <c r="F216" t="e">
        <f>AND(Bills!T850,"AAAAAD/s9wU=")</f>
        <v>#VALUE!</v>
      </c>
      <c r="G216" t="e">
        <f>AND(Bills!U850,"AAAAAD/s9wY=")</f>
        <v>#VALUE!</v>
      </c>
      <c r="H216" t="e">
        <f>AND(Bills!#REF!,"AAAAAD/s9wc=")</f>
        <v>#REF!</v>
      </c>
      <c r="I216" t="e">
        <f>AND(Bills!#REF!,"AAAAAD/s9wg=")</f>
        <v>#REF!</v>
      </c>
      <c r="J216" t="e">
        <f>AND(Bills!W850,"AAAAAD/s9wk=")</f>
        <v>#VALUE!</v>
      </c>
      <c r="K216" t="e">
        <f>AND(Bills!X850,"AAAAAD/s9wo=")</f>
        <v>#VALUE!</v>
      </c>
      <c r="L216" t="e">
        <f>AND(Bills!#REF!,"AAAAAD/s9ws=")</f>
        <v>#REF!</v>
      </c>
      <c r="M216" t="e">
        <f>AND(Bills!#REF!,"AAAAAD/s9ww=")</f>
        <v>#REF!</v>
      </c>
      <c r="N216" t="e">
        <f>AND(Bills!#REF!,"AAAAAD/s9w0=")</f>
        <v>#REF!</v>
      </c>
      <c r="O216" t="e">
        <f>AND(Bills!#REF!,"AAAAAD/s9w4=")</f>
        <v>#REF!</v>
      </c>
      <c r="P216" t="e">
        <f>AND(Bills!#REF!,"AAAAAD/s9w8=")</f>
        <v>#REF!</v>
      </c>
      <c r="Q216" t="e">
        <f>AND(Bills!#REF!,"AAAAAD/s9xA=")</f>
        <v>#REF!</v>
      </c>
      <c r="R216" t="e">
        <f>AND(Bills!#REF!,"AAAAAD/s9xE=")</f>
        <v>#REF!</v>
      </c>
      <c r="S216" t="e">
        <f>AND(Bills!#REF!,"AAAAAD/s9xI=")</f>
        <v>#REF!</v>
      </c>
      <c r="T216" t="e">
        <f>AND(Bills!#REF!,"AAAAAD/s9xM=")</f>
        <v>#REF!</v>
      </c>
      <c r="U216" t="e">
        <f>AND(Bills!Y850,"AAAAAD/s9xQ=")</f>
        <v>#VALUE!</v>
      </c>
      <c r="V216" t="e">
        <f>AND(Bills!Z850,"AAAAAD/s9xU=")</f>
        <v>#VALUE!</v>
      </c>
      <c r="W216" t="e">
        <f>AND(Bills!#REF!,"AAAAAD/s9xY=")</f>
        <v>#REF!</v>
      </c>
      <c r="X216" t="e">
        <f>AND(Bills!#REF!,"AAAAAD/s9xc=")</f>
        <v>#REF!</v>
      </c>
      <c r="Y216" t="e">
        <f>AND(Bills!#REF!,"AAAAAD/s9xg=")</f>
        <v>#REF!</v>
      </c>
      <c r="Z216" t="e">
        <f>AND(Bills!AA850,"AAAAAD/s9xk=")</f>
        <v>#VALUE!</v>
      </c>
      <c r="AA216" t="e">
        <f>AND(Bills!AB850,"AAAAAD/s9xo=")</f>
        <v>#VALUE!</v>
      </c>
      <c r="AB216" t="e">
        <f>AND(Bills!#REF!,"AAAAAD/s9xs=")</f>
        <v>#REF!</v>
      </c>
      <c r="AC216">
        <f>IF(Bills!851:851,"AAAAAD/s9xw=",0)</f>
        <v>0</v>
      </c>
      <c r="AD216" t="e">
        <f>AND(Bills!B851,"AAAAAD/s9x0=")</f>
        <v>#VALUE!</v>
      </c>
      <c r="AE216" t="e">
        <f>AND(Bills!#REF!,"AAAAAD/s9x4=")</f>
        <v>#REF!</v>
      </c>
      <c r="AF216" t="e">
        <f>AND(Bills!C851,"AAAAAD/s9x8=")</f>
        <v>#VALUE!</v>
      </c>
      <c r="AG216" t="e">
        <f>AND(Bills!#REF!,"AAAAAD/s9yA=")</f>
        <v>#REF!</v>
      </c>
      <c r="AH216" t="e">
        <f>AND(Bills!#REF!,"AAAAAD/s9yE=")</f>
        <v>#REF!</v>
      </c>
      <c r="AI216" t="e">
        <f>AND(Bills!#REF!,"AAAAAD/s9yI=")</f>
        <v>#REF!</v>
      </c>
      <c r="AJ216" t="e">
        <f>AND(Bills!#REF!,"AAAAAD/s9yM=")</f>
        <v>#REF!</v>
      </c>
      <c r="AK216" t="e">
        <f>AND(Bills!#REF!,"AAAAAD/s9yQ=")</f>
        <v>#REF!</v>
      </c>
      <c r="AL216" t="e">
        <f>AND(Bills!D851,"AAAAAD/s9yU=")</f>
        <v>#VALUE!</v>
      </c>
      <c r="AM216" t="e">
        <f>AND(Bills!#REF!,"AAAAAD/s9yY=")</f>
        <v>#REF!</v>
      </c>
      <c r="AN216" t="e">
        <f>AND(Bills!E851,"AAAAAD/s9yc=")</f>
        <v>#VALUE!</v>
      </c>
      <c r="AO216" t="e">
        <f>AND(Bills!F851,"AAAAAD/s9yg=")</f>
        <v>#VALUE!</v>
      </c>
      <c r="AP216" t="e">
        <f>AND(Bills!G851,"AAAAAD/s9yk=")</f>
        <v>#VALUE!</v>
      </c>
      <c r="AQ216" t="e">
        <f>AND(Bills!H851,"AAAAAD/s9yo=")</f>
        <v>#VALUE!</v>
      </c>
      <c r="AR216" t="e">
        <f>AND(Bills!I851,"AAAAAD/s9ys=")</f>
        <v>#VALUE!</v>
      </c>
      <c r="AS216" t="e">
        <f>AND(Bills!J851,"AAAAAD/s9yw=")</f>
        <v>#VALUE!</v>
      </c>
      <c r="AT216" t="e">
        <f>AND(Bills!#REF!,"AAAAAD/s9y0=")</f>
        <v>#REF!</v>
      </c>
      <c r="AU216" t="e">
        <f>AND(Bills!K851,"AAAAAD/s9y4=")</f>
        <v>#VALUE!</v>
      </c>
      <c r="AV216" t="e">
        <f>AND(Bills!L851,"AAAAAD/s9y8=")</f>
        <v>#VALUE!</v>
      </c>
      <c r="AW216" t="e">
        <f>AND(Bills!M851,"AAAAAD/s9zA=")</f>
        <v>#VALUE!</v>
      </c>
      <c r="AX216" t="e">
        <f>AND(Bills!N851,"AAAAAD/s9zE=")</f>
        <v>#VALUE!</v>
      </c>
      <c r="AY216" t="e">
        <f>AND(Bills!O851,"AAAAAD/s9zI=")</f>
        <v>#VALUE!</v>
      </c>
      <c r="AZ216" t="e">
        <f>AND(Bills!P851,"AAAAAD/s9zM=")</f>
        <v>#VALUE!</v>
      </c>
      <c r="BA216" t="e">
        <f>AND(Bills!Q851,"AAAAAD/s9zQ=")</f>
        <v>#VALUE!</v>
      </c>
      <c r="BB216" t="e">
        <f>AND(Bills!R851,"AAAAAD/s9zU=")</f>
        <v>#VALUE!</v>
      </c>
      <c r="BC216" t="e">
        <f>AND(Bills!#REF!,"AAAAAD/s9zY=")</f>
        <v>#REF!</v>
      </c>
      <c r="BD216" t="e">
        <f>AND(Bills!S851,"AAAAAD/s9zc=")</f>
        <v>#VALUE!</v>
      </c>
      <c r="BE216" t="e">
        <f>AND(Bills!T851,"AAAAAD/s9zg=")</f>
        <v>#VALUE!</v>
      </c>
      <c r="BF216" t="e">
        <f>AND(Bills!U851,"AAAAAD/s9zk=")</f>
        <v>#VALUE!</v>
      </c>
      <c r="BG216" t="e">
        <f>AND(Bills!#REF!,"AAAAAD/s9zo=")</f>
        <v>#REF!</v>
      </c>
      <c r="BH216" t="e">
        <f>AND(Bills!#REF!,"AAAAAD/s9zs=")</f>
        <v>#REF!</v>
      </c>
      <c r="BI216" t="e">
        <f>AND(Bills!W851,"AAAAAD/s9zw=")</f>
        <v>#VALUE!</v>
      </c>
      <c r="BJ216" t="e">
        <f>AND(Bills!X851,"AAAAAD/s9z0=")</f>
        <v>#VALUE!</v>
      </c>
      <c r="BK216" t="e">
        <f>AND(Bills!#REF!,"AAAAAD/s9z4=")</f>
        <v>#REF!</v>
      </c>
      <c r="BL216" t="e">
        <f>AND(Bills!#REF!,"AAAAAD/s9z8=")</f>
        <v>#REF!</v>
      </c>
      <c r="BM216" t="e">
        <f>AND(Bills!#REF!,"AAAAAD/s90A=")</f>
        <v>#REF!</v>
      </c>
      <c r="BN216" t="e">
        <f>AND(Bills!#REF!,"AAAAAD/s90E=")</f>
        <v>#REF!</v>
      </c>
      <c r="BO216" t="e">
        <f>AND(Bills!#REF!,"AAAAAD/s90I=")</f>
        <v>#REF!</v>
      </c>
      <c r="BP216" t="e">
        <f>AND(Bills!#REF!,"AAAAAD/s90M=")</f>
        <v>#REF!</v>
      </c>
      <c r="BQ216" t="e">
        <f>AND(Bills!#REF!,"AAAAAD/s90Q=")</f>
        <v>#REF!</v>
      </c>
      <c r="BR216" t="e">
        <f>AND(Bills!#REF!,"AAAAAD/s90U=")</f>
        <v>#REF!</v>
      </c>
      <c r="BS216" t="e">
        <f>AND(Bills!#REF!,"AAAAAD/s90Y=")</f>
        <v>#REF!</v>
      </c>
      <c r="BT216" t="e">
        <f>AND(Bills!Y851,"AAAAAD/s90c=")</f>
        <v>#VALUE!</v>
      </c>
      <c r="BU216" t="e">
        <f>AND(Bills!Z851,"AAAAAD/s90g=")</f>
        <v>#VALUE!</v>
      </c>
      <c r="BV216" t="e">
        <f>AND(Bills!#REF!,"AAAAAD/s90k=")</f>
        <v>#REF!</v>
      </c>
      <c r="BW216" t="e">
        <f>AND(Bills!#REF!,"AAAAAD/s90o=")</f>
        <v>#REF!</v>
      </c>
      <c r="BX216" t="e">
        <f>AND(Bills!#REF!,"AAAAAD/s90s=")</f>
        <v>#REF!</v>
      </c>
      <c r="BY216" t="e">
        <f>AND(Bills!AA851,"AAAAAD/s90w=")</f>
        <v>#VALUE!</v>
      </c>
      <c r="BZ216" t="e">
        <f>AND(Bills!AB851,"AAAAAD/s900=")</f>
        <v>#VALUE!</v>
      </c>
      <c r="CA216" t="e">
        <f>AND(Bills!#REF!,"AAAAAD/s904=")</f>
        <v>#REF!</v>
      </c>
      <c r="CB216">
        <f>IF(Bills!852:852,"AAAAAD/s908=",0)</f>
        <v>0</v>
      </c>
      <c r="CC216" t="e">
        <f>AND(Bills!B852,"AAAAAD/s91A=")</f>
        <v>#VALUE!</v>
      </c>
      <c r="CD216" t="e">
        <f>AND(Bills!#REF!,"AAAAAD/s91E=")</f>
        <v>#REF!</v>
      </c>
      <c r="CE216" t="e">
        <f>AND(Bills!C852,"AAAAAD/s91I=")</f>
        <v>#VALUE!</v>
      </c>
      <c r="CF216" t="e">
        <f>AND(Bills!#REF!,"AAAAAD/s91M=")</f>
        <v>#REF!</v>
      </c>
      <c r="CG216" t="e">
        <f>AND(Bills!#REF!,"AAAAAD/s91Q=")</f>
        <v>#REF!</v>
      </c>
      <c r="CH216" t="e">
        <f>AND(Bills!#REF!,"AAAAAD/s91U=")</f>
        <v>#REF!</v>
      </c>
      <c r="CI216" t="e">
        <f>AND(Bills!#REF!,"AAAAAD/s91Y=")</f>
        <v>#REF!</v>
      </c>
      <c r="CJ216" t="e">
        <f>AND(Bills!#REF!,"AAAAAD/s91c=")</f>
        <v>#REF!</v>
      </c>
      <c r="CK216" t="e">
        <f>AND(Bills!D852,"AAAAAD/s91g=")</f>
        <v>#VALUE!</v>
      </c>
      <c r="CL216" t="e">
        <f>AND(Bills!#REF!,"AAAAAD/s91k=")</f>
        <v>#REF!</v>
      </c>
      <c r="CM216" t="e">
        <f>AND(Bills!E852,"AAAAAD/s91o=")</f>
        <v>#VALUE!</v>
      </c>
      <c r="CN216" t="e">
        <f>AND(Bills!F852,"AAAAAD/s91s=")</f>
        <v>#VALUE!</v>
      </c>
      <c r="CO216" t="e">
        <f>AND(Bills!G852,"AAAAAD/s91w=")</f>
        <v>#VALUE!</v>
      </c>
      <c r="CP216" t="e">
        <f>AND(Bills!H852,"AAAAAD/s910=")</f>
        <v>#VALUE!</v>
      </c>
      <c r="CQ216" t="e">
        <f>AND(Bills!I852,"AAAAAD/s914=")</f>
        <v>#VALUE!</v>
      </c>
      <c r="CR216" t="e">
        <f>AND(Bills!J852,"AAAAAD/s918=")</f>
        <v>#VALUE!</v>
      </c>
      <c r="CS216" t="e">
        <f>AND(Bills!#REF!,"AAAAAD/s92A=")</f>
        <v>#REF!</v>
      </c>
      <c r="CT216" t="e">
        <f>AND(Bills!K852,"AAAAAD/s92E=")</f>
        <v>#VALUE!</v>
      </c>
      <c r="CU216" t="e">
        <f>AND(Bills!L852,"AAAAAD/s92I=")</f>
        <v>#VALUE!</v>
      </c>
      <c r="CV216" t="e">
        <f>AND(Bills!M852,"AAAAAD/s92M=")</f>
        <v>#VALUE!</v>
      </c>
      <c r="CW216" t="e">
        <f>AND(Bills!N852,"AAAAAD/s92Q=")</f>
        <v>#VALUE!</v>
      </c>
      <c r="CX216" t="e">
        <f>AND(Bills!O852,"AAAAAD/s92U=")</f>
        <v>#VALUE!</v>
      </c>
      <c r="CY216" t="e">
        <f>AND(Bills!P852,"AAAAAD/s92Y=")</f>
        <v>#VALUE!</v>
      </c>
      <c r="CZ216" t="e">
        <f>AND(Bills!Q852,"AAAAAD/s92c=")</f>
        <v>#VALUE!</v>
      </c>
      <c r="DA216" t="e">
        <f>AND(Bills!R852,"AAAAAD/s92g=")</f>
        <v>#VALUE!</v>
      </c>
      <c r="DB216" t="e">
        <f>AND(Bills!#REF!,"AAAAAD/s92k=")</f>
        <v>#REF!</v>
      </c>
      <c r="DC216" t="e">
        <f>AND(Bills!S852,"AAAAAD/s92o=")</f>
        <v>#VALUE!</v>
      </c>
      <c r="DD216" t="e">
        <f>AND(Bills!T852,"AAAAAD/s92s=")</f>
        <v>#VALUE!</v>
      </c>
      <c r="DE216" t="e">
        <f>AND(Bills!U852,"AAAAAD/s92w=")</f>
        <v>#VALUE!</v>
      </c>
      <c r="DF216" t="e">
        <f>AND(Bills!#REF!,"AAAAAD/s920=")</f>
        <v>#REF!</v>
      </c>
      <c r="DG216" t="e">
        <f>AND(Bills!#REF!,"AAAAAD/s924=")</f>
        <v>#REF!</v>
      </c>
      <c r="DH216" t="e">
        <f>AND(Bills!W852,"AAAAAD/s928=")</f>
        <v>#VALUE!</v>
      </c>
      <c r="DI216" t="e">
        <f>AND(Bills!X852,"AAAAAD/s93A=")</f>
        <v>#VALUE!</v>
      </c>
      <c r="DJ216" t="e">
        <f>AND(Bills!#REF!,"AAAAAD/s93E=")</f>
        <v>#REF!</v>
      </c>
      <c r="DK216" t="e">
        <f>AND(Bills!#REF!,"AAAAAD/s93I=")</f>
        <v>#REF!</v>
      </c>
      <c r="DL216" t="e">
        <f>AND(Bills!#REF!,"AAAAAD/s93M=")</f>
        <v>#REF!</v>
      </c>
      <c r="DM216" t="e">
        <f>AND(Bills!#REF!,"AAAAAD/s93Q=")</f>
        <v>#REF!</v>
      </c>
      <c r="DN216" t="e">
        <f>AND(Bills!#REF!,"AAAAAD/s93U=")</f>
        <v>#REF!</v>
      </c>
      <c r="DO216" t="e">
        <f>AND(Bills!#REF!,"AAAAAD/s93Y=")</f>
        <v>#REF!</v>
      </c>
      <c r="DP216" t="e">
        <f>AND(Bills!#REF!,"AAAAAD/s93c=")</f>
        <v>#REF!</v>
      </c>
      <c r="DQ216" t="e">
        <f>AND(Bills!#REF!,"AAAAAD/s93g=")</f>
        <v>#REF!</v>
      </c>
      <c r="DR216" t="e">
        <f>AND(Bills!#REF!,"AAAAAD/s93k=")</f>
        <v>#REF!</v>
      </c>
      <c r="DS216" t="e">
        <f>AND(Bills!Y852,"AAAAAD/s93o=")</f>
        <v>#VALUE!</v>
      </c>
      <c r="DT216" t="e">
        <f>AND(Bills!Z852,"AAAAAD/s93s=")</f>
        <v>#VALUE!</v>
      </c>
      <c r="DU216" t="e">
        <f>AND(Bills!#REF!,"AAAAAD/s93w=")</f>
        <v>#REF!</v>
      </c>
      <c r="DV216" t="e">
        <f>AND(Bills!#REF!,"AAAAAD/s930=")</f>
        <v>#REF!</v>
      </c>
      <c r="DW216" t="e">
        <f>AND(Bills!#REF!,"AAAAAD/s934=")</f>
        <v>#REF!</v>
      </c>
      <c r="DX216" t="e">
        <f>AND(Bills!AA852,"AAAAAD/s938=")</f>
        <v>#VALUE!</v>
      </c>
      <c r="DY216" t="e">
        <f>AND(Bills!AB852,"AAAAAD/s94A=")</f>
        <v>#VALUE!</v>
      </c>
      <c r="DZ216" t="e">
        <f>AND(Bills!#REF!,"AAAAAD/s94E=")</f>
        <v>#REF!</v>
      </c>
      <c r="EA216">
        <f>IF(Bills!853:853,"AAAAAD/s94I=",0)</f>
        <v>0</v>
      </c>
      <c r="EB216" t="e">
        <f>AND(Bills!B853,"AAAAAD/s94M=")</f>
        <v>#VALUE!</v>
      </c>
      <c r="EC216" t="e">
        <f>AND(Bills!#REF!,"AAAAAD/s94Q=")</f>
        <v>#REF!</v>
      </c>
      <c r="ED216" t="e">
        <f>AND(Bills!C853,"AAAAAD/s94U=")</f>
        <v>#VALUE!</v>
      </c>
      <c r="EE216" t="e">
        <f>AND(Bills!#REF!,"AAAAAD/s94Y=")</f>
        <v>#REF!</v>
      </c>
      <c r="EF216" t="e">
        <f>AND(Bills!#REF!,"AAAAAD/s94c=")</f>
        <v>#REF!</v>
      </c>
      <c r="EG216" t="e">
        <f>AND(Bills!#REF!,"AAAAAD/s94g=")</f>
        <v>#REF!</v>
      </c>
      <c r="EH216" t="e">
        <f>AND(Bills!#REF!,"AAAAAD/s94k=")</f>
        <v>#REF!</v>
      </c>
      <c r="EI216" t="e">
        <f>AND(Bills!#REF!,"AAAAAD/s94o=")</f>
        <v>#REF!</v>
      </c>
      <c r="EJ216" t="e">
        <f>AND(Bills!D853,"AAAAAD/s94s=")</f>
        <v>#VALUE!</v>
      </c>
      <c r="EK216" t="e">
        <f>AND(Bills!#REF!,"AAAAAD/s94w=")</f>
        <v>#REF!</v>
      </c>
      <c r="EL216" t="e">
        <f>AND(Bills!E853,"AAAAAD/s940=")</f>
        <v>#VALUE!</v>
      </c>
      <c r="EM216" t="e">
        <f>AND(Bills!F853,"AAAAAD/s944=")</f>
        <v>#VALUE!</v>
      </c>
      <c r="EN216" t="e">
        <f>AND(Bills!G853,"AAAAAD/s948=")</f>
        <v>#VALUE!</v>
      </c>
      <c r="EO216" t="e">
        <f>AND(Bills!H853,"AAAAAD/s95A=")</f>
        <v>#VALUE!</v>
      </c>
      <c r="EP216" t="e">
        <f>AND(Bills!I853,"AAAAAD/s95E=")</f>
        <v>#VALUE!</v>
      </c>
      <c r="EQ216" t="e">
        <f>AND(Bills!J853,"AAAAAD/s95I=")</f>
        <v>#VALUE!</v>
      </c>
      <c r="ER216" t="e">
        <f>AND(Bills!#REF!,"AAAAAD/s95M=")</f>
        <v>#REF!</v>
      </c>
      <c r="ES216" t="e">
        <f>AND(Bills!K853,"AAAAAD/s95Q=")</f>
        <v>#VALUE!</v>
      </c>
      <c r="ET216" t="e">
        <f>AND(Bills!L853,"AAAAAD/s95U=")</f>
        <v>#VALUE!</v>
      </c>
      <c r="EU216" t="e">
        <f>AND(Bills!M853,"AAAAAD/s95Y=")</f>
        <v>#VALUE!</v>
      </c>
      <c r="EV216" t="e">
        <f>AND(Bills!N853,"AAAAAD/s95c=")</f>
        <v>#VALUE!</v>
      </c>
      <c r="EW216" t="e">
        <f>AND(Bills!O853,"AAAAAD/s95g=")</f>
        <v>#VALUE!</v>
      </c>
      <c r="EX216" t="e">
        <f>AND(Bills!P853,"AAAAAD/s95k=")</f>
        <v>#VALUE!</v>
      </c>
      <c r="EY216" t="e">
        <f>AND(Bills!Q853,"AAAAAD/s95o=")</f>
        <v>#VALUE!</v>
      </c>
      <c r="EZ216" t="e">
        <f>AND(Bills!R853,"AAAAAD/s95s=")</f>
        <v>#VALUE!</v>
      </c>
      <c r="FA216" t="e">
        <f>AND(Bills!#REF!,"AAAAAD/s95w=")</f>
        <v>#REF!</v>
      </c>
      <c r="FB216" t="e">
        <f>AND(Bills!S853,"AAAAAD/s950=")</f>
        <v>#VALUE!</v>
      </c>
      <c r="FC216" t="e">
        <f>AND(Bills!T853,"AAAAAD/s954=")</f>
        <v>#VALUE!</v>
      </c>
      <c r="FD216" t="e">
        <f>AND(Bills!U853,"AAAAAD/s958=")</f>
        <v>#VALUE!</v>
      </c>
      <c r="FE216" t="e">
        <f>AND(Bills!#REF!,"AAAAAD/s96A=")</f>
        <v>#REF!</v>
      </c>
      <c r="FF216" t="e">
        <f>AND(Bills!#REF!,"AAAAAD/s96E=")</f>
        <v>#REF!</v>
      </c>
      <c r="FG216" t="e">
        <f>AND(Bills!W853,"AAAAAD/s96I=")</f>
        <v>#VALUE!</v>
      </c>
      <c r="FH216" t="e">
        <f>AND(Bills!X853,"AAAAAD/s96M=")</f>
        <v>#VALUE!</v>
      </c>
      <c r="FI216" t="e">
        <f>AND(Bills!#REF!,"AAAAAD/s96Q=")</f>
        <v>#REF!</v>
      </c>
      <c r="FJ216" t="e">
        <f>AND(Bills!#REF!,"AAAAAD/s96U=")</f>
        <v>#REF!</v>
      </c>
      <c r="FK216" t="e">
        <f>AND(Bills!#REF!,"AAAAAD/s96Y=")</f>
        <v>#REF!</v>
      </c>
      <c r="FL216" t="e">
        <f>AND(Bills!#REF!,"AAAAAD/s96c=")</f>
        <v>#REF!</v>
      </c>
      <c r="FM216" t="e">
        <f>AND(Bills!#REF!,"AAAAAD/s96g=")</f>
        <v>#REF!</v>
      </c>
      <c r="FN216" t="e">
        <f>AND(Bills!#REF!,"AAAAAD/s96k=")</f>
        <v>#REF!</v>
      </c>
      <c r="FO216" t="e">
        <f>AND(Bills!#REF!,"AAAAAD/s96o=")</f>
        <v>#REF!</v>
      </c>
      <c r="FP216" t="e">
        <f>AND(Bills!#REF!,"AAAAAD/s96s=")</f>
        <v>#REF!</v>
      </c>
      <c r="FQ216" t="e">
        <f>AND(Bills!#REF!,"AAAAAD/s96w=")</f>
        <v>#REF!</v>
      </c>
      <c r="FR216" t="e">
        <f>AND(Bills!Y853,"AAAAAD/s960=")</f>
        <v>#VALUE!</v>
      </c>
      <c r="FS216" t="e">
        <f>AND(Bills!Z853,"AAAAAD/s964=")</f>
        <v>#VALUE!</v>
      </c>
      <c r="FT216" t="e">
        <f>AND(Bills!#REF!,"AAAAAD/s968=")</f>
        <v>#REF!</v>
      </c>
      <c r="FU216" t="e">
        <f>AND(Bills!#REF!,"AAAAAD/s97A=")</f>
        <v>#REF!</v>
      </c>
      <c r="FV216" t="e">
        <f>AND(Bills!#REF!,"AAAAAD/s97E=")</f>
        <v>#REF!</v>
      </c>
      <c r="FW216" t="e">
        <f>AND(Bills!AA853,"AAAAAD/s97I=")</f>
        <v>#VALUE!</v>
      </c>
      <c r="FX216" t="e">
        <f>AND(Bills!AB853,"AAAAAD/s97M=")</f>
        <v>#VALUE!</v>
      </c>
      <c r="FY216" t="e">
        <f>AND(Bills!#REF!,"AAAAAD/s97Q=")</f>
        <v>#REF!</v>
      </c>
      <c r="FZ216">
        <f>IF(Bills!854:854,"AAAAAD/s97U=",0)</f>
        <v>0</v>
      </c>
      <c r="GA216" t="e">
        <f>AND(Bills!B854,"AAAAAD/s97Y=")</f>
        <v>#VALUE!</v>
      </c>
      <c r="GB216" t="e">
        <f>AND(Bills!#REF!,"AAAAAD/s97c=")</f>
        <v>#REF!</v>
      </c>
      <c r="GC216" t="e">
        <f>AND(Bills!C854,"AAAAAD/s97g=")</f>
        <v>#VALUE!</v>
      </c>
      <c r="GD216" t="e">
        <f>AND(Bills!#REF!,"AAAAAD/s97k=")</f>
        <v>#REF!</v>
      </c>
      <c r="GE216" t="e">
        <f>AND(Bills!#REF!,"AAAAAD/s97o=")</f>
        <v>#REF!</v>
      </c>
      <c r="GF216" t="e">
        <f>AND(Bills!#REF!,"AAAAAD/s97s=")</f>
        <v>#REF!</v>
      </c>
      <c r="GG216" t="e">
        <f>AND(Bills!#REF!,"AAAAAD/s97w=")</f>
        <v>#REF!</v>
      </c>
      <c r="GH216" t="e">
        <f>AND(Bills!#REF!,"AAAAAD/s970=")</f>
        <v>#REF!</v>
      </c>
      <c r="GI216" t="e">
        <f>AND(Bills!D854,"AAAAAD/s974=")</f>
        <v>#VALUE!</v>
      </c>
      <c r="GJ216" t="e">
        <f>AND(Bills!#REF!,"AAAAAD/s978=")</f>
        <v>#REF!</v>
      </c>
      <c r="GK216" t="e">
        <f>AND(Bills!E854,"AAAAAD/s98A=")</f>
        <v>#VALUE!</v>
      </c>
      <c r="GL216" t="e">
        <f>AND(Bills!F854,"AAAAAD/s98E=")</f>
        <v>#VALUE!</v>
      </c>
      <c r="GM216" t="e">
        <f>AND(Bills!G854,"AAAAAD/s98I=")</f>
        <v>#VALUE!</v>
      </c>
      <c r="GN216" t="e">
        <f>AND(Bills!H854,"AAAAAD/s98M=")</f>
        <v>#VALUE!</v>
      </c>
      <c r="GO216" t="e">
        <f>AND(Bills!I854,"AAAAAD/s98Q=")</f>
        <v>#VALUE!</v>
      </c>
      <c r="GP216" t="e">
        <f>AND(Bills!J854,"AAAAAD/s98U=")</f>
        <v>#VALUE!</v>
      </c>
      <c r="GQ216" t="e">
        <f>AND(Bills!#REF!,"AAAAAD/s98Y=")</f>
        <v>#REF!</v>
      </c>
      <c r="GR216" t="e">
        <f>AND(Bills!K854,"AAAAAD/s98c=")</f>
        <v>#VALUE!</v>
      </c>
      <c r="GS216" t="e">
        <f>AND(Bills!L854,"AAAAAD/s98g=")</f>
        <v>#VALUE!</v>
      </c>
      <c r="GT216" t="e">
        <f>AND(Bills!M854,"AAAAAD/s98k=")</f>
        <v>#VALUE!</v>
      </c>
      <c r="GU216" t="e">
        <f>AND(Bills!N854,"AAAAAD/s98o=")</f>
        <v>#VALUE!</v>
      </c>
      <c r="GV216" t="e">
        <f>AND(Bills!O854,"AAAAAD/s98s=")</f>
        <v>#VALUE!</v>
      </c>
      <c r="GW216" t="e">
        <f>AND(Bills!P854,"AAAAAD/s98w=")</f>
        <v>#VALUE!</v>
      </c>
      <c r="GX216" t="e">
        <f>AND(Bills!Q854,"AAAAAD/s980=")</f>
        <v>#VALUE!</v>
      </c>
      <c r="GY216" t="e">
        <f>AND(Bills!R854,"AAAAAD/s984=")</f>
        <v>#VALUE!</v>
      </c>
      <c r="GZ216" t="e">
        <f>AND(Bills!#REF!,"AAAAAD/s988=")</f>
        <v>#REF!</v>
      </c>
      <c r="HA216" t="e">
        <f>AND(Bills!S854,"AAAAAD/s99A=")</f>
        <v>#VALUE!</v>
      </c>
      <c r="HB216" t="e">
        <f>AND(Bills!T854,"AAAAAD/s99E=")</f>
        <v>#VALUE!</v>
      </c>
      <c r="HC216" t="e">
        <f>AND(Bills!U854,"AAAAAD/s99I=")</f>
        <v>#VALUE!</v>
      </c>
      <c r="HD216" t="e">
        <f>AND(Bills!#REF!,"AAAAAD/s99M=")</f>
        <v>#REF!</v>
      </c>
      <c r="HE216" t="e">
        <f>AND(Bills!#REF!,"AAAAAD/s99Q=")</f>
        <v>#REF!</v>
      </c>
      <c r="HF216" t="e">
        <f>AND(Bills!W854,"AAAAAD/s99U=")</f>
        <v>#VALUE!</v>
      </c>
      <c r="HG216" t="e">
        <f>AND(Bills!X854,"AAAAAD/s99Y=")</f>
        <v>#VALUE!</v>
      </c>
      <c r="HH216" t="e">
        <f>AND(Bills!#REF!,"AAAAAD/s99c=")</f>
        <v>#REF!</v>
      </c>
      <c r="HI216" t="e">
        <f>AND(Bills!#REF!,"AAAAAD/s99g=")</f>
        <v>#REF!</v>
      </c>
      <c r="HJ216" t="e">
        <f>AND(Bills!#REF!,"AAAAAD/s99k=")</f>
        <v>#REF!</v>
      </c>
      <c r="HK216" t="e">
        <f>AND(Bills!#REF!,"AAAAAD/s99o=")</f>
        <v>#REF!</v>
      </c>
      <c r="HL216" t="e">
        <f>AND(Bills!#REF!,"AAAAAD/s99s=")</f>
        <v>#REF!</v>
      </c>
      <c r="HM216" t="e">
        <f>AND(Bills!#REF!,"AAAAAD/s99w=")</f>
        <v>#REF!</v>
      </c>
      <c r="HN216" t="e">
        <f>AND(Bills!#REF!,"AAAAAD/s990=")</f>
        <v>#REF!</v>
      </c>
      <c r="HO216" t="e">
        <f>AND(Bills!#REF!,"AAAAAD/s994=")</f>
        <v>#REF!</v>
      </c>
      <c r="HP216" t="e">
        <f>AND(Bills!#REF!,"AAAAAD/s998=")</f>
        <v>#REF!</v>
      </c>
      <c r="HQ216" t="e">
        <f>AND(Bills!Y854,"AAAAAD/s9+A=")</f>
        <v>#VALUE!</v>
      </c>
      <c r="HR216" t="e">
        <f>AND(Bills!Z854,"AAAAAD/s9+E=")</f>
        <v>#VALUE!</v>
      </c>
      <c r="HS216" t="e">
        <f>AND(Bills!#REF!,"AAAAAD/s9+I=")</f>
        <v>#REF!</v>
      </c>
      <c r="HT216" t="e">
        <f>AND(Bills!#REF!,"AAAAAD/s9+M=")</f>
        <v>#REF!</v>
      </c>
      <c r="HU216" t="e">
        <f>AND(Bills!#REF!,"AAAAAD/s9+Q=")</f>
        <v>#REF!</v>
      </c>
      <c r="HV216" t="e">
        <f>AND(Bills!AA854,"AAAAAD/s9+U=")</f>
        <v>#VALUE!</v>
      </c>
      <c r="HW216" t="e">
        <f>AND(Bills!AB854,"AAAAAD/s9+Y=")</f>
        <v>#VALUE!</v>
      </c>
      <c r="HX216" t="e">
        <f>AND(Bills!#REF!,"AAAAAD/s9+c=")</f>
        <v>#REF!</v>
      </c>
      <c r="HY216">
        <f>IF(Bills!855:855,"AAAAAD/s9+g=",0)</f>
        <v>0</v>
      </c>
      <c r="HZ216" t="e">
        <f>AND(Bills!B855,"AAAAAD/s9+k=")</f>
        <v>#VALUE!</v>
      </c>
      <c r="IA216" t="e">
        <f>AND(Bills!#REF!,"AAAAAD/s9+o=")</f>
        <v>#REF!</v>
      </c>
      <c r="IB216" t="e">
        <f>AND(Bills!C855,"AAAAAD/s9+s=")</f>
        <v>#VALUE!</v>
      </c>
      <c r="IC216" t="e">
        <f>AND(Bills!#REF!,"AAAAAD/s9+w=")</f>
        <v>#REF!</v>
      </c>
      <c r="ID216" t="e">
        <f>AND(Bills!#REF!,"AAAAAD/s9+0=")</f>
        <v>#REF!</v>
      </c>
      <c r="IE216" t="e">
        <f>AND(Bills!#REF!,"AAAAAD/s9+4=")</f>
        <v>#REF!</v>
      </c>
      <c r="IF216" t="e">
        <f>AND(Bills!#REF!,"AAAAAD/s9+8=")</f>
        <v>#REF!</v>
      </c>
      <c r="IG216" t="e">
        <f>AND(Bills!#REF!,"AAAAAD/s9/A=")</f>
        <v>#REF!</v>
      </c>
      <c r="IH216" t="e">
        <f>AND(Bills!D855,"AAAAAD/s9/E=")</f>
        <v>#VALUE!</v>
      </c>
      <c r="II216" t="e">
        <f>AND(Bills!#REF!,"AAAAAD/s9/I=")</f>
        <v>#REF!</v>
      </c>
      <c r="IJ216" t="e">
        <f>AND(Bills!E855,"AAAAAD/s9/M=")</f>
        <v>#VALUE!</v>
      </c>
      <c r="IK216" t="e">
        <f>AND(Bills!F855,"AAAAAD/s9/Q=")</f>
        <v>#VALUE!</v>
      </c>
      <c r="IL216" t="e">
        <f>AND(Bills!G855,"AAAAAD/s9/U=")</f>
        <v>#VALUE!</v>
      </c>
      <c r="IM216" t="e">
        <f>AND(Bills!H855,"AAAAAD/s9/Y=")</f>
        <v>#VALUE!</v>
      </c>
      <c r="IN216" t="e">
        <f>AND(Bills!I855,"AAAAAD/s9/c=")</f>
        <v>#VALUE!</v>
      </c>
      <c r="IO216" t="e">
        <f>AND(Bills!J855,"AAAAAD/s9/g=")</f>
        <v>#VALUE!</v>
      </c>
      <c r="IP216" t="e">
        <f>AND(Bills!#REF!,"AAAAAD/s9/k=")</f>
        <v>#REF!</v>
      </c>
      <c r="IQ216" t="e">
        <f>AND(Bills!K855,"AAAAAD/s9/o=")</f>
        <v>#VALUE!</v>
      </c>
      <c r="IR216" t="e">
        <f>AND(Bills!L855,"AAAAAD/s9/s=")</f>
        <v>#VALUE!</v>
      </c>
      <c r="IS216" t="e">
        <f>AND(Bills!M855,"AAAAAD/s9/w=")</f>
        <v>#VALUE!</v>
      </c>
      <c r="IT216" t="e">
        <f>AND(Bills!N855,"AAAAAD/s9/0=")</f>
        <v>#VALUE!</v>
      </c>
      <c r="IU216" t="e">
        <f>AND(Bills!O855,"AAAAAD/s9/4=")</f>
        <v>#VALUE!</v>
      </c>
      <c r="IV216" t="e">
        <f>AND(Bills!P855,"AAAAAD/s9/8=")</f>
        <v>#VALUE!</v>
      </c>
    </row>
    <row r="217" spans="1:256">
      <c r="A217" t="e">
        <f>AND(Bills!Q855,"AAAAAG6/mAA=")</f>
        <v>#VALUE!</v>
      </c>
      <c r="B217" t="e">
        <f>AND(Bills!R855,"AAAAAG6/mAE=")</f>
        <v>#VALUE!</v>
      </c>
      <c r="C217" t="e">
        <f>AND(Bills!#REF!,"AAAAAG6/mAI=")</f>
        <v>#REF!</v>
      </c>
      <c r="D217" t="e">
        <f>AND(Bills!S855,"AAAAAG6/mAM=")</f>
        <v>#VALUE!</v>
      </c>
      <c r="E217" t="e">
        <f>AND(Bills!T855,"AAAAAG6/mAQ=")</f>
        <v>#VALUE!</v>
      </c>
      <c r="F217" t="e">
        <f>AND(Bills!U855,"AAAAAG6/mAU=")</f>
        <v>#VALUE!</v>
      </c>
      <c r="G217" t="e">
        <f>AND(Bills!#REF!,"AAAAAG6/mAY=")</f>
        <v>#REF!</v>
      </c>
      <c r="H217" t="e">
        <f>AND(Bills!#REF!,"AAAAAG6/mAc=")</f>
        <v>#REF!</v>
      </c>
      <c r="I217" t="e">
        <f>AND(Bills!W855,"AAAAAG6/mAg=")</f>
        <v>#VALUE!</v>
      </c>
      <c r="J217" t="e">
        <f>AND(Bills!X855,"AAAAAG6/mAk=")</f>
        <v>#VALUE!</v>
      </c>
      <c r="K217" t="e">
        <f>AND(Bills!#REF!,"AAAAAG6/mAo=")</f>
        <v>#REF!</v>
      </c>
      <c r="L217" t="e">
        <f>AND(Bills!#REF!,"AAAAAG6/mAs=")</f>
        <v>#REF!</v>
      </c>
      <c r="M217" t="e">
        <f>AND(Bills!#REF!,"AAAAAG6/mAw=")</f>
        <v>#REF!</v>
      </c>
      <c r="N217" t="e">
        <f>AND(Bills!#REF!,"AAAAAG6/mA0=")</f>
        <v>#REF!</v>
      </c>
      <c r="O217" t="e">
        <f>AND(Bills!#REF!,"AAAAAG6/mA4=")</f>
        <v>#REF!</v>
      </c>
      <c r="P217" t="e">
        <f>AND(Bills!#REF!,"AAAAAG6/mA8=")</f>
        <v>#REF!</v>
      </c>
      <c r="Q217" t="e">
        <f>AND(Bills!#REF!,"AAAAAG6/mBA=")</f>
        <v>#REF!</v>
      </c>
      <c r="R217" t="e">
        <f>AND(Bills!#REF!,"AAAAAG6/mBE=")</f>
        <v>#REF!</v>
      </c>
      <c r="S217" t="e">
        <f>AND(Bills!#REF!,"AAAAAG6/mBI=")</f>
        <v>#REF!</v>
      </c>
      <c r="T217" t="e">
        <f>AND(Bills!Y855,"AAAAAG6/mBM=")</f>
        <v>#VALUE!</v>
      </c>
      <c r="U217" t="e">
        <f>AND(Bills!Z855,"AAAAAG6/mBQ=")</f>
        <v>#VALUE!</v>
      </c>
      <c r="V217" t="e">
        <f>AND(Bills!#REF!,"AAAAAG6/mBU=")</f>
        <v>#REF!</v>
      </c>
      <c r="W217" t="e">
        <f>AND(Bills!#REF!,"AAAAAG6/mBY=")</f>
        <v>#REF!</v>
      </c>
      <c r="X217" t="e">
        <f>AND(Bills!#REF!,"AAAAAG6/mBc=")</f>
        <v>#REF!</v>
      </c>
      <c r="Y217" t="e">
        <f>AND(Bills!AA855,"AAAAAG6/mBg=")</f>
        <v>#VALUE!</v>
      </c>
      <c r="Z217" t="e">
        <f>AND(Bills!AB855,"AAAAAG6/mBk=")</f>
        <v>#VALUE!</v>
      </c>
      <c r="AA217" t="e">
        <f>AND(Bills!#REF!,"AAAAAG6/mBo=")</f>
        <v>#REF!</v>
      </c>
      <c r="AB217">
        <f>IF(Bills!856:856,"AAAAAG6/mBs=",0)</f>
        <v>0</v>
      </c>
      <c r="AC217" t="e">
        <f>AND(Bills!B856,"AAAAAG6/mBw=")</f>
        <v>#VALUE!</v>
      </c>
      <c r="AD217" t="e">
        <f>AND(Bills!#REF!,"AAAAAG6/mB0=")</f>
        <v>#REF!</v>
      </c>
      <c r="AE217" t="e">
        <f>AND(Bills!C856,"AAAAAG6/mB4=")</f>
        <v>#VALUE!</v>
      </c>
      <c r="AF217" t="e">
        <f>AND(Bills!#REF!,"AAAAAG6/mB8=")</f>
        <v>#REF!</v>
      </c>
      <c r="AG217" t="e">
        <f>AND(Bills!#REF!,"AAAAAG6/mCA=")</f>
        <v>#REF!</v>
      </c>
      <c r="AH217" t="e">
        <f>AND(Bills!#REF!,"AAAAAG6/mCE=")</f>
        <v>#REF!</v>
      </c>
      <c r="AI217" t="e">
        <f>AND(Bills!#REF!,"AAAAAG6/mCI=")</f>
        <v>#REF!</v>
      </c>
      <c r="AJ217" t="e">
        <f>AND(Bills!#REF!,"AAAAAG6/mCM=")</f>
        <v>#REF!</v>
      </c>
      <c r="AK217" t="e">
        <f>AND(Bills!D856,"AAAAAG6/mCQ=")</f>
        <v>#VALUE!</v>
      </c>
      <c r="AL217" t="e">
        <f>AND(Bills!#REF!,"AAAAAG6/mCU=")</f>
        <v>#REF!</v>
      </c>
      <c r="AM217" t="e">
        <f>AND(Bills!E856,"AAAAAG6/mCY=")</f>
        <v>#VALUE!</v>
      </c>
      <c r="AN217" t="e">
        <f>AND(Bills!F856,"AAAAAG6/mCc=")</f>
        <v>#VALUE!</v>
      </c>
      <c r="AO217" t="e">
        <f>AND(Bills!G856,"AAAAAG6/mCg=")</f>
        <v>#VALUE!</v>
      </c>
      <c r="AP217" t="e">
        <f>AND(Bills!H856,"AAAAAG6/mCk=")</f>
        <v>#VALUE!</v>
      </c>
      <c r="AQ217" t="e">
        <f>AND(Bills!I856,"AAAAAG6/mCo=")</f>
        <v>#VALUE!</v>
      </c>
      <c r="AR217" t="e">
        <f>AND(Bills!J856,"AAAAAG6/mCs=")</f>
        <v>#VALUE!</v>
      </c>
      <c r="AS217" t="e">
        <f>AND(Bills!#REF!,"AAAAAG6/mCw=")</f>
        <v>#REF!</v>
      </c>
      <c r="AT217" t="e">
        <f>AND(Bills!K856,"AAAAAG6/mC0=")</f>
        <v>#VALUE!</v>
      </c>
      <c r="AU217" t="e">
        <f>AND(Bills!L856,"AAAAAG6/mC4=")</f>
        <v>#VALUE!</v>
      </c>
      <c r="AV217" t="e">
        <f>AND(Bills!M856,"AAAAAG6/mC8=")</f>
        <v>#VALUE!</v>
      </c>
      <c r="AW217" t="e">
        <f>AND(Bills!N856,"AAAAAG6/mDA=")</f>
        <v>#VALUE!</v>
      </c>
      <c r="AX217" t="e">
        <f>AND(Bills!O856,"AAAAAG6/mDE=")</f>
        <v>#VALUE!</v>
      </c>
      <c r="AY217" t="e">
        <f>AND(Bills!P856,"AAAAAG6/mDI=")</f>
        <v>#VALUE!</v>
      </c>
      <c r="AZ217" t="e">
        <f>AND(Bills!Q856,"AAAAAG6/mDM=")</f>
        <v>#VALUE!</v>
      </c>
      <c r="BA217" t="e">
        <f>AND(Bills!R856,"AAAAAG6/mDQ=")</f>
        <v>#VALUE!</v>
      </c>
      <c r="BB217" t="e">
        <f>AND(Bills!#REF!,"AAAAAG6/mDU=")</f>
        <v>#REF!</v>
      </c>
      <c r="BC217" t="e">
        <f>AND(Bills!S856,"AAAAAG6/mDY=")</f>
        <v>#VALUE!</v>
      </c>
      <c r="BD217" t="e">
        <f>AND(Bills!T856,"AAAAAG6/mDc=")</f>
        <v>#VALUE!</v>
      </c>
      <c r="BE217" t="e">
        <f>AND(Bills!U856,"AAAAAG6/mDg=")</f>
        <v>#VALUE!</v>
      </c>
      <c r="BF217" t="e">
        <f>AND(Bills!#REF!,"AAAAAG6/mDk=")</f>
        <v>#REF!</v>
      </c>
      <c r="BG217" t="e">
        <f>AND(Bills!#REF!,"AAAAAG6/mDo=")</f>
        <v>#REF!</v>
      </c>
      <c r="BH217" t="e">
        <f>AND(Bills!W856,"AAAAAG6/mDs=")</f>
        <v>#VALUE!</v>
      </c>
      <c r="BI217" t="e">
        <f>AND(Bills!X856,"AAAAAG6/mDw=")</f>
        <v>#VALUE!</v>
      </c>
      <c r="BJ217" t="e">
        <f>AND(Bills!#REF!,"AAAAAG6/mD0=")</f>
        <v>#REF!</v>
      </c>
      <c r="BK217" t="e">
        <f>AND(Bills!#REF!,"AAAAAG6/mD4=")</f>
        <v>#REF!</v>
      </c>
      <c r="BL217" t="e">
        <f>AND(Bills!#REF!,"AAAAAG6/mD8=")</f>
        <v>#REF!</v>
      </c>
      <c r="BM217" t="e">
        <f>AND(Bills!#REF!,"AAAAAG6/mEA=")</f>
        <v>#REF!</v>
      </c>
      <c r="BN217" t="e">
        <f>AND(Bills!#REF!,"AAAAAG6/mEE=")</f>
        <v>#REF!</v>
      </c>
      <c r="BO217" t="e">
        <f>AND(Bills!#REF!,"AAAAAG6/mEI=")</f>
        <v>#REF!</v>
      </c>
      <c r="BP217" t="e">
        <f>AND(Bills!#REF!,"AAAAAG6/mEM=")</f>
        <v>#REF!</v>
      </c>
      <c r="BQ217" t="e">
        <f>AND(Bills!#REF!,"AAAAAG6/mEQ=")</f>
        <v>#REF!</v>
      </c>
      <c r="BR217" t="e">
        <f>AND(Bills!#REF!,"AAAAAG6/mEU=")</f>
        <v>#REF!</v>
      </c>
      <c r="BS217" t="e">
        <f>AND(Bills!Y856,"AAAAAG6/mEY=")</f>
        <v>#VALUE!</v>
      </c>
      <c r="BT217" t="e">
        <f>AND(Bills!Z856,"AAAAAG6/mEc=")</f>
        <v>#VALUE!</v>
      </c>
      <c r="BU217" t="e">
        <f>AND(Bills!#REF!,"AAAAAG6/mEg=")</f>
        <v>#REF!</v>
      </c>
      <c r="BV217" t="e">
        <f>AND(Bills!#REF!,"AAAAAG6/mEk=")</f>
        <v>#REF!</v>
      </c>
      <c r="BW217" t="e">
        <f>AND(Bills!#REF!,"AAAAAG6/mEo=")</f>
        <v>#REF!</v>
      </c>
      <c r="BX217" t="e">
        <f>AND(Bills!AA856,"AAAAAG6/mEs=")</f>
        <v>#VALUE!</v>
      </c>
      <c r="BY217" t="e">
        <f>AND(Bills!AB856,"AAAAAG6/mEw=")</f>
        <v>#VALUE!</v>
      </c>
      <c r="BZ217" t="e">
        <f>AND(Bills!#REF!,"AAAAAG6/mE0=")</f>
        <v>#REF!</v>
      </c>
      <c r="CA217">
        <f>IF(Bills!857:857,"AAAAAG6/mE4=",0)</f>
        <v>0</v>
      </c>
      <c r="CB217" t="e">
        <f>AND(Bills!B857,"AAAAAG6/mE8=")</f>
        <v>#VALUE!</v>
      </c>
      <c r="CC217" t="e">
        <f>AND(Bills!#REF!,"AAAAAG6/mFA=")</f>
        <v>#REF!</v>
      </c>
      <c r="CD217" t="e">
        <f>AND(Bills!C857,"AAAAAG6/mFE=")</f>
        <v>#VALUE!</v>
      </c>
      <c r="CE217" t="e">
        <f>AND(Bills!#REF!,"AAAAAG6/mFI=")</f>
        <v>#REF!</v>
      </c>
      <c r="CF217" t="e">
        <f>AND(Bills!#REF!,"AAAAAG6/mFM=")</f>
        <v>#REF!</v>
      </c>
      <c r="CG217" t="e">
        <f>AND(Bills!#REF!,"AAAAAG6/mFQ=")</f>
        <v>#REF!</v>
      </c>
      <c r="CH217" t="e">
        <f>AND(Bills!#REF!,"AAAAAG6/mFU=")</f>
        <v>#REF!</v>
      </c>
      <c r="CI217" t="e">
        <f>AND(Bills!#REF!,"AAAAAG6/mFY=")</f>
        <v>#REF!</v>
      </c>
      <c r="CJ217" t="e">
        <f>AND(Bills!D857,"AAAAAG6/mFc=")</f>
        <v>#VALUE!</v>
      </c>
      <c r="CK217" t="e">
        <f>AND(Bills!#REF!,"AAAAAG6/mFg=")</f>
        <v>#REF!</v>
      </c>
      <c r="CL217" t="e">
        <f>AND(Bills!E857,"AAAAAG6/mFk=")</f>
        <v>#VALUE!</v>
      </c>
      <c r="CM217" t="e">
        <f>AND(Bills!F857,"AAAAAG6/mFo=")</f>
        <v>#VALUE!</v>
      </c>
      <c r="CN217" t="e">
        <f>AND(Bills!G857,"AAAAAG6/mFs=")</f>
        <v>#VALUE!</v>
      </c>
      <c r="CO217" t="e">
        <f>AND(Bills!H857,"AAAAAG6/mFw=")</f>
        <v>#VALUE!</v>
      </c>
      <c r="CP217" t="e">
        <f>AND(Bills!I857,"AAAAAG6/mF0=")</f>
        <v>#VALUE!</v>
      </c>
      <c r="CQ217" t="e">
        <f>AND(Bills!J857,"AAAAAG6/mF4=")</f>
        <v>#VALUE!</v>
      </c>
      <c r="CR217" t="e">
        <f>AND(Bills!#REF!,"AAAAAG6/mF8=")</f>
        <v>#REF!</v>
      </c>
      <c r="CS217" t="e">
        <f>AND(Bills!K857,"AAAAAG6/mGA=")</f>
        <v>#VALUE!</v>
      </c>
      <c r="CT217" t="e">
        <f>AND(Bills!L857,"AAAAAG6/mGE=")</f>
        <v>#VALUE!</v>
      </c>
      <c r="CU217" t="e">
        <f>AND(Bills!M857,"AAAAAG6/mGI=")</f>
        <v>#VALUE!</v>
      </c>
      <c r="CV217" t="e">
        <f>AND(Bills!N857,"AAAAAG6/mGM=")</f>
        <v>#VALUE!</v>
      </c>
      <c r="CW217" t="e">
        <f>AND(Bills!O857,"AAAAAG6/mGQ=")</f>
        <v>#VALUE!</v>
      </c>
      <c r="CX217" t="e">
        <f>AND(Bills!P857,"AAAAAG6/mGU=")</f>
        <v>#VALUE!</v>
      </c>
      <c r="CY217" t="e">
        <f>AND(Bills!Q857,"AAAAAG6/mGY=")</f>
        <v>#VALUE!</v>
      </c>
      <c r="CZ217" t="e">
        <f>AND(Bills!R857,"AAAAAG6/mGc=")</f>
        <v>#VALUE!</v>
      </c>
      <c r="DA217" t="e">
        <f>AND(Bills!#REF!,"AAAAAG6/mGg=")</f>
        <v>#REF!</v>
      </c>
      <c r="DB217" t="e">
        <f>AND(Bills!S857,"AAAAAG6/mGk=")</f>
        <v>#VALUE!</v>
      </c>
      <c r="DC217" t="e">
        <f>AND(Bills!T857,"AAAAAG6/mGo=")</f>
        <v>#VALUE!</v>
      </c>
      <c r="DD217" t="e">
        <f>AND(Bills!U857,"AAAAAG6/mGs=")</f>
        <v>#VALUE!</v>
      </c>
      <c r="DE217" t="e">
        <f>AND(Bills!#REF!,"AAAAAG6/mGw=")</f>
        <v>#REF!</v>
      </c>
      <c r="DF217" t="e">
        <f>AND(Bills!#REF!,"AAAAAG6/mG0=")</f>
        <v>#REF!</v>
      </c>
      <c r="DG217" t="e">
        <f>AND(Bills!W857,"AAAAAG6/mG4=")</f>
        <v>#VALUE!</v>
      </c>
      <c r="DH217" t="e">
        <f>AND(Bills!X857,"AAAAAG6/mG8=")</f>
        <v>#VALUE!</v>
      </c>
      <c r="DI217" t="e">
        <f>AND(Bills!#REF!,"AAAAAG6/mHA=")</f>
        <v>#REF!</v>
      </c>
      <c r="DJ217" t="e">
        <f>AND(Bills!#REF!,"AAAAAG6/mHE=")</f>
        <v>#REF!</v>
      </c>
      <c r="DK217" t="e">
        <f>AND(Bills!#REF!,"AAAAAG6/mHI=")</f>
        <v>#REF!</v>
      </c>
      <c r="DL217" t="e">
        <f>AND(Bills!#REF!,"AAAAAG6/mHM=")</f>
        <v>#REF!</v>
      </c>
      <c r="DM217" t="e">
        <f>AND(Bills!#REF!,"AAAAAG6/mHQ=")</f>
        <v>#REF!</v>
      </c>
      <c r="DN217" t="e">
        <f>AND(Bills!#REF!,"AAAAAG6/mHU=")</f>
        <v>#REF!</v>
      </c>
      <c r="DO217" t="e">
        <f>AND(Bills!#REF!,"AAAAAG6/mHY=")</f>
        <v>#REF!</v>
      </c>
      <c r="DP217" t="e">
        <f>AND(Bills!#REF!,"AAAAAG6/mHc=")</f>
        <v>#REF!</v>
      </c>
      <c r="DQ217" t="e">
        <f>AND(Bills!#REF!,"AAAAAG6/mHg=")</f>
        <v>#REF!</v>
      </c>
      <c r="DR217" t="e">
        <f>AND(Bills!Y857,"AAAAAG6/mHk=")</f>
        <v>#VALUE!</v>
      </c>
      <c r="DS217" t="e">
        <f>AND(Bills!Z857,"AAAAAG6/mHo=")</f>
        <v>#VALUE!</v>
      </c>
      <c r="DT217" t="e">
        <f>AND(Bills!#REF!,"AAAAAG6/mHs=")</f>
        <v>#REF!</v>
      </c>
      <c r="DU217" t="e">
        <f>AND(Bills!#REF!,"AAAAAG6/mHw=")</f>
        <v>#REF!</v>
      </c>
      <c r="DV217" t="e">
        <f>AND(Bills!#REF!,"AAAAAG6/mH0=")</f>
        <v>#REF!</v>
      </c>
      <c r="DW217" t="e">
        <f>AND(Bills!AA857,"AAAAAG6/mH4=")</f>
        <v>#VALUE!</v>
      </c>
      <c r="DX217" t="e">
        <f>AND(Bills!AB857,"AAAAAG6/mH8=")</f>
        <v>#VALUE!</v>
      </c>
      <c r="DY217" t="e">
        <f>AND(Bills!#REF!,"AAAAAG6/mIA=")</f>
        <v>#REF!</v>
      </c>
      <c r="DZ217">
        <f>IF(Bills!858:858,"AAAAAG6/mIE=",0)</f>
        <v>0</v>
      </c>
      <c r="EA217" t="e">
        <f>AND(Bills!B858,"AAAAAG6/mII=")</f>
        <v>#VALUE!</v>
      </c>
      <c r="EB217" t="e">
        <f>AND(Bills!#REF!,"AAAAAG6/mIM=")</f>
        <v>#REF!</v>
      </c>
      <c r="EC217" t="e">
        <f>AND(Bills!C858,"AAAAAG6/mIQ=")</f>
        <v>#VALUE!</v>
      </c>
      <c r="ED217" t="e">
        <f>AND(Bills!#REF!,"AAAAAG6/mIU=")</f>
        <v>#REF!</v>
      </c>
      <c r="EE217" t="e">
        <f>AND(Bills!#REF!,"AAAAAG6/mIY=")</f>
        <v>#REF!</v>
      </c>
      <c r="EF217" t="e">
        <f>AND(Bills!#REF!,"AAAAAG6/mIc=")</f>
        <v>#REF!</v>
      </c>
      <c r="EG217" t="e">
        <f>AND(Bills!#REF!,"AAAAAG6/mIg=")</f>
        <v>#REF!</v>
      </c>
      <c r="EH217" t="e">
        <f>AND(Bills!#REF!,"AAAAAG6/mIk=")</f>
        <v>#REF!</v>
      </c>
      <c r="EI217" t="e">
        <f>AND(Bills!D858,"AAAAAG6/mIo=")</f>
        <v>#VALUE!</v>
      </c>
      <c r="EJ217" t="e">
        <f>AND(Bills!#REF!,"AAAAAG6/mIs=")</f>
        <v>#REF!</v>
      </c>
      <c r="EK217" t="e">
        <f>AND(Bills!E858,"AAAAAG6/mIw=")</f>
        <v>#VALUE!</v>
      </c>
      <c r="EL217" t="e">
        <f>AND(Bills!F858,"AAAAAG6/mI0=")</f>
        <v>#VALUE!</v>
      </c>
      <c r="EM217" t="e">
        <f>AND(Bills!G858,"AAAAAG6/mI4=")</f>
        <v>#VALUE!</v>
      </c>
      <c r="EN217" t="e">
        <f>AND(Bills!H858,"AAAAAG6/mI8=")</f>
        <v>#VALUE!</v>
      </c>
      <c r="EO217" t="e">
        <f>AND(Bills!I858,"AAAAAG6/mJA=")</f>
        <v>#VALUE!</v>
      </c>
      <c r="EP217" t="e">
        <f>AND(Bills!J858,"AAAAAG6/mJE=")</f>
        <v>#VALUE!</v>
      </c>
      <c r="EQ217" t="e">
        <f>AND(Bills!#REF!,"AAAAAG6/mJI=")</f>
        <v>#REF!</v>
      </c>
      <c r="ER217" t="e">
        <f>AND(Bills!K858,"AAAAAG6/mJM=")</f>
        <v>#VALUE!</v>
      </c>
      <c r="ES217" t="e">
        <f>AND(Bills!L858,"AAAAAG6/mJQ=")</f>
        <v>#VALUE!</v>
      </c>
      <c r="ET217" t="e">
        <f>AND(Bills!M858,"AAAAAG6/mJU=")</f>
        <v>#VALUE!</v>
      </c>
      <c r="EU217" t="e">
        <f>AND(Bills!N858,"AAAAAG6/mJY=")</f>
        <v>#VALUE!</v>
      </c>
      <c r="EV217" t="e">
        <f>AND(Bills!O858,"AAAAAG6/mJc=")</f>
        <v>#VALUE!</v>
      </c>
      <c r="EW217" t="e">
        <f>AND(Bills!P858,"AAAAAG6/mJg=")</f>
        <v>#VALUE!</v>
      </c>
      <c r="EX217" t="e">
        <f>AND(Bills!Q858,"AAAAAG6/mJk=")</f>
        <v>#VALUE!</v>
      </c>
      <c r="EY217" t="e">
        <f>AND(Bills!R858,"AAAAAG6/mJo=")</f>
        <v>#VALUE!</v>
      </c>
      <c r="EZ217" t="e">
        <f>AND(Bills!#REF!,"AAAAAG6/mJs=")</f>
        <v>#REF!</v>
      </c>
      <c r="FA217" t="e">
        <f>AND(Bills!S858,"AAAAAG6/mJw=")</f>
        <v>#VALUE!</v>
      </c>
      <c r="FB217" t="e">
        <f>AND(Bills!T858,"AAAAAG6/mJ0=")</f>
        <v>#VALUE!</v>
      </c>
      <c r="FC217" t="e">
        <f>AND(Bills!U858,"AAAAAG6/mJ4=")</f>
        <v>#VALUE!</v>
      </c>
      <c r="FD217" t="e">
        <f>AND(Bills!#REF!,"AAAAAG6/mJ8=")</f>
        <v>#REF!</v>
      </c>
      <c r="FE217" t="e">
        <f>AND(Bills!#REF!,"AAAAAG6/mKA=")</f>
        <v>#REF!</v>
      </c>
      <c r="FF217" t="e">
        <f>AND(Bills!W858,"AAAAAG6/mKE=")</f>
        <v>#VALUE!</v>
      </c>
      <c r="FG217" t="e">
        <f>AND(Bills!X858,"AAAAAG6/mKI=")</f>
        <v>#VALUE!</v>
      </c>
      <c r="FH217" t="e">
        <f>AND(Bills!#REF!,"AAAAAG6/mKM=")</f>
        <v>#REF!</v>
      </c>
      <c r="FI217" t="e">
        <f>AND(Bills!#REF!,"AAAAAG6/mKQ=")</f>
        <v>#REF!</v>
      </c>
      <c r="FJ217" t="e">
        <f>AND(Bills!#REF!,"AAAAAG6/mKU=")</f>
        <v>#REF!</v>
      </c>
      <c r="FK217" t="e">
        <f>AND(Bills!#REF!,"AAAAAG6/mKY=")</f>
        <v>#REF!</v>
      </c>
      <c r="FL217" t="e">
        <f>AND(Bills!#REF!,"AAAAAG6/mKc=")</f>
        <v>#REF!</v>
      </c>
      <c r="FM217" t="e">
        <f>AND(Bills!#REF!,"AAAAAG6/mKg=")</f>
        <v>#REF!</v>
      </c>
      <c r="FN217" t="e">
        <f>AND(Bills!#REF!,"AAAAAG6/mKk=")</f>
        <v>#REF!</v>
      </c>
      <c r="FO217" t="e">
        <f>AND(Bills!#REF!,"AAAAAG6/mKo=")</f>
        <v>#REF!</v>
      </c>
      <c r="FP217" t="e">
        <f>AND(Bills!#REF!,"AAAAAG6/mKs=")</f>
        <v>#REF!</v>
      </c>
      <c r="FQ217" t="e">
        <f>AND(Bills!Y858,"AAAAAG6/mKw=")</f>
        <v>#VALUE!</v>
      </c>
      <c r="FR217" t="e">
        <f>AND(Bills!Z858,"AAAAAG6/mK0=")</f>
        <v>#VALUE!</v>
      </c>
      <c r="FS217" t="e">
        <f>AND(Bills!#REF!,"AAAAAG6/mK4=")</f>
        <v>#REF!</v>
      </c>
      <c r="FT217" t="e">
        <f>AND(Bills!#REF!,"AAAAAG6/mK8=")</f>
        <v>#REF!</v>
      </c>
      <c r="FU217" t="e">
        <f>AND(Bills!#REF!,"AAAAAG6/mLA=")</f>
        <v>#REF!</v>
      </c>
      <c r="FV217" t="e">
        <f>AND(Bills!AA858,"AAAAAG6/mLE=")</f>
        <v>#VALUE!</v>
      </c>
      <c r="FW217" t="e">
        <f>AND(Bills!AB858,"AAAAAG6/mLI=")</f>
        <v>#VALUE!</v>
      </c>
      <c r="FX217" t="e">
        <f>AND(Bills!#REF!,"AAAAAG6/mLM=")</f>
        <v>#REF!</v>
      </c>
      <c r="FY217">
        <f>IF(Bills!859:859,"AAAAAG6/mLQ=",0)</f>
        <v>0</v>
      </c>
      <c r="FZ217" t="e">
        <f>AND(Bills!B859,"AAAAAG6/mLU=")</f>
        <v>#VALUE!</v>
      </c>
      <c r="GA217" t="e">
        <f>AND(Bills!#REF!,"AAAAAG6/mLY=")</f>
        <v>#REF!</v>
      </c>
      <c r="GB217" t="e">
        <f>AND(Bills!C859,"AAAAAG6/mLc=")</f>
        <v>#VALUE!</v>
      </c>
      <c r="GC217" t="e">
        <f>AND(Bills!#REF!,"AAAAAG6/mLg=")</f>
        <v>#REF!</v>
      </c>
      <c r="GD217" t="e">
        <f>AND(Bills!#REF!,"AAAAAG6/mLk=")</f>
        <v>#REF!</v>
      </c>
      <c r="GE217" t="e">
        <f>AND(Bills!#REF!,"AAAAAG6/mLo=")</f>
        <v>#REF!</v>
      </c>
      <c r="GF217" t="e">
        <f>AND(Bills!#REF!,"AAAAAG6/mLs=")</f>
        <v>#REF!</v>
      </c>
      <c r="GG217" t="e">
        <f>AND(Bills!#REF!,"AAAAAG6/mLw=")</f>
        <v>#REF!</v>
      </c>
      <c r="GH217" t="e">
        <f>AND(Bills!D859,"AAAAAG6/mL0=")</f>
        <v>#VALUE!</v>
      </c>
      <c r="GI217" t="e">
        <f>AND(Bills!#REF!,"AAAAAG6/mL4=")</f>
        <v>#REF!</v>
      </c>
      <c r="GJ217" t="e">
        <f>AND(Bills!E859,"AAAAAG6/mL8=")</f>
        <v>#VALUE!</v>
      </c>
      <c r="GK217" t="e">
        <f>AND(Bills!F859,"AAAAAG6/mMA=")</f>
        <v>#VALUE!</v>
      </c>
      <c r="GL217" t="e">
        <f>AND(Bills!G859,"AAAAAG6/mME=")</f>
        <v>#VALUE!</v>
      </c>
      <c r="GM217" t="e">
        <f>AND(Bills!H859,"AAAAAG6/mMI=")</f>
        <v>#VALUE!</v>
      </c>
      <c r="GN217" t="e">
        <f>AND(Bills!I859,"AAAAAG6/mMM=")</f>
        <v>#VALUE!</v>
      </c>
      <c r="GO217" t="e">
        <f>AND(Bills!J859,"AAAAAG6/mMQ=")</f>
        <v>#VALUE!</v>
      </c>
      <c r="GP217" t="e">
        <f>AND(Bills!#REF!,"AAAAAG6/mMU=")</f>
        <v>#REF!</v>
      </c>
      <c r="GQ217" t="e">
        <f>AND(Bills!K859,"AAAAAG6/mMY=")</f>
        <v>#VALUE!</v>
      </c>
      <c r="GR217" t="e">
        <f>AND(Bills!L859,"AAAAAG6/mMc=")</f>
        <v>#VALUE!</v>
      </c>
      <c r="GS217" t="e">
        <f>AND(Bills!M859,"AAAAAG6/mMg=")</f>
        <v>#VALUE!</v>
      </c>
      <c r="GT217" t="e">
        <f>AND(Bills!N859,"AAAAAG6/mMk=")</f>
        <v>#VALUE!</v>
      </c>
      <c r="GU217" t="e">
        <f>AND(Bills!O859,"AAAAAG6/mMo=")</f>
        <v>#VALUE!</v>
      </c>
      <c r="GV217" t="e">
        <f>AND(Bills!P859,"AAAAAG6/mMs=")</f>
        <v>#VALUE!</v>
      </c>
      <c r="GW217" t="e">
        <f>AND(Bills!Q859,"AAAAAG6/mMw=")</f>
        <v>#VALUE!</v>
      </c>
      <c r="GX217" t="e">
        <f>AND(Bills!R859,"AAAAAG6/mM0=")</f>
        <v>#VALUE!</v>
      </c>
      <c r="GY217" t="e">
        <f>AND(Bills!#REF!,"AAAAAG6/mM4=")</f>
        <v>#REF!</v>
      </c>
      <c r="GZ217" t="e">
        <f>AND(Bills!S859,"AAAAAG6/mM8=")</f>
        <v>#VALUE!</v>
      </c>
      <c r="HA217" t="e">
        <f>AND(Bills!T859,"AAAAAG6/mNA=")</f>
        <v>#VALUE!</v>
      </c>
      <c r="HB217" t="e">
        <f>AND(Bills!U859,"AAAAAG6/mNE=")</f>
        <v>#VALUE!</v>
      </c>
      <c r="HC217" t="e">
        <f>AND(Bills!#REF!,"AAAAAG6/mNI=")</f>
        <v>#REF!</v>
      </c>
      <c r="HD217" t="e">
        <f>AND(Bills!#REF!,"AAAAAG6/mNM=")</f>
        <v>#REF!</v>
      </c>
      <c r="HE217" t="e">
        <f>AND(Bills!W859,"AAAAAG6/mNQ=")</f>
        <v>#VALUE!</v>
      </c>
      <c r="HF217" t="e">
        <f>AND(Bills!X859,"AAAAAG6/mNU=")</f>
        <v>#VALUE!</v>
      </c>
      <c r="HG217" t="e">
        <f>AND(Bills!#REF!,"AAAAAG6/mNY=")</f>
        <v>#REF!</v>
      </c>
      <c r="HH217" t="e">
        <f>AND(Bills!#REF!,"AAAAAG6/mNc=")</f>
        <v>#REF!</v>
      </c>
      <c r="HI217" t="e">
        <f>AND(Bills!#REF!,"AAAAAG6/mNg=")</f>
        <v>#REF!</v>
      </c>
      <c r="HJ217" t="e">
        <f>AND(Bills!#REF!,"AAAAAG6/mNk=")</f>
        <v>#REF!</v>
      </c>
      <c r="HK217" t="e">
        <f>AND(Bills!#REF!,"AAAAAG6/mNo=")</f>
        <v>#REF!</v>
      </c>
      <c r="HL217" t="e">
        <f>AND(Bills!#REF!,"AAAAAG6/mNs=")</f>
        <v>#REF!</v>
      </c>
      <c r="HM217" t="e">
        <f>AND(Bills!#REF!,"AAAAAG6/mNw=")</f>
        <v>#REF!</v>
      </c>
      <c r="HN217" t="e">
        <f>AND(Bills!#REF!,"AAAAAG6/mN0=")</f>
        <v>#REF!</v>
      </c>
      <c r="HO217" t="e">
        <f>AND(Bills!#REF!,"AAAAAG6/mN4=")</f>
        <v>#REF!</v>
      </c>
      <c r="HP217" t="e">
        <f>AND(Bills!Y859,"AAAAAG6/mN8=")</f>
        <v>#VALUE!</v>
      </c>
      <c r="HQ217" t="e">
        <f>AND(Bills!Z859,"AAAAAG6/mOA=")</f>
        <v>#VALUE!</v>
      </c>
      <c r="HR217" t="e">
        <f>AND(Bills!#REF!,"AAAAAG6/mOE=")</f>
        <v>#REF!</v>
      </c>
      <c r="HS217" t="e">
        <f>AND(Bills!#REF!,"AAAAAG6/mOI=")</f>
        <v>#REF!</v>
      </c>
      <c r="HT217" t="e">
        <f>AND(Bills!#REF!,"AAAAAG6/mOM=")</f>
        <v>#REF!</v>
      </c>
      <c r="HU217" t="e">
        <f>AND(Bills!AA859,"AAAAAG6/mOQ=")</f>
        <v>#VALUE!</v>
      </c>
      <c r="HV217" t="e">
        <f>AND(Bills!AB859,"AAAAAG6/mOU=")</f>
        <v>#VALUE!</v>
      </c>
      <c r="HW217" t="e">
        <f>AND(Bills!#REF!,"AAAAAG6/mOY=")</f>
        <v>#REF!</v>
      </c>
      <c r="HX217">
        <f>IF(Bills!860:860,"AAAAAG6/mOc=",0)</f>
        <v>0</v>
      </c>
      <c r="HY217" t="e">
        <f>AND(Bills!B860,"AAAAAG6/mOg=")</f>
        <v>#VALUE!</v>
      </c>
      <c r="HZ217" t="e">
        <f>AND(Bills!#REF!,"AAAAAG6/mOk=")</f>
        <v>#REF!</v>
      </c>
      <c r="IA217" t="e">
        <f>AND(Bills!C860,"AAAAAG6/mOo=")</f>
        <v>#VALUE!</v>
      </c>
      <c r="IB217" t="e">
        <f>AND(Bills!#REF!,"AAAAAG6/mOs=")</f>
        <v>#REF!</v>
      </c>
      <c r="IC217" t="e">
        <f>AND(Bills!#REF!,"AAAAAG6/mOw=")</f>
        <v>#REF!</v>
      </c>
      <c r="ID217" t="e">
        <f>AND(Bills!#REF!,"AAAAAG6/mO0=")</f>
        <v>#REF!</v>
      </c>
      <c r="IE217" t="e">
        <f>AND(Bills!#REF!,"AAAAAG6/mO4=")</f>
        <v>#REF!</v>
      </c>
      <c r="IF217" t="e">
        <f>AND(Bills!#REF!,"AAAAAG6/mO8=")</f>
        <v>#REF!</v>
      </c>
      <c r="IG217" t="e">
        <f>AND(Bills!D860,"AAAAAG6/mPA=")</f>
        <v>#VALUE!</v>
      </c>
      <c r="IH217" t="e">
        <f>AND(Bills!#REF!,"AAAAAG6/mPE=")</f>
        <v>#REF!</v>
      </c>
      <c r="II217" t="e">
        <f>AND(Bills!E860,"AAAAAG6/mPI=")</f>
        <v>#VALUE!</v>
      </c>
      <c r="IJ217" t="e">
        <f>AND(Bills!F860,"AAAAAG6/mPM=")</f>
        <v>#VALUE!</v>
      </c>
      <c r="IK217" t="e">
        <f>AND(Bills!G860,"AAAAAG6/mPQ=")</f>
        <v>#VALUE!</v>
      </c>
      <c r="IL217" t="e">
        <f>AND(Bills!H860,"AAAAAG6/mPU=")</f>
        <v>#VALUE!</v>
      </c>
      <c r="IM217" t="e">
        <f>AND(Bills!I860,"AAAAAG6/mPY=")</f>
        <v>#VALUE!</v>
      </c>
      <c r="IN217" t="e">
        <f>AND(Bills!J860,"AAAAAG6/mPc=")</f>
        <v>#VALUE!</v>
      </c>
      <c r="IO217" t="e">
        <f>AND(Bills!#REF!,"AAAAAG6/mPg=")</f>
        <v>#REF!</v>
      </c>
      <c r="IP217" t="e">
        <f>AND(Bills!K860,"AAAAAG6/mPk=")</f>
        <v>#VALUE!</v>
      </c>
      <c r="IQ217" t="e">
        <f>AND(Bills!L860,"AAAAAG6/mPo=")</f>
        <v>#VALUE!</v>
      </c>
      <c r="IR217" t="e">
        <f>AND(Bills!M860,"AAAAAG6/mPs=")</f>
        <v>#VALUE!</v>
      </c>
      <c r="IS217" t="e">
        <f>AND(Bills!N860,"AAAAAG6/mPw=")</f>
        <v>#VALUE!</v>
      </c>
      <c r="IT217" t="e">
        <f>AND(Bills!O860,"AAAAAG6/mP0=")</f>
        <v>#VALUE!</v>
      </c>
      <c r="IU217" t="e">
        <f>AND(Bills!P860,"AAAAAG6/mP4=")</f>
        <v>#VALUE!</v>
      </c>
      <c r="IV217" t="e">
        <f>AND(Bills!Q860,"AAAAAG6/mP8=")</f>
        <v>#VALUE!</v>
      </c>
    </row>
    <row r="218" spans="1:256">
      <c r="A218" t="e">
        <f>AND(Bills!R860,"AAAAAG3/8wA=")</f>
        <v>#VALUE!</v>
      </c>
      <c r="B218" t="e">
        <f>AND(Bills!#REF!,"AAAAAG3/8wE=")</f>
        <v>#REF!</v>
      </c>
      <c r="C218" t="e">
        <f>AND(Bills!S860,"AAAAAG3/8wI=")</f>
        <v>#VALUE!</v>
      </c>
      <c r="D218" t="e">
        <f>AND(Bills!T860,"AAAAAG3/8wM=")</f>
        <v>#VALUE!</v>
      </c>
      <c r="E218" t="e">
        <f>AND(Bills!U860,"AAAAAG3/8wQ=")</f>
        <v>#VALUE!</v>
      </c>
      <c r="F218" t="e">
        <f>AND(Bills!#REF!,"AAAAAG3/8wU=")</f>
        <v>#REF!</v>
      </c>
      <c r="G218" t="e">
        <f>AND(Bills!#REF!,"AAAAAG3/8wY=")</f>
        <v>#REF!</v>
      </c>
      <c r="H218" t="e">
        <f>AND(Bills!W860,"AAAAAG3/8wc=")</f>
        <v>#VALUE!</v>
      </c>
      <c r="I218" t="e">
        <f>AND(Bills!X860,"AAAAAG3/8wg=")</f>
        <v>#VALUE!</v>
      </c>
      <c r="J218" t="e">
        <f>AND(Bills!#REF!,"AAAAAG3/8wk=")</f>
        <v>#REF!</v>
      </c>
      <c r="K218" t="e">
        <f>AND(Bills!#REF!,"AAAAAG3/8wo=")</f>
        <v>#REF!</v>
      </c>
      <c r="L218" t="e">
        <f>AND(Bills!#REF!,"AAAAAG3/8ws=")</f>
        <v>#REF!</v>
      </c>
      <c r="M218" t="e">
        <f>AND(Bills!#REF!,"AAAAAG3/8ww=")</f>
        <v>#REF!</v>
      </c>
      <c r="N218" t="e">
        <f>AND(Bills!#REF!,"AAAAAG3/8w0=")</f>
        <v>#REF!</v>
      </c>
      <c r="O218" t="e">
        <f>AND(Bills!#REF!,"AAAAAG3/8w4=")</f>
        <v>#REF!</v>
      </c>
      <c r="P218" t="e">
        <f>AND(Bills!#REF!,"AAAAAG3/8w8=")</f>
        <v>#REF!</v>
      </c>
      <c r="Q218" t="e">
        <f>AND(Bills!#REF!,"AAAAAG3/8xA=")</f>
        <v>#REF!</v>
      </c>
      <c r="R218" t="e">
        <f>AND(Bills!#REF!,"AAAAAG3/8xE=")</f>
        <v>#REF!</v>
      </c>
      <c r="S218" t="e">
        <f>AND(Bills!Y860,"AAAAAG3/8xI=")</f>
        <v>#VALUE!</v>
      </c>
      <c r="T218" t="e">
        <f>AND(Bills!Z860,"AAAAAG3/8xM=")</f>
        <v>#VALUE!</v>
      </c>
      <c r="U218" t="e">
        <f>AND(Bills!#REF!,"AAAAAG3/8xQ=")</f>
        <v>#REF!</v>
      </c>
      <c r="V218" t="e">
        <f>AND(Bills!#REF!,"AAAAAG3/8xU=")</f>
        <v>#REF!</v>
      </c>
      <c r="W218" t="e">
        <f>AND(Bills!#REF!,"AAAAAG3/8xY=")</f>
        <v>#REF!</v>
      </c>
      <c r="X218" t="e">
        <f>AND(Bills!AA860,"AAAAAG3/8xc=")</f>
        <v>#VALUE!</v>
      </c>
      <c r="Y218" t="e">
        <f>AND(Bills!AB860,"AAAAAG3/8xg=")</f>
        <v>#VALUE!</v>
      </c>
      <c r="Z218" t="e">
        <f>AND(Bills!#REF!,"AAAAAG3/8xk=")</f>
        <v>#REF!</v>
      </c>
      <c r="AA218">
        <f>IF(Bills!861:861,"AAAAAG3/8xo=",0)</f>
        <v>0</v>
      </c>
      <c r="AB218" t="e">
        <f>AND(Bills!B861,"AAAAAG3/8xs=")</f>
        <v>#VALUE!</v>
      </c>
      <c r="AC218" t="e">
        <f>AND(Bills!#REF!,"AAAAAG3/8xw=")</f>
        <v>#REF!</v>
      </c>
      <c r="AD218" t="e">
        <f>AND(Bills!C861,"AAAAAG3/8x0=")</f>
        <v>#VALUE!</v>
      </c>
      <c r="AE218" t="e">
        <f>AND(Bills!#REF!,"AAAAAG3/8x4=")</f>
        <v>#REF!</v>
      </c>
      <c r="AF218" t="e">
        <f>AND(Bills!#REF!,"AAAAAG3/8x8=")</f>
        <v>#REF!</v>
      </c>
      <c r="AG218" t="e">
        <f>AND(Bills!#REF!,"AAAAAG3/8yA=")</f>
        <v>#REF!</v>
      </c>
      <c r="AH218" t="e">
        <f>AND(Bills!#REF!,"AAAAAG3/8yE=")</f>
        <v>#REF!</v>
      </c>
      <c r="AI218" t="e">
        <f>AND(Bills!#REF!,"AAAAAG3/8yI=")</f>
        <v>#REF!</v>
      </c>
      <c r="AJ218" t="e">
        <f>AND(Bills!D861,"AAAAAG3/8yM=")</f>
        <v>#VALUE!</v>
      </c>
      <c r="AK218" t="e">
        <f>AND(Bills!#REF!,"AAAAAG3/8yQ=")</f>
        <v>#REF!</v>
      </c>
      <c r="AL218" t="e">
        <f>AND(Bills!E861,"AAAAAG3/8yU=")</f>
        <v>#VALUE!</v>
      </c>
      <c r="AM218" t="e">
        <f>AND(Bills!F861,"AAAAAG3/8yY=")</f>
        <v>#VALUE!</v>
      </c>
      <c r="AN218" t="e">
        <f>AND(Bills!G861,"AAAAAG3/8yc=")</f>
        <v>#VALUE!</v>
      </c>
      <c r="AO218" t="e">
        <f>AND(Bills!H861,"AAAAAG3/8yg=")</f>
        <v>#VALUE!</v>
      </c>
      <c r="AP218" t="e">
        <f>AND(Bills!I861,"AAAAAG3/8yk=")</f>
        <v>#VALUE!</v>
      </c>
      <c r="AQ218" t="e">
        <f>AND(Bills!J861,"AAAAAG3/8yo=")</f>
        <v>#VALUE!</v>
      </c>
      <c r="AR218" t="e">
        <f>AND(Bills!#REF!,"AAAAAG3/8ys=")</f>
        <v>#REF!</v>
      </c>
      <c r="AS218" t="e">
        <f>AND(Bills!K861,"AAAAAG3/8yw=")</f>
        <v>#VALUE!</v>
      </c>
      <c r="AT218" t="e">
        <f>AND(Bills!L861,"AAAAAG3/8y0=")</f>
        <v>#VALUE!</v>
      </c>
      <c r="AU218" t="e">
        <f>AND(Bills!M861,"AAAAAG3/8y4=")</f>
        <v>#VALUE!</v>
      </c>
      <c r="AV218" t="e">
        <f>AND(Bills!N861,"AAAAAG3/8y8=")</f>
        <v>#VALUE!</v>
      </c>
      <c r="AW218" t="e">
        <f>AND(Bills!O861,"AAAAAG3/8zA=")</f>
        <v>#VALUE!</v>
      </c>
      <c r="AX218" t="e">
        <f>AND(Bills!P861,"AAAAAG3/8zE=")</f>
        <v>#VALUE!</v>
      </c>
      <c r="AY218" t="e">
        <f>AND(Bills!Q861,"AAAAAG3/8zI=")</f>
        <v>#VALUE!</v>
      </c>
      <c r="AZ218" t="e">
        <f>AND(Bills!R861,"AAAAAG3/8zM=")</f>
        <v>#VALUE!</v>
      </c>
      <c r="BA218" t="e">
        <f>AND(Bills!#REF!,"AAAAAG3/8zQ=")</f>
        <v>#REF!</v>
      </c>
      <c r="BB218" t="e">
        <f>AND(Bills!S861,"AAAAAG3/8zU=")</f>
        <v>#VALUE!</v>
      </c>
      <c r="BC218" t="e">
        <f>AND(Bills!T861,"AAAAAG3/8zY=")</f>
        <v>#VALUE!</v>
      </c>
      <c r="BD218" t="e">
        <f>AND(Bills!U861,"AAAAAG3/8zc=")</f>
        <v>#VALUE!</v>
      </c>
      <c r="BE218" t="e">
        <f>AND(Bills!#REF!,"AAAAAG3/8zg=")</f>
        <v>#REF!</v>
      </c>
      <c r="BF218" t="e">
        <f>AND(Bills!#REF!,"AAAAAG3/8zk=")</f>
        <v>#REF!</v>
      </c>
      <c r="BG218" t="e">
        <f>AND(Bills!W861,"AAAAAG3/8zo=")</f>
        <v>#VALUE!</v>
      </c>
      <c r="BH218" t="e">
        <f>AND(Bills!X861,"AAAAAG3/8zs=")</f>
        <v>#VALUE!</v>
      </c>
      <c r="BI218" t="e">
        <f>AND(Bills!#REF!,"AAAAAG3/8zw=")</f>
        <v>#REF!</v>
      </c>
      <c r="BJ218" t="e">
        <f>AND(Bills!#REF!,"AAAAAG3/8z0=")</f>
        <v>#REF!</v>
      </c>
      <c r="BK218" t="e">
        <f>AND(Bills!#REF!,"AAAAAG3/8z4=")</f>
        <v>#REF!</v>
      </c>
      <c r="BL218" t="e">
        <f>AND(Bills!#REF!,"AAAAAG3/8z8=")</f>
        <v>#REF!</v>
      </c>
      <c r="BM218" t="e">
        <f>AND(Bills!#REF!,"AAAAAG3/80A=")</f>
        <v>#REF!</v>
      </c>
      <c r="BN218" t="e">
        <f>AND(Bills!#REF!,"AAAAAG3/80E=")</f>
        <v>#REF!</v>
      </c>
      <c r="BO218" t="e">
        <f>AND(Bills!#REF!,"AAAAAG3/80I=")</f>
        <v>#REF!</v>
      </c>
      <c r="BP218" t="e">
        <f>AND(Bills!#REF!,"AAAAAG3/80M=")</f>
        <v>#REF!</v>
      </c>
      <c r="BQ218" t="e">
        <f>AND(Bills!#REF!,"AAAAAG3/80Q=")</f>
        <v>#REF!</v>
      </c>
      <c r="BR218" t="e">
        <f>AND(Bills!Y861,"AAAAAG3/80U=")</f>
        <v>#VALUE!</v>
      </c>
      <c r="BS218" t="e">
        <f>AND(Bills!Z861,"AAAAAG3/80Y=")</f>
        <v>#VALUE!</v>
      </c>
      <c r="BT218" t="e">
        <f>AND(Bills!#REF!,"AAAAAG3/80c=")</f>
        <v>#REF!</v>
      </c>
      <c r="BU218" t="e">
        <f>AND(Bills!#REF!,"AAAAAG3/80g=")</f>
        <v>#REF!</v>
      </c>
      <c r="BV218" t="e">
        <f>AND(Bills!#REF!,"AAAAAG3/80k=")</f>
        <v>#REF!</v>
      </c>
      <c r="BW218" t="e">
        <f>AND(Bills!AA861,"AAAAAG3/80o=")</f>
        <v>#VALUE!</v>
      </c>
      <c r="BX218" t="e">
        <f>AND(Bills!AB861,"AAAAAG3/80s=")</f>
        <v>#VALUE!</v>
      </c>
      <c r="BY218" t="e">
        <f>AND(Bills!#REF!,"AAAAAG3/80w=")</f>
        <v>#REF!</v>
      </c>
      <c r="BZ218">
        <f>IF(Bills!862:862,"AAAAAG3/800=",0)</f>
        <v>0</v>
      </c>
      <c r="CA218" t="e">
        <f>AND(Bills!B862,"AAAAAG3/804=")</f>
        <v>#VALUE!</v>
      </c>
      <c r="CB218" t="e">
        <f>AND(Bills!#REF!,"AAAAAG3/808=")</f>
        <v>#REF!</v>
      </c>
      <c r="CC218" t="e">
        <f>AND(Bills!C862,"AAAAAG3/81A=")</f>
        <v>#VALUE!</v>
      </c>
      <c r="CD218" t="e">
        <f>AND(Bills!#REF!,"AAAAAG3/81E=")</f>
        <v>#REF!</v>
      </c>
      <c r="CE218" t="e">
        <f>AND(Bills!#REF!,"AAAAAG3/81I=")</f>
        <v>#REF!</v>
      </c>
      <c r="CF218" t="e">
        <f>AND(Bills!#REF!,"AAAAAG3/81M=")</f>
        <v>#REF!</v>
      </c>
      <c r="CG218" t="e">
        <f>AND(Bills!#REF!,"AAAAAG3/81Q=")</f>
        <v>#REF!</v>
      </c>
      <c r="CH218" t="e">
        <f>AND(Bills!#REF!,"AAAAAG3/81U=")</f>
        <v>#REF!</v>
      </c>
      <c r="CI218" t="e">
        <f>AND(Bills!D862,"AAAAAG3/81Y=")</f>
        <v>#VALUE!</v>
      </c>
      <c r="CJ218" t="e">
        <f>AND(Bills!#REF!,"AAAAAG3/81c=")</f>
        <v>#REF!</v>
      </c>
      <c r="CK218" t="e">
        <f>AND(Bills!E862,"AAAAAG3/81g=")</f>
        <v>#VALUE!</v>
      </c>
      <c r="CL218" t="e">
        <f>AND(Bills!F862,"AAAAAG3/81k=")</f>
        <v>#VALUE!</v>
      </c>
      <c r="CM218" t="e">
        <f>AND(Bills!G862,"AAAAAG3/81o=")</f>
        <v>#VALUE!</v>
      </c>
      <c r="CN218" t="e">
        <f>AND(Bills!H862,"AAAAAG3/81s=")</f>
        <v>#VALUE!</v>
      </c>
      <c r="CO218" t="e">
        <f>AND(Bills!I862,"AAAAAG3/81w=")</f>
        <v>#VALUE!</v>
      </c>
      <c r="CP218" t="e">
        <f>AND(Bills!J862,"AAAAAG3/810=")</f>
        <v>#VALUE!</v>
      </c>
      <c r="CQ218" t="e">
        <f>AND(Bills!#REF!,"AAAAAG3/814=")</f>
        <v>#REF!</v>
      </c>
      <c r="CR218" t="e">
        <f>AND(Bills!K862,"AAAAAG3/818=")</f>
        <v>#VALUE!</v>
      </c>
      <c r="CS218" t="e">
        <f>AND(Bills!L862,"AAAAAG3/82A=")</f>
        <v>#VALUE!</v>
      </c>
      <c r="CT218" t="e">
        <f>AND(Bills!M862,"AAAAAG3/82E=")</f>
        <v>#VALUE!</v>
      </c>
      <c r="CU218" t="e">
        <f>AND(Bills!N862,"AAAAAG3/82I=")</f>
        <v>#VALUE!</v>
      </c>
      <c r="CV218" t="e">
        <f>AND(Bills!O862,"AAAAAG3/82M=")</f>
        <v>#VALUE!</v>
      </c>
      <c r="CW218" t="e">
        <f>AND(Bills!P862,"AAAAAG3/82Q=")</f>
        <v>#VALUE!</v>
      </c>
      <c r="CX218" t="e">
        <f>AND(Bills!Q862,"AAAAAG3/82U=")</f>
        <v>#VALUE!</v>
      </c>
      <c r="CY218" t="e">
        <f>AND(Bills!R862,"AAAAAG3/82Y=")</f>
        <v>#VALUE!</v>
      </c>
      <c r="CZ218" t="e">
        <f>AND(Bills!#REF!,"AAAAAG3/82c=")</f>
        <v>#REF!</v>
      </c>
      <c r="DA218" t="e">
        <f>AND(Bills!S862,"AAAAAG3/82g=")</f>
        <v>#VALUE!</v>
      </c>
      <c r="DB218" t="e">
        <f>AND(Bills!T862,"AAAAAG3/82k=")</f>
        <v>#VALUE!</v>
      </c>
      <c r="DC218" t="e">
        <f>AND(Bills!U862,"AAAAAG3/82o=")</f>
        <v>#VALUE!</v>
      </c>
      <c r="DD218" t="e">
        <f>AND(Bills!#REF!,"AAAAAG3/82s=")</f>
        <v>#REF!</v>
      </c>
      <c r="DE218" t="e">
        <f>AND(Bills!#REF!,"AAAAAG3/82w=")</f>
        <v>#REF!</v>
      </c>
      <c r="DF218" t="e">
        <f>AND(Bills!W862,"AAAAAG3/820=")</f>
        <v>#VALUE!</v>
      </c>
      <c r="DG218" t="e">
        <f>AND(Bills!X862,"AAAAAG3/824=")</f>
        <v>#VALUE!</v>
      </c>
      <c r="DH218" t="e">
        <f>AND(Bills!#REF!,"AAAAAG3/828=")</f>
        <v>#REF!</v>
      </c>
      <c r="DI218" t="e">
        <f>AND(Bills!#REF!,"AAAAAG3/83A=")</f>
        <v>#REF!</v>
      </c>
      <c r="DJ218" t="e">
        <f>AND(Bills!#REF!,"AAAAAG3/83E=")</f>
        <v>#REF!</v>
      </c>
      <c r="DK218" t="e">
        <f>AND(Bills!#REF!,"AAAAAG3/83I=")</f>
        <v>#REF!</v>
      </c>
      <c r="DL218" t="e">
        <f>AND(Bills!#REF!,"AAAAAG3/83M=")</f>
        <v>#REF!</v>
      </c>
      <c r="DM218" t="e">
        <f>AND(Bills!#REF!,"AAAAAG3/83Q=")</f>
        <v>#REF!</v>
      </c>
      <c r="DN218" t="e">
        <f>AND(Bills!#REF!,"AAAAAG3/83U=")</f>
        <v>#REF!</v>
      </c>
      <c r="DO218" t="e">
        <f>AND(Bills!#REF!,"AAAAAG3/83Y=")</f>
        <v>#REF!</v>
      </c>
      <c r="DP218" t="e">
        <f>AND(Bills!#REF!,"AAAAAG3/83c=")</f>
        <v>#REF!</v>
      </c>
      <c r="DQ218" t="e">
        <f>AND(Bills!Y862,"AAAAAG3/83g=")</f>
        <v>#VALUE!</v>
      </c>
      <c r="DR218" t="e">
        <f>AND(Bills!Z862,"AAAAAG3/83k=")</f>
        <v>#VALUE!</v>
      </c>
      <c r="DS218" t="e">
        <f>AND(Bills!#REF!,"AAAAAG3/83o=")</f>
        <v>#REF!</v>
      </c>
      <c r="DT218" t="e">
        <f>AND(Bills!#REF!,"AAAAAG3/83s=")</f>
        <v>#REF!</v>
      </c>
      <c r="DU218" t="e">
        <f>AND(Bills!#REF!,"AAAAAG3/83w=")</f>
        <v>#REF!</v>
      </c>
      <c r="DV218" t="e">
        <f>AND(Bills!AA862,"AAAAAG3/830=")</f>
        <v>#VALUE!</v>
      </c>
      <c r="DW218" t="e">
        <f>AND(Bills!AB862,"AAAAAG3/834=")</f>
        <v>#VALUE!</v>
      </c>
      <c r="DX218" t="e">
        <f>AND(Bills!#REF!,"AAAAAG3/838=")</f>
        <v>#REF!</v>
      </c>
      <c r="DY218">
        <f>IF(Bills!863:863,"AAAAAG3/84A=",0)</f>
        <v>0</v>
      </c>
      <c r="DZ218" t="e">
        <f>AND(Bills!B863,"AAAAAG3/84E=")</f>
        <v>#VALUE!</v>
      </c>
      <c r="EA218" t="e">
        <f>AND(Bills!#REF!,"AAAAAG3/84I=")</f>
        <v>#REF!</v>
      </c>
      <c r="EB218" t="e">
        <f>AND(Bills!C863,"AAAAAG3/84M=")</f>
        <v>#VALUE!</v>
      </c>
      <c r="EC218" t="e">
        <f>AND(Bills!#REF!,"AAAAAG3/84Q=")</f>
        <v>#REF!</v>
      </c>
      <c r="ED218" t="e">
        <f>AND(Bills!#REF!,"AAAAAG3/84U=")</f>
        <v>#REF!</v>
      </c>
      <c r="EE218" t="e">
        <f>AND(Bills!#REF!,"AAAAAG3/84Y=")</f>
        <v>#REF!</v>
      </c>
      <c r="EF218" t="e">
        <f>AND(Bills!#REF!,"AAAAAG3/84c=")</f>
        <v>#REF!</v>
      </c>
      <c r="EG218" t="e">
        <f>AND(Bills!#REF!,"AAAAAG3/84g=")</f>
        <v>#REF!</v>
      </c>
      <c r="EH218" t="e">
        <f>AND(Bills!D863,"AAAAAG3/84k=")</f>
        <v>#VALUE!</v>
      </c>
      <c r="EI218" t="e">
        <f>AND(Bills!#REF!,"AAAAAG3/84o=")</f>
        <v>#REF!</v>
      </c>
      <c r="EJ218" t="e">
        <f>AND(Bills!E863,"AAAAAG3/84s=")</f>
        <v>#VALUE!</v>
      </c>
      <c r="EK218" t="e">
        <f>AND(Bills!F863,"AAAAAG3/84w=")</f>
        <v>#VALUE!</v>
      </c>
      <c r="EL218" t="e">
        <f>AND(Bills!G863,"AAAAAG3/840=")</f>
        <v>#VALUE!</v>
      </c>
      <c r="EM218" t="e">
        <f>AND(Bills!H863,"AAAAAG3/844=")</f>
        <v>#VALUE!</v>
      </c>
      <c r="EN218" t="e">
        <f>AND(Bills!I863,"AAAAAG3/848=")</f>
        <v>#VALUE!</v>
      </c>
      <c r="EO218" t="e">
        <f>AND(Bills!J863,"AAAAAG3/85A=")</f>
        <v>#VALUE!</v>
      </c>
      <c r="EP218" t="e">
        <f>AND(Bills!#REF!,"AAAAAG3/85E=")</f>
        <v>#REF!</v>
      </c>
      <c r="EQ218" t="e">
        <f>AND(Bills!K863,"AAAAAG3/85I=")</f>
        <v>#VALUE!</v>
      </c>
      <c r="ER218" t="e">
        <f>AND(Bills!L863,"AAAAAG3/85M=")</f>
        <v>#VALUE!</v>
      </c>
      <c r="ES218" t="e">
        <f>AND(Bills!M863,"AAAAAG3/85Q=")</f>
        <v>#VALUE!</v>
      </c>
      <c r="ET218" t="e">
        <f>AND(Bills!N863,"AAAAAG3/85U=")</f>
        <v>#VALUE!</v>
      </c>
      <c r="EU218" t="e">
        <f>AND(Bills!O863,"AAAAAG3/85Y=")</f>
        <v>#VALUE!</v>
      </c>
      <c r="EV218" t="e">
        <f>AND(Bills!P863,"AAAAAG3/85c=")</f>
        <v>#VALUE!</v>
      </c>
      <c r="EW218" t="e">
        <f>AND(Bills!Q863,"AAAAAG3/85g=")</f>
        <v>#VALUE!</v>
      </c>
      <c r="EX218" t="e">
        <f>AND(Bills!R863,"AAAAAG3/85k=")</f>
        <v>#VALUE!</v>
      </c>
      <c r="EY218" t="e">
        <f>AND(Bills!#REF!,"AAAAAG3/85o=")</f>
        <v>#REF!</v>
      </c>
      <c r="EZ218" t="e">
        <f>AND(Bills!S863,"AAAAAG3/85s=")</f>
        <v>#VALUE!</v>
      </c>
      <c r="FA218" t="e">
        <f>AND(Bills!T863,"AAAAAG3/85w=")</f>
        <v>#VALUE!</v>
      </c>
      <c r="FB218" t="e">
        <f>AND(Bills!U863,"AAAAAG3/850=")</f>
        <v>#VALUE!</v>
      </c>
      <c r="FC218" t="e">
        <f>AND(Bills!#REF!,"AAAAAG3/854=")</f>
        <v>#REF!</v>
      </c>
      <c r="FD218" t="e">
        <f>AND(Bills!#REF!,"AAAAAG3/858=")</f>
        <v>#REF!</v>
      </c>
      <c r="FE218" t="e">
        <f>AND(Bills!W863,"AAAAAG3/86A=")</f>
        <v>#VALUE!</v>
      </c>
      <c r="FF218" t="e">
        <f>AND(Bills!X863,"AAAAAG3/86E=")</f>
        <v>#VALUE!</v>
      </c>
      <c r="FG218" t="e">
        <f>AND(Bills!#REF!,"AAAAAG3/86I=")</f>
        <v>#REF!</v>
      </c>
      <c r="FH218" t="e">
        <f>AND(Bills!#REF!,"AAAAAG3/86M=")</f>
        <v>#REF!</v>
      </c>
      <c r="FI218" t="e">
        <f>AND(Bills!#REF!,"AAAAAG3/86Q=")</f>
        <v>#REF!</v>
      </c>
      <c r="FJ218" t="e">
        <f>AND(Bills!#REF!,"AAAAAG3/86U=")</f>
        <v>#REF!</v>
      </c>
      <c r="FK218" t="e">
        <f>AND(Bills!#REF!,"AAAAAG3/86Y=")</f>
        <v>#REF!</v>
      </c>
      <c r="FL218" t="e">
        <f>AND(Bills!#REF!,"AAAAAG3/86c=")</f>
        <v>#REF!</v>
      </c>
      <c r="FM218" t="e">
        <f>AND(Bills!#REF!,"AAAAAG3/86g=")</f>
        <v>#REF!</v>
      </c>
      <c r="FN218" t="e">
        <f>AND(Bills!#REF!,"AAAAAG3/86k=")</f>
        <v>#REF!</v>
      </c>
      <c r="FO218" t="e">
        <f>AND(Bills!#REF!,"AAAAAG3/86o=")</f>
        <v>#REF!</v>
      </c>
      <c r="FP218" t="e">
        <f>AND(Bills!Y863,"AAAAAG3/86s=")</f>
        <v>#VALUE!</v>
      </c>
      <c r="FQ218" t="e">
        <f>AND(Bills!Z863,"AAAAAG3/86w=")</f>
        <v>#VALUE!</v>
      </c>
      <c r="FR218" t="e">
        <f>AND(Bills!#REF!,"AAAAAG3/860=")</f>
        <v>#REF!</v>
      </c>
      <c r="FS218" t="e">
        <f>AND(Bills!#REF!,"AAAAAG3/864=")</f>
        <v>#REF!</v>
      </c>
      <c r="FT218" t="e">
        <f>AND(Bills!#REF!,"AAAAAG3/868=")</f>
        <v>#REF!</v>
      </c>
      <c r="FU218" t="e">
        <f>AND(Bills!AA863,"AAAAAG3/87A=")</f>
        <v>#VALUE!</v>
      </c>
      <c r="FV218" t="e">
        <f>AND(Bills!AB863,"AAAAAG3/87E=")</f>
        <v>#VALUE!</v>
      </c>
      <c r="FW218" t="e">
        <f>AND(Bills!#REF!,"AAAAAG3/87I=")</f>
        <v>#REF!</v>
      </c>
      <c r="FX218">
        <f>IF(Bills!864:864,"AAAAAG3/87M=",0)</f>
        <v>0</v>
      </c>
      <c r="FY218" t="e">
        <f>AND(Bills!B864,"AAAAAG3/87Q=")</f>
        <v>#VALUE!</v>
      </c>
      <c r="FZ218" t="e">
        <f>AND(Bills!#REF!,"AAAAAG3/87U=")</f>
        <v>#REF!</v>
      </c>
      <c r="GA218" t="e">
        <f>AND(Bills!C864,"AAAAAG3/87Y=")</f>
        <v>#VALUE!</v>
      </c>
      <c r="GB218" t="e">
        <f>AND(Bills!#REF!,"AAAAAG3/87c=")</f>
        <v>#REF!</v>
      </c>
      <c r="GC218" t="e">
        <f>AND(Bills!#REF!,"AAAAAG3/87g=")</f>
        <v>#REF!</v>
      </c>
      <c r="GD218" t="e">
        <f>AND(Bills!#REF!,"AAAAAG3/87k=")</f>
        <v>#REF!</v>
      </c>
      <c r="GE218" t="e">
        <f>AND(Bills!#REF!,"AAAAAG3/87o=")</f>
        <v>#REF!</v>
      </c>
      <c r="GF218" t="e">
        <f>AND(Bills!#REF!,"AAAAAG3/87s=")</f>
        <v>#REF!</v>
      </c>
      <c r="GG218" t="e">
        <f>AND(Bills!D864,"AAAAAG3/87w=")</f>
        <v>#VALUE!</v>
      </c>
      <c r="GH218" t="e">
        <f>AND(Bills!#REF!,"AAAAAG3/870=")</f>
        <v>#REF!</v>
      </c>
      <c r="GI218" t="e">
        <f>AND(Bills!E864,"AAAAAG3/874=")</f>
        <v>#VALUE!</v>
      </c>
      <c r="GJ218" t="e">
        <f>AND(Bills!F864,"AAAAAG3/878=")</f>
        <v>#VALUE!</v>
      </c>
      <c r="GK218" t="e">
        <f>AND(Bills!G864,"AAAAAG3/88A=")</f>
        <v>#VALUE!</v>
      </c>
      <c r="GL218" t="e">
        <f>AND(Bills!H864,"AAAAAG3/88E=")</f>
        <v>#VALUE!</v>
      </c>
      <c r="GM218" t="e">
        <f>AND(Bills!I864,"AAAAAG3/88I=")</f>
        <v>#VALUE!</v>
      </c>
      <c r="GN218" t="e">
        <f>AND(Bills!J864,"AAAAAG3/88M=")</f>
        <v>#VALUE!</v>
      </c>
      <c r="GO218" t="e">
        <f>AND(Bills!#REF!,"AAAAAG3/88Q=")</f>
        <v>#REF!</v>
      </c>
      <c r="GP218" t="e">
        <f>AND(Bills!K864,"AAAAAG3/88U=")</f>
        <v>#VALUE!</v>
      </c>
      <c r="GQ218" t="e">
        <f>AND(Bills!L864,"AAAAAG3/88Y=")</f>
        <v>#VALUE!</v>
      </c>
      <c r="GR218" t="e">
        <f>AND(Bills!M864,"AAAAAG3/88c=")</f>
        <v>#VALUE!</v>
      </c>
      <c r="GS218" t="e">
        <f>AND(Bills!N864,"AAAAAG3/88g=")</f>
        <v>#VALUE!</v>
      </c>
      <c r="GT218" t="e">
        <f>AND(Bills!O864,"AAAAAG3/88k=")</f>
        <v>#VALUE!</v>
      </c>
      <c r="GU218" t="e">
        <f>AND(Bills!P864,"AAAAAG3/88o=")</f>
        <v>#VALUE!</v>
      </c>
      <c r="GV218" t="e">
        <f>AND(Bills!Q864,"AAAAAG3/88s=")</f>
        <v>#VALUE!</v>
      </c>
      <c r="GW218" t="e">
        <f>AND(Bills!R864,"AAAAAG3/88w=")</f>
        <v>#VALUE!</v>
      </c>
      <c r="GX218" t="e">
        <f>AND(Bills!#REF!,"AAAAAG3/880=")</f>
        <v>#REF!</v>
      </c>
      <c r="GY218" t="e">
        <f>AND(Bills!S864,"AAAAAG3/884=")</f>
        <v>#VALUE!</v>
      </c>
      <c r="GZ218" t="e">
        <f>AND(Bills!T864,"AAAAAG3/888=")</f>
        <v>#VALUE!</v>
      </c>
      <c r="HA218" t="e">
        <f>AND(Bills!U864,"AAAAAG3/89A=")</f>
        <v>#VALUE!</v>
      </c>
      <c r="HB218" t="e">
        <f>AND(Bills!#REF!,"AAAAAG3/89E=")</f>
        <v>#REF!</v>
      </c>
      <c r="HC218" t="e">
        <f>AND(Bills!#REF!,"AAAAAG3/89I=")</f>
        <v>#REF!</v>
      </c>
      <c r="HD218" t="e">
        <f>AND(Bills!W864,"AAAAAG3/89M=")</f>
        <v>#VALUE!</v>
      </c>
      <c r="HE218" t="e">
        <f>AND(Bills!X864,"AAAAAG3/89Q=")</f>
        <v>#VALUE!</v>
      </c>
      <c r="HF218" t="e">
        <f>AND(Bills!#REF!,"AAAAAG3/89U=")</f>
        <v>#REF!</v>
      </c>
      <c r="HG218" t="e">
        <f>AND(Bills!#REF!,"AAAAAG3/89Y=")</f>
        <v>#REF!</v>
      </c>
      <c r="HH218" t="e">
        <f>AND(Bills!#REF!,"AAAAAG3/89c=")</f>
        <v>#REF!</v>
      </c>
      <c r="HI218" t="e">
        <f>AND(Bills!#REF!,"AAAAAG3/89g=")</f>
        <v>#REF!</v>
      </c>
      <c r="HJ218" t="e">
        <f>AND(Bills!#REF!,"AAAAAG3/89k=")</f>
        <v>#REF!</v>
      </c>
      <c r="HK218" t="e">
        <f>AND(Bills!#REF!,"AAAAAG3/89o=")</f>
        <v>#REF!</v>
      </c>
      <c r="HL218" t="e">
        <f>AND(Bills!#REF!,"AAAAAG3/89s=")</f>
        <v>#REF!</v>
      </c>
      <c r="HM218" t="e">
        <f>AND(Bills!#REF!,"AAAAAG3/89w=")</f>
        <v>#REF!</v>
      </c>
      <c r="HN218" t="e">
        <f>AND(Bills!#REF!,"AAAAAG3/890=")</f>
        <v>#REF!</v>
      </c>
      <c r="HO218" t="e">
        <f>AND(Bills!Y864,"AAAAAG3/894=")</f>
        <v>#VALUE!</v>
      </c>
      <c r="HP218" t="e">
        <f>AND(Bills!Z864,"AAAAAG3/898=")</f>
        <v>#VALUE!</v>
      </c>
      <c r="HQ218" t="e">
        <f>AND(Bills!#REF!,"AAAAAG3/8+A=")</f>
        <v>#REF!</v>
      </c>
      <c r="HR218" t="e">
        <f>AND(Bills!#REF!,"AAAAAG3/8+E=")</f>
        <v>#REF!</v>
      </c>
      <c r="HS218" t="e">
        <f>AND(Bills!#REF!,"AAAAAG3/8+I=")</f>
        <v>#REF!</v>
      </c>
      <c r="HT218" t="e">
        <f>AND(Bills!AA864,"AAAAAG3/8+M=")</f>
        <v>#VALUE!</v>
      </c>
      <c r="HU218" t="e">
        <f>AND(Bills!AB864,"AAAAAG3/8+Q=")</f>
        <v>#VALUE!</v>
      </c>
      <c r="HV218" t="e">
        <f>AND(Bills!#REF!,"AAAAAG3/8+U=")</f>
        <v>#REF!</v>
      </c>
      <c r="HW218">
        <f>IF(Bills!865:865,"AAAAAG3/8+Y=",0)</f>
        <v>0</v>
      </c>
      <c r="HX218" t="e">
        <f>AND(Bills!B865,"AAAAAG3/8+c=")</f>
        <v>#VALUE!</v>
      </c>
      <c r="HY218" t="e">
        <f>AND(Bills!#REF!,"AAAAAG3/8+g=")</f>
        <v>#REF!</v>
      </c>
      <c r="HZ218" t="e">
        <f>AND(Bills!C865,"AAAAAG3/8+k=")</f>
        <v>#VALUE!</v>
      </c>
      <c r="IA218" t="e">
        <f>AND(Bills!#REF!,"AAAAAG3/8+o=")</f>
        <v>#REF!</v>
      </c>
      <c r="IB218" t="e">
        <f>AND(Bills!#REF!,"AAAAAG3/8+s=")</f>
        <v>#REF!</v>
      </c>
      <c r="IC218" t="e">
        <f>AND(Bills!#REF!,"AAAAAG3/8+w=")</f>
        <v>#REF!</v>
      </c>
      <c r="ID218" t="e">
        <f>AND(Bills!#REF!,"AAAAAG3/8+0=")</f>
        <v>#REF!</v>
      </c>
      <c r="IE218" t="e">
        <f>AND(Bills!#REF!,"AAAAAG3/8+4=")</f>
        <v>#REF!</v>
      </c>
      <c r="IF218" t="e">
        <f>AND(Bills!D865,"AAAAAG3/8+8=")</f>
        <v>#VALUE!</v>
      </c>
      <c r="IG218" t="e">
        <f>AND(Bills!#REF!,"AAAAAG3/8/A=")</f>
        <v>#REF!</v>
      </c>
      <c r="IH218" t="e">
        <f>AND(Bills!E865,"AAAAAG3/8/E=")</f>
        <v>#VALUE!</v>
      </c>
      <c r="II218" t="e">
        <f>AND(Bills!F865,"AAAAAG3/8/I=")</f>
        <v>#VALUE!</v>
      </c>
      <c r="IJ218" t="e">
        <f>AND(Bills!G865,"AAAAAG3/8/M=")</f>
        <v>#VALUE!</v>
      </c>
      <c r="IK218" t="e">
        <f>AND(Bills!H865,"AAAAAG3/8/Q=")</f>
        <v>#VALUE!</v>
      </c>
      <c r="IL218" t="e">
        <f>AND(Bills!I865,"AAAAAG3/8/U=")</f>
        <v>#VALUE!</v>
      </c>
      <c r="IM218" t="e">
        <f>AND(Bills!J865,"AAAAAG3/8/Y=")</f>
        <v>#VALUE!</v>
      </c>
      <c r="IN218" t="e">
        <f>AND(Bills!#REF!,"AAAAAG3/8/c=")</f>
        <v>#REF!</v>
      </c>
      <c r="IO218" t="e">
        <f>AND(Bills!K865,"AAAAAG3/8/g=")</f>
        <v>#VALUE!</v>
      </c>
      <c r="IP218" t="e">
        <f>AND(Bills!L865,"AAAAAG3/8/k=")</f>
        <v>#VALUE!</v>
      </c>
      <c r="IQ218" t="e">
        <f>AND(Bills!M865,"AAAAAG3/8/o=")</f>
        <v>#VALUE!</v>
      </c>
      <c r="IR218" t="e">
        <f>AND(Bills!N865,"AAAAAG3/8/s=")</f>
        <v>#VALUE!</v>
      </c>
      <c r="IS218" t="e">
        <f>AND(Bills!O865,"AAAAAG3/8/w=")</f>
        <v>#VALUE!</v>
      </c>
      <c r="IT218" t="e">
        <f>AND(Bills!P865,"AAAAAG3/8/0=")</f>
        <v>#VALUE!</v>
      </c>
      <c r="IU218" t="e">
        <f>AND(Bills!Q865,"AAAAAG3/8/4=")</f>
        <v>#VALUE!</v>
      </c>
      <c r="IV218" t="e">
        <f>AND(Bills!R865,"AAAAAG3/8/8=")</f>
        <v>#VALUE!</v>
      </c>
    </row>
    <row r="219" spans="1:256">
      <c r="A219" t="e">
        <f>AND(Bills!#REF!,"AAAAAHx3twA=")</f>
        <v>#REF!</v>
      </c>
      <c r="B219" t="e">
        <f>AND(Bills!S865,"AAAAAHx3twE=")</f>
        <v>#VALUE!</v>
      </c>
      <c r="C219" t="e">
        <f>AND(Bills!T865,"AAAAAHx3twI=")</f>
        <v>#VALUE!</v>
      </c>
      <c r="D219" t="e">
        <f>AND(Bills!U865,"AAAAAHx3twM=")</f>
        <v>#VALUE!</v>
      </c>
      <c r="E219" t="e">
        <f>AND(Bills!#REF!,"AAAAAHx3twQ=")</f>
        <v>#REF!</v>
      </c>
      <c r="F219" t="e">
        <f>AND(Bills!#REF!,"AAAAAHx3twU=")</f>
        <v>#REF!</v>
      </c>
      <c r="G219" t="e">
        <f>AND(Bills!W865,"AAAAAHx3twY=")</f>
        <v>#VALUE!</v>
      </c>
      <c r="H219" t="e">
        <f>AND(Bills!X865,"AAAAAHx3twc=")</f>
        <v>#VALUE!</v>
      </c>
      <c r="I219" t="e">
        <f>AND(Bills!#REF!,"AAAAAHx3twg=")</f>
        <v>#REF!</v>
      </c>
      <c r="J219" t="e">
        <f>AND(Bills!#REF!,"AAAAAHx3twk=")</f>
        <v>#REF!</v>
      </c>
      <c r="K219" t="e">
        <f>AND(Bills!#REF!,"AAAAAHx3two=")</f>
        <v>#REF!</v>
      </c>
      <c r="L219" t="e">
        <f>AND(Bills!#REF!,"AAAAAHx3tws=")</f>
        <v>#REF!</v>
      </c>
      <c r="M219" t="e">
        <f>AND(Bills!#REF!,"AAAAAHx3tww=")</f>
        <v>#REF!</v>
      </c>
      <c r="N219" t="e">
        <f>AND(Bills!#REF!,"AAAAAHx3tw0=")</f>
        <v>#REF!</v>
      </c>
      <c r="O219" t="e">
        <f>AND(Bills!#REF!,"AAAAAHx3tw4=")</f>
        <v>#REF!</v>
      </c>
      <c r="P219" t="e">
        <f>AND(Bills!#REF!,"AAAAAHx3tw8=")</f>
        <v>#REF!</v>
      </c>
      <c r="Q219" t="e">
        <f>AND(Bills!#REF!,"AAAAAHx3txA=")</f>
        <v>#REF!</v>
      </c>
      <c r="R219" t="e">
        <f>AND(Bills!Y865,"AAAAAHx3txE=")</f>
        <v>#VALUE!</v>
      </c>
      <c r="S219" t="e">
        <f>AND(Bills!Z865,"AAAAAHx3txI=")</f>
        <v>#VALUE!</v>
      </c>
      <c r="T219" t="e">
        <f>AND(Bills!#REF!,"AAAAAHx3txM=")</f>
        <v>#REF!</v>
      </c>
      <c r="U219" t="e">
        <f>AND(Bills!#REF!,"AAAAAHx3txQ=")</f>
        <v>#REF!</v>
      </c>
      <c r="V219" t="e">
        <f>AND(Bills!#REF!,"AAAAAHx3txU=")</f>
        <v>#REF!</v>
      </c>
      <c r="W219" t="e">
        <f>AND(Bills!AA865,"AAAAAHx3txY=")</f>
        <v>#VALUE!</v>
      </c>
      <c r="X219" t="e">
        <f>AND(Bills!AB865,"AAAAAHx3txc=")</f>
        <v>#VALUE!</v>
      </c>
      <c r="Y219" t="e">
        <f>AND(Bills!#REF!,"AAAAAHx3txg=")</f>
        <v>#REF!</v>
      </c>
      <c r="Z219">
        <f>IF(Bills!866:866,"AAAAAHx3txk=",0)</f>
        <v>0</v>
      </c>
      <c r="AA219" t="e">
        <f>AND(Bills!B866,"AAAAAHx3txo=")</f>
        <v>#VALUE!</v>
      </c>
      <c r="AB219" t="e">
        <f>AND(Bills!#REF!,"AAAAAHx3txs=")</f>
        <v>#REF!</v>
      </c>
      <c r="AC219" t="e">
        <f>AND(Bills!C866,"AAAAAHx3txw=")</f>
        <v>#VALUE!</v>
      </c>
      <c r="AD219" t="e">
        <f>AND(Bills!#REF!,"AAAAAHx3tx0=")</f>
        <v>#REF!</v>
      </c>
      <c r="AE219" t="e">
        <f>AND(Bills!#REF!,"AAAAAHx3tx4=")</f>
        <v>#REF!</v>
      </c>
      <c r="AF219" t="e">
        <f>AND(Bills!#REF!,"AAAAAHx3tx8=")</f>
        <v>#REF!</v>
      </c>
      <c r="AG219" t="e">
        <f>AND(Bills!#REF!,"AAAAAHx3tyA=")</f>
        <v>#REF!</v>
      </c>
      <c r="AH219" t="e">
        <f>AND(Bills!#REF!,"AAAAAHx3tyE=")</f>
        <v>#REF!</v>
      </c>
      <c r="AI219" t="e">
        <f>AND(Bills!D866,"AAAAAHx3tyI=")</f>
        <v>#VALUE!</v>
      </c>
      <c r="AJ219" t="e">
        <f>AND(Bills!#REF!,"AAAAAHx3tyM=")</f>
        <v>#REF!</v>
      </c>
      <c r="AK219" t="e">
        <f>AND(Bills!E866,"AAAAAHx3tyQ=")</f>
        <v>#VALUE!</v>
      </c>
      <c r="AL219" t="e">
        <f>AND(Bills!F866,"AAAAAHx3tyU=")</f>
        <v>#VALUE!</v>
      </c>
      <c r="AM219" t="e">
        <f>AND(Bills!G866,"AAAAAHx3tyY=")</f>
        <v>#VALUE!</v>
      </c>
      <c r="AN219" t="e">
        <f>AND(Bills!H866,"AAAAAHx3tyc=")</f>
        <v>#VALUE!</v>
      </c>
      <c r="AO219" t="e">
        <f>AND(Bills!I866,"AAAAAHx3tyg=")</f>
        <v>#VALUE!</v>
      </c>
      <c r="AP219" t="e">
        <f>AND(Bills!J866,"AAAAAHx3tyk=")</f>
        <v>#VALUE!</v>
      </c>
      <c r="AQ219" t="e">
        <f>AND(Bills!#REF!,"AAAAAHx3tyo=")</f>
        <v>#REF!</v>
      </c>
      <c r="AR219" t="e">
        <f>AND(Bills!K866,"AAAAAHx3tys=")</f>
        <v>#VALUE!</v>
      </c>
      <c r="AS219" t="e">
        <f>AND(Bills!L866,"AAAAAHx3tyw=")</f>
        <v>#VALUE!</v>
      </c>
      <c r="AT219" t="e">
        <f>AND(Bills!M866,"AAAAAHx3ty0=")</f>
        <v>#VALUE!</v>
      </c>
      <c r="AU219" t="e">
        <f>AND(Bills!N866,"AAAAAHx3ty4=")</f>
        <v>#VALUE!</v>
      </c>
      <c r="AV219" t="e">
        <f>AND(Bills!O866,"AAAAAHx3ty8=")</f>
        <v>#VALUE!</v>
      </c>
      <c r="AW219" t="e">
        <f>AND(Bills!P866,"AAAAAHx3tzA=")</f>
        <v>#VALUE!</v>
      </c>
      <c r="AX219" t="e">
        <f>AND(Bills!Q866,"AAAAAHx3tzE=")</f>
        <v>#VALUE!</v>
      </c>
      <c r="AY219" t="e">
        <f>AND(Bills!R866,"AAAAAHx3tzI=")</f>
        <v>#VALUE!</v>
      </c>
      <c r="AZ219" t="e">
        <f>AND(Bills!#REF!,"AAAAAHx3tzM=")</f>
        <v>#REF!</v>
      </c>
      <c r="BA219" t="e">
        <f>AND(Bills!S866,"AAAAAHx3tzQ=")</f>
        <v>#VALUE!</v>
      </c>
      <c r="BB219" t="e">
        <f>AND(Bills!T866,"AAAAAHx3tzU=")</f>
        <v>#VALUE!</v>
      </c>
      <c r="BC219" t="e">
        <f>AND(Bills!U866,"AAAAAHx3tzY=")</f>
        <v>#VALUE!</v>
      </c>
      <c r="BD219" t="e">
        <f>AND(Bills!#REF!,"AAAAAHx3tzc=")</f>
        <v>#REF!</v>
      </c>
      <c r="BE219" t="e">
        <f>AND(Bills!#REF!,"AAAAAHx3tzg=")</f>
        <v>#REF!</v>
      </c>
      <c r="BF219" t="e">
        <f>AND(Bills!W866,"AAAAAHx3tzk=")</f>
        <v>#VALUE!</v>
      </c>
      <c r="BG219" t="e">
        <f>AND(Bills!X866,"AAAAAHx3tzo=")</f>
        <v>#VALUE!</v>
      </c>
      <c r="BH219" t="e">
        <f>AND(Bills!#REF!,"AAAAAHx3tzs=")</f>
        <v>#REF!</v>
      </c>
      <c r="BI219" t="e">
        <f>AND(Bills!#REF!,"AAAAAHx3tzw=")</f>
        <v>#REF!</v>
      </c>
      <c r="BJ219" t="e">
        <f>AND(Bills!#REF!,"AAAAAHx3tz0=")</f>
        <v>#REF!</v>
      </c>
      <c r="BK219" t="e">
        <f>AND(Bills!#REF!,"AAAAAHx3tz4=")</f>
        <v>#REF!</v>
      </c>
      <c r="BL219" t="e">
        <f>AND(Bills!#REF!,"AAAAAHx3tz8=")</f>
        <v>#REF!</v>
      </c>
      <c r="BM219" t="e">
        <f>AND(Bills!#REF!,"AAAAAHx3t0A=")</f>
        <v>#REF!</v>
      </c>
      <c r="BN219" t="e">
        <f>AND(Bills!#REF!,"AAAAAHx3t0E=")</f>
        <v>#REF!</v>
      </c>
      <c r="BO219" t="e">
        <f>AND(Bills!#REF!,"AAAAAHx3t0I=")</f>
        <v>#REF!</v>
      </c>
      <c r="BP219" t="e">
        <f>AND(Bills!#REF!,"AAAAAHx3t0M=")</f>
        <v>#REF!</v>
      </c>
      <c r="BQ219" t="e">
        <f>AND(Bills!Y866,"AAAAAHx3t0Q=")</f>
        <v>#VALUE!</v>
      </c>
      <c r="BR219" t="e">
        <f>AND(Bills!Z866,"AAAAAHx3t0U=")</f>
        <v>#VALUE!</v>
      </c>
      <c r="BS219" t="e">
        <f>AND(Bills!#REF!,"AAAAAHx3t0Y=")</f>
        <v>#REF!</v>
      </c>
      <c r="BT219" t="e">
        <f>AND(Bills!#REF!,"AAAAAHx3t0c=")</f>
        <v>#REF!</v>
      </c>
      <c r="BU219" t="e">
        <f>AND(Bills!#REF!,"AAAAAHx3t0g=")</f>
        <v>#REF!</v>
      </c>
      <c r="BV219" t="e">
        <f>AND(Bills!AA866,"AAAAAHx3t0k=")</f>
        <v>#VALUE!</v>
      </c>
      <c r="BW219" t="e">
        <f>AND(Bills!AB866,"AAAAAHx3t0o=")</f>
        <v>#VALUE!</v>
      </c>
      <c r="BX219" t="e">
        <f>AND(Bills!#REF!,"AAAAAHx3t0s=")</f>
        <v>#REF!</v>
      </c>
      <c r="BY219">
        <f>IF(Bills!867:867,"AAAAAHx3t0w=",0)</f>
        <v>0</v>
      </c>
      <c r="BZ219" t="e">
        <f>AND(Bills!B867,"AAAAAHx3t00=")</f>
        <v>#VALUE!</v>
      </c>
      <c r="CA219" t="e">
        <f>AND(Bills!#REF!,"AAAAAHx3t04=")</f>
        <v>#REF!</v>
      </c>
      <c r="CB219" t="e">
        <f>AND(Bills!C867,"AAAAAHx3t08=")</f>
        <v>#VALUE!</v>
      </c>
      <c r="CC219" t="e">
        <f>AND(Bills!#REF!,"AAAAAHx3t1A=")</f>
        <v>#REF!</v>
      </c>
      <c r="CD219" t="e">
        <f>AND(Bills!#REF!,"AAAAAHx3t1E=")</f>
        <v>#REF!</v>
      </c>
      <c r="CE219" t="e">
        <f>AND(Bills!#REF!,"AAAAAHx3t1I=")</f>
        <v>#REF!</v>
      </c>
      <c r="CF219" t="e">
        <f>AND(Bills!#REF!,"AAAAAHx3t1M=")</f>
        <v>#REF!</v>
      </c>
      <c r="CG219" t="e">
        <f>AND(Bills!#REF!,"AAAAAHx3t1Q=")</f>
        <v>#REF!</v>
      </c>
      <c r="CH219" t="e">
        <f>AND(Bills!D867,"AAAAAHx3t1U=")</f>
        <v>#VALUE!</v>
      </c>
      <c r="CI219" t="e">
        <f>AND(Bills!#REF!,"AAAAAHx3t1Y=")</f>
        <v>#REF!</v>
      </c>
      <c r="CJ219" t="e">
        <f>AND(Bills!E867,"AAAAAHx3t1c=")</f>
        <v>#VALUE!</v>
      </c>
      <c r="CK219" t="e">
        <f>AND(Bills!F867,"AAAAAHx3t1g=")</f>
        <v>#VALUE!</v>
      </c>
      <c r="CL219" t="e">
        <f>AND(Bills!G867,"AAAAAHx3t1k=")</f>
        <v>#VALUE!</v>
      </c>
      <c r="CM219" t="e">
        <f>AND(Bills!H867,"AAAAAHx3t1o=")</f>
        <v>#VALUE!</v>
      </c>
      <c r="CN219" t="e">
        <f>AND(Bills!I867,"AAAAAHx3t1s=")</f>
        <v>#VALUE!</v>
      </c>
      <c r="CO219" t="e">
        <f>AND(Bills!J867,"AAAAAHx3t1w=")</f>
        <v>#VALUE!</v>
      </c>
      <c r="CP219" t="e">
        <f>AND(Bills!#REF!,"AAAAAHx3t10=")</f>
        <v>#REF!</v>
      </c>
      <c r="CQ219" t="e">
        <f>AND(Bills!K867,"AAAAAHx3t14=")</f>
        <v>#VALUE!</v>
      </c>
      <c r="CR219" t="e">
        <f>AND(Bills!L867,"AAAAAHx3t18=")</f>
        <v>#VALUE!</v>
      </c>
      <c r="CS219" t="e">
        <f>AND(Bills!M867,"AAAAAHx3t2A=")</f>
        <v>#VALUE!</v>
      </c>
      <c r="CT219" t="e">
        <f>AND(Bills!N867,"AAAAAHx3t2E=")</f>
        <v>#VALUE!</v>
      </c>
      <c r="CU219" t="e">
        <f>AND(Bills!O867,"AAAAAHx3t2I=")</f>
        <v>#VALUE!</v>
      </c>
      <c r="CV219" t="e">
        <f>AND(Bills!P867,"AAAAAHx3t2M=")</f>
        <v>#VALUE!</v>
      </c>
      <c r="CW219" t="e">
        <f>AND(Bills!Q867,"AAAAAHx3t2Q=")</f>
        <v>#VALUE!</v>
      </c>
      <c r="CX219" t="e">
        <f>AND(Bills!R867,"AAAAAHx3t2U=")</f>
        <v>#VALUE!</v>
      </c>
      <c r="CY219" t="e">
        <f>AND(Bills!#REF!,"AAAAAHx3t2Y=")</f>
        <v>#REF!</v>
      </c>
      <c r="CZ219" t="e">
        <f>AND(Bills!S867,"AAAAAHx3t2c=")</f>
        <v>#VALUE!</v>
      </c>
      <c r="DA219" t="e">
        <f>AND(Bills!T867,"AAAAAHx3t2g=")</f>
        <v>#VALUE!</v>
      </c>
      <c r="DB219" t="e">
        <f>AND(Bills!U867,"AAAAAHx3t2k=")</f>
        <v>#VALUE!</v>
      </c>
      <c r="DC219" t="e">
        <f>AND(Bills!#REF!,"AAAAAHx3t2o=")</f>
        <v>#REF!</v>
      </c>
      <c r="DD219" t="e">
        <f>AND(Bills!#REF!,"AAAAAHx3t2s=")</f>
        <v>#REF!</v>
      </c>
      <c r="DE219" t="e">
        <f>AND(Bills!W867,"AAAAAHx3t2w=")</f>
        <v>#VALUE!</v>
      </c>
      <c r="DF219" t="e">
        <f>AND(Bills!X867,"AAAAAHx3t20=")</f>
        <v>#VALUE!</v>
      </c>
      <c r="DG219" t="e">
        <f>AND(Bills!#REF!,"AAAAAHx3t24=")</f>
        <v>#REF!</v>
      </c>
      <c r="DH219" t="e">
        <f>AND(Bills!#REF!,"AAAAAHx3t28=")</f>
        <v>#REF!</v>
      </c>
      <c r="DI219" t="e">
        <f>AND(Bills!#REF!,"AAAAAHx3t3A=")</f>
        <v>#REF!</v>
      </c>
      <c r="DJ219" t="e">
        <f>AND(Bills!#REF!,"AAAAAHx3t3E=")</f>
        <v>#REF!</v>
      </c>
      <c r="DK219" t="e">
        <f>AND(Bills!#REF!,"AAAAAHx3t3I=")</f>
        <v>#REF!</v>
      </c>
      <c r="DL219" t="e">
        <f>AND(Bills!#REF!,"AAAAAHx3t3M=")</f>
        <v>#REF!</v>
      </c>
      <c r="DM219" t="e">
        <f>AND(Bills!#REF!,"AAAAAHx3t3Q=")</f>
        <v>#REF!</v>
      </c>
      <c r="DN219" t="e">
        <f>AND(Bills!#REF!,"AAAAAHx3t3U=")</f>
        <v>#REF!</v>
      </c>
      <c r="DO219" t="e">
        <f>AND(Bills!#REF!,"AAAAAHx3t3Y=")</f>
        <v>#REF!</v>
      </c>
      <c r="DP219" t="e">
        <f>AND(Bills!Y867,"AAAAAHx3t3c=")</f>
        <v>#VALUE!</v>
      </c>
      <c r="DQ219" t="e">
        <f>AND(Bills!Z867,"AAAAAHx3t3g=")</f>
        <v>#VALUE!</v>
      </c>
      <c r="DR219" t="e">
        <f>AND(Bills!#REF!,"AAAAAHx3t3k=")</f>
        <v>#REF!</v>
      </c>
      <c r="DS219" t="e">
        <f>AND(Bills!#REF!,"AAAAAHx3t3o=")</f>
        <v>#REF!</v>
      </c>
      <c r="DT219" t="e">
        <f>AND(Bills!#REF!,"AAAAAHx3t3s=")</f>
        <v>#REF!</v>
      </c>
      <c r="DU219" t="e">
        <f>AND(Bills!AA867,"AAAAAHx3t3w=")</f>
        <v>#VALUE!</v>
      </c>
      <c r="DV219" t="e">
        <f>AND(Bills!AB867,"AAAAAHx3t30=")</f>
        <v>#VALUE!</v>
      </c>
      <c r="DW219" t="e">
        <f>AND(Bills!#REF!,"AAAAAHx3t34=")</f>
        <v>#REF!</v>
      </c>
      <c r="DX219">
        <f>IF(Bills!868:868,"AAAAAHx3t38=",0)</f>
        <v>0</v>
      </c>
      <c r="DY219" t="e">
        <f>AND(Bills!B868,"AAAAAHx3t4A=")</f>
        <v>#VALUE!</v>
      </c>
      <c r="DZ219" t="e">
        <f>AND(Bills!#REF!,"AAAAAHx3t4E=")</f>
        <v>#REF!</v>
      </c>
      <c r="EA219" t="e">
        <f>AND(Bills!C868,"AAAAAHx3t4I=")</f>
        <v>#VALUE!</v>
      </c>
      <c r="EB219" t="e">
        <f>AND(Bills!#REF!,"AAAAAHx3t4M=")</f>
        <v>#REF!</v>
      </c>
      <c r="EC219" t="e">
        <f>AND(Bills!#REF!,"AAAAAHx3t4Q=")</f>
        <v>#REF!</v>
      </c>
      <c r="ED219" t="e">
        <f>AND(Bills!#REF!,"AAAAAHx3t4U=")</f>
        <v>#REF!</v>
      </c>
      <c r="EE219" t="e">
        <f>AND(Bills!#REF!,"AAAAAHx3t4Y=")</f>
        <v>#REF!</v>
      </c>
      <c r="EF219" t="e">
        <f>AND(Bills!#REF!,"AAAAAHx3t4c=")</f>
        <v>#REF!</v>
      </c>
      <c r="EG219" t="e">
        <f>AND(Bills!D868,"AAAAAHx3t4g=")</f>
        <v>#VALUE!</v>
      </c>
      <c r="EH219" t="e">
        <f>AND(Bills!#REF!,"AAAAAHx3t4k=")</f>
        <v>#REF!</v>
      </c>
      <c r="EI219" t="e">
        <f>AND(Bills!E868,"AAAAAHx3t4o=")</f>
        <v>#VALUE!</v>
      </c>
      <c r="EJ219" t="e">
        <f>AND(Bills!F868,"AAAAAHx3t4s=")</f>
        <v>#VALUE!</v>
      </c>
      <c r="EK219" t="e">
        <f>AND(Bills!G868,"AAAAAHx3t4w=")</f>
        <v>#VALUE!</v>
      </c>
      <c r="EL219" t="e">
        <f>AND(Bills!H868,"AAAAAHx3t40=")</f>
        <v>#VALUE!</v>
      </c>
      <c r="EM219" t="e">
        <f>AND(Bills!I868,"AAAAAHx3t44=")</f>
        <v>#VALUE!</v>
      </c>
      <c r="EN219" t="e">
        <f>AND(Bills!J868,"AAAAAHx3t48=")</f>
        <v>#VALUE!</v>
      </c>
      <c r="EO219" t="e">
        <f>AND(Bills!#REF!,"AAAAAHx3t5A=")</f>
        <v>#REF!</v>
      </c>
      <c r="EP219" t="e">
        <f>AND(Bills!K868,"AAAAAHx3t5E=")</f>
        <v>#VALUE!</v>
      </c>
      <c r="EQ219" t="e">
        <f>AND(Bills!L868,"AAAAAHx3t5I=")</f>
        <v>#VALUE!</v>
      </c>
      <c r="ER219" t="e">
        <f>AND(Bills!M868,"AAAAAHx3t5M=")</f>
        <v>#VALUE!</v>
      </c>
      <c r="ES219" t="e">
        <f>AND(Bills!N868,"AAAAAHx3t5Q=")</f>
        <v>#VALUE!</v>
      </c>
      <c r="ET219" t="e">
        <f>AND(Bills!O868,"AAAAAHx3t5U=")</f>
        <v>#VALUE!</v>
      </c>
      <c r="EU219" t="e">
        <f>AND(Bills!P868,"AAAAAHx3t5Y=")</f>
        <v>#VALUE!</v>
      </c>
      <c r="EV219" t="e">
        <f>AND(Bills!Q868,"AAAAAHx3t5c=")</f>
        <v>#VALUE!</v>
      </c>
      <c r="EW219" t="e">
        <f>AND(Bills!R868,"AAAAAHx3t5g=")</f>
        <v>#VALUE!</v>
      </c>
      <c r="EX219" t="e">
        <f>AND(Bills!#REF!,"AAAAAHx3t5k=")</f>
        <v>#REF!</v>
      </c>
      <c r="EY219" t="e">
        <f>AND(Bills!S868,"AAAAAHx3t5o=")</f>
        <v>#VALUE!</v>
      </c>
      <c r="EZ219" t="e">
        <f>AND(Bills!T868,"AAAAAHx3t5s=")</f>
        <v>#VALUE!</v>
      </c>
      <c r="FA219" t="e">
        <f>AND(Bills!U868,"AAAAAHx3t5w=")</f>
        <v>#VALUE!</v>
      </c>
      <c r="FB219" t="e">
        <f>AND(Bills!#REF!,"AAAAAHx3t50=")</f>
        <v>#REF!</v>
      </c>
      <c r="FC219" t="e">
        <f>AND(Bills!#REF!,"AAAAAHx3t54=")</f>
        <v>#REF!</v>
      </c>
      <c r="FD219" t="e">
        <f>AND(Bills!W868,"AAAAAHx3t58=")</f>
        <v>#VALUE!</v>
      </c>
      <c r="FE219" t="e">
        <f>AND(Bills!X868,"AAAAAHx3t6A=")</f>
        <v>#VALUE!</v>
      </c>
      <c r="FF219" t="e">
        <f>AND(Bills!#REF!,"AAAAAHx3t6E=")</f>
        <v>#REF!</v>
      </c>
      <c r="FG219" t="e">
        <f>AND(Bills!#REF!,"AAAAAHx3t6I=")</f>
        <v>#REF!</v>
      </c>
      <c r="FH219" t="e">
        <f>AND(Bills!#REF!,"AAAAAHx3t6M=")</f>
        <v>#REF!</v>
      </c>
      <c r="FI219" t="e">
        <f>AND(Bills!#REF!,"AAAAAHx3t6Q=")</f>
        <v>#REF!</v>
      </c>
      <c r="FJ219" t="e">
        <f>AND(Bills!#REF!,"AAAAAHx3t6U=")</f>
        <v>#REF!</v>
      </c>
      <c r="FK219" t="e">
        <f>AND(Bills!#REF!,"AAAAAHx3t6Y=")</f>
        <v>#REF!</v>
      </c>
      <c r="FL219" t="e">
        <f>AND(Bills!#REF!,"AAAAAHx3t6c=")</f>
        <v>#REF!</v>
      </c>
      <c r="FM219" t="e">
        <f>AND(Bills!#REF!,"AAAAAHx3t6g=")</f>
        <v>#REF!</v>
      </c>
      <c r="FN219" t="e">
        <f>AND(Bills!#REF!,"AAAAAHx3t6k=")</f>
        <v>#REF!</v>
      </c>
      <c r="FO219" t="e">
        <f>AND(Bills!Y868,"AAAAAHx3t6o=")</f>
        <v>#VALUE!</v>
      </c>
      <c r="FP219" t="e">
        <f>AND(Bills!Z868,"AAAAAHx3t6s=")</f>
        <v>#VALUE!</v>
      </c>
      <c r="FQ219" t="e">
        <f>AND(Bills!#REF!,"AAAAAHx3t6w=")</f>
        <v>#REF!</v>
      </c>
      <c r="FR219" t="e">
        <f>AND(Bills!#REF!,"AAAAAHx3t60=")</f>
        <v>#REF!</v>
      </c>
      <c r="FS219" t="e">
        <f>AND(Bills!#REF!,"AAAAAHx3t64=")</f>
        <v>#REF!</v>
      </c>
      <c r="FT219" t="e">
        <f>AND(Bills!AA868,"AAAAAHx3t68=")</f>
        <v>#VALUE!</v>
      </c>
      <c r="FU219" t="e">
        <f>AND(Bills!AB868,"AAAAAHx3t7A=")</f>
        <v>#VALUE!</v>
      </c>
      <c r="FV219" t="e">
        <f>AND(Bills!#REF!,"AAAAAHx3t7E=")</f>
        <v>#REF!</v>
      </c>
      <c r="FW219">
        <f>IF(Bills!869:869,"AAAAAHx3t7I=",0)</f>
        <v>0</v>
      </c>
      <c r="FX219" t="e">
        <f>AND(Bills!B869,"AAAAAHx3t7M=")</f>
        <v>#VALUE!</v>
      </c>
      <c r="FY219" t="e">
        <f>AND(Bills!#REF!,"AAAAAHx3t7Q=")</f>
        <v>#REF!</v>
      </c>
      <c r="FZ219" t="e">
        <f>AND(Bills!C869,"AAAAAHx3t7U=")</f>
        <v>#VALUE!</v>
      </c>
      <c r="GA219" t="e">
        <f>AND(Bills!#REF!,"AAAAAHx3t7Y=")</f>
        <v>#REF!</v>
      </c>
      <c r="GB219" t="e">
        <f>AND(Bills!#REF!,"AAAAAHx3t7c=")</f>
        <v>#REF!</v>
      </c>
      <c r="GC219" t="e">
        <f>AND(Bills!#REF!,"AAAAAHx3t7g=")</f>
        <v>#REF!</v>
      </c>
      <c r="GD219" t="e">
        <f>AND(Bills!#REF!,"AAAAAHx3t7k=")</f>
        <v>#REF!</v>
      </c>
      <c r="GE219" t="e">
        <f>AND(Bills!#REF!,"AAAAAHx3t7o=")</f>
        <v>#REF!</v>
      </c>
      <c r="GF219" t="e">
        <f>AND(Bills!D869,"AAAAAHx3t7s=")</f>
        <v>#VALUE!</v>
      </c>
      <c r="GG219" t="e">
        <f>AND(Bills!#REF!,"AAAAAHx3t7w=")</f>
        <v>#REF!</v>
      </c>
      <c r="GH219" t="e">
        <f>AND(Bills!E869,"AAAAAHx3t70=")</f>
        <v>#VALUE!</v>
      </c>
      <c r="GI219" t="e">
        <f>AND(Bills!F869,"AAAAAHx3t74=")</f>
        <v>#VALUE!</v>
      </c>
      <c r="GJ219" t="e">
        <f>AND(Bills!G869,"AAAAAHx3t78=")</f>
        <v>#VALUE!</v>
      </c>
      <c r="GK219" t="e">
        <f>AND(Bills!H869,"AAAAAHx3t8A=")</f>
        <v>#VALUE!</v>
      </c>
      <c r="GL219" t="e">
        <f>AND(Bills!I869,"AAAAAHx3t8E=")</f>
        <v>#VALUE!</v>
      </c>
      <c r="GM219" t="e">
        <f>AND(Bills!J869,"AAAAAHx3t8I=")</f>
        <v>#VALUE!</v>
      </c>
      <c r="GN219" t="e">
        <f>AND(Bills!#REF!,"AAAAAHx3t8M=")</f>
        <v>#REF!</v>
      </c>
      <c r="GO219" t="e">
        <f>AND(Bills!K869,"AAAAAHx3t8Q=")</f>
        <v>#VALUE!</v>
      </c>
      <c r="GP219" t="e">
        <f>AND(Bills!L869,"AAAAAHx3t8U=")</f>
        <v>#VALUE!</v>
      </c>
      <c r="GQ219" t="e">
        <f>AND(Bills!M869,"AAAAAHx3t8Y=")</f>
        <v>#VALUE!</v>
      </c>
      <c r="GR219" t="e">
        <f>AND(Bills!N869,"AAAAAHx3t8c=")</f>
        <v>#VALUE!</v>
      </c>
      <c r="GS219" t="e">
        <f>AND(Bills!O869,"AAAAAHx3t8g=")</f>
        <v>#VALUE!</v>
      </c>
      <c r="GT219" t="e">
        <f>AND(Bills!P869,"AAAAAHx3t8k=")</f>
        <v>#VALUE!</v>
      </c>
      <c r="GU219" t="e">
        <f>AND(Bills!Q869,"AAAAAHx3t8o=")</f>
        <v>#VALUE!</v>
      </c>
      <c r="GV219" t="e">
        <f>AND(Bills!R869,"AAAAAHx3t8s=")</f>
        <v>#VALUE!</v>
      </c>
      <c r="GW219" t="e">
        <f>AND(Bills!#REF!,"AAAAAHx3t8w=")</f>
        <v>#REF!</v>
      </c>
      <c r="GX219" t="e">
        <f>AND(Bills!S869,"AAAAAHx3t80=")</f>
        <v>#VALUE!</v>
      </c>
      <c r="GY219" t="e">
        <f>AND(Bills!T869,"AAAAAHx3t84=")</f>
        <v>#VALUE!</v>
      </c>
      <c r="GZ219" t="e">
        <f>AND(Bills!U869,"AAAAAHx3t88=")</f>
        <v>#VALUE!</v>
      </c>
      <c r="HA219" t="e">
        <f>AND(Bills!#REF!,"AAAAAHx3t9A=")</f>
        <v>#REF!</v>
      </c>
      <c r="HB219" t="e">
        <f>AND(Bills!#REF!,"AAAAAHx3t9E=")</f>
        <v>#REF!</v>
      </c>
      <c r="HC219" t="e">
        <f>AND(Bills!W869,"AAAAAHx3t9I=")</f>
        <v>#VALUE!</v>
      </c>
      <c r="HD219" t="e">
        <f>AND(Bills!X869,"AAAAAHx3t9M=")</f>
        <v>#VALUE!</v>
      </c>
      <c r="HE219" t="e">
        <f>AND(Bills!#REF!,"AAAAAHx3t9Q=")</f>
        <v>#REF!</v>
      </c>
      <c r="HF219" t="e">
        <f>AND(Bills!#REF!,"AAAAAHx3t9U=")</f>
        <v>#REF!</v>
      </c>
      <c r="HG219" t="e">
        <f>AND(Bills!#REF!,"AAAAAHx3t9Y=")</f>
        <v>#REF!</v>
      </c>
      <c r="HH219" t="e">
        <f>AND(Bills!#REF!,"AAAAAHx3t9c=")</f>
        <v>#REF!</v>
      </c>
      <c r="HI219" t="e">
        <f>AND(Bills!#REF!,"AAAAAHx3t9g=")</f>
        <v>#REF!</v>
      </c>
      <c r="HJ219" t="e">
        <f>AND(Bills!#REF!,"AAAAAHx3t9k=")</f>
        <v>#REF!</v>
      </c>
      <c r="HK219" t="e">
        <f>AND(Bills!#REF!,"AAAAAHx3t9o=")</f>
        <v>#REF!</v>
      </c>
      <c r="HL219" t="e">
        <f>AND(Bills!#REF!,"AAAAAHx3t9s=")</f>
        <v>#REF!</v>
      </c>
      <c r="HM219" t="e">
        <f>AND(Bills!#REF!,"AAAAAHx3t9w=")</f>
        <v>#REF!</v>
      </c>
      <c r="HN219" t="e">
        <f>AND(Bills!Y869,"AAAAAHx3t90=")</f>
        <v>#VALUE!</v>
      </c>
      <c r="HO219" t="e">
        <f>AND(Bills!Z869,"AAAAAHx3t94=")</f>
        <v>#VALUE!</v>
      </c>
      <c r="HP219" t="e">
        <f>AND(Bills!#REF!,"AAAAAHx3t98=")</f>
        <v>#REF!</v>
      </c>
      <c r="HQ219" t="e">
        <f>AND(Bills!#REF!,"AAAAAHx3t+A=")</f>
        <v>#REF!</v>
      </c>
      <c r="HR219" t="e">
        <f>AND(Bills!#REF!,"AAAAAHx3t+E=")</f>
        <v>#REF!</v>
      </c>
      <c r="HS219" t="e">
        <f>AND(Bills!AA869,"AAAAAHx3t+I=")</f>
        <v>#VALUE!</v>
      </c>
      <c r="HT219" t="e">
        <f>AND(Bills!AB869,"AAAAAHx3t+M=")</f>
        <v>#VALUE!</v>
      </c>
      <c r="HU219" t="e">
        <f>AND(Bills!#REF!,"AAAAAHx3t+Q=")</f>
        <v>#REF!</v>
      </c>
      <c r="HV219">
        <f>IF(Bills!870:870,"AAAAAHx3t+U=",0)</f>
        <v>0</v>
      </c>
      <c r="HW219" t="e">
        <f>AND(Bills!B870,"AAAAAHx3t+Y=")</f>
        <v>#VALUE!</v>
      </c>
      <c r="HX219" t="e">
        <f>AND(Bills!#REF!,"AAAAAHx3t+c=")</f>
        <v>#REF!</v>
      </c>
      <c r="HY219" t="e">
        <f>AND(Bills!C870,"AAAAAHx3t+g=")</f>
        <v>#VALUE!</v>
      </c>
      <c r="HZ219" t="e">
        <f>AND(Bills!#REF!,"AAAAAHx3t+k=")</f>
        <v>#REF!</v>
      </c>
      <c r="IA219" t="e">
        <f>AND(Bills!#REF!,"AAAAAHx3t+o=")</f>
        <v>#REF!</v>
      </c>
      <c r="IB219" t="e">
        <f>AND(Bills!#REF!,"AAAAAHx3t+s=")</f>
        <v>#REF!</v>
      </c>
      <c r="IC219" t="e">
        <f>AND(Bills!#REF!,"AAAAAHx3t+w=")</f>
        <v>#REF!</v>
      </c>
      <c r="ID219" t="e">
        <f>AND(Bills!#REF!,"AAAAAHx3t+0=")</f>
        <v>#REF!</v>
      </c>
      <c r="IE219" t="e">
        <f>AND(Bills!D870,"AAAAAHx3t+4=")</f>
        <v>#VALUE!</v>
      </c>
      <c r="IF219" t="e">
        <f>AND(Bills!#REF!,"AAAAAHx3t+8=")</f>
        <v>#REF!</v>
      </c>
      <c r="IG219" t="e">
        <f>AND(Bills!E870,"AAAAAHx3t/A=")</f>
        <v>#VALUE!</v>
      </c>
      <c r="IH219" t="e">
        <f>AND(Bills!F870,"AAAAAHx3t/E=")</f>
        <v>#VALUE!</v>
      </c>
      <c r="II219" t="e">
        <f>AND(Bills!G870,"AAAAAHx3t/I=")</f>
        <v>#VALUE!</v>
      </c>
      <c r="IJ219" t="e">
        <f>AND(Bills!H870,"AAAAAHx3t/M=")</f>
        <v>#VALUE!</v>
      </c>
      <c r="IK219" t="e">
        <f>AND(Bills!I870,"AAAAAHx3t/Q=")</f>
        <v>#VALUE!</v>
      </c>
      <c r="IL219" t="e">
        <f>AND(Bills!J870,"AAAAAHx3t/U=")</f>
        <v>#VALUE!</v>
      </c>
      <c r="IM219" t="e">
        <f>AND(Bills!#REF!,"AAAAAHx3t/Y=")</f>
        <v>#REF!</v>
      </c>
      <c r="IN219" t="e">
        <f>AND(Bills!K870,"AAAAAHx3t/c=")</f>
        <v>#VALUE!</v>
      </c>
      <c r="IO219" t="e">
        <f>AND(Bills!L870,"AAAAAHx3t/g=")</f>
        <v>#VALUE!</v>
      </c>
      <c r="IP219" t="e">
        <f>AND(Bills!M870,"AAAAAHx3t/k=")</f>
        <v>#VALUE!</v>
      </c>
      <c r="IQ219" t="e">
        <f>AND(Bills!N870,"AAAAAHx3t/o=")</f>
        <v>#VALUE!</v>
      </c>
      <c r="IR219" t="e">
        <f>AND(Bills!O870,"AAAAAHx3t/s=")</f>
        <v>#VALUE!</v>
      </c>
      <c r="IS219" t="e">
        <f>AND(Bills!P870,"AAAAAHx3t/w=")</f>
        <v>#VALUE!</v>
      </c>
      <c r="IT219" t="e">
        <f>AND(Bills!Q870,"AAAAAHx3t/0=")</f>
        <v>#VALUE!</v>
      </c>
      <c r="IU219" t="e">
        <f>AND(Bills!R870,"AAAAAHx3t/4=")</f>
        <v>#VALUE!</v>
      </c>
      <c r="IV219" t="e">
        <f>AND(Bills!#REF!,"AAAAAHx3t/8=")</f>
        <v>#REF!</v>
      </c>
    </row>
    <row r="220" spans="1:256">
      <c r="A220" t="e">
        <f>AND(Bills!S870,"AAAAAH//ZwA=")</f>
        <v>#VALUE!</v>
      </c>
      <c r="B220" t="e">
        <f>AND(Bills!T870,"AAAAAH//ZwE=")</f>
        <v>#VALUE!</v>
      </c>
      <c r="C220" t="e">
        <f>AND(Bills!U870,"AAAAAH//ZwI=")</f>
        <v>#VALUE!</v>
      </c>
      <c r="D220" t="e">
        <f>AND(Bills!#REF!,"AAAAAH//ZwM=")</f>
        <v>#REF!</v>
      </c>
      <c r="E220" t="e">
        <f>AND(Bills!#REF!,"AAAAAH//ZwQ=")</f>
        <v>#REF!</v>
      </c>
      <c r="F220" t="e">
        <f>AND(Bills!W870,"AAAAAH//ZwU=")</f>
        <v>#VALUE!</v>
      </c>
      <c r="G220" t="e">
        <f>AND(Bills!X870,"AAAAAH//ZwY=")</f>
        <v>#VALUE!</v>
      </c>
      <c r="H220" t="e">
        <f>AND(Bills!#REF!,"AAAAAH//Zwc=")</f>
        <v>#REF!</v>
      </c>
      <c r="I220" t="e">
        <f>AND(Bills!#REF!,"AAAAAH//Zwg=")</f>
        <v>#REF!</v>
      </c>
      <c r="J220" t="e">
        <f>AND(Bills!#REF!,"AAAAAH//Zwk=")</f>
        <v>#REF!</v>
      </c>
      <c r="K220" t="e">
        <f>AND(Bills!#REF!,"AAAAAH//Zwo=")</f>
        <v>#REF!</v>
      </c>
      <c r="L220" t="e">
        <f>AND(Bills!#REF!,"AAAAAH//Zws=")</f>
        <v>#REF!</v>
      </c>
      <c r="M220" t="e">
        <f>AND(Bills!#REF!,"AAAAAH//Zww=")</f>
        <v>#REF!</v>
      </c>
      <c r="N220" t="e">
        <f>AND(Bills!#REF!,"AAAAAH//Zw0=")</f>
        <v>#REF!</v>
      </c>
      <c r="O220" t="e">
        <f>AND(Bills!#REF!,"AAAAAH//Zw4=")</f>
        <v>#REF!</v>
      </c>
      <c r="P220" t="e">
        <f>AND(Bills!#REF!,"AAAAAH//Zw8=")</f>
        <v>#REF!</v>
      </c>
      <c r="Q220" t="e">
        <f>AND(Bills!Y870,"AAAAAH//ZxA=")</f>
        <v>#VALUE!</v>
      </c>
      <c r="R220" t="e">
        <f>AND(Bills!Z870,"AAAAAH//ZxE=")</f>
        <v>#VALUE!</v>
      </c>
      <c r="S220" t="e">
        <f>AND(Bills!#REF!,"AAAAAH//ZxI=")</f>
        <v>#REF!</v>
      </c>
      <c r="T220" t="e">
        <f>AND(Bills!#REF!,"AAAAAH//ZxM=")</f>
        <v>#REF!</v>
      </c>
      <c r="U220" t="e">
        <f>AND(Bills!#REF!,"AAAAAH//ZxQ=")</f>
        <v>#REF!</v>
      </c>
      <c r="V220" t="e">
        <f>AND(Bills!AA870,"AAAAAH//ZxU=")</f>
        <v>#VALUE!</v>
      </c>
      <c r="W220" t="e">
        <f>AND(Bills!AB870,"AAAAAH//ZxY=")</f>
        <v>#VALUE!</v>
      </c>
      <c r="X220" t="e">
        <f>AND(Bills!#REF!,"AAAAAH//Zxc=")</f>
        <v>#REF!</v>
      </c>
      <c r="Y220">
        <f>IF(Bills!871:871,"AAAAAH//Zxg=",0)</f>
        <v>0</v>
      </c>
      <c r="Z220" t="e">
        <f>AND(Bills!B871,"AAAAAH//Zxk=")</f>
        <v>#VALUE!</v>
      </c>
      <c r="AA220" t="e">
        <f>AND(Bills!#REF!,"AAAAAH//Zxo=")</f>
        <v>#REF!</v>
      </c>
      <c r="AB220" t="e">
        <f>AND(Bills!C871,"AAAAAH//Zxs=")</f>
        <v>#VALUE!</v>
      </c>
      <c r="AC220" t="e">
        <f>AND(Bills!#REF!,"AAAAAH//Zxw=")</f>
        <v>#REF!</v>
      </c>
      <c r="AD220" t="e">
        <f>AND(Bills!#REF!,"AAAAAH//Zx0=")</f>
        <v>#REF!</v>
      </c>
      <c r="AE220" t="e">
        <f>AND(Bills!#REF!,"AAAAAH//Zx4=")</f>
        <v>#REF!</v>
      </c>
      <c r="AF220" t="e">
        <f>AND(Bills!#REF!,"AAAAAH//Zx8=")</f>
        <v>#REF!</v>
      </c>
      <c r="AG220" t="e">
        <f>AND(Bills!#REF!,"AAAAAH//ZyA=")</f>
        <v>#REF!</v>
      </c>
      <c r="AH220" t="e">
        <f>AND(Bills!D871,"AAAAAH//ZyE=")</f>
        <v>#VALUE!</v>
      </c>
      <c r="AI220" t="e">
        <f>AND(Bills!#REF!,"AAAAAH//ZyI=")</f>
        <v>#REF!</v>
      </c>
      <c r="AJ220" t="e">
        <f>AND(Bills!E871,"AAAAAH//ZyM=")</f>
        <v>#VALUE!</v>
      </c>
      <c r="AK220" t="e">
        <f>AND(Bills!F871,"AAAAAH//ZyQ=")</f>
        <v>#VALUE!</v>
      </c>
      <c r="AL220" t="e">
        <f>AND(Bills!G871,"AAAAAH//ZyU=")</f>
        <v>#VALUE!</v>
      </c>
      <c r="AM220" t="e">
        <f>AND(Bills!H871,"AAAAAH//ZyY=")</f>
        <v>#VALUE!</v>
      </c>
      <c r="AN220" t="e">
        <f>AND(Bills!I871,"AAAAAH//Zyc=")</f>
        <v>#VALUE!</v>
      </c>
      <c r="AO220" t="e">
        <f>AND(Bills!J871,"AAAAAH//Zyg=")</f>
        <v>#VALUE!</v>
      </c>
      <c r="AP220" t="e">
        <f>AND(Bills!#REF!,"AAAAAH//Zyk=")</f>
        <v>#REF!</v>
      </c>
      <c r="AQ220" t="e">
        <f>AND(Bills!K871,"AAAAAH//Zyo=")</f>
        <v>#VALUE!</v>
      </c>
      <c r="AR220" t="e">
        <f>AND(Bills!L871,"AAAAAH//Zys=")</f>
        <v>#VALUE!</v>
      </c>
      <c r="AS220" t="e">
        <f>AND(Bills!M871,"AAAAAH//Zyw=")</f>
        <v>#VALUE!</v>
      </c>
      <c r="AT220" t="e">
        <f>AND(Bills!N871,"AAAAAH//Zy0=")</f>
        <v>#VALUE!</v>
      </c>
      <c r="AU220" t="e">
        <f>AND(Bills!O871,"AAAAAH//Zy4=")</f>
        <v>#VALUE!</v>
      </c>
      <c r="AV220" t="e">
        <f>AND(Bills!P871,"AAAAAH//Zy8=")</f>
        <v>#VALUE!</v>
      </c>
      <c r="AW220" t="e">
        <f>AND(Bills!Q871,"AAAAAH//ZzA=")</f>
        <v>#VALUE!</v>
      </c>
      <c r="AX220" t="e">
        <f>AND(Bills!R871,"AAAAAH//ZzE=")</f>
        <v>#VALUE!</v>
      </c>
      <c r="AY220" t="e">
        <f>AND(Bills!#REF!,"AAAAAH//ZzI=")</f>
        <v>#REF!</v>
      </c>
      <c r="AZ220" t="e">
        <f>AND(Bills!S871,"AAAAAH//ZzM=")</f>
        <v>#VALUE!</v>
      </c>
      <c r="BA220" t="e">
        <f>AND(Bills!T871,"AAAAAH//ZzQ=")</f>
        <v>#VALUE!</v>
      </c>
      <c r="BB220" t="e">
        <f>AND(Bills!U871,"AAAAAH//ZzU=")</f>
        <v>#VALUE!</v>
      </c>
      <c r="BC220" t="e">
        <f>AND(Bills!#REF!,"AAAAAH//ZzY=")</f>
        <v>#REF!</v>
      </c>
      <c r="BD220" t="e">
        <f>AND(Bills!#REF!,"AAAAAH//Zzc=")</f>
        <v>#REF!</v>
      </c>
      <c r="BE220" t="e">
        <f>AND(Bills!W871,"AAAAAH//Zzg=")</f>
        <v>#VALUE!</v>
      </c>
      <c r="BF220" t="e">
        <f>AND(Bills!X871,"AAAAAH//Zzk=")</f>
        <v>#VALUE!</v>
      </c>
      <c r="BG220" t="e">
        <f>AND(Bills!#REF!,"AAAAAH//Zzo=")</f>
        <v>#REF!</v>
      </c>
      <c r="BH220" t="e">
        <f>AND(Bills!#REF!,"AAAAAH//Zzs=")</f>
        <v>#REF!</v>
      </c>
      <c r="BI220" t="e">
        <f>AND(Bills!#REF!,"AAAAAH//Zzw=")</f>
        <v>#REF!</v>
      </c>
      <c r="BJ220" t="e">
        <f>AND(Bills!#REF!,"AAAAAH//Zz0=")</f>
        <v>#REF!</v>
      </c>
      <c r="BK220" t="e">
        <f>AND(Bills!#REF!,"AAAAAH//Zz4=")</f>
        <v>#REF!</v>
      </c>
      <c r="BL220" t="e">
        <f>AND(Bills!#REF!,"AAAAAH//Zz8=")</f>
        <v>#REF!</v>
      </c>
      <c r="BM220" t="e">
        <f>AND(Bills!#REF!,"AAAAAH//Z0A=")</f>
        <v>#REF!</v>
      </c>
      <c r="BN220" t="e">
        <f>AND(Bills!#REF!,"AAAAAH//Z0E=")</f>
        <v>#REF!</v>
      </c>
      <c r="BO220" t="e">
        <f>AND(Bills!#REF!,"AAAAAH//Z0I=")</f>
        <v>#REF!</v>
      </c>
      <c r="BP220" t="e">
        <f>AND(Bills!Y871,"AAAAAH//Z0M=")</f>
        <v>#VALUE!</v>
      </c>
      <c r="BQ220" t="e">
        <f>AND(Bills!Z871,"AAAAAH//Z0Q=")</f>
        <v>#VALUE!</v>
      </c>
      <c r="BR220" t="e">
        <f>AND(Bills!#REF!,"AAAAAH//Z0U=")</f>
        <v>#REF!</v>
      </c>
      <c r="BS220" t="e">
        <f>AND(Bills!#REF!,"AAAAAH//Z0Y=")</f>
        <v>#REF!</v>
      </c>
      <c r="BT220" t="e">
        <f>AND(Bills!#REF!,"AAAAAH//Z0c=")</f>
        <v>#REF!</v>
      </c>
      <c r="BU220" t="e">
        <f>AND(Bills!AA871,"AAAAAH//Z0g=")</f>
        <v>#VALUE!</v>
      </c>
      <c r="BV220" t="e">
        <f>AND(Bills!AB871,"AAAAAH//Z0k=")</f>
        <v>#VALUE!</v>
      </c>
      <c r="BW220" t="e">
        <f>AND(Bills!#REF!,"AAAAAH//Z0o=")</f>
        <v>#REF!</v>
      </c>
      <c r="BX220">
        <f>IF(Bills!872:872,"AAAAAH//Z0s=",0)</f>
        <v>0</v>
      </c>
      <c r="BY220" t="e">
        <f>AND(Bills!B872,"AAAAAH//Z0w=")</f>
        <v>#VALUE!</v>
      </c>
      <c r="BZ220" t="e">
        <f>AND(Bills!#REF!,"AAAAAH//Z00=")</f>
        <v>#REF!</v>
      </c>
      <c r="CA220" t="e">
        <f>AND(Bills!C872,"AAAAAH//Z04=")</f>
        <v>#VALUE!</v>
      </c>
      <c r="CB220" t="e">
        <f>AND(Bills!#REF!,"AAAAAH//Z08=")</f>
        <v>#REF!</v>
      </c>
      <c r="CC220" t="e">
        <f>AND(Bills!#REF!,"AAAAAH//Z1A=")</f>
        <v>#REF!</v>
      </c>
      <c r="CD220" t="e">
        <f>AND(Bills!#REF!,"AAAAAH//Z1E=")</f>
        <v>#REF!</v>
      </c>
      <c r="CE220" t="e">
        <f>AND(Bills!#REF!,"AAAAAH//Z1I=")</f>
        <v>#REF!</v>
      </c>
      <c r="CF220" t="e">
        <f>AND(Bills!#REF!,"AAAAAH//Z1M=")</f>
        <v>#REF!</v>
      </c>
      <c r="CG220" t="e">
        <f>AND(Bills!D872,"AAAAAH//Z1Q=")</f>
        <v>#VALUE!</v>
      </c>
      <c r="CH220" t="e">
        <f>AND(Bills!#REF!,"AAAAAH//Z1U=")</f>
        <v>#REF!</v>
      </c>
      <c r="CI220" t="e">
        <f>AND(Bills!E872,"AAAAAH//Z1Y=")</f>
        <v>#VALUE!</v>
      </c>
      <c r="CJ220" t="e">
        <f>AND(Bills!F872,"AAAAAH//Z1c=")</f>
        <v>#VALUE!</v>
      </c>
      <c r="CK220" t="e">
        <f>AND(Bills!G872,"AAAAAH//Z1g=")</f>
        <v>#VALUE!</v>
      </c>
      <c r="CL220" t="e">
        <f>AND(Bills!H872,"AAAAAH//Z1k=")</f>
        <v>#VALUE!</v>
      </c>
      <c r="CM220" t="e">
        <f>AND(Bills!I872,"AAAAAH//Z1o=")</f>
        <v>#VALUE!</v>
      </c>
      <c r="CN220" t="e">
        <f>AND(Bills!J872,"AAAAAH//Z1s=")</f>
        <v>#VALUE!</v>
      </c>
      <c r="CO220" t="e">
        <f>AND(Bills!#REF!,"AAAAAH//Z1w=")</f>
        <v>#REF!</v>
      </c>
      <c r="CP220" t="e">
        <f>AND(Bills!K872,"AAAAAH//Z10=")</f>
        <v>#VALUE!</v>
      </c>
      <c r="CQ220" t="e">
        <f>AND(Bills!L872,"AAAAAH//Z14=")</f>
        <v>#VALUE!</v>
      </c>
      <c r="CR220" t="e">
        <f>AND(Bills!M872,"AAAAAH//Z18=")</f>
        <v>#VALUE!</v>
      </c>
      <c r="CS220" t="e">
        <f>AND(Bills!N872,"AAAAAH//Z2A=")</f>
        <v>#VALUE!</v>
      </c>
      <c r="CT220" t="e">
        <f>AND(Bills!O872,"AAAAAH//Z2E=")</f>
        <v>#VALUE!</v>
      </c>
      <c r="CU220" t="e">
        <f>AND(Bills!P872,"AAAAAH//Z2I=")</f>
        <v>#VALUE!</v>
      </c>
      <c r="CV220" t="e">
        <f>AND(Bills!Q872,"AAAAAH//Z2M=")</f>
        <v>#VALUE!</v>
      </c>
      <c r="CW220" t="e">
        <f>AND(Bills!R872,"AAAAAH//Z2Q=")</f>
        <v>#VALUE!</v>
      </c>
      <c r="CX220" t="e">
        <f>AND(Bills!#REF!,"AAAAAH//Z2U=")</f>
        <v>#REF!</v>
      </c>
      <c r="CY220" t="e">
        <f>AND(Bills!S872,"AAAAAH//Z2Y=")</f>
        <v>#VALUE!</v>
      </c>
      <c r="CZ220" t="e">
        <f>AND(Bills!T872,"AAAAAH//Z2c=")</f>
        <v>#VALUE!</v>
      </c>
      <c r="DA220" t="e">
        <f>AND(Bills!U872,"AAAAAH//Z2g=")</f>
        <v>#VALUE!</v>
      </c>
      <c r="DB220" t="e">
        <f>AND(Bills!#REF!,"AAAAAH//Z2k=")</f>
        <v>#REF!</v>
      </c>
      <c r="DC220" t="e">
        <f>AND(Bills!#REF!,"AAAAAH//Z2o=")</f>
        <v>#REF!</v>
      </c>
      <c r="DD220" t="e">
        <f>AND(Bills!W872,"AAAAAH//Z2s=")</f>
        <v>#VALUE!</v>
      </c>
      <c r="DE220" t="e">
        <f>AND(Bills!X872,"AAAAAH//Z2w=")</f>
        <v>#VALUE!</v>
      </c>
      <c r="DF220" t="e">
        <f>AND(Bills!#REF!,"AAAAAH//Z20=")</f>
        <v>#REF!</v>
      </c>
      <c r="DG220" t="e">
        <f>AND(Bills!#REF!,"AAAAAH//Z24=")</f>
        <v>#REF!</v>
      </c>
      <c r="DH220" t="e">
        <f>AND(Bills!#REF!,"AAAAAH//Z28=")</f>
        <v>#REF!</v>
      </c>
      <c r="DI220" t="e">
        <f>AND(Bills!#REF!,"AAAAAH//Z3A=")</f>
        <v>#REF!</v>
      </c>
      <c r="DJ220" t="e">
        <f>AND(Bills!#REF!,"AAAAAH//Z3E=")</f>
        <v>#REF!</v>
      </c>
      <c r="DK220" t="e">
        <f>AND(Bills!#REF!,"AAAAAH//Z3I=")</f>
        <v>#REF!</v>
      </c>
      <c r="DL220" t="e">
        <f>AND(Bills!#REF!,"AAAAAH//Z3M=")</f>
        <v>#REF!</v>
      </c>
      <c r="DM220" t="e">
        <f>AND(Bills!#REF!,"AAAAAH//Z3Q=")</f>
        <v>#REF!</v>
      </c>
      <c r="DN220" t="e">
        <f>AND(Bills!#REF!,"AAAAAH//Z3U=")</f>
        <v>#REF!</v>
      </c>
      <c r="DO220" t="e">
        <f>AND(Bills!Y872,"AAAAAH//Z3Y=")</f>
        <v>#VALUE!</v>
      </c>
      <c r="DP220" t="e">
        <f>AND(Bills!Z872,"AAAAAH//Z3c=")</f>
        <v>#VALUE!</v>
      </c>
      <c r="DQ220" t="e">
        <f>AND(Bills!#REF!,"AAAAAH//Z3g=")</f>
        <v>#REF!</v>
      </c>
      <c r="DR220" t="e">
        <f>AND(Bills!#REF!,"AAAAAH//Z3k=")</f>
        <v>#REF!</v>
      </c>
      <c r="DS220" t="e">
        <f>AND(Bills!#REF!,"AAAAAH//Z3o=")</f>
        <v>#REF!</v>
      </c>
      <c r="DT220" t="e">
        <f>AND(Bills!AA872,"AAAAAH//Z3s=")</f>
        <v>#VALUE!</v>
      </c>
      <c r="DU220" t="e">
        <f>AND(Bills!AB872,"AAAAAH//Z3w=")</f>
        <v>#VALUE!</v>
      </c>
      <c r="DV220" t="e">
        <f>AND(Bills!#REF!,"AAAAAH//Z30=")</f>
        <v>#REF!</v>
      </c>
      <c r="DW220">
        <f>IF(Bills!873:873,"AAAAAH//Z34=",0)</f>
        <v>0</v>
      </c>
      <c r="DX220" t="e">
        <f>AND(Bills!B873,"AAAAAH//Z38=")</f>
        <v>#VALUE!</v>
      </c>
      <c r="DY220" t="e">
        <f>AND(Bills!#REF!,"AAAAAH//Z4A=")</f>
        <v>#REF!</v>
      </c>
      <c r="DZ220" t="e">
        <f>AND(Bills!C873,"AAAAAH//Z4E=")</f>
        <v>#VALUE!</v>
      </c>
      <c r="EA220" t="e">
        <f>AND(Bills!#REF!,"AAAAAH//Z4I=")</f>
        <v>#REF!</v>
      </c>
      <c r="EB220" t="e">
        <f>AND(Bills!#REF!,"AAAAAH//Z4M=")</f>
        <v>#REF!</v>
      </c>
      <c r="EC220" t="e">
        <f>AND(Bills!#REF!,"AAAAAH//Z4Q=")</f>
        <v>#REF!</v>
      </c>
      <c r="ED220" t="e">
        <f>AND(Bills!#REF!,"AAAAAH//Z4U=")</f>
        <v>#REF!</v>
      </c>
      <c r="EE220" t="e">
        <f>AND(Bills!#REF!,"AAAAAH//Z4Y=")</f>
        <v>#REF!</v>
      </c>
      <c r="EF220" t="e">
        <f>AND(Bills!D873,"AAAAAH//Z4c=")</f>
        <v>#VALUE!</v>
      </c>
      <c r="EG220" t="e">
        <f>AND(Bills!#REF!,"AAAAAH//Z4g=")</f>
        <v>#REF!</v>
      </c>
      <c r="EH220" t="e">
        <f>AND(Bills!E873,"AAAAAH//Z4k=")</f>
        <v>#VALUE!</v>
      </c>
      <c r="EI220" t="e">
        <f>AND(Bills!F873,"AAAAAH//Z4o=")</f>
        <v>#VALUE!</v>
      </c>
      <c r="EJ220" t="e">
        <f>AND(Bills!G873,"AAAAAH//Z4s=")</f>
        <v>#VALUE!</v>
      </c>
      <c r="EK220" t="e">
        <f>AND(Bills!H873,"AAAAAH//Z4w=")</f>
        <v>#VALUE!</v>
      </c>
      <c r="EL220" t="e">
        <f>AND(Bills!I873,"AAAAAH//Z40=")</f>
        <v>#VALUE!</v>
      </c>
      <c r="EM220" t="e">
        <f>AND(Bills!J873,"AAAAAH//Z44=")</f>
        <v>#VALUE!</v>
      </c>
      <c r="EN220" t="e">
        <f>AND(Bills!#REF!,"AAAAAH//Z48=")</f>
        <v>#REF!</v>
      </c>
      <c r="EO220" t="e">
        <f>AND(Bills!K873,"AAAAAH//Z5A=")</f>
        <v>#VALUE!</v>
      </c>
      <c r="EP220" t="e">
        <f>AND(Bills!L873,"AAAAAH//Z5E=")</f>
        <v>#VALUE!</v>
      </c>
      <c r="EQ220" t="e">
        <f>AND(Bills!M873,"AAAAAH//Z5I=")</f>
        <v>#VALUE!</v>
      </c>
      <c r="ER220" t="e">
        <f>AND(Bills!N873,"AAAAAH//Z5M=")</f>
        <v>#VALUE!</v>
      </c>
      <c r="ES220" t="e">
        <f>AND(Bills!O873,"AAAAAH//Z5Q=")</f>
        <v>#VALUE!</v>
      </c>
      <c r="ET220" t="e">
        <f>AND(Bills!P873,"AAAAAH//Z5U=")</f>
        <v>#VALUE!</v>
      </c>
      <c r="EU220" t="e">
        <f>AND(Bills!Q873,"AAAAAH//Z5Y=")</f>
        <v>#VALUE!</v>
      </c>
      <c r="EV220" t="e">
        <f>AND(Bills!R873,"AAAAAH//Z5c=")</f>
        <v>#VALUE!</v>
      </c>
      <c r="EW220" t="e">
        <f>AND(Bills!#REF!,"AAAAAH//Z5g=")</f>
        <v>#REF!</v>
      </c>
      <c r="EX220" t="e">
        <f>AND(Bills!S873,"AAAAAH//Z5k=")</f>
        <v>#VALUE!</v>
      </c>
      <c r="EY220" t="e">
        <f>AND(Bills!T873,"AAAAAH//Z5o=")</f>
        <v>#VALUE!</v>
      </c>
      <c r="EZ220" t="e">
        <f>AND(Bills!U873,"AAAAAH//Z5s=")</f>
        <v>#VALUE!</v>
      </c>
      <c r="FA220" t="e">
        <f>AND(Bills!#REF!,"AAAAAH//Z5w=")</f>
        <v>#REF!</v>
      </c>
      <c r="FB220" t="e">
        <f>AND(Bills!#REF!,"AAAAAH//Z50=")</f>
        <v>#REF!</v>
      </c>
      <c r="FC220" t="e">
        <f>AND(Bills!W873,"AAAAAH//Z54=")</f>
        <v>#VALUE!</v>
      </c>
      <c r="FD220" t="e">
        <f>AND(Bills!X873,"AAAAAH//Z58=")</f>
        <v>#VALUE!</v>
      </c>
      <c r="FE220" t="e">
        <f>AND(Bills!#REF!,"AAAAAH//Z6A=")</f>
        <v>#REF!</v>
      </c>
      <c r="FF220" t="e">
        <f>AND(Bills!#REF!,"AAAAAH//Z6E=")</f>
        <v>#REF!</v>
      </c>
      <c r="FG220" t="e">
        <f>AND(Bills!#REF!,"AAAAAH//Z6I=")</f>
        <v>#REF!</v>
      </c>
      <c r="FH220" t="e">
        <f>AND(Bills!#REF!,"AAAAAH//Z6M=")</f>
        <v>#REF!</v>
      </c>
      <c r="FI220" t="e">
        <f>AND(Bills!#REF!,"AAAAAH//Z6Q=")</f>
        <v>#REF!</v>
      </c>
      <c r="FJ220" t="e">
        <f>AND(Bills!#REF!,"AAAAAH//Z6U=")</f>
        <v>#REF!</v>
      </c>
      <c r="FK220" t="e">
        <f>AND(Bills!#REF!,"AAAAAH//Z6Y=")</f>
        <v>#REF!</v>
      </c>
      <c r="FL220" t="e">
        <f>AND(Bills!#REF!,"AAAAAH//Z6c=")</f>
        <v>#REF!</v>
      </c>
      <c r="FM220" t="e">
        <f>AND(Bills!#REF!,"AAAAAH//Z6g=")</f>
        <v>#REF!</v>
      </c>
      <c r="FN220" t="e">
        <f>AND(Bills!Y873,"AAAAAH//Z6k=")</f>
        <v>#VALUE!</v>
      </c>
      <c r="FO220" t="e">
        <f>AND(Bills!Z873,"AAAAAH//Z6o=")</f>
        <v>#VALUE!</v>
      </c>
      <c r="FP220" t="e">
        <f>AND(Bills!#REF!,"AAAAAH//Z6s=")</f>
        <v>#REF!</v>
      </c>
      <c r="FQ220" t="e">
        <f>AND(Bills!#REF!,"AAAAAH//Z6w=")</f>
        <v>#REF!</v>
      </c>
      <c r="FR220" t="e">
        <f>AND(Bills!#REF!,"AAAAAH//Z60=")</f>
        <v>#REF!</v>
      </c>
      <c r="FS220" t="e">
        <f>AND(Bills!AA873,"AAAAAH//Z64=")</f>
        <v>#VALUE!</v>
      </c>
      <c r="FT220" t="e">
        <f>AND(Bills!AB873,"AAAAAH//Z68=")</f>
        <v>#VALUE!</v>
      </c>
      <c r="FU220" t="e">
        <f>AND(Bills!#REF!,"AAAAAH//Z7A=")</f>
        <v>#REF!</v>
      </c>
      <c r="FV220">
        <f>IF(Bills!874:874,"AAAAAH//Z7E=",0)</f>
        <v>0</v>
      </c>
      <c r="FW220" t="e">
        <f>AND(Bills!B874,"AAAAAH//Z7I=")</f>
        <v>#VALUE!</v>
      </c>
      <c r="FX220" t="e">
        <f>AND(Bills!#REF!,"AAAAAH//Z7M=")</f>
        <v>#REF!</v>
      </c>
      <c r="FY220" t="e">
        <f>AND(Bills!C874,"AAAAAH//Z7Q=")</f>
        <v>#VALUE!</v>
      </c>
      <c r="FZ220" t="e">
        <f>AND(Bills!#REF!,"AAAAAH//Z7U=")</f>
        <v>#REF!</v>
      </c>
      <c r="GA220" t="e">
        <f>AND(Bills!#REF!,"AAAAAH//Z7Y=")</f>
        <v>#REF!</v>
      </c>
      <c r="GB220" t="e">
        <f>AND(Bills!#REF!,"AAAAAH//Z7c=")</f>
        <v>#REF!</v>
      </c>
      <c r="GC220" t="e">
        <f>AND(Bills!#REF!,"AAAAAH//Z7g=")</f>
        <v>#REF!</v>
      </c>
      <c r="GD220" t="e">
        <f>AND(Bills!#REF!,"AAAAAH//Z7k=")</f>
        <v>#REF!</v>
      </c>
      <c r="GE220" t="e">
        <f>AND(Bills!D874,"AAAAAH//Z7o=")</f>
        <v>#VALUE!</v>
      </c>
      <c r="GF220" t="e">
        <f>AND(Bills!#REF!,"AAAAAH//Z7s=")</f>
        <v>#REF!</v>
      </c>
      <c r="GG220" t="e">
        <f>AND(Bills!E874,"AAAAAH//Z7w=")</f>
        <v>#VALUE!</v>
      </c>
      <c r="GH220" t="e">
        <f>AND(Bills!F874,"AAAAAH//Z70=")</f>
        <v>#VALUE!</v>
      </c>
      <c r="GI220" t="e">
        <f>AND(Bills!G874,"AAAAAH//Z74=")</f>
        <v>#VALUE!</v>
      </c>
      <c r="GJ220" t="e">
        <f>AND(Bills!H874,"AAAAAH//Z78=")</f>
        <v>#VALUE!</v>
      </c>
      <c r="GK220" t="e">
        <f>AND(Bills!I874,"AAAAAH//Z8A=")</f>
        <v>#VALUE!</v>
      </c>
      <c r="GL220" t="e">
        <f>AND(Bills!J874,"AAAAAH//Z8E=")</f>
        <v>#VALUE!</v>
      </c>
      <c r="GM220" t="e">
        <f>AND(Bills!#REF!,"AAAAAH//Z8I=")</f>
        <v>#REF!</v>
      </c>
      <c r="GN220" t="e">
        <f>AND(Bills!K874,"AAAAAH//Z8M=")</f>
        <v>#VALUE!</v>
      </c>
      <c r="GO220" t="e">
        <f>AND(Bills!L874,"AAAAAH//Z8Q=")</f>
        <v>#VALUE!</v>
      </c>
      <c r="GP220" t="e">
        <f>AND(Bills!M874,"AAAAAH//Z8U=")</f>
        <v>#VALUE!</v>
      </c>
      <c r="GQ220" t="e">
        <f>AND(Bills!N874,"AAAAAH//Z8Y=")</f>
        <v>#VALUE!</v>
      </c>
      <c r="GR220" t="e">
        <f>AND(Bills!O874,"AAAAAH//Z8c=")</f>
        <v>#VALUE!</v>
      </c>
      <c r="GS220" t="e">
        <f>AND(Bills!P874,"AAAAAH//Z8g=")</f>
        <v>#VALUE!</v>
      </c>
      <c r="GT220" t="e">
        <f>AND(Bills!Q874,"AAAAAH//Z8k=")</f>
        <v>#VALUE!</v>
      </c>
      <c r="GU220" t="e">
        <f>AND(Bills!R874,"AAAAAH//Z8o=")</f>
        <v>#VALUE!</v>
      </c>
      <c r="GV220" t="e">
        <f>AND(Bills!#REF!,"AAAAAH//Z8s=")</f>
        <v>#REF!</v>
      </c>
      <c r="GW220" t="e">
        <f>AND(Bills!S874,"AAAAAH//Z8w=")</f>
        <v>#VALUE!</v>
      </c>
      <c r="GX220" t="e">
        <f>AND(Bills!T874,"AAAAAH//Z80=")</f>
        <v>#VALUE!</v>
      </c>
      <c r="GY220" t="e">
        <f>AND(Bills!U874,"AAAAAH//Z84=")</f>
        <v>#VALUE!</v>
      </c>
      <c r="GZ220" t="e">
        <f>AND(Bills!#REF!,"AAAAAH//Z88=")</f>
        <v>#REF!</v>
      </c>
      <c r="HA220" t="e">
        <f>AND(Bills!#REF!,"AAAAAH//Z9A=")</f>
        <v>#REF!</v>
      </c>
      <c r="HB220" t="e">
        <f>AND(Bills!W874,"AAAAAH//Z9E=")</f>
        <v>#VALUE!</v>
      </c>
      <c r="HC220" t="e">
        <f>AND(Bills!X874,"AAAAAH//Z9I=")</f>
        <v>#VALUE!</v>
      </c>
      <c r="HD220" t="e">
        <f>AND(Bills!#REF!,"AAAAAH//Z9M=")</f>
        <v>#REF!</v>
      </c>
      <c r="HE220" t="e">
        <f>AND(Bills!#REF!,"AAAAAH//Z9Q=")</f>
        <v>#REF!</v>
      </c>
      <c r="HF220" t="e">
        <f>AND(Bills!#REF!,"AAAAAH//Z9U=")</f>
        <v>#REF!</v>
      </c>
      <c r="HG220" t="e">
        <f>AND(Bills!#REF!,"AAAAAH//Z9Y=")</f>
        <v>#REF!</v>
      </c>
      <c r="HH220" t="e">
        <f>AND(Bills!#REF!,"AAAAAH//Z9c=")</f>
        <v>#REF!</v>
      </c>
      <c r="HI220" t="e">
        <f>AND(Bills!#REF!,"AAAAAH//Z9g=")</f>
        <v>#REF!</v>
      </c>
      <c r="HJ220" t="e">
        <f>AND(Bills!#REF!,"AAAAAH//Z9k=")</f>
        <v>#REF!</v>
      </c>
      <c r="HK220" t="e">
        <f>AND(Bills!#REF!,"AAAAAH//Z9o=")</f>
        <v>#REF!</v>
      </c>
      <c r="HL220" t="e">
        <f>AND(Bills!#REF!,"AAAAAH//Z9s=")</f>
        <v>#REF!</v>
      </c>
      <c r="HM220" t="e">
        <f>AND(Bills!Y874,"AAAAAH//Z9w=")</f>
        <v>#VALUE!</v>
      </c>
      <c r="HN220" t="e">
        <f>AND(Bills!Z874,"AAAAAH//Z90=")</f>
        <v>#VALUE!</v>
      </c>
      <c r="HO220" t="e">
        <f>AND(Bills!#REF!,"AAAAAH//Z94=")</f>
        <v>#REF!</v>
      </c>
      <c r="HP220" t="e">
        <f>AND(Bills!#REF!,"AAAAAH//Z98=")</f>
        <v>#REF!</v>
      </c>
      <c r="HQ220" t="e">
        <f>AND(Bills!#REF!,"AAAAAH//Z+A=")</f>
        <v>#REF!</v>
      </c>
      <c r="HR220" t="e">
        <f>AND(Bills!AA874,"AAAAAH//Z+E=")</f>
        <v>#VALUE!</v>
      </c>
      <c r="HS220" t="e">
        <f>AND(Bills!AB874,"AAAAAH//Z+I=")</f>
        <v>#VALUE!</v>
      </c>
      <c r="HT220" t="e">
        <f>AND(Bills!#REF!,"AAAAAH//Z+M=")</f>
        <v>#REF!</v>
      </c>
      <c r="HU220">
        <f>IF(Bills!875:875,"AAAAAH//Z+Q=",0)</f>
        <v>0</v>
      </c>
      <c r="HV220" t="e">
        <f>AND(Bills!B875,"AAAAAH//Z+U=")</f>
        <v>#VALUE!</v>
      </c>
      <c r="HW220" t="e">
        <f>AND(Bills!#REF!,"AAAAAH//Z+Y=")</f>
        <v>#REF!</v>
      </c>
      <c r="HX220" t="e">
        <f>AND(Bills!C875,"AAAAAH//Z+c=")</f>
        <v>#VALUE!</v>
      </c>
      <c r="HY220" t="e">
        <f>AND(Bills!#REF!,"AAAAAH//Z+g=")</f>
        <v>#REF!</v>
      </c>
      <c r="HZ220" t="e">
        <f>AND(Bills!#REF!,"AAAAAH//Z+k=")</f>
        <v>#REF!</v>
      </c>
      <c r="IA220" t="e">
        <f>AND(Bills!#REF!,"AAAAAH//Z+o=")</f>
        <v>#REF!</v>
      </c>
      <c r="IB220" t="e">
        <f>AND(Bills!#REF!,"AAAAAH//Z+s=")</f>
        <v>#REF!</v>
      </c>
      <c r="IC220" t="e">
        <f>AND(Bills!#REF!,"AAAAAH//Z+w=")</f>
        <v>#REF!</v>
      </c>
      <c r="ID220" t="e">
        <f>AND(Bills!D875,"AAAAAH//Z+0=")</f>
        <v>#VALUE!</v>
      </c>
      <c r="IE220" t="e">
        <f>AND(Bills!#REF!,"AAAAAH//Z+4=")</f>
        <v>#REF!</v>
      </c>
      <c r="IF220" t="e">
        <f>AND(Bills!E875,"AAAAAH//Z+8=")</f>
        <v>#VALUE!</v>
      </c>
      <c r="IG220" t="e">
        <f>AND(Bills!F875,"AAAAAH//Z/A=")</f>
        <v>#VALUE!</v>
      </c>
      <c r="IH220" t="e">
        <f>AND(Bills!G875,"AAAAAH//Z/E=")</f>
        <v>#VALUE!</v>
      </c>
      <c r="II220" t="e">
        <f>AND(Bills!H875,"AAAAAH//Z/I=")</f>
        <v>#VALUE!</v>
      </c>
      <c r="IJ220" t="e">
        <f>AND(Bills!I875,"AAAAAH//Z/M=")</f>
        <v>#VALUE!</v>
      </c>
      <c r="IK220" t="e">
        <f>AND(Bills!J875,"AAAAAH//Z/Q=")</f>
        <v>#VALUE!</v>
      </c>
      <c r="IL220" t="e">
        <f>AND(Bills!#REF!,"AAAAAH//Z/U=")</f>
        <v>#REF!</v>
      </c>
      <c r="IM220" t="e">
        <f>AND(Bills!K875,"AAAAAH//Z/Y=")</f>
        <v>#VALUE!</v>
      </c>
      <c r="IN220" t="e">
        <f>AND(Bills!L875,"AAAAAH//Z/c=")</f>
        <v>#VALUE!</v>
      </c>
      <c r="IO220" t="e">
        <f>AND(Bills!M875,"AAAAAH//Z/g=")</f>
        <v>#VALUE!</v>
      </c>
      <c r="IP220" t="e">
        <f>AND(Bills!N875,"AAAAAH//Z/k=")</f>
        <v>#VALUE!</v>
      </c>
      <c r="IQ220" t="e">
        <f>AND(Bills!O875,"AAAAAH//Z/o=")</f>
        <v>#VALUE!</v>
      </c>
      <c r="IR220" t="e">
        <f>AND(Bills!P875,"AAAAAH//Z/s=")</f>
        <v>#VALUE!</v>
      </c>
      <c r="IS220" t="e">
        <f>AND(Bills!Q875,"AAAAAH//Z/w=")</f>
        <v>#VALUE!</v>
      </c>
      <c r="IT220" t="e">
        <f>AND(Bills!R875,"AAAAAH//Z/0=")</f>
        <v>#VALUE!</v>
      </c>
      <c r="IU220" t="e">
        <f>AND(Bills!#REF!,"AAAAAH//Z/4=")</f>
        <v>#REF!</v>
      </c>
      <c r="IV220" t="e">
        <f>AND(Bills!S875,"AAAAAH//Z/8=")</f>
        <v>#VALUE!</v>
      </c>
    </row>
    <row r="221" spans="1:256">
      <c r="A221" t="e">
        <f>AND(Bills!T875,"AAAAAF79uQA=")</f>
        <v>#VALUE!</v>
      </c>
      <c r="B221" t="e">
        <f>AND(Bills!U875,"AAAAAF79uQE=")</f>
        <v>#VALUE!</v>
      </c>
      <c r="C221" t="e">
        <f>AND(Bills!#REF!,"AAAAAF79uQI=")</f>
        <v>#REF!</v>
      </c>
      <c r="D221" t="e">
        <f>AND(Bills!#REF!,"AAAAAF79uQM=")</f>
        <v>#REF!</v>
      </c>
      <c r="E221" t="e">
        <f>AND(Bills!W875,"AAAAAF79uQQ=")</f>
        <v>#VALUE!</v>
      </c>
      <c r="F221" t="e">
        <f>AND(Bills!X875,"AAAAAF79uQU=")</f>
        <v>#VALUE!</v>
      </c>
      <c r="G221" t="e">
        <f>AND(Bills!#REF!,"AAAAAF79uQY=")</f>
        <v>#REF!</v>
      </c>
      <c r="H221" t="e">
        <f>AND(Bills!#REF!,"AAAAAF79uQc=")</f>
        <v>#REF!</v>
      </c>
      <c r="I221" t="e">
        <f>AND(Bills!#REF!,"AAAAAF79uQg=")</f>
        <v>#REF!</v>
      </c>
      <c r="J221" t="e">
        <f>AND(Bills!#REF!,"AAAAAF79uQk=")</f>
        <v>#REF!</v>
      </c>
      <c r="K221" t="e">
        <f>AND(Bills!#REF!,"AAAAAF79uQo=")</f>
        <v>#REF!</v>
      </c>
      <c r="L221" t="e">
        <f>AND(Bills!#REF!,"AAAAAF79uQs=")</f>
        <v>#REF!</v>
      </c>
      <c r="M221" t="e">
        <f>AND(Bills!#REF!,"AAAAAF79uQw=")</f>
        <v>#REF!</v>
      </c>
      <c r="N221" t="e">
        <f>AND(Bills!#REF!,"AAAAAF79uQ0=")</f>
        <v>#REF!</v>
      </c>
      <c r="O221" t="e">
        <f>AND(Bills!#REF!,"AAAAAF79uQ4=")</f>
        <v>#REF!</v>
      </c>
      <c r="P221" t="e">
        <f>AND(Bills!Y875,"AAAAAF79uQ8=")</f>
        <v>#VALUE!</v>
      </c>
      <c r="Q221" t="e">
        <f>AND(Bills!Z875,"AAAAAF79uRA=")</f>
        <v>#VALUE!</v>
      </c>
      <c r="R221" t="e">
        <f>AND(Bills!#REF!,"AAAAAF79uRE=")</f>
        <v>#REF!</v>
      </c>
      <c r="S221" t="e">
        <f>AND(Bills!#REF!,"AAAAAF79uRI=")</f>
        <v>#REF!</v>
      </c>
      <c r="T221" t="e">
        <f>AND(Bills!#REF!,"AAAAAF79uRM=")</f>
        <v>#REF!</v>
      </c>
      <c r="U221" t="e">
        <f>AND(Bills!AA875,"AAAAAF79uRQ=")</f>
        <v>#VALUE!</v>
      </c>
      <c r="V221" t="e">
        <f>AND(Bills!AB875,"AAAAAF79uRU=")</f>
        <v>#VALUE!</v>
      </c>
      <c r="W221" t="e">
        <f>AND(Bills!#REF!,"AAAAAF79uRY=")</f>
        <v>#REF!</v>
      </c>
      <c r="X221">
        <f>IF(Bills!876:876,"AAAAAF79uRc=",0)</f>
        <v>0</v>
      </c>
      <c r="Y221" t="e">
        <f>AND(Bills!B876,"AAAAAF79uRg=")</f>
        <v>#VALUE!</v>
      </c>
      <c r="Z221" t="e">
        <f>AND(Bills!#REF!,"AAAAAF79uRk=")</f>
        <v>#REF!</v>
      </c>
      <c r="AA221" t="e">
        <f>AND(Bills!C876,"AAAAAF79uRo=")</f>
        <v>#VALUE!</v>
      </c>
      <c r="AB221" t="e">
        <f>AND(Bills!#REF!,"AAAAAF79uRs=")</f>
        <v>#REF!</v>
      </c>
      <c r="AC221" t="e">
        <f>AND(Bills!#REF!,"AAAAAF79uRw=")</f>
        <v>#REF!</v>
      </c>
      <c r="AD221" t="e">
        <f>AND(Bills!#REF!,"AAAAAF79uR0=")</f>
        <v>#REF!</v>
      </c>
      <c r="AE221" t="e">
        <f>AND(Bills!#REF!,"AAAAAF79uR4=")</f>
        <v>#REF!</v>
      </c>
      <c r="AF221" t="e">
        <f>AND(Bills!#REF!,"AAAAAF79uR8=")</f>
        <v>#REF!</v>
      </c>
      <c r="AG221" t="e">
        <f>AND(Bills!D876,"AAAAAF79uSA=")</f>
        <v>#VALUE!</v>
      </c>
      <c r="AH221" t="e">
        <f>AND(Bills!#REF!,"AAAAAF79uSE=")</f>
        <v>#REF!</v>
      </c>
      <c r="AI221" t="e">
        <f>AND(Bills!E876,"AAAAAF79uSI=")</f>
        <v>#VALUE!</v>
      </c>
      <c r="AJ221" t="e">
        <f>AND(Bills!F876,"AAAAAF79uSM=")</f>
        <v>#VALUE!</v>
      </c>
      <c r="AK221" t="e">
        <f>AND(Bills!G876,"AAAAAF79uSQ=")</f>
        <v>#VALUE!</v>
      </c>
      <c r="AL221" t="e">
        <f>AND(Bills!H876,"AAAAAF79uSU=")</f>
        <v>#VALUE!</v>
      </c>
      <c r="AM221" t="e">
        <f>AND(Bills!I876,"AAAAAF79uSY=")</f>
        <v>#VALUE!</v>
      </c>
      <c r="AN221" t="e">
        <f>AND(Bills!J876,"AAAAAF79uSc=")</f>
        <v>#VALUE!</v>
      </c>
      <c r="AO221" t="e">
        <f>AND(Bills!#REF!,"AAAAAF79uSg=")</f>
        <v>#REF!</v>
      </c>
      <c r="AP221" t="e">
        <f>AND(Bills!K876,"AAAAAF79uSk=")</f>
        <v>#VALUE!</v>
      </c>
      <c r="AQ221" t="e">
        <f>AND(Bills!L876,"AAAAAF79uSo=")</f>
        <v>#VALUE!</v>
      </c>
      <c r="AR221" t="e">
        <f>AND(Bills!M876,"AAAAAF79uSs=")</f>
        <v>#VALUE!</v>
      </c>
      <c r="AS221" t="e">
        <f>AND(Bills!N876,"AAAAAF79uSw=")</f>
        <v>#VALUE!</v>
      </c>
      <c r="AT221" t="e">
        <f>AND(Bills!O876,"AAAAAF79uS0=")</f>
        <v>#VALUE!</v>
      </c>
      <c r="AU221" t="e">
        <f>AND(Bills!P876,"AAAAAF79uS4=")</f>
        <v>#VALUE!</v>
      </c>
      <c r="AV221" t="e">
        <f>AND(Bills!Q876,"AAAAAF79uS8=")</f>
        <v>#VALUE!</v>
      </c>
      <c r="AW221" t="e">
        <f>AND(Bills!R876,"AAAAAF79uTA=")</f>
        <v>#VALUE!</v>
      </c>
      <c r="AX221" t="e">
        <f>AND(Bills!#REF!,"AAAAAF79uTE=")</f>
        <v>#REF!</v>
      </c>
      <c r="AY221" t="e">
        <f>AND(Bills!S876,"AAAAAF79uTI=")</f>
        <v>#VALUE!</v>
      </c>
      <c r="AZ221" t="e">
        <f>AND(Bills!T876,"AAAAAF79uTM=")</f>
        <v>#VALUE!</v>
      </c>
      <c r="BA221" t="e">
        <f>AND(Bills!U876,"AAAAAF79uTQ=")</f>
        <v>#VALUE!</v>
      </c>
      <c r="BB221" t="e">
        <f>AND(Bills!#REF!,"AAAAAF79uTU=")</f>
        <v>#REF!</v>
      </c>
      <c r="BC221" t="e">
        <f>AND(Bills!#REF!,"AAAAAF79uTY=")</f>
        <v>#REF!</v>
      </c>
      <c r="BD221" t="e">
        <f>AND(Bills!W876,"AAAAAF79uTc=")</f>
        <v>#VALUE!</v>
      </c>
      <c r="BE221" t="e">
        <f>AND(Bills!X876,"AAAAAF79uTg=")</f>
        <v>#VALUE!</v>
      </c>
      <c r="BF221" t="e">
        <f>AND(Bills!#REF!,"AAAAAF79uTk=")</f>
        <v>#REF!</v>
      </c>
      <c r="BG221" t="e">
        <f>AND(Bills!#REF!,"AAAAAF79uTo=")</f>
        <v>#REF!</v>
      </c>
      <c r="BH221" t="e">
        <f>AND(Bills!#REF!,"AAAAAF79uTs=")</f>
        <v>#REF!</v>
      </c>
      <c r="BI221" t="e">
        <f>AND(Bills!#REF!,"AAAAAF79uTw=")</f>
        <v>#REF!</v>
      </c>
      <c r="BJ221" t="e">
        <f>AND(Bills!#REF!,"AAAAAF79uT0=")</f>
        <v>#REF!</v>
      </c>
      <c r="BK221" t="e">
        <f>AND(Bills!#REF!,"AAAAAF79uT4=")</f>
        <v>#REF!</v>
      </c>
      <c r="BL221" t="e">
        <f>AND(Bills!#REF!,"AAAAAF79uT8=")</f>
        <v>#REF!</v>
      </c>
      <c r="BM221" t="e">
        <f>AND(Bills!#REF!,"AAAAAF79uUA=")</f>
        <v>#REF!</v>
      </c>
      <c r="BN221" t="e">
        <f>AND(Bills!#REF!,"AAAAAF79uUE=")</f>
        <v>#REF!</v>
      </c>
      <c r="BO221" t="e">
        <f>AND(Bills!Y876,"AAAAAF79uUI=")</f>
        <v>#VALUE!</v>
      </c>
      <c r="BP221" t="e">
        <f>AND(Bills!Z876,"AAAAAF79uUM=")</f>
        <v>#VALUE!</v>
      </c>
      <c r="BQ221" t="e">
        <f>AND(Bills!#REF!,"AAAAAF79uUQ=")</f>
        <v>#REF!</v>
      </c>
      <c r="BR221" t="e">
        <f>AND(Bills!#REF!,"AAAAAF79uUU=")</f>
        <v>#REF!</v>
      </c>
      <c r="BS221" t="e">
        <f>AND(Bills!#REF!,"AAAAAF79uUY=")</f>
        <v>#REF!</v>
      </c>
      <c r="BT221" t="e">
        <f>AND(Bills!AA876,"AAAAAF79uUc=")</f>
        <v>#VALUE!</v>
      </c>
      <c r="BU221" t="e">
        <f>AND(Bills!AB876,"AAAAAF79uUg=")</f>
        <v>#VALUE!</v>
      </c>
      <c r="BV221" t="e">
        <f>AND(Bills!#REF!,"AAAAAF79uUk=")</f>
        <v>#REF!</v>
      </c>
      <c r="BW221">
        <f>IF(Bills!877:877,"AAAAAF79uUo=",0)</f>
        <v>0</v>
      </c>
      <c r="BX221" t="e">
        <f>AND(Bills!B877,"AAAAAF79uUs=")</f>
        <v>#VALUE!</v>
      </c>
      <c r="BY221" t="e">
        <f>AND(Bills!#REF!,"AAAAAF79uUw=")</f>
        <v>#REF!</v>
      </c>
      <c r="BZ221" t="e">
        <f>AND(Bills!C877,"AAAAAF79uU0=")</f>
        <v>#VALUE!</v>
      </c>
      <c r="CA221" t="e">
        <f>AND(Bills!#REF!,"AAAAAF79uU4=")</f>
        <v>#REF!</v>
      </c>
      <c r="CB221" t="e">
        <f>AND(Bills!#REF!,"AAAAAF79uU8=")</f>
        <v>#REF!</v>
      </c>
      <c r="CC221" t="e">
        <f>AND(Bills!#REF!,"AAAAAF79uVA=")</f>
        <v>#REF!</v>
      </c>
      <c r="CD221" t="e">
        <f>AND(Bills!#REF!,"AAAAAF79uVE=")</f>
        <v>#REF!</v>
      </c>
      <c r="CE221" t="e">
        <f>AND(Bills!#REF!,"AAAAAF79uVI=")</f>
        <v>#REF!</v>
      </c>
      <c r="CF221" t="e">
        <f>AND(Bills!D877,"AAAAAF79uVM=")</f>
        <v>#VALUE!</v>
      </c>
      <c r="CG221" t="e">
        <f>AND(Bills!#REF!,"AAAAAF79uVQ=")</f>
        <v>#REF!</v>
      </c>
      <c r="CH221" t="e">
        <f>AND(Bills!E877,"AAAAAF79uVU=")</f>
        <v>#VALUE!</v>
      </c>
      <c r="CI221" t="e">
        <f>AND(Bills!F877,"AAAAAF79uVY=")</f>
        <v>#VALUE!</v>
      </c>
      <c r="CJ221" t="e">
        <f>AND(Bills!G877,"AAAAAF79uVc=")</f>
        <v>#VALUE!</v>
      </c>
      <c r="CK221" t="e">
        <f>AND(Bills!H877,"AAAAAF79uVg=")</f>
        <v>#VALUE!</v>
      </c>
      <c r="CL221" t="e">
        <f>AND(Bills!I877,"AAAAAF79uVk=")</f>
        <v>#VALUE!</v>
      </c>
      <c r="CM221" t="e">
        <f>AND(Bills!J877,"AAAAAF79uVo=")</f>
        <v>#VALUE!</v>
      </c>
      <c r="CN221" t="e">
        <f>AND(Bills!#REF!,"AAAAAF79uVs=")</f>
        <v>#REF!</v>
      </c>
      <c r="CO221" t="e">
        <f>AND(Bills!K877,"AAAAAF79uVw=")</f>
        <v>#VALUE!</v>
      </c>
      <c r="CP221" t="e">
        <f>AND(Bills!L877,"AAAAAF79uV0=")</f>
        <v>#VALUE!</v>
      </c>
      <c r="CQ221" t="e">
        <f>AND(Bills!M877,"AAAAAF79uV4=")</f>
        <v>#VALUE!</v>
      </c>
      <c r="CR221" t="e">
        <f>AND(Bills!N877,"AAAAAF79uV8=")</f>
        <v>#VALUE!</v>
      </c>
      <c r="CS221" t="e">
        <f>AND(Bills!O877,"AAAAAF79uWA=")</f>
        <v>#VALUE!</v>
      </c>
      <c r="CT221" t="e">
        <f>AND(Bills!P877,"AAAAAF79uWE=")</f>
        <v>#VALUE!</v>
      </c>
      <c r="CU221" t="e">
        <f>AND(Bills!Q877,"AAAAAF79uWI=")</f>
        <v>#VALUE!</v>
      </c>
      <c r="CV221" t="e">
        <f>AND(Bills!R877,"AAAAAF79uWM=")</f>
        <v>#VALUE!</v>
      </c>
      <c r="CW221" t="e">
        <f>AND(Bills!#REF!,"AAAAAF79uWQ=")</f>
        <v>#REF!</v>
      </c>
      <c r="CX221" t="e">
        <f>AND(Bills!S877,"AAAAAF79uWU=")</f>
        <v>#VALUE!</v>
      </c>
      <c r="CY221" t="e">
        <f>AND(Bills!T877,"AAAAAF79uWY=")</f>
        <v>#VALUE!</v>
      </c>
      <c r="CZ221" t="e">
        <f>AND(Bills!U877,"AAAAAF79uWc=")</f>
        <v>#VALUE!</v>
      </c>
      <c r="DA221" t="e">
        <f>AND(Bills!#REF!,"AAAAAF79uWg=")</f>
        <v>#REF!</v>
      </c>
      <c r="DB221" t="e">
        <f>AND(Bills!#REF!,"AAAAAF79uWk=")</f>
        <v>#REF!</v>
      </c>
      <c r="DC221" t="e">
        <f>AND(Bills!W877,"AAAAAF79uWo=")</f>
        <v>#VALUE!</v>
      </c>
      <c r="DD221" t="e">
        <f>AND(Bills!X877,"AAAAAF79uWs=")</f>
        <v>#VALUE!</v>
      </c>
      <c r="DE221" t="e">
        <f>AND(Bills!#REF!,"AAAAAF79uWw=")</f>
        <v>#REF!</v>
      </c>
      <c r="DF221" t="e">
        <f>AND(Bills!#REF!,"AAAAAF79uW0=")</f>
        <v>#REF!</v>
      </c>
      <c r="DG221" t="e">
        <f>AND(Bills!#REF!,"AAAAAF79uW4=")</f>
        <v>#REF!</v>
      </c>
      <c r="DH221" t="e">
        <f>AND(Bills!#REF!,"AAAAAF79uW8=")</f>
        <v>#REF!</v>
      </c>
      <c r="DI221" t="e">
        <f>AND(Bills!#REF!,"AAAAAF79uXA=")</f>
        <v>#REF!</v>
      </c>
      <c r="DJ221" t="e">
        <f>AND(Bills!#REF!,"AAAAAF79uXE=")</f>
        <v>#REF!</v>
      </c>
      <c r="DK221" t="e">
        <f>AND(Bills!#REF!,"AAAAAF79uXI=")</f>
        <v>#REF!</v>
      </c>
      <c r="DL221" t="e">
        <f>AND(Bills!#REF!,"AAAAAF79uXM=")</f>
        <v>#REF!</v>
      </c>
      <c r="DM221" t="e">
        <f>AND(Bills!#REF!,"AAAAAF79uXQ=")</f>
        <v>#REF!</v>
      </c>
      <c r="DN221" t="e">
        <f>AND(Bills!Y877,"AAAAAF79uXU=")</f>
        <v>#VALUE!</v>
      </c>
      <c r="DO221" t="e">
        <f>AND(Bills!Z877,"AAAAAF79uXY=")</f>
        <v>#VALUE!</v>
      </c>
      <c r="DP221" t="e">
        <f>AND(Bills!#REF!,"AAAAAF79uXc=")</f>
        <v>#REF!</v>
      </c>
      <c r="DQ221" t="e">
        <f>AND(Bills!#REF!,"AAAAAF79uXg=")</f>
        <v>#REF!</v>
      </c>
      <c r="DR221" t="e">
        <f>AND(Bills!#REF!,"AAAAAF79uXk=")</f>
        <v>#REF!</v>
      </c>
      <c r="DS221" t="e">
        <f>AND(Bills!AA877,"AAAAAF79uXo=")</f>
        <v>#VALUE!</v>
      </c>
      <c r="DT221" t="e">
        <f>AND(Bills!AB877,"AAAAAF79uXs=")</f>
        <v>#VALUE!</v>
      </c>
      <c r="DU221" t="e">
        <f>AND(Bills!#REF!,"AAAAAF79uXw=")</f>
        <v>#REF!</v>
      </c>
      <c r="DV221">
        <f>IF(Bills!878:878,"AAAAAF79uX0=",0)</f>
        <v>0</v>
      </c>
      <c r="DW221" t="e">
        <f>AND(Bills!B878,"AAAAAF79uX4=")</f>
        <v>#VALUE!</v>
      </c>
      <c r="DX221" t="e">
        <f>AND(Bills!#REF!,"AAAAAF79uX8=")</f>
        <v>#REF!</v>
      </c>
      <c r="DY221" t="e">
        <f>AND(Bills!C878,"AAAAAF79uYA=")</f>
        <v>#VALUE!</v>
      </c>
      <c r="DZ221" t="e">
        <f>AND(Bills!#REF!,"AAAAAF79uYE=")</f>
        <v>#REF!</v>
      </c>
      <c r="EA221" t="e">
        <f>AND(Bills!#REF!,"AAAAAF79uYI=")</f>
        <v>#REF!</v>
      </c>
      <c r="EB221" t="e">
        <f>AND(Bills!#REF!,"AAAAAF79uYM=")</f>
        <v>#REF!</v>
      </c>
      <c r="EC221" t="e">
        <f>AND(Bills!#REF!,"AAAAAF79uYQ=")</f>
        <v>#REF!</v>
      </c>
      <c r="ED221" t="e">
        <f>AND(Bills!#REF!,"AAAAAF79uYU=")</f>
        <v>#REF!</v>
      </c>
      <c r="EE221" t="e">
        <f>AND(Bills!D878,"AAAAAF79uYY=")</f>
        <v>#VALUE!</v>
      </c>
      <c r="EF221" t="e">
        <f>AND(Bills!#REF!,"AAAAAF79uYc=")</f>
        <v>#REF!</v>
      </c>
      <c r="EG221" t="e">
        <f>AND(Bills!E878,"AAAAAF79uYg=")</f>
        <v>#VALUE!</v>
      </c>
      <c r="EH221" t="e">
        <f>AND(Bills!F878,"AAAAAF79uYk=")</f>
        <v>#VALUE!</v>
      </c>
      <c r="EI221" t="e">
        <f>AND(Bills!G878,"AAAAAF79uYo=")</f>
        <v>#VALUE!</v>
      </c>
      <c r="EJ221" t="e">
        <f>AND(Bills!H878,"AAAAAF79uYs=")</f>
        <v>#VALUE!</v>
      </c>
      <c r="EK221" t="e">
        <f>AND(Bills!I878,"AAAAAF79uYw=")</f>
        <v>#VALUE!</v>
      </c>
      <c r="EL221" t="e">
        <f>AND(Bills!J878,"AAAAAF79uY0=")</f>
        <v>#VALUE!</v>
      </c>
      <c r="EM221" t="e">
        <f>AND(Bills!#REF!,"AAAAAF79uY4=")</f>
        <v>#REF!</v>
      </c>
      <c r="EN221" t="e">
        <f>AND(Bills!K878,"AAAAAF79uY8=")</f>
        <v>#VALUE!</v>
      </c>
      <c r="EO221" t="e">
        <f>AND(Bills!L878,"AAAAAF79uZA=")</f>
        <v>#VALUE!</v>
      </c>
      <c r="EP221" t="e">
        <f>AND(Bills!M878,"AAAAAF79uZE=")</f>
        <v>#VALUE!</v>
      </c>
      <c r="EQ221" t="e">
        <f>AND(Bills!N878,"AAAAAF79uZI=")</f>
        <v>#VALUE!</v>
      </c>
      <c r="ER221" t="e">
        <f>AND(Bills!O878,"AAAAAF79uZM=")</f>
        <v>#VALUE!</v>
      </c>
      <c r="ES221" t="e">
        <f>AND(Bills!P878,"AAAAAF79uZQ=")</f>
        <v>#VALUE!</v>
      </c>
      <c r="ET221" t="e">
        <f>AND(Bills!Q878,"AAAAAF79uZU=")</f>
        <v>#VALUE!</v>
      </c>
      <c r="EU221" t="e">
        <f>AND(Bills!R878,"AAAAAF79uZY=")</f>
        <v>#VALUE!</v>
      </c>
      <c r="EV221" t="e">
        <f>AND(Bills!#REF!,"AAAAAF79uZc=")</f>
        <v>#REF!</v>
      </c>
      <c r="EW221" t="e">
        <f>AND(Bills!S878,"AAAAAF79uZg=")</f>
        <v>#VALUE!</v>
      </c>
      <c r="EX221" t="e">
        <f>AND(Bills!T878,"AAAAAF79uZk=")</f>
        <v>#VALUE!</v>
      </c>
      <c r="EY221" t="e">
        <f>AND(Bills!U878,"AAAAAF79uZo=")</f>
        <v>#VALUE!</v>
      </c>
      <c r="EZ221" t="e">
        <f>AND(Bills!#REF!,"AAAAAF79uZs=")</f>
        <v>#REF!</v>
      </c>
      <c r="FA221" t="e">
        <f>AND(Bills!#REF!,"AAAAAF79uZw=")</f>
        <v>#REF!</v>
      </c>
      <c r="FB221" t="e">
        <f>AND(Bills!W878,"AAAAAF79uZ0=")</f>
        <v>#VALUE!</v>
      </c>
      <c r="FC221" t="e">
        <f>AND(Bills!X878,"AAAAAF79uZ4=")</f>
        <v>#VALUE!</v>
      </c>
      <c r="FD221" t="e">
        <f>AND(Bills!#REF!,"AAAAAF79uZ8=")</f>
        <v>#REF!</v>
      </c>
      <c r="FE221" t="e">
        <f>AND(Bills!#REF!,"AAAAAF79uaA=")</f>
        <v>#REF!</v>
      </c>
      <c r="FF221" t="e">
        <f>AND(Bills!#REF!,"AAAAAF79uaE=")</f>
        <v>#REF!</v>
      </c>
      <c r="FG221" t="e">
        <f>AND(Bills!#REF!,"AAAAAF79uaI=")</f>
        <v>#REF!</v>
      </c>
      <c r="FH221" t="e">
        <f>AND(Bills!#REF!,"AAAAAF79uaM=")</f>
        <v>#REF!</v>
      </c>
      <c r="FI221" t="e">
        <f>AND(Bills!#REF!,"AAAAAF79uaQ=")</f>
        <v>#REF!</v>
      </c>
      <c r="FJ221" t="e">
        <f>AND(Bills!#REF!,"AAAAAF79uaU=")</f>
        <v>#REF!</v>
      </c>
      <c r="FK221" t="e">
        <f>AND(Bills!#REF!,"AAAAAF79uaY=")</f>
        <v>#REF!</v>
      </c>
      <c r="FL221" t="e">
        <f>AND(Bills!#REF!,"AAAAAF79uac=")</f>
        <v>#REF!</v>
      </c>
      <c r="FM221" t="e">
        <f>AND(Bills!Y878,"AAAAAF79uag=")</f>
        <v>#VALUE!</v>
      </c>
      <c r="FN221" t="e">
        <f>AND(Bills!Z878,"AAAAAF79uak=")</f>
        <v>#VALUE!</v>
      </c>
      <c r="FO221" t="e">
        <f>AND(Bills!#REF!,"AAAAAF79uao=")</f>
        <v>#REF!</v>
      </c>
      <c r="FP221" t="e">
        <f>AND(Bills!#REF!,"AAAAAF79uas=")</f>
        <v>#REF!</v>
      </c>
      <c r="FQ221" t="e">
        <f>AND(Bills!#REF!,"AAAAAF79uaw=")</f>
        <v>#REF!</v>
      </c>
      <c r="FR221" t="e">
        <f>AND(Bills!AA878,"AAAAAF79ua0=")</f>
        <v>#VALUE!</v>
      </c>
      <c r="FS221" t="e">
        <f>AND(Bills!AB878,"AAAAAF79ua4=")</f>
        <v>#VALUE!</v>
      </c>
      <c r="FT221" t="e">
        <f>AND(Bills!#REF!,"AAAAAF79ua8=")</f>
        <v>#REF!</v>
      </c>
      <c r="FU221">
        <f>IF(Bills!879:879,"AAAAAF79ubA=",0)</f>
        <v>0</v>
      </c>
      <c r="FV221" t="e">
        <f>AND(Bills!B879,"AAAAAF79ubE=")</f>
        <v>#VALUE!</v>
      </c>
      <c r="FW221" t="e">
        <f>AND(Bills!#REF!,"AAAAAF79ubI=")</f>
        <v>#REF!</v>
      </c>
      <c r="FX221" t="e">
        <f>AND(Bills!C879,"AAAAAF79ubM=")</f>
        <v>#VALUE!</v>
      </c>
      <c r="FY221" t="e">
        <f>AND(Bills!#REF!,"AAAAAF79ubQ=")</f>
        <v>#REF!</v>
      </c>
      <c r="FZ221" t="e">
        <f>AND(Bills!#REF!,"AAAAAF79ubU=")</f>
        <v>#REF!</v>
      </c>
      <c r="GA221" t="e">
        <f>AND(Bills!#REF!,"AAAAAF79ubY=")</f>
        <v>#REF!</v>
      </c>
      <c r="GB221" t="e">
        <f>AND(Bills!#REF!,"AAAAAF79ubc=")</f>
        <v>#REF!</v>
      </c>
      <c r="GC221" t="e">
        <f>AND(Bills!#REF!,"AAAAAF79ubg=")</f>
        <v>#REF!</v>
      </c>
      <c r="GD221" t="e">
        <f>AND(Bills!D879,"AAAAAF79ubk=")</f>
        <v>#VALUE!</v>
      </c>
      <c r="GE221" t="e">
        <f>AND(Bills!#REF!,"AAAAAF79ubo=")</f>
        <v>#REF!</v>
      </c>
      <c r="GF221" t="e">
        <f>AND(Bills!E879,"AAAAAF79ubs=")</f>
        <v>#VALUE!</v>
      </c>
      <c r="GG221" t="e">
        <f>AND(Bills!F879,"AAAAAF79ubw=")</f>
        <v>#VALUE!</v>
      </c>
      <c r="GH221" t="e">
        <f>AND(Bills!G879,"AAAAAF79ub0=")</f>
        <v>#VALUE!</v>
      </c>
      <c r="GI221" t="e">
        <f>AND(Bills!H879,"AAAAAF79ub4=")</f>
        <v>#VALUE!</v>
      </c>
      <c r="GJ221" t="e">
        <f>AND(Bills!I879,"AAAAAF79ub8=")</f>
        <v>#VALUE!</v>
      </c>
      <c r="GK221" t="e">
        <f>AND(Bills!J879,"AAAAAF79ucA=")</f>
        <v>#VALUE!</v>
      </c>
      <c r="GL221" t="e">
        <f>AND(Bills!#REF!,"AAAAAF79ucE=")</f>
        <v>#REF!</v>
      </c>
      <c r="GM221" t="e">
        <f>AND(Bills!K879,"AAAAAF79ucI=")</f>
        <v>#VALUE!</v>
      </c>
      <c r="GN221" t="e">
        <f>AND(Bills!L879,"AAAAAF79ucM=")</f>
        <v>#VALUE!</v>
      </c>
      <c r="GO221" t="e">
        <f>AND(Bills!M879,"AAAAAF79ucQ=")</f>
        <v>#VALUE!</v>
      </c>
      <c r="GP221" t="e">
        <f>AND(Bills!N879,"AAAAAF79ucU=")</f>
        <v>#VALUE!</v>
      </c>
      <c r="GQ221" t="e">
        <f>AND(Bills!O879,"AAAAAF79ucY=")</f>
        <v>#VALUE!</v>
      </c>
      <c r="GR221" t="e">
        <f>AND(Bills!P879,"AAAAAF79ucc=")</f>
        <v>#VALUE!</v>
      </c>
      <c r="GS221" t="e">
        <f>AND(Bills!Q879,"AAAAAF79ucg=")</f>
        <v>#VALUE!</v>
      </c>
      <c r="GT221" t="e">
        <f>AND(Bills!R879,"AAAAAF79uck=")</f>
        <v>#VALUE!</v>
      </c>
      <c r="GU221" t="e">
        <f>AND(Bills!#REF!,"AAAAAF79uco=")</f>
        <v>#REF!</v>
      </c>
      <c r="GV221" t="e">
        <f>AND(Bills!S879,"AAAAAF79ucs=")</f>
        <v>#VALUE!</v>
      </c>
      <c r="GW221" t="e">
        <f>AND(Bills!T879,"AAAAAF79ucw=")</f>
        <v>#VALUE!</v>
      </c>
      <c r="GX221" t="e">
        <f>AND(Bills!U879,"AAAAAF79uc0=")</f>
        <v>#VALUE!</v>
      </c>
      <c r="GY221" t="e">
        <f>AND(Bills!#REF!,"AAAAAF79uc4=")</f>
        <v>#REF!</v>
      </c>
      <c r="GZ221" t="e">
        <f>AND(Bills!#REF!,"AAAAAF79uc8=")</f>
        <v>#REF!</v>
      </c>
      <c r="HA221" t="e">
        <f>AND(Bills!W879,"AAAAAF79udA=")</f>
        <v>#VALUE!</v>
      </c>
      <c r="HB221" t="e">
        <f>AND(Bills!X879,"AAAAAF79udE=")</f>
        <v>#VALUE!</v>
      </c>
      <c r="HC221" t="e">
        <f>AND(Bills!#REF!,"AAAAAF79udI=")</f>
        <v>#REF!</v>
      </c>
      <c r="HD221" t="e">
        <f>AND(Bills!#REF!,"AAAAAF79udM=")</f>
        <v>#REF!</v>
      </c>
      <c r="HE221" t="e">
        <f>AND(Bills!#REF!,"AAAAAF79udQ=")</f>
        <v>#REF!</v>
      </c>
      <c r="HF221" t="e">
        <f>AND(Bills!#REF!,"AAAAAF79udU=")</f>
        <v>#REF!</v>
      </c>
      <c r="HG221" t="e">
        <f>AND(Bills!#REF!,"AAAAAF79udY=")</f>
        <v>#REF!</v>
      </c>
      <c r="HH221" t="e">
        <f>AND(Bills!#REF!,"AAAAAF79udc=")</f>
        <v>#REF!</v>
      </c>
      <c r="HI221" t="e">
        <f>AND(Bills!#REF!,"AAAAAF79udg=")</f>
        <v>#REF!</v>
      </c>
      <c r="HJ221" t="e">
        <f>AND(Bills!#REF!,"AAAAAF79udk=")</f>
        <v>#REF!</v>
      </c>
      <c r="HK221" t="e">
        <f>AND(Bills!#REF!,"AAAAAF79udo=")</f>
        <v>#REF!</v>
      </c>
      <c r="HL221" t="e">
        <f>AND(Bills!Y879,"AAAAAF79uds=")</f>
        <v>#VALUE!</v>
      </c>
      <c r="HM221" t="e">
        <f>AND(Bills!Z879,"AAAAAF79udw=")</f>
        <v>#VALUE!</v>
      </c>
      <c r="HN221" t="e">
        <f>AND(Bills!#REF!,"AAAAAF79ud0=")</f>
        <v>#REF!</v>
      </c>
      <c r="HO221" t="e">
        <f>AND(Bills!#REF!,"AAAAAF79ud4=")</f>
        <v>#REF!</v>
      </c>
      <c r="HP221" t="e">
        <f>AND(Bills!#REF!,"AAAAAF79ud8=")</f>
        <v>#REF!</v>
      </c>
      <c r="HQ221" t="e">
        <f>AND(Bills!AA879,"AAAAAF79ueA=")</f>
        <v>#VALUE!</v>
      </c>
      <c r="HR221" t="e">
        <f>AND(Bills!AB879,"AAAAAF79ueE=")</f>
        <v>#VALUE!</v>
      </c>
      <c r="HS221" t="e">
        <f>AND(Bills!#REF!,"AAAAAF79ueI=")</f>
        <v>#REF!</v>
      </c>
      <c r="HT221">
        <f>IF(Bills!880:880,"AAAAAF79ueM=",0)</f>
        <v>0</v>
      </c>
      <c r="HU221" t="e">
        <f>AND(Bills!B880,"AAAAAF79ueQ=")</f>
        <v>#VALUE!</v>
      </c>
      <c r="HV221" t="e">
        <f>AND(Bills!#REF!,"AAAAAF79ueU=")</f>
        <v>#REF!</v>
      </c>
      <c r="HW221" t="e">
        <f>AND(Bills!C880,"AAAAAF79ueY=")</f>
        <v>#VALUE!</v>
      </c>
      <c r="HX221" t="e">
        <f>AND(Bills!#REF!,"AAAAAF79uec=")</f>
        <v>#REF!</v>
      </c>
      <c r="HY221" t="e">
        <f>AND(Bills!#REF!,"AAAAAF79ueg=")</f>
        <v>#REF!</v>
      </c>
      <c r="HZ221" t="e">
        <f>AND(Bills!#REF!,"AAAAAF79uek=")</f>
        <v>#REF!</v>
      </c>
      <c r="IA221" t="e">
        <f>AND(Bills!#REF!,"AAAAAF79ueo=")</f>
        <v>#REF!</v>
      </c>
      <c r="IB221" t="e">
        <f>AND(Bills!#REF!,"AAAAAF79ues=")</f>
        <v>#REF!</v>
      </c>
      <c r="IC221" t="e">
        <f>AND(Bills!D880,"AAAAAF79uew=")</f>
        <v>#VALUE!</v>
      </c>
      <c r="ID221" t="e">
        <f>AND(Bills!#REF!,"AAAAAF79ue0=")</f>
        <v>#REF!</v>
      </c>
      <c r="IE221" t="e">
        <f>AND(Bills!E880,"AAAAAF79ue4=")</f>
        <v>#VALUE!</v>
      </c>
      <c r="IF221" t="e">
        <f>AND(Bills!F880,"AAAAAF79ue8=")</f>
        <v>#VALUE!</v>
      </c>
      <c r="IG221" t="e">
        <f>AND(Bills!G880,"AAAAAF79ufA=")</f>
        <v>#VALUE!</v>
      </c>
      <c r="IH221" t="e">
        <f>AND(Bills!H880,"AAAAAF79ufE=")</f>
        <v>#VALUE!</v>
      </c>
      <c r="II221" t="e">
        <f>AND(Bills!I880,"AAAAAF79ufI=")</f>
        <v>#VALUE!</v>
      </c>
      <c r="IJ221" t="e">
        <f>AND(Bills!J880,"AAAAAF79ufM=")</f>
        <v>#VALUE!</v>
      </c>
      <c r="IK221" t="e">
        <f>AND(Bills!#REF!,"AAAAAF79ufQ=")</f>
        <v>#REF!</v>
      </c>
      <c r="IL221" t="e">
        <f>AND(Bills!K880,"AAAAAF79ufU=")</f>
        <v>#VALUE!</v>
      </c>
      <c r="IM221" t="e">
        <f>AND(Bills!L880,"AAAAAF79ufY=")</f>
        <v>#VALUE!</v>
      </c>
      <c r="IN221" t="e">
        <f>AND(Bills!M880,"AAAAAF79ufc=")</f>
        <v>#VALUE!</v>
      </c>
      <c r="IO221" t="e">
        <f>AND(Bills!N880,"AAAAAF79ufg=")</f>
        <v>#VALUE!</v>
      </c>
      <c r="IP221" t="e">
        <f>AND(Bills!O880,"AAAAAF79ufk=")</f>
        <v>#VALUE!</v>
      </c>
      <c r="IQ221" t="e">
        <f>AND(Bills!P880,"AAAAAF79ufo=")</f>
        <v>#VALUE!</v>
      </c>
      <c r="IR221" t="e">
        <f>AND(Bills!Q880,"AAAAAF79ufs=")</f>
        <v>#VALUE!</v>
      </c>
      <c r="IS221" t="e">
        <f>AND(Bills!R880,"AAAAAF79ufw=")</f>
        <v>#VALUE!</v>
      </c>
      <c r="IT221" t="e">
        <f>AND(Bills!#REF!,"AAAAAF79uf0=")</f>
        <v>#REF!</v>
      </c>
      <c r="IU221" t="e">
        <f>AND(Bills!S880,"AAAAAF79uf4=")</f>
        <v>#VALUE!</v>
      </c>
      <c r="IV221" t="e">
        <f>AND(Bills!T880,"AAAAAF79uf8=")</f>
        <v>#VALUE!</v>
      </c>
    </row>
    <row r="222" spans="1:256">
      <c r="A222" t="e">
        <f>AND(Bills!U880,"AAAAACON+wA=")</f>
        <v>#VALUE!</v>
      </c>
      <c r="B222" t="e">
        <f>AND(Bills!#REF!,"AAAAACON+wE=")</f>
        <v>#REF!</v>
      </c>
      <c r="C222" t="e">
        <f>AND(Bills!#REF!,"AAAAACON+wI=")</f>
        <v>#REF!</v>
      </c>
      <c r="D222" t="e">
        <f>AND(Bills!W880,"AAAAACON+wM=")</f>
        <v>#VALUE!</v>
      </c>
      <c r="E222" t="e">
        <f>AND(Bills!X880,"AAAAACON+wQ=")</f>
        <v>#VALUE!</v>
      </c>
      <c r="F222" t="e">
        <f>AND(Bills!#REF!,"AAAAACON+wU=")</f>
        <v>#REF!</v>
      </c>
      <c r="G222" t="e">
        <f>AND(Bills!#REF!,"AAAAACON+wY=")</f>
        <v>#REF!</v>
      </c>
      <c r="H222" t="e">
        <f>AND(Bills!#REF!,"AAAAACON+wc=")</f>
        <v>#REF!</v>
      </c>
      <c r="I222" t="e">
        <f>AND(Bills!#REF!,"AAAAACON+wg=")</f>
        <v>#REF!</v>
      </c>
      <c r="J222" t="e">
        <f>AND(Bills!#REF!,"AAAAACON+wk=")</f>
        <v>#REF!</v>
      </c>
      <c r="K222" t="e">
        <f>AND(Bills!#REF!,"AAAAACON+wo=")</f>
        <v>#REF!</v>
      </c>
      <c r="L222" t="e">
        <f>AND(Bills!#REF!,"AAAAACON+ws=")</f>
        <v>#REF!</v>
      </c>
      <c r="M222" t="e">
        <f>AND(Bills!#REF!,"AAAAACON+ww=")</f>
        <v>#REF!</v>
      </c>
      <c r="N222" t="e">
        <f>AND(Bills!#REF!,"AAAAACON+w0=")</f>
        <v>#REF!</v>
      </c>
      <c r="O222" t="e">
        <f>AND(Bills!Y880,"AAAAACON+w4=")</f>
        <v>#VALUE!</v>
      </c>
      <c r="P222" t="e">
        <f>AND(Bills!Z880,"AAAAACON+w8=")</f>
        <v>#VALUE!</v>
      </c>
      <c r="Q222" t="e">
        <f>AND(Bills!#REF!,"AAAAACON+xA=")</f>
        <v>#REF!</v>
      </c>
      <c r="R222" t="e">
        <f>AND(Bills!#REF!,"AAAAACON+xE=")</f>
        <v>#REF!</v>
      </c>
      <c r="S222" t="e">
        <f>AND(Bills!#REF!,"AAAAACON+xI=")</f>
        <v>#REF!</v>
      </c>
      <c r="T222" t="e">
        <f>AND(Bills!AA880,"AAAAACON+xM=")</f>
        <v>#VALUE!</v>
      </c>
      <c r="U222" t="e">
        <f>AND(Bills!AB880,"AAAAACON+xQ=")</f>
        <v>#VALUE!</v>
      </c>
      <c r="V222" t="e">
        <f>AND(Bills!#REF!,"AAAAACON+xU=")</f>
        <v>#REF!</v>
      </c>
      <c r="W222">
        <f>IF(Bills!881:881,"AAAAACON+xY=",0)</f>
        <v>0</v>
      </c>
      <c r="X222" t="e">
        <f>AND(Bills!B881,"AAAAACON+xc=")</f>
        <v>#VALUE!</v>
      </c>
      <c r="Y222" t="e">
        <f>AND(Bills!#REF!,"AAAAACON+xg=")</f>
        <v>#REF!</v>
      </c>
      <c r="Z222" t="e">
        <f>AND(Bills!C881,"AAAAACON+xk=")</f>
        <v>#VALUE!</v>
      </c>
      <c r="AA222" t="e">
        <f>AND(Bills!#REF!,"AAAAACON+xo=")</f>
        <v>#REF!</v>
      </c>
      <c r="AB222" t="e">
        <f>AND(Bills!#REF!,"AAAAACON+xs=")</f>
        <v>#REF!</v>
      </c>
      <c r="AC222" t="e">
        <f>AND(Bills!#REF!,"AAAAACON+xw=")</f>
        <v>#REF!</v>
      </c>
      <c r="AD222" t="e">
        <f>AND(Bills!#REF!,"AAAAACON+x0=")</f>
        <v>#REF!</v>
      </c>
      <c r="AE222" t="e">
        <f>AND(Bills!#REF!,"AAAAACON+x4=")</f>
        <v>#REF!</v>
      </c>
      <c r="AF222" t="e">
        <f>AND(Bills!D881,"AAAAACON+x8=")</f>
        <v>#VALUE!</v>
      </c>
      <c r="AG222" t="e">
        <f>AND(Bills!#REF!,"AAAAACON+yA=")</f>
        <v>#REF!</v>
      </c>
      <c r="AH222" t="e">
        <f>AND(Bills!E881,"AAAAACON+yE=")</f>
        <v>#VALUE!</v>
      </c>
      <c r="AI222" t="e">
        <f>AND(Bills!F881,"AAAAACON+yI=")</f>
        <v>#VALUE!</v>
      </c>
      <c r="AJ222" t="e">
        <f>AND(Bills!G881,"AAAAACON+yM=")</f>
        <v>#VALUE!</v>
      </c>
      <c r="AK222" t="e">
        <f>AND(Bills!H881,"AAAAACON+yQ=")</f>
        <v>#VALUE!</v>
      </c>
      <c r="AL222" t="e">
        <f>AND(Bills!I881,"AAAAACON+yU=")</f>
        <v>#VALUE!</v>
      </c>
      <c r="AM222" t="e">
        <f>AND(Bills!J881,"AAAAACON+yY=")</f>
        <v>#VALUE!</v>
      </c>
      <c r="AN222" t="e">
        <f>AND(Bills!#REF!,"AAAAACON+yc=")</f>
        <v>#REF!</v>
      </c>
      <c r="AO222" t="e">
        <f>AND(Bills!K881,"AAAAACON+yg=")</f>
        <v>#VALUE!</v>
      </c>
      <c r="AP222" t="e">
        <f>AND(Bills!L881,"AAAAACON+yk=")</f>
        <v>#VALUE!</v>
      </c>
      <c r="AQ222" t="e">
        <f>AND(Bills!M881,"AAAAACON+yo=")</f>
        <v>#VALUE!</v>
      </c>
      <c r="AR222" t="e">
        <f>AND(Bills!N881,"AAAAACON+ys=")</f>
        <v>#VALUE!</v>
      </c>
      <c r="AS222" t="e">
        <f>AND(Bills!O881,"AAAAACON+yw=")</f>
        <v>#VALUE!</v>
      </c>
      <c r="AT222" t="e">
        <f>AND(Bills!P881,"AAAAACON+y0=")</f>
        <v>#VALUE!</v>
      </c>
      <c r="AU222" t="e">
        <f>AND(Bills!Q881,"AAAAACON+y4=")</f>
        <v>#VALUE!</v>
      </c>
      <c r="AV222" t="e">
        <f>AND(Bills!R881,"AAAAACON+y8=")</f>
        <v>#VALUE!</v>
      </c>
      <c r="AW222" t="e">
        <f>AND(Bills!#REF!,"AAAAACON+zA=")</f>
        <v>#REF!</v>
      </c>
      <c r="AX222" t="e">
        <f>AND(Bills!S881,"AAAAACON+zE=")</f>
        <v>#VALUE!</v>
      </c>
      <c r="AY222" t="e">
        <f>AND(Bills!T881,"AAAAACON+zI=")</f>
        <v>#VALUE!</v>
      </c>
      <c r="AZ222" t="e">
        <f>AND(Bills!U881,"AAAAACON+zM=")</f>
        <v>#VALUE!</v>
      </c>
      <c r="BA222" t="e">
        <f>AND(Bills!#REF!,"AAAAACON+zQ=")</f>
        <v>#REF!</v>
      </c>
      <c r="BB222" t="e">
        <f>AND(Bills!#REF!,"AAAAACON+zU=")</f>
        <v>#REF!</v>
      </c>
      <c r="BC222" t="e">
        <f>AND(Bills!W881,"AAAAACON+zY=")</f>
        <v>#VALUE!</v>
      </c>
      <c r="BD222" t="e">
        <f>AND(Bills!X881,"AAAAACON+zc=")</f>
        <v>#VALUE!</v>
      </c>
      <c r="BE222" t="e">
        <f>AND(Bills!#REF!,"AAAAACON+zg=")</f>
        <v>#REF!</v>
      </c>
      <c r="BF222" t="e">
        <f>AND(Bills!#REF!,"AAAAACON+zk=")</f>
        <v>#REF!</v>
      </c>
      <c r="BG222" t="e">
        <f>AND(Bills!#REF!,"AAAAACON+zo=")</f>
        <v>#REF!</v>
      </c>
      <c r="BH222" t="e">
        <f>AND(Bills!#REF!,"AAAAACON+zs=")</f>
        <v>#REF!</v>
      </c>
      <c r="BI222" t="e">
        <f>AND(Bills!#REF!,"AAAAACON+zw=")</f>
        <v>#REF!</v>
      </c>
      <c r="BJ222" t="e">
        <f>AND(Bills!#REF!,"AAAAACON+z0=")</f>
        <v>#REF!</v>
      </c>
      <c r="BK222" t="e">
        <f>AND(Bills!#REF!,"AAAAACON+z4=")</f>
        <v>#REF!</v>
      </c>
      <c r="BL222" t="e">
        <f>AND(Bills!#REF!,"AAAAACON+z8=")</f>
        <v>#REF!</v>
      </c>
      <c r="BM222" t="e">
        <f>AND(Bills!#REF!,"AAAAACON+0A=")</f>
        <v>#REF!</v>
      </c>
      <c r="BN222" t="e">
        <f>AND(Bills!Y881,"AAAAACON+0E=")</f>
        <v>#VALUE!</v>
      </c>
      <c r="BO222" t="e">
        <f>AND(Bills!Z881,"AAAAACON+0I=")</f>
        <v>#VALUE!</v>
      </c>
      <c r="BP222" t="e">
        <f>AND(Bills!#REF!,"AAAAACON+0M=")</f>
        <v>#REF!</v>
      </c>
      <c r="BQ222" t="e">
        <f>AND(Bills!#REF!,"AAAAACON+0Q=")</f>
        <v>#REF!</v>
      </c>
      <c r="BR222" t="e">
        <f>AND(Bills!#REF!,"AAAAACON+0U=")</f>
        <v>#REF!</v>
      </c>
      <c r="BS222" t="e">
        <f>AND(Bills!AA881,"AAAAACON+0Y=")</f>
        <v>#VALUE!</v>
      </c>
      <c r="BT222" t="e">
        <f>AND(Bills!AB881,"AAAAACON+0c=")</f>
        <v>#VALUE!</v>
      </c>
      <c r="BU222" t="e">
        <f>AND(Bills!#REF!,"AAAAACON+0g=")</f>
        <v>#REF!</v>
      </c>
      <c r="BV222">
        <f>IF(Bills!882:882,"AAAAACON+0k=",0)</f>
        <v>0</v>
      </c>
      <c r="BW222" t="e">
        <f>AND(Bills!B882,"AAAAACON+0o=")</f>
        <v>#VALUE!</v>
      </c>
      <c r="BX222" t="e">
        <f>AND(Bills!#REF!,"AAAAACON+0s=")</f>
        <v>#REF!</v>
      </c>
      <c r="BY222" t="e">
        <f>AND(Bills!C882,"AAAAACON+0w=")</f>
        <v>#VALUE!</v>
      </c>
      <c r="BZ222" t="e">
        <f>AND(Bills!#REF!,"AAAAACON+00=")</f>
        <v>#REF!</v>
      </c>
      <c r="CA222" t="e">
        <f>AND(Bills!#REF!,"AAAAACON+04=")</f>
        <v>#REF!</v>
      </c>
      <c r="CB222" t="e">
        <f>AND(Bills!#REF!,"AAAAACON+08=")</f>
        <v>#REF!</v>
      </c>
      <c r="CC222" t="e">
        <f>AND(Bills!#REF!,"AAAAACON+1A=")</f>
        <v>#REF!</v>
      </c>
      <c r="CD222" t="e">
        <f>AND(Bills!#REF!,"AAAAACON+1E=")</f>
        <v>#REF!</v>
      </c>
      <c r="CE222" t="e">
        <f>AND(Bills!D882,"AAAAACON+1I=")</f>
        <v>#VALUE!</v>
      </c>
      <c r="CF222" t="e">
        <f>AND(Bills!#REF!,"AAAAACON+1M=")</f>
        <v>#REF!</v>
      </c>
      <c r="CG222" t="e">
        <f>AND(Bills!E882,"AAAAACON+1Q=")</f>
        <v>#VALUE!</v>
      </c>
      <c r="CH222" t="e">
        <f>AND(Bills!F882,"AAAAACON+1U=")</f>
        <v>#VALUE!</v>
      </c>
      <c r="CI222" t="e">
        <f>AND(Bills!G882,"AAAAACON+1Y=")</f>
        <v>#VALUE!</v>
      </c>
      <c r="CJ222" t="e">
        <f>AND(Bills!H882,"AAAAACON+1c=")</f>
        <v>#VALUE!</v>
      </c>
      <c r="CK222" t="e">
        <f>AND(Bills!I882,"AAAAACON+1g=")</f>
        <v>#VALUE!</v>
      </c>
      <c r="CL222" t="e">
        <f>AND(Bills!J882,"AAAAACON+1k=")</f>
        <v>#VALUE!</v>
      </c>
      <c r="CM222" t="e">
        <f>AND(Bills!#REF!,"AAAAACON+1o=")</f>
        <v>#REF!</v>
      </c>
      <c r="CN222" t="e">
        <f>AND(Bills!K882,"AAAAACON+1s=")</f>
        <v>#VALUE!</v>
      </c>
      <c r="CO222" t="e">
        <f>AND(Bills!L882,"AAAAACON+1w=")</f>
        <v>#VALUE!</v>
      </c>
      <c r="CP222" t="e">
        <f>AND(Bills!M882,"AAAAACON+10=")</f>
        <v>#VALUE!</v>
      </c>
      <c r="CQ222" t="e">
        <f>AND(Bills!N882,"AAAAACON+14=")</f>
        <v>#VALUE!</v>
      </c>
      <c r="CR222" t="e">
        <f>AND(Bills!O882,"AAAAACON+18=")</f>
        <v>#VALUE!</v>
      </c>
      <c r="CS222" t="e">
        <f>AND(Bills!P882,"AAAAACON+2A=")</f>
        <v>#VALUE!</v>
      </c>
      <c r="CT222" t="e">
        <f>AND(Bills!Q882,"AAAAACON+2E=")</f>
        <v>#VALUE!</v>
      </c>
      <c r="CU222" t="e">
        <f>AND(Bills!R882,"AAAAACON+2I=")</f>
        <v>#VALUE!</v>
      </c>
      <c r="CV222" t="e">
        <f>AND(Bills!#REF!,"AAAAACON+2M=")</f>
        <v>#REF!</v>
      </c>
      <c r="CW222" t="e">
        <f>AND(Bills!S882,"AAAAACON+2Q=")</f>
        <v>#VALUE!</v>
      </c>
      <c r="CX222" t="e">
        <f>AND(Bills!T882,"AAAAACON+2U=")</f>
        <v>#VALUE!</v>
      </c>
      <c r="CY222" t="e">
        <f>AND(Bills!U882,"AAAAACON+2Y=")</f>
        <v>#VALUE!</v>
      </c>
      <c r="CZ222" t="e">
        <f>AND(Bills!#REF!,"AAAAACON+2c=")</f>
        <v>#REF!</v>
      </c>
      <c r="DA222" t="e">
        <f>AND(Bills!#REF!,"AAAAACON+2g=")</f>
        <v>#REF!</v>
      </c>
      <c r="DB222" t="e">
        <f>AND(Bills!W882,"AAAAACON+2k=")</f>
        <v>#VALUE!</v>
      </c>
      <c r="DC222" t="e">
        <f>AND(Bills!X882,"AAAAACON+2o=")</f>
        <v>#VALUE!</v>
      </c>
      <c r="DD222" t="e">
        <f>AND(Bills!#REF!,"AAAAACON+2s=")</f>
        <v>#REF!</v>
      </c>
      <c r="DE222" t="e">
        <f>AND(Bills!#REF!,"AAAAACON+2w=")</f>
        <v>#REF!</v>
      </c>
      <c r="DF222" t="e">
        <f>AND(Bills!#REF!,"AAAAACON+20=")</f>
        <v>#REF!</v>
      </c>
      <c r="DG222" t="e">
        <f>AND(Bills!#REF!,"AAAAACON+24=")</f>
        <v>#REF!</v>
      </c>
      <c r="DH222" t="e">
        <f>AND(Bills!#REF!,"AAAAACON+28=")</f>
        <v>#REF!</v>
      </c>
      <c r="DI222" t="e">
        <f>AND(Bills!#REF!,"AAAAACON+3A=")</f>
        <v>#REF!</v>
      </c>
      <c r="DJ222" t="e">
        <f>AND(Bills!#REF!,"AAAAACON+3E=")</f>
        <v>#REF!</v>
      </c>
      <c r="DK222" t="e">
        <f>AND(Bills!#REF!,"AAAAACON+3I=")</f>
        <v>#REF!</v>
      </c>
      <c r="DL222" t="e">
        <f>AND(Bills!#REF!,"AAAAACON+3M=")</f>
        <v>#REF!</v>
      </c>
      <c r="DM222" t="e">
        <f>AND(Bills!Y882,"AAAAACON+3Q=")</f>
        <v>#VALUE!</v>
      </c>
      <c r="DN222" t="e">
        <f>AND(Bills!Z882,"AAAAACON+3U=")</f>
        <v>#VALUE!</v>
      </c>
      <c r="DO222" t="e">
        <f>AND(Bills!#REF!,"AAAAACON+3Y=")</f>
        <v>#REF!</v>
      </c>
      <c r="DP222" t="e">
        <f>AND(Bills!#REF!,"AAAAACON+3c=")</f>
        <v>#REF!</v>
      </c>
      <c r="DQ222" t="e">
        <f>AND(Bills!#REF!,"AAAAACON+3g=")</f>
        <v>#REF!</v>
      </c>
      <c r="DR222" t="e">
        <f>AND(Bills!AA882,"AAAAACON+3k=")</f>
        <v>#VALUE!</v>
      </c>
      <c r="DS222" t="e">
        <f>AND(Bills!AB882,"AAAAACON+3o=")</f>
        <v>#VALUE!</v>
      </c>
      <c r="DT222" t="e">
        <f>AND(Bills!#REF!,"AAAAACON+3s=")</f>
        <v>#REF!</v>
      </c>
      <c r="DU222">
        <f>IF(Bills!883:883,"AAAAACON+3w=",0)</f>
        <v>0</v>
      </c>
      <c r="DV222" t="e">
        <f>AND(Bills!B883,"AAAAACON+30=")</f>
        <v>#VALUE!</v>
      </c>
      <c r="DW222" t="e">
        <f>AND(Bills!#REF!,"AAAAACON+34=")</f>
        <v>#REF!</v>
      </c>
      <c r="DX222" t="e">
        <f>AND(Bills!C883,"AAAAACON+38=")</f>
        <v>#VALUE!</v>
      </c>
      <c r="DY222" t="e">
        <f>AND(Bills!#REF!,"AAAAACON+4A=")</f>
        <v>#REF!</v>
      </c>
      <c r="DZ222" t="e">
        <f>AND(Bills!#REF!,"AAAAACON+4E=")</f>
        <v>#REF!</v>
      </c>
      <c r="EA222" t="e">
        <f>AND(Bills!#REF!,"AAAAACON+4I=")</f>
        <v>#REF!</v>
      </c>
      <c r="EB222" t="e">
        <f>AND(Bills!#REF!,"AAAAACON+4M=")</f>
        <v>#REF!</v>
      </c>
      <c r="EC222" t="e">
        <f>AND(Bills!#REF!,"AAAAACON+4Q=")</f>
        <v>#REF!</v>
      </c>
      <c r="ED222" t="e">
        <f>AND(Bills!D883,"AAAAACON+4U=")</f>
        <v>#VALUE!</v>
      </c>
      <c r="EE222" t="e">
        <f>AND(Bills!#REF!,"AAAAACON+4Y=")</f>
        <v>#REF!</v>
      </c>
      <c r="EF222" t="e">
        <f>AND(Bills!E883,"AAAAACON+4c=")</f>
        <v>#VALUE!</v>
      </c>
      <c r="EG222" t="e">
        <f>AND(Bills!F883,"AAAAACON+4g=")</f>
        <v>#VALUE!</v>
      </c>
      <c r="EH222" t="e">
        <f>AND(Bills!G883,"AAAAACON+4k=")</f>
        <v>#VALUE!</v>
      </c>
      <c r="EI222" t="e">
        <f>AND(Bills!H883,"AAAAACON+4o=")</f>
        <v>#VALUE!</v>
      </c>
      <c r="EJ222" t="e">
        <f>AND(Bills!I883,"AAAAACON+4s=")</f>
        <v>#VALUE!</v>
      </c>
      <c r="EK222" t="e">
        <f>AND(Bills!J883,"AAAAACON+4w=")</f>
        <v>#VALUE!</v>
      </c>
      <c r="EL222" t="e">
        <f>AND(Bills!#REF!,"AAAAACON+40=")</f>
        <v>#REF!</v>
      </c>
      <c r="EM222" t="e">
        <f>AND(Bills!K883,"AAAAACON+44=")</f>
        <v>#VALUE!</v>
      </c>
      <c r="EN222" t="e">
        <f>AND(Bills!L883,"AAAAACON+48=")</f>
        <v>#VALUE!</v>
      </c>
      <c r="EO222" t="e">
        <f>AND(Bills!M883,"AAAAACON+5A=")</f>
        <v>#VALUE!</v>
      </c>
      <c r="EP222" t="e">
        <f>AND(Bills!N883,"AAAAACON+5E=")</f>
        <v>#VALUE!</v>
      </c>
      <c r="EQ222" t="e">
        <f>AND(Bills!O883,"AAAAACON+5I=")</f>
        <v>#VALUE!</v>
      </c>
      <c r="ER222" t="e">
        <f>AND(Bills!P883,"AAAAACON+5M=")</f>
        <v>#VALUE!</v>
      </c>
      <c r="ES222" t="e">
        <f>AND(Bills!Q883,"AAAAACON+5Q=")</f>
        <v>#VALUE!</v>
      </c>
      <c r="ET222" t="e">
        <f>AND(Bills!R883,"AAAAACON+5U=")</f>
        <v>#VALUE!</v>
      </c>
      <c r="EU222" t="e">
        <f>AND(Bills!#REF!,"AAAAACON+5Y=")</f>
        <v>#REF!</v>
      </c>
      <c r="EV222" t="e">
        <f>AND(Bills!S883,"AAAAACON+5c=")</f>
        <v>#VALUE!</v>
      </c>
      <c r="EW222" t="e">
        <f>AND(Bills!T883,"AAAAACON+5g=")</f>
        <v>#VALUE!</v>
      </c>
      <c r="EX222" t="e">
        <f>AND(Bills!U883,"AAAAACON+5k=")</f>
        <v>#VALUE!</v>
      </c>
      <c r="EY222" t="e">
        <f>AND(Bills!#REF!,"AAAAACON+5o=")</f>
        <v>#REF!</v>
      </c>
      <c r="EZ222" t="e">
        <f>AND(Bills!#REF!,"AAAAACON+5s=")</f>
        <v>#REF!</v>
      </c>
      <c r="FA222" t="e">
        <f>AND(Bills!W883,"AAAAACON+5w=")</f>
        <v>#VALUE!</v>
      </c>
      <c r="FB222" t="e">
        <f>AND(Bills!X883,"AAAAACON+50=")</f>
        <v>#VALUE!</v>
      </c>
      <c r="FC222" t="e">
        <f>AND(Bills!#REF!,"AAAAACON+54=")</f>
        <v>#REF!</v>
      </c>
      <c r="FD222" t="e">
        <f>AND(Bills!#REF!,"AAAAACON+58=")</f>
        <v>#REF!</v>
      </c>
      <c r="FE222" t="e">
        <f>AND(Bills!#REF!,"AAAAACON+6A=")</f>
        <v>#REF!</v>
      </c>
      <c r="FF222" t="e">
        <f>AND(Bills!#REF!,"AAAAACON+6E=")</f>
        <v>#REF!</v>
      </c>
      <c r="FG222" t="e">
        <f>AND(Bills!#REF!,"AAAAACON+6I=")</f>
        <v>#REF!</v>
      </c>
      <c r="FH222" t="e">
        <f>AND(Bills!#REF!,"AAAAACON+6M=")</f>
        <v>#REF!</v>
      </c>
      <c r="FI222" t="e">
        <f>AND(Bills!#REF!,"AAAAACON+6Q=")</f>
        <v>#REF!</v>
      </c>
      <c r="FJ222" t="e">
        <f>AND(Bills!#REF!,"AAAAACON+6U=")</f>
        <v>#REF!</v>
      </c>
      <c r="FK222" t="e">
        <f>AND(Bills!#REF!,"AAAAACON+6Y=")</f>
        <v>#REF!</v>
      </c>
      <c r="FL222" t="e">
        <f>AND(Bills!Y883,"AAAAACON+6c=")</f>
        <v>#VALUE!</v>
      </c>
      <c r="FM222" t="e">
        <f>AND(Bills!Z883,"AAAAACON+6g=")</f>
        <v>#VALUE!</v>
      </c>
      <c r="FN222" t="e">
        <f>AND(Bills!#REF!,"AAAAACON+6k=")</f>
        <v>#REF!</v>
      </c>
      <c r="FO222" t="e">
        <f>AND(Bills!#REF!,"AAAAACON+6o=")</f>
        <v>#REF!</v>
      </c>
      <c r="FP222" t="e">
        <f>AND(Bills!#REF!,"AAAAACON+6s=")</f>
        <v>#REF!</v>
      </c>
      <c r="FQ222" t="e">
        <f>AND(Bills!AA883,"AAAAACON+6w=")</f>
        <v>#VALUE!</v>
      </c>
      <c r="FR222" t="e">
        <f>AND(Bills!AB883,"AAAAACON+60=")</f>
        <v>#VALUE!</v>
      </c>
      <c r="FS222" t="e">
        <f>AND(Bills!#REF!,"AAAAACON+64=")</f>
        <v>#REF!</v>
      </c>
      <c r="FT222">
        <f>IF(Bills!884:884,"AAAAACON+68=",0)</f>
        <v>0</v>
      </c>
      <c r="FU222" t="e">
        <f>AND(Bills!B884,"AAAAACON+7A=")</f>
        <v>#VALUE!</v>
      </c>
      <c r="FV222" t="e">
        <f>AND(Bills!#REF!,"AAAAACON+7E=")</f>
        <v>#REF!</v>
      </c>
      <c r="FW222" t="e">
        <f>AND(Bills!C884,"AAAAACON+7I=")</f>
        <v>#VALUE!</v>
      </c>
      <c r="FX222" t="e">
        <f>AND(Bills!#REF!,"AAAAACON+7M=")</f>
        <v>#REF!</v>
      </c>
      <c r="FY222" t="e">
        <f>AND(Bills!#REF!,"AAAAACON+7Q=")</f>
        <v>#REF!</v>
      </c>
      <c r="FZ222" t="e">
        <f>AND(Bills!#REF!,"AAAAACON+7U=")</f>
        <v>#REF!</v>
      </c>
      <c r="GA222" t="e">
        <f>AND(Bills!#REF!,"AAAAACON+7Y=")</f>
        <v>#REF!</v>
      </c>
      <c r="GB222" t="e">
        <f>AND(Bills!#REF!,"AAAAACON+7c=")</f>
        <v>#REF!</v>
      </c>
      <c r="GC222" t="e">
        <f>AND(Bills!D884,"AAAAACON+7g=")</f>
        <v>#VALUE!</v>
      </c>
      <c r="GD222" t="e">
        <f>AND(Bills!#REF!,"AAAAACON+7k=")</f>
        <v>#REF!</v>
      </c>
      <c r="GE222" t="e">
        <f>AND(Bills!E884,"AAAAACON+7o=")</f>
        <v>#VALUE!</v>
      </c>
      <c r="GF222" t="e">
        <f>AND(Bills!F884,"AAAAACON+7s=")</f>
        <v>#VALUE!</v>
      </c>
      <c r="GG222" t="e">
        <f>AND(Bills!G884,"AAAAACON+7w=")</f>
        <v>#VALUE!</v>
      </c>
      <c r="GH222" t="e">
        <f>AND(Bills!H884,"AAAAACON+70=")</f>
        <v>#VALUE!</v>
      </c>
      <c r="GI222" t="e">
        <f>AND(Bills!I884,"AAAAACON+74=")</f>
        <v>#VALUE!</v>
      </c>
      <c r="GJ222" t="e">
        <f>AND(Bills!J884,"AAAAACON+78=")</f>
        <v>#VALUE!</v>
      </c>
      <c r="GK222" t="e">
        <f>AND(Bills!#REF!,"AAAAACON+8A=")</f>
        <v>#REF!</v>
      </c>
      <c r="GL222" t="e">
        <f>AND(Bills!K884,"AAAAACON+8E=")</f>
        <v>#VALUE!</v>
      </c>
      <c r="GM222" t="e">
        <f>AND(Bills!L884,"AAAAACON+8I=")</f>
        <v>#VALUE!</v>
      </c>
      <c r="GN222" t="e">
        <f>AND(Bills!M884,"AAAAACON+8M=")</f>
        <v>#VALUE!</v>
      </c>
      <c r="GO222" t="e">
        <f>AND(Bills!N884,"AAAAACON+8Q=")</f>
        <v>#VALUE!</v>
      </c>
      <c r="GP222" t="e">
        <f>AND(Bills!O884,"AAAAACON+8U=")</f>
        <v>#VALUE!</v>
      </c>
      <c r="GQ222" t="e">
        <f>AND(Bills!P884,"AAAAACON+8Y=")</f>
        <v>#VALUE!</v>
      </c>
      <c r="GR222" t="e">
        <f>AND(Bills!Q884,"AAAAACON+8c=")</f>
        <v>#VALUE!</v>
      </c>
      <c r="GS222" t="e">
        <f>AND(Bills!R884,"AAAAACON+8g=")</f>
        <v>#VALUE!</v>
      </c>
      <c r="GT222" t="e">
        <f>AND(Bills!#REF!,"AAAAACON+8k=")</f>
        <v>#REF!</v>
      </c>
      <c r="GU222" t="e">
        <f>AND(Bills!S884,"AAAAACON+8o=")</f>
        <v>#VALUE!</v>
      </c>
      <c r="GV222" t="e">
        <f>AND(Bills!T884,"AAAAACON+8s=")</f>
        <v>#VALUE!</v>
      </c>
      <c r="GW222" t="e">
        <f>AND(Bills!U884,"AAAAACON+8w=")</f>
        <v>#VALUE!</v>
      </c>
      <c r="GX222" t="e">
        <f>AND(Bills!#REF!,"AAAAACON+80=")</f>
        <v>#REF!</v>
      </c>
      <c r="GY222" t="e">
        <f>AND(Bills!#REF!,"AAAAACON+84=")</f>
        <v>#REF!</v>
      </c>
      <c r="GZ222" t="e">
        <f>AND(Bills!W884,"AAAAACON+88=")</f>
        <v>#VALUE!</v>
      </c>
      <c r="HA222" t="e">
        <f>AND(Bills!X884,"AAAAACON+9A=")</f>
        <v>#VALUE!</v>
      </c>
      <c r="HB222" t="e">
        <f>AND(Bills!#REF!,"AAAAACON+9E=")</f>
        <v>#REF!</v>
      </c>
      <c r="HC222" t="e">
        <f>AND(Bills!#REF!,"AAAAACON+9I=")</f>
        <v>#REF!</v>
      </c>
      <c r="HD222" t="e">
        <f>AND(Bills!#REF!,"AAAAACON+9M=")</f>
        <v>#REF!</v>
      </c>
      <c r="HE222" t="e">
        <f>AND(Bills!#REF!,"AAAAACON+9Q=")</f>
        <v>#REF!</v>
      </c>
      <c r="HF222" t="e">
        <f>AND(Bills!#REF!,"AAAAACON+9U=")</f>
        <v>#REF!</v>
      </c>
      <c r="HG222" t="e">
        <f>AND(Bills!#REF!,"AAAAACON+9Y=")</f>
        <v>#REF!</v>
      </c>
      <c r="HH222" t="e">
        <f>AND(Bills!#REF!,"AAAAACON+9c=")</f>
        <v>#REF!</v>
      </c>
      <c r="HI222" t="e">
        <f>AND(Bills!#REF!,"AAAAACON+9g=")</f>
        <v>#REF!</v>
      </c>
      <c r="HJ222" t="e">
        <f>AND(Bills!#REF!,"AAAAACON+9k=")</f>
        <v>#REF!</v>
      </c>
      <c r="HK222" t="e">
        <f>AND(Bills!Y884,"AAAAACON+9o=")</f>
        <v>#VALUE!</v>
      </c>
      <c r="HL222" t="e">
        <f>AND(Bills!Z884,"AAAAACON+9s=")</f>
        <v>#VALUE!</v>
      </c>
      <c r="HM222" t="e">
        <f>AND(Bills!#REF!,"AAAAACON+9w=")</f>
        <v>#REF!</v>
      </c>
      <c r="HN222" t="e">
        <f>AND(Bills!#REF!,"AAAAACON+90=")</f>
        <v>#REF!</v>
      </c>
      <c r="HO222" t="e">
        <f>AND(Bills!#REF!,"AAAAACON+94=")</f>
        <v>#REF!</v>
      </c>
      <c r="HP222" t="e">
        <f>AND(Bills!AA884,"AAAAACON+98=")</f>
        <v>#VALUE!</v>
      </c>
      <c r="HQ222" t="e">
        <f>AND(Bills!AB884,"AAAAACON++A=")</f>
        <v>#VALUE!</v>
      </c>
      <c r="HR222" t="e">
        <f>AND(Bills!#REF!,"AAAAACON++E=")</f>
        <v>#REF!</v>
      </c>
      <c r="HS222">
        <f>IF(Bills!885:885,"AAAAACON++I=",0)</f>
        <v>0</v>
      </c>
      <c r="HT222" t="e">
        <f>AND(Bills!B885,"AAAAACON++M=")</f>
        <v>#VALUE!</v>
      </c>
      <c r="HU222" t="e">
        <f>AND(Bills!#REF!,"AAAAACON++Q=")</f>
        <v>#REF!</v>
      </c>
      <c r="HV222" t="e">
        <f>AND(Bills!C885,"AAAAACON++U=")</f>
        <v>#VALUE!</v>
      </c>
      <c r="HW222" t="e">
        <f>AND(Bills!#REF!,"AAAAACON++Y=")</f>
        <v>#REF!</v>
      </c>
      <c r="HX222" t="e">
        <f>AND(Bills!#REF!,"AAAAACON++c=")</f>
        <v>#REF!</v>
      </c>
      <c r="HY222" t="e">
        <f>AND(Bills!#REF!,"AAAAACON++g=")</f>
        <v>#REF!</v>
      </c>
      <c r="HZ222" t="e">
        <f>AND(Bills!#REF!,"AAAAACON++k=")</f>
        <v>#REF!</v>
      </c>
      <c r="IA222" t="e">
        <f>AND(Bills!#REF!,"AAAAACON++o=")</f>
        <v>#REF!</v>
      </c>
      <c r="IB222" t="e">
        <f>AND(Bills!D885,"AAAAACON++s=")</f>
        <v>#VALUE!</v>
      </c>
      <c r="IC222" t="e">
        <f>AND(Bills!#REF!,"AAAAACON++w=")</f>
        <v>#REF!</v>
      </c>
      <c r="ID222" t="e">
        <f>AND(Bills!E885,"AAAAACON++0=")</f>
        <v>#VALUE!</v>
      </c>
      <c r="IE222" t="e">
        <f>AND(Bills!F885,"AAAAACON++4=")</f>
        <v>#VALUE!</v>
      </c>
      <c r="IF222" t="e">
        <f>AND(Bills!G885,"AAAAACON++8=")</f>
        <v>#VALUE!</v>
      </c>
      <c r="IG222" t="e">
        <f>AND(Bills!H885,"AAAAACON+/A=")</f>
        <v>#VALUE!</v>
      </c>
      <c r="IH222" t="e">
        <f>AND(Bills!I885,"AAAAACON+/E=")</f>
        <v>#VALUE!</v>
      </c>
      <c r="II222" t="e">
        <f>AND(Bills!J885,"AAAAACON+/I=")</f>
        <v>#VALUE!</v>
      </c>
      <c r="IJ222" t="e">
        <f>AND(Bills!#REF!,"AAAAACON+/M=")</f>
        <v>#REF!</v>
      </c>
      <c r="IK222" t="e">
        <f>AND(Bills!K885,"AAAAACON+/Q=")</f>
        <v>#VALUE!</v>
      </c>
      <c r="IL222" t="e">
        <f>AND(Bills!L885,"AAAAACON+/U=")</f>
        <v>#VALUE!</v>
      </c>
      <c r="IM222" t="e">
        <f>AND(Bills!M885,"AAAAACON+/Y=")</f>
        <v>#VALUE!</v>
      </c>
      <c r="IN222" t="e">
        <f>AND(Bills!N885,"AAAAACON+/c=")</f>
        <v>#VALUE!</v>
      </c>
      <c r="IO222" t="e">
        <f>AND(Bills!O885,"AAAAACON+/g=")</f>
        <v>#VALUE!</v>
      </c>
      <c r="IP222" t="e">
        <f>AND(Bills!P885,"AAAAACON+/k=")</f>
        <v>#VALUE!</v>
      </c>
      <c r="IQ222" t="e">
        <f>AND(Bills!Q885,"AAAAACON+/o=")</f>
        <v>#VALUE!</v>
      </c>
      <c r="IR222" t="e">
        <f>AND(Bills!R885,"AAAAACON+/s=")</f>
        <v>#VALUE!</v>
      </c>
      <c r="IS222" t="e">
        <f>AND(Bills!#REF!,"AAAAACON+/w=")</f>
        <v>#REF!</v>
      </c>
      <c r="IT222" t="e">
        <f>AND(Bills!S885,"AAAAACON+/0=")</f>
        <v>#VALUE!</v>
      </c>
      <c r="IU222" t="e">
        <f>AND(Bills!T885,"AAAAACON+/4=")</f>
        <v>#VALUE!</v>
      </c>
      <c r="IV222" t="e">
        <f>AND(Bills!U885,"AAAAACON+/8=")</f>
        <v>#VALUE!</v>
      </c>
    </row>
    <row r="223" spans="1:256">
      <c r="A223" t="e">
        <f>AND(Bills!#REF!,"AAAAAEf57wA=")</f>
        <v>#REF!</v>
      </c>
      <c r="B223" t="e">
        <f>AND(Bills!#REF!,"AAAAAEf57wE=")</f>
        <v>#REF!</v>
      </c>
      <c r="C223" t="e">
        <f>AND(Bills!W885,"AAAAAEf57wI=")</f>
        <v>#VALUE!</v>
      </c>
      <c r="D223" t="e">
        <f>AND(Bills!X885,"AAAAAEf57wM=")</f>
        <v>#VALUE!</v>
      </c>
      <c r="E223" t="e">
        <f>AND(Bills!#REF!,"AAAAAEf57wQ=")</f>
        <v>#REF!</v>
      </c>
      <c r="F223" t="e">
        <f>AND(Bills!#REF!,"AAAAAEf57wU=")</f>
        <v>#REF!</v>
      </c>
      <c r="G223" t="e">
        <f>AND(Bills!#REF!,"AAAAAEf57wY=")</f>
        <v>#REF!</v>
      </c>
      <c r="H223" t="e">
        <f>AND(Bills!#REF!,"AAAAAEf57wc=")</f>
        <v>#REF!</v>
      </c>
      <c r="I223" t="e">
        <f>AND(Bills!#REF!,"AAAAAEf57wg=")</f>
        <v>#REF!</v>
      </c>
      <c r="J223" t="e">
        <f>AND(Bills!#REF!,"AAAAAEf57wk=")</f>
        <v>#REF!</v>
      </c>
      <c r="K223" t="e">
        <f>AND(Bills!#REF!,"AAAAAEf57wo=")</f>
        <v>#REF!</v>
      </c>
      <c r="L223" t="e">
        <f>AND(Bills!#REF!,"AAAAAEf57ws=")</f>
        <v>#REF!</v>
      </c>
      <c r="M223" t="e">
        <f>AND(Bills!#REF!,"AAAAAEf57ww=")</f>
        <v>#REF!</v>
      </c>
      <c r="N223" t="e">
        <f>AND(Bills!Y885,"AAAAAEf57w0=")</f>
        <v>#VALUE!</v>
      </c>
      <c r="O223" t="e">
        <f>AND(Bills!Z885,"AAAAAEf57w4=")</f>
        <v>#VALUE!</v>
      </c>
      <c r="P223" t="e">
        <f>AND(Bills!#REF!,"AAAAAEf57w8=")</f>
        <v>#REF!</v>
      </c>
      <c r="Q223" t="e">
        <f>AND(Bills!#REF!,"AAAAAEf57xA=")</f>
        <v>#REF!</v>
      </c>
      <c r="R223" t="e">
        <f>AND(Bills!#REF!,"AAAAAEf57xE=")</f>
        <v>#REF!</v>
      </c>
      <c r="S223" t="e">
        <f>AND(Bills!AA885,"AAAAAEf57xI=")</f>
        <v>#VALUE!</v>
      </c>
      <c r="T223" t="e">
        <f>AND(Bills!AB885,"AAAAAEf57xM=")</f>
        <v>#VALUE!</v>
      </c>
      <c r="U223" t="e">
        <f>AND(Bills!#REF!,"AAAAAEf57xQ=")</f>
        <v>#REF!</v>
      </c>
      <c r="V223">
        <f>IF(Bills!886:886,"AAAAAEf57xU=",0)</f>
        <v>0</v>
      </c>
      <c r="W223" t="e">
        <f>AND(Bills!B886,"AAAAAEf57xY=")</f>
        <v>#VALUE!</v>
      </c>
      <c r="X223" t="e">
        <f>AND(Bills!#REF!,"AAAAAEf57xc=")</f>
        <v>#REF!</v>
      </c>
      <c r="Y223" t="e">
        <f>AND(Bills!C886,"AAAAAEf57xg=")</f>
        <v>#VALUE!</v>
      </c>
      <c r="Z223" t="e">
        <f>AND(Bills!#REF!,"AAAAAEf57xk=")</f>
        <v>#REF!</v>
      </c>
      <c r="AA223" t="e">
        <f>AND(Bills!#REF!,"AAAAAEf57xo=")</f>
        <v>#REF!</v>
      </c>
      <c r="AB223" t="e">
        <f>AND(Bills!#REF!,"AAAAAEf57xs=")</f>
        <v>#REF!</v>
      </c>
      <c r="AC223" t="e">
        <f>AND(Bills!#REF!,"AAAAAEf57xw=")</f>
        <v>#REF!</v>
      </c>
      <c r="AD223" t="e">
        <f>AND(Bills!#REF!,"AAAAAEf57x0=")</f>
        <v>#REF!</v>
      </c>
      <c r="AE223" t="e">
        <f>AND(Bills!D886,"AAAAAEf57x4=")</f>
        <v>#VALUE!</v>
      </c>
      <c r="AF223" t="e">
        <f>AND(Bills!#REF!,"AAAAAEf57x8=")</f>
        <v>#REF!</v>
      </c>
      <c r="AG223" t="e">
        <f>AND(Bills!E886,"AAAAAEf57yA=")</f>
        <v>#VALUE!</v>
      </c>
      <c r="AH223" t="e">
        <f>AND(Bills!F886,"AAAAAEf57yE=")</f>
        <v>#VALUE!</v>
      </c>
      <c r="AI223" t="e">
        <f>AND(Bills!G886,"AAAAAEf57yI=")</f>
        <v>#VALUE!</v>
      </c>
      <c r="AJ223" t="e">
        <f>AND(Bills!H886,"AAAAAEf57yM=")</f>
        <v>#VALUE!</v>
      </c>
      <c r="AK223" t="e">
        <f>AND(Bills!I886,"AAAAAEf57yQ=")</f>
        <v>#VALUE!</v>
      </c>
      <c r="AL223" t="e">
        <f>AND(Bills!J886,"AAAAAEf57yU=")</f>
        <v>#VALUE!</v>
      </c>
      <c r="AM223" t="e">
        <f>AND(Bills!#REF!,"AAAAAEf57yY=")</f>
        <v>#REF!</v>
      </c>
      <c r="AN223" t="e">
        <f>AND(Bills!K886,"AAAAAEf57yc=")</f>
        <v>#VALUE!</v>
      </c>
      <c r="AO223" t="e">
        <f>AND(Bills!L886,"AAAAAEf57yg=")</f>
        <v>#VALUE!</v>
      </c>
      <c r="AP223" t="e">
        <f>AND(Bills!M886,"AAAAAEf57yk=")</f>
        <v>#VALUE!</v>
      </c>
      <c r="AQ223" t="e">
        <f>AND(Bills!N886,"AAAAAEf57yo=")</f>
        <v>#VALUE!</v>
      </c>
      <c r="AR223" t="e">
        <f>AND(Bills!O886,"AAAAAEf57ys=")</f>
        <v>#VALUE!</v>
      </c>
      <c r="AS223" t="e">
        <f>AND(Bills!P886,"AAAAAEf57yw=")</f>
        <v>#VALUE!</v>
      </c>
      <c r="AT223" t="e">
        <f>AND(Bills!Q886,"AAAAAEf57y0=")</f>
        <v>#VALUE!</v>
      </c>
      <c r="AU223" t="e">
        <f>AND(Bills!R886,"AAAAAEf57y4=")</f>
        <v>#VALUE!</v>
      </c>
      <c r="AV223" t="e">
        <f>AND(Bills!#REF!,"AAAAAEf57y8=")</f>
        <v>#REF!</v>
      </c>
      <c r="AW223" t="e">
        <f>AND(Bills!S886,"AAAAAEf57zA=")</f>
        <v>#VALUE!</v>
      </c>
      <c r="AX223" t="e">
        <f>AND(Bills!T886,"AAAAAEf57zE=")</f>
        <v>#VALUE!</v>
      </c>
      <c r="AY223" t="e">
        <f>AND(Bills!U886,"AAAAAEf57zI=")</f>
        <v>#VALUE!</v>
      </c>
      <c r="AZ223" t="e">
        <f>AND(Bills!#REF!,"AAAAAEf57zM=")</f>
        <v>#REF!</v>
      </c>
      <c r="BA223" t="e">
        <f>AND(Bills!#REF!,"AAAAAEf57zQ=")</f>
        <v>#REF!</v>
      </c>
      <c r="BB223" t="e">
        <f>AND(Bills!W886,"AAAAAEf57zU=")</f>
        <v>#VALUE!</v>
      </c>
      <c r="BC223" t="e">
        <f>AND(Bills!X886,"AAAAAEf57zY=")</f>
        <v>#VALUE!</v>
      </c>
      <c r="BD223" t="e">
        <f>AND(Bills!#REF!,"AAAAAEf57zc=")</f>
        <v>#REF!</v>
      </c>
      <c r="BE223" t="e">
        <f>AND(Bills!#REF!,"AAAAAEf57zg=")</f>
        <v>#REF!</v>
      </c>
      <c r="BF223" t="e">
        <f>AND(Bills!#REF!,"AAAAAEf57zk=")</f>
        <v>#REF!</v>
      </c>
      <c r="BG223" t="e">
        <f>AND(Bills!#REF!,"AAAAAEf57zo=")</f>
        <v>#REF!</v>
      </c>
      <c r="BH223" t="e">
        <f>AND(Bills!#REF!,"AAAAAEf57zs=")</f>
        <v>#REF!</v>
      </c>
      <c r="BI223" t="e">
        <f>AND(Bills!#REF!,"AAAAAEf57zw=")</f>
        <v>#REF!</v>
      </c>
      <c r="BJ223" t="e">
        <f>AND(Bills!#REF!,"AAAAAEf57z0=")</f>
        <v>#REF!</v>
      </c>
      <c r="BK223" t="e">
        <f>AND(Bills!#REF!,"AAAAAEf57z4=")</f>
        <v>#REF!</v>
      </c>
      <c r="BL223" t="e">
        <f>AND(Bills!#REF!,"AAAAAEf57z8=")</f>
        <v>#REF!</v>
      </c>
      <c r="BM223" t="e">
        <f>AND(Bills!Y886,"AAAAAEf570A=")</f>
        <v>#VALUE!</v>
      </c>
      <c r="BN223" t="e">
        <f>AND(Bills!Z886,"AAAAAEf570E=")</f>
        <v>#VALUE!</v>
      </c>
      <c r="BO223" t="e">
        <f>AND(Bills!#REF!,"AAAAAEf570I=")</f>
        <v>#REF!</v>
      </c>
      <c r="BP223" t="e">
        <f>AND(Bills!#REF!,"AAAAAEf570M=")</f>
        <v>#REF!</v>
      </c>
      <c r="BQ223" t="e">
        <f>AND(Bills!#REF!,"AAAAAEf570Q=")</f>
        <v>#REF!</v>
      </c>
      <c r="BR223" t="e">
        <f>AND(Bills!AA886,"AAAAAEf570U=")</f>
        <v>#VALUE!</v>
      </c>
      <c r="BS223" t="e">
        <f>AND(Bills!AB886,"AAAAAEf570Y=")</f>
        <v>#VALUE!</v>
      </c>
      <c r="BT223" t="e">
        <f>AND(Bills!#REF!,"AAAAAEf570c=")</f>
        <v>#REF!</v>
      </c>
      <c r="BU223">
        <f>IF(Bills!887:887,"AAAAAEf570g=",0)</f>
        <v>0</v>
      </c>
      <c r="BV223" t="e">
        <f>AND(Bills!B887,"AAAAAEf570k=")</f>
        <v>#VALUE!</v>
      </c>
      <c r="BW223" t="e">
        <f>AND(Bills!#REF!,"AAAAAEf570o=")</f>
        <v>#REF!</v>
      </c>
      <c r="BX223" t="e">
        <f>AND(Bills!C887,"AAAAAEf570s=")</f>
        <v>#VALUE!</v>
      </c>
      <c r="BY223" t="e">
        <f>AND(Bills!#REF!,"AAAAAEf570w=")</f>
        <v>#REF!</v>
      </c>
      <c r="BZ223" t="e">
        <f>AND(Bills!#REF!,"AAAAAEf5700=")</f>
        <v>#REF!</v>
      </c>
      <c r="CA223" t="e">
        <f>AND(Bills!#REF!,"AAAAAEf5704=")</f>
        <v>#REF!</v>
      </c>
      <c r="CB223" t="e">
        <f>AND(Bills!#REF!,"AAAAAEf5708=")</f>
        <v>#REF!</v>
      </c>
      <c r="CC223" t="e">
        <f>AND(Bills!#REF!,"AAAAAEf571A=")</f>
        <v>#REF!</v>
      </c>
      <c r="CD223" t="e">
        <f>AND(Bills!D887,"AAAAAEf571E=")</f>
        <v>#VALUE!</v>
      </c>
      <c r="CE223" t="e">
        <f>AND(Bills!#REF!,"AAAAAEf571I=")</f>
        <v>#REF!</v>
      </c>
      <c r="CF223" t="e">
        <f>AND(Bills!E887,"AAAAAEf571M=")</f>
        <v>#VALUE!</v>
      </c>
      <c r="CG223" t="e">
        <f>AND(Bills!F887,"AAAAAEf571Q=")</f>
        <v>#VALUE!</v>
      </c>
      <c r="CH223" t="e">
        <f>AND(Bills!G887,"AAAAAEf571U=")</f>
        <v>#VALUE!</v>
      </c>
      <c r="CI223" t="e">
        <f>AND(Bills!H887,"AAAAAEf571Y=")</f>
        <v>#VALUE!</v>
      </c>
      <c r="CJ223" t="e">
        <f>AND(Bills!I887,"AAAAAEf571c=")</f>
        <v>#VALUE!</v>
      </c>
      <c r="CK223" t="e">
        <f>AND(Bills!J887,"AAAAAEf571g=")</f>
        <v>#VALUE!</v>
      </c>
      <c r="CL223" t="e">
        <f>AND(Bills!#REF!,"AAAAAEf571k=")</f>
        <v>#REF!</v>
      </c>
      <c r="CM223" t="e">
        <f>AND(Bills!K887,"AAAAAEf571o=")</f>
        <v>#VALUE!</v>
      </c>
      <c r="CN223" t="e">
        <f>AND(Bills!L887,"AAAAAEf571s=")</f>
        <v>#VALUE!</v>
      </c>
      <c r="CO223" t="e">
        <f>AND(Bills!M887,"AAAAAEf571w=")</f>
        <v>#VALUE!</v>
      </c>
      <c r="CP223" t="e">
        <f>AND(Bills!N887,"AAAAAEf5710=")</f>
        <v>#VALUE!</v>
      </c>
      <c r="CQ223" t="e">
        <f>AND(Bills!O887,"AAAAAEf5714=")</f>
        <v>#VALUE!</v>
      </c>
      <c r="CR223" t="e">
        <f>AND(Bills!P887,"AAAAAEf5718=")</f>
        <v>#VALUE!</v>
      </c>
      <c r="CS223" t="e">
        <f>AND(Bills!Q887,"AAAAAEf572A=")</f>
        <v>#VALUE!</v>
      </c>
      <c r="CT223" t="e">
        <f>AND(Bills!R887,"AAAAAEf572E=")</f>
        <v>#VALUE!</v>
      </c>
      <c r="CU223" t="e">
        <f>AND(Bills!#REF!,"AAAAAEf572I=")</f>
        <v>#REF!</v>
      </c>
      <c r="CV223" t="e">
        <f>AND(Bills!S887,"AAAAAEf572M=")</f>
        <v>#VALUE!</v>
      </c>
      <c r="CW223" t="e">
        <f>AND(Bills!T887,"AAAAAEf572Q=")</f>
        <v>#VALUE!</v>
      </c>
      <c r="CX223" t="e">
        <f>AND(Bills!U887,"AAAAAEf572U=")</f>
        <v>#VALUE!</v>
      </c>
      <c r="CY223" t="e">
        <f>AND(Bills!#REF!,"AAAAAEf572Y=")</f>
        <v>#REF!</v>
      </c>
      <c r="CZ223" t="e">
        <f>AND(Bills!#REF!,"AAAAAEf572c=")</f>
        <v>#REF!</v>
      </c>
      <c r="DA223" t="e">
        <f>AND(Bills!W887,"AAAAAEf572g=")</f>
        <v>#VALUE!</v>
      </c>
      <c r="DB223" t="e">
        <f>AND(Bills!X887,"AAAAAEf572k=")</f>
        <v>#VALUE!</v>
      </c>
      <c r="DC223" t="e">
        <f>AND(Bills!#REF!,"AAAAAEf572o=")</f>
        <v>#REF!</v>
      </c>
      <c r="DD223" t="e">
        <f>AND(Bills!#REF!,"AAAAAEf572s=")</f>
        <v>#REF!</v>
      </c>
      <c r="DE223" t="e">
        <f>AND(Bills!#REF!,"AAAAAEf572w=")</f>
        <v>#REF!</v>
      </c>
      <c r="DF223" t="e">
        <f>AND(Bills!#REF!,"AAAAAEf5720=")</f>
        <v>#REF!</v>
      </c>
      <c r="DG223" t="e">
        <f>AND(Bills!#REF!,"AAAAAEf5724=")</f>
        <v>#REF!</v>
      </c>
      <c r="DH223" t="e">
        <f>AND(Bills!#REF!,"AAAAAEf5728=")</f>
        <v>#REF!</v>
      </c>
      <c r="DI223" t="e">
        <f>AND(Bills!#REF!,"AAAAAEf573A=")</f>
        <v>#REF!</v>
      </c>
      <c r="DJ223" t="e">
        <f>AND(Bills!#REF!,"AAAAAEf573E=")</f>
        <v>#REF!</v>
      </c>
      <c r="DK223" t="e">
        <f>AND(Bills!#REF!,"AAAAAEf573I=")</f>
        <v>#REF!</v>
      </c>
      <c r="DL223" t="e">
        <f>AND(Bills!Y887,"AAAAAEf573M=")</f>
        <v>#VALUE!</v>
      </c>
      <c r="DM223" t="e">
        <f>AND(Bills!Z887,"AAAAAEf573Q=")</f>
        <v>#VALUE!</v>
      </c>
      <c r="DN223" t="e">
        <f>AND(Bills!#REF!,"AAAAAEf573U=")</f>
        <v>#REF!</v>
      </c>
      <c r="DO223" t="e">
        <f>AND(Bills!#REF!,"AAAAAEf573Y=")</f>
        <v>#REF!</v>
      </c>
      <c r="DP223" t="e">
        <f>AND(Bills!#REF!,"AAAAAEf573c=")</f>
        <v>#REF!</v>
      </c>
      <c r="DQ223" t="e">
        <f>AND(Bills!AA887,"AAAAAEf573g=")</f>
        <v>#VALUE!</v>
      </c>
      <c r="DR223" t="e">
        <f>AND(Bills!AB887,"AAAAAEf573k=")</f>
        <v>#VALUE!</v>
      </c>
      <c r="DS223" t="e">
        <f>AND(Bills!#REF!,"AAAAAEf573o=")</f>
        <v>#REF!</v>
      </c>
      <c r="DT223">
        <f>IF(Bills!888:888,"AAAAAEf573s=",0)</f>
        <v>0</v>
      </c>
      <c r="DU223" t="e">
        <f>AND(Bills!B888,"AAAAAEf573w=")</f>
        <v>#VALUE!</v>
      </c>
      <c r="DV223" t="e">
        <f>AND(Bills!#REF!,"AAAAAEf5730=")</f>
        <v>#REF!</v>
      </c>
      <c r="DW223" t="e">
        <f>AND(Bills!C888,"AAAAAEf5734=")</f>
        <v>#VALUE!</v>
      </c>
      <c r="DX223" t="e">
        <f>AND(Bills!#REF!,"AAAAAEf5738=")</f>
        <v>#REF!</v>
      </c>
      <c r="DY223" t="e">
        <f>AND(Bills!#REF!,"AAAAAEf574A=")</f>
        <v>#REF!</v>
      </c>
      <c r="DZ223" t="e">
        <f>AND(Bills!#REF!,"AAAAAEf574E=")</f>
        <v>#REF!</v>
      </c>
      <c r="EA223" t="e">
        <f>AND(Bills!#REF!,"AAAAAEf574I=")</f>
        <v>#REF!</v>
      </c>
      <c r="EB223" t="e">
        <f>AND(Bills!#REF!,"AAAAAEf574M=")</f>
        <v>#REF!</v>
      </c>
      <c r="EC223" t="e">
        <f>AND(Bills!D888,"AAAAAEf574Q=")</f>
        <v>#VALUE!</v>
      </c>
      <c r="ED223" t="e">
        <f>AND(Bills!#REF!,"AAAAAEf574U=")</f>
        <v>#REF!</v>
      </c>
      <c r="EE223" t="e">
        <f>AND(Bills!E888,"AAAAAEf574Y=")</f>
        <v>#VALUE!</v>
      </c>
      <c r="EF223" t="e">
        <f>AND(Bills!F888,"AAAAAEf574c=")</f>
        <v>#VALUE!</v>
      </c>
      <c r="EG223" t="e">
        <f>AND(Bills!G888,"AAAAAEf574g=")</f>
        <v>#VALUE!</v>
      </c>
      <c r="EH223" t="e">
        <f>AND(Bills!H888,"AAAAAEf574k=")</f>
        <v>#VALUE!</v>
      </c>
      <c r="EI223" t="e">
        <f>AND(Bills!I888,"AAAAAEf574o=")</f>
        <v>#VALUE!</v>
      </c>
      <c r="EJ223" t="e">
        <f>AND(Bills!J888,"AAAAAEf574s=")</f>
        <v>#VALUE!</v>
      </c>
      <c r="EK223" t="e">
        <f>AND(Bills!#REF!,"AAAAAEf574w=")</f>
        <v>#REF!</v>
      </c>
      <c r="EL223" t="e">
        <f>AND(Bills!K888,"AAAAAEf5740=")</f>
        <v>#VALUE!</v>
      </c>
      <c r="EM223" t="e">
        <f>AND(Bills!L888,"AAAAAEf5744=")</f>
        <v>#VALUE!</v>
      </c>
      <c r="EN223" t="e">
        <f>AND(Bills!M888,"AAAAAEf5748=")</f>
        <v>#VALUE!</v>
      </c>
      <c r="EO223" t="e">
        <f>AND(Bills!N888,"AAAAAEf575A=")</f>
        <v>#VALUE!</v>
      </c>
      <c r="EP223" t="e">
        <f>AND(Bills!O888,"AAAAAEf575E=")</f>
        <v>#VALUE!</v>
      </c>
      <c r="EQ223" t="e">
        <f>AND(Bills!P888,"AAAAAEf575I=")</f>
        <v>#VALUE!</v>
      </c>
      <c r="ER223" t="e">
        <f>AND(Bills!Q888,"AAAAAEf575M=")</f>
        <v>#VALUE!</v>
      </c>
      <c r="ES223" t="e">
        <f>AND(Bills!R888,"AAAAAEf575Q=")</f>
        <v>#VALUE!</v>
      </c>
      <c r="ET223" t="e">
        <f>AND(Bills!#REF!,"AAAAAEf575U=")</f>
        <v>#REF!</v>
      </c>
      <c r="EU223" t="e">
        <f>AND(Bills!S888,"AAAAAEf575Y=")</f>
        <v>#VALUE!</v>
      </c>
      <c r="EV223" t="e">
        <f>AND(Bills!T888,"AAAAAEf575c=")</f>
        <v>#VALUE!</v>
      </c>
      <c r="EW223" t="e">
        <f>AND(Bills!U888,"AAAAAEf575g=")</f>
        <v>#VALUE!</v>
      </c>
      <c r="EX223" t="e">
        <f>AND(Bills!#REF!,"AAAAAEf575k=")</f>
        <v>#REF!</v>
      </c>
      <c r="EY223" t="e">
        <f>AND(Bills!#REF!,"AAAAAEf575o=")</f>
        <v>#REF!</v>
      </c>
      <c r="EZ223" t="e">
        <f>AND(Bills!W888,"AAAAAEf575s=")</f>
        <v>#VALUE!</v>
      </c>
      <c r="FA223" t="e">
        <f>AND(Bills!X888,"AAAAAEf575w=")</f>
        <v>#VALUE!</v>
      </c>
      <c r="FB223" t="e">
        <f>AND(Bills!#REF!,"AAAAAEf5750=")</f>
        <v>#REF!</v>
      </c>
      <c r="FC223" t="e">
        <f>AND(Bills!#REF!,"AAAAAEf5754=")</f>
        <v>#REF!</v>
      </c>
      <c r="FD223" t="e">
        <f>AND(Bills!#REF!,"AAAAAEf5758=")</f>
        <v>#REF!</v>
      </c>
      <c r="FE223" t="e">
        <f>AND(Bills!#REF!,"AAAAAEf576A=")</f>
        <v>#REF!</v>
      </c>
      <c r="FF223" t="e">
        <f>AND(Bills!#REF!,"AAAAAEf576E=")</f>
        <v>#REF!</v>
      </c>
      <c r="FG223" t="e">
        <f>AND(Bills!#REF!,"AAAAAEf576I=")</f>
        <v>#REF!</v>
      </c>
      <c r="FH223" t="e">
        <f>AND(Bills!#REF!,"AAAAAEf576M=")</f>
        <v>#REF!</v>
      </c>
      <c r="FI223" t="e">
        <f>AND(Bills!#REF!,"AAAAAEf576Q=")</f>
        <v>#REF!</v>
      </c>
      <c r="FJ223" t="e">
        <f>AND(Bills!#REF!,"AAAAAEf576U=")</f>
        <v>#REF!</v>
      </c>
      <c r="FK223" t="e">
        <f>AND(Bills!Y888,"AAAAAEf576Y=")</f>
        <v>#VALUE!</v>
      </c>
      <c r="FL223" t="e">
        <f>AND(Bills!Z888,"AAAAAEf576c=")</f>
        <v>#VALUE!</v>
      </c>
      <c r="FM223" t="e">
        <f>AND(Bills!#REF!,"AAAAAEf576g=")</f>
        <v>#REF!</v>
      </c>
      <c r="FN223" t="e">
        <f>AND(Bills!#REF!,"AAAAAEf576k=")</f>
        <v>#REF!</v>
      </c>
      <c r="FO223" t="e">
        <f>AND(Bills!#REF!,"AAAAAEf576o=")</f>
        <v>#REF!</v>
      </c>
      <c r="FP223" t="e">
        <f>AND(Bills!AA888,"AAAAAEf576s=")</f>
        <v>#VALUE!</v>
      </c>
      <c r="FQ223" t="e">
        <f>AND(Bills!AB888,"AAAAAEf576w=")</f>
        <v>#VALUE!</v>
      </c>
      <c r="FR223" t="e">
        <f>AND(Bills!#REF!,"AAAAAEf5760=")</f>
        <v>#REF!</v>
      </c>
      <c r="FS223">
        <f>IF(Bills!889:889,"AAAAAEf5764=",0)</f>
        <v>0</v>
      </c>
      <c r="FT223" t="e">
        <f>AND(Bills!B889,"AAAAAEf5768=")</f>
        <v>#VALUE!</v>
      </c>
      <c r="FU223" t="e">
        <f>AND(Bills!#REF!,"AAAAAEf577A=")</f>
        <v>#REF!</v>
      </c>
      <c r="FV223" t="e">
        <f>AND(Bills!C889,"AAAAAEf577E=")</f>
        <v>#VALUE!</v>
      </c>
      <c r="FW223" t="e">
        <f>AND(Bills!#REF!,"AAAAAEf577I=")</f>
        <v>#REF!</v>
      </c>
      <c r="FX223" t="e">
        <f>AND(Bills!#REF!,"AAAAAEf577M=")</f>
        <v>#REF!</v>
      </c>
      <c r="FY223" t="e">
        <f>AND(Bills!#REF!,"AAAAAEf577Q=")</f>
        <v>#REF!</v>
      </c>
      <c r="FZ223" t="e">
        <f>AND(Bills!#REF!,"AAAAAEf577U=")</f>
        <v>#REF!</v>
      </c>
      <c r="GA223" t="e">
        <f>AND(Bills!#REF!,"AAAAAEf577Y=")</f>
        <v>#REF!</v>
      </c>
      <c r="GB223" t="e">
        <f>AND(Bills!D889,"AAAAAEf577c=")</f>
        <v>#VALUE!</v>
      </c>
      <c r="GC223" t="e">
        <f>AND(Bills!#REF!,"AAAAAEf577g=")</f>
        <v>#REF!</v>
      </c>
      <c r="GD223" t="e">
        <f>AND(Bills!E889,"AAAAAEf577k=")</f>
        <v>#VALUE!</v>
      </c>
      <c r="GE223" t="e">
        <f>AND(Bills!F889,"AAAAAEf577o=")</f>
        <v>#VALUE!</v>
      </c>
      <c r="GF223" t="e">
        <f>AND(Bills!G889,"AAAAAEf577s=")</f>
        <v>#VALUE!</v>
      </c>
      <c r="GG223" t="e">
        <f>AND(Bills!H889,"AAAAAEf577w=")</f>
        <v>#VALUE!</v>
      </c>
      <c r="GH223" t="e">
        <f>AND(Bills!I889,"AAAAAEf5770=")</f>
        <v>#VALUE!</v>
      </c>
      <c r="GI223" t="e">
        <f>AND(Bills!J889,"AAAAAEf5774=")</f>
        <v>#VALUE!</v>
      </c>
      <c r="GJ223" t="e">
        <f>AND(Bills!#REF!,"AAAAAEf5778=")</f>
        <v>#REF!</v>
      </c>
      <c r="GK223" t="e">
        <f>AND(Bills!K889,"AAAAAEf578A=")</f>
        <v>#VALUE!</v>
      </c>
      <c r="GL223" t="e">
        <f>AND(Bills!L889,"AAAAAEf578E=")</f>
        <v>#VALUE!</v>
      </c>
      <c r="GM223" t="e">
        <f>AND(Bills!M889,"AAAAAEf578I=")</f>
        <v>#VALUE!</v>
      </c>
      <c r="GN223" t="e">
        <f>AND(Bills!N889,"AAAAAEf578M=")</f>
        <v>#VALUE!</v>
      </c>
      <c r="GO223" t="e">
        <f>AND(Bills!O889,"AAAAAEf578Q=")</f>
        <v>#VALUE!</v>
      </c>
      <c r="GP223" t="e">
        <f>AND(Bills!P889,"AAAAAEf578U=")</f>
        <v>#VALUE!</v>
      </c>
      <c r="GQ223" t="e">
        <f>AND(Bills!Q889,"AAAAAEf578Y=")</f>
        <v>#VALUE!</v>
      </c>
      <c r="GR223" t="e">
        <f>AND(Bills!R889,"AAAAAEf578c=")</f>
        <v>#VALUE!</v>
      </c>
      <c r="GS223" t="e">
        <f>AND(Bills!#REF!,"AAAAAEf578g=")</f>
        <v>#REF!</v>
      </c>
      <c r="GT223" t="e">
        <f>AND(Bills!S889,"AAAAAEf578k=")</f>
        <v>#VALUE!</v>
      </c>
      <c r="GU223" t="e">
        <f>AND(Bills!T889,"AAAAAEf578o=")</f>
        <v>#VALUE!</v>
      </c>
      <c r="GV223" t="e">
        <f>AND(Bills!U889,"AAAAAEf578s=")</f>
        <v>#VALUE!</v>
      </c>
      <c r="GW223" t="e">
        <f>AND(Bills!#REF!,"AAAAAEf578w=")</f>
        <v>#REF!</v>
      </c>
      <c r="GX223" t="e">
        <f>AND(Bills!#REF!,"AAAAAEf5780=")</f>
        <v>#REF!</v>
      </c>
      <c r="GY223" t="e">
        <f>AND(Bills!W889,"AAAAAEf5784=")</f>
        <v>#VALUE!</v>
      </c>
      <c r="GZ223" t="e">
        <f>AND(Bills!X889,"AAAAAEf5788=")</f>
        <v>#VALUE!</v>
      </c>
      <c r="HA223" t="e">
        <f>AND(Bills!#REF!,"AAAAAEf579A=")</f>
        <v>#REF!</v>
      </c>
      <c r="HB223" t="e">
        <f>AND(Bills!#REF!,"AAAAAEf579E=")</f>
        <v>#REF!</v>
      </c>
      <c r="HC223" t="e">
        <f>AND(Bills!#REF!,"AAAAAEf579I=")</f>
        <v>#REF!</v>
      </c>
      <c r="HD223" t="e">
        <f>AND(Bills!#REF!,"AAAAAEf579M=")</f>
        <v>#REF!</v>
      </c>
      <c r="HE223" t="e">
        <f>AND(Bills!#REF!,"AAAAAEf579Q=")</f>
        <v>#REF!</v>
      </c>
      <c r="HF223" t="e">
        <f>AND(Bills!#REF!,"AAAAAEf579U=")</f>
        <v>#REF!</v>
      </c>
      <c r="HG223" t="e">
        <f>AND(Bills!#REF!,"AAAAAEf579Y=")</f>
        <v>#REF!</v>
      </c>
      <c r="HH223" t="e">
        <f>AND(Bills!#REF!,"AAAAAEf579c=")</f>
        <v>#REF!</v>
      </c>
      <c r="HI223" t="e">
        <f>AND(Bills!#REF!,"AAAAAEf579g=")</f>
        <v>#REF!</v>
      </c>
      <c r="HJ223" t="e">
        <f>AND(Bills!Y889,"AAAAAEf579k=")</f>
        <v>#VALUE!</v>
      </c>
      <c r="HK223" t="e">
        <f>AND(Bills!Z889,"AAAAAEf579o=")</f>
        <v>#VALUE!</v>
      </c>
      <c r="HL223" t="e">
        <f>AND(Bills!#REF!,"AAAAAEf579s=")</f>
        <v>#REF!</v>
      </c>
      <c r="HM223" t="e">
        <f>AND(Bills!#REF!,"AAAAAEf579w=")</f>
        <v>#REF!</v>
      </c>
      <c r="HN223" t="e">
        <f>AND(Bills!#REF!,"AAAAAEf5790=")</f>
        <v>#REF!</v>
      </c>
      <c r="HO223" t="e">
        <f>AND(Bills!AA889,"AAAAAEf5794=")</f>
        <v>#VALUE!</v>
      </c>
      <c r="HP223" t="e">
        <f>AND(Bills!AB889,"AAAAAEf5798=")</f>
        <v>#VALUE!</v>
      </c>
      <c r="HQ223" t="e">
        <f>AND(Bills!#REF!,"AAAAAEf57+A=")</f>
        <v>#REF!</v>
      </c>
      <c r="HR223">
        <f>IF(Bills!890:890,"AAAAAEf57+E=",0)</f>
        <v>0</v>
      </c>
      <c r="HS223" t="e">
        <f>AND(Bills!B890,"AAAAAEf57+I=")</f>
        <v>#VALUE!</v>
      </c>
      <c r="HT223" t="e">
        <f>AND(Bills!#REF!,"AAAAAEf57+M=")</f>
        <v>#REF!</v>
      </c>
      <c r="HU223" t="e">
        <f>AND(Bills!C890,"AAAAAEf57+Q=")</f>
        <v>#VALUE!</v>
      </c>
      <c r="HV223" t="e">
        <f>AND(Bills!#REF!,"AAAAAEf57+U=")</f>
        <v>#REF!</v>
      </c>
      <c r="HW223" t="e">
        <f>AND(Bills!#REF!,"AAAAAEf57+Y=")</f>
        <v>#REF!</v>
      </c>
      <c r="HX223" t="e">
        <f>AND(Bills!#REF!,"AAAAAEf57+c=")</f>
        <v>#REF!</v>
      </c>
      <c r="HY223" t="e">
        <f>AND(Bills!#REF!,"AAAAAEf57+g=")</f>
        <v>#REF!</v>
      </c>
      <c r="HZ223" t="e">
        <f>AND(Bills!#REF!,"AAAAAEf57+k=")</f>
        <v>#REF!</v>
      </c>
      <c r="IA223" t="e">
        <f>AND(Bills!D890,"AAAAAEf57+o=")</f>
        <v>#VALUE!</v>
      </c>
      <c r="IB223" t="e">
        <f>AND(Bills!#REF!,"AAAAAEf57+s=")</f>
        <v>#REF!</v>
      </c>
      <c r="IC223" t="e">
        <f>AND(Bills!E890,"AAAAAEf57+w=")</f>
        <v>#VALUE!</v>
      </c>
      <c r="ID223" t="e">
        <f>AND(Bills!F890,"AAAAAEf57+0=")</f>
        <v>#VALUE!</v>
      </c>
      <c r="IE223" t="e">
        <f>AND(Bills!G890,"AAAAAEf57+4=")</f>
        <v>#VALUE!</v>
      </c>
      <c r="IF223" t="e">
        <f>AND(Bills!H890,"AAAAAEf57+8=")</f>
        <v>#VALUE!</v>
      </c>
      <c r="IG223" t="e">
        <f>AND(Bills!I890,"AAAAAEf57/A=")</f>
        <v>#VALUE!</v>
      </c>
      <c r="IH223" t="e">
        <f>AND(Bills!J890,"AAAAAEf57/E=")</f>
        <v>#VALUE!</v>
      </c>
      <c r="II223" t="e">
        <f>AND(Bills!#REF!,"AAAAAEf57/I=")</f>
        <v>#REF!</v>
      </c>
      <c r="IJ223" t="e">
        <f>AND(Bills!K890,"AAAAAEf57/M=")</f>
        <v>#VALUE!</v>
      </c>
      <c r="IK223" t="e">
        <f>AND(Bills!L890,"AAAAAEf57/Q=")</f>
        <v>#VALUE!</v>
      </c>
      <c r="IL223" t="e">
        <f>AND(Bills!M890,"AAAAAEf57/U=")</f>
        <v>#VALUE!</v>
      </c>
      <c r="IM223" t="e">
        <f>AND(Bills!N890,"AAAAAEf57/Y=")</f>
        <v>#VALUE!</v>
      </c>
      <c r="IN223" t="e">
        <f>AND(Bills!O890,"AAAAAEf57/c=")</f>
        <v>#VALUE!</v>
      </c>
      <c r="IO223" t="e">
        <f>AND(Bills!P890,"AAAAAEf57/g=")</f>
        <v>#VALUE!</v>
      </c>
      <c r="IP223" t="e">
        <f>AND(Bills!Q890,"AAAAAEf57/k=")</f>
        <v>#VALUE!</v>
      </c>
      <c r="IQ223" t="e">
        <f>AND(Bills!R890,"AAAAAEf57/o=")</f>
        <v>#VALUE!</v>
      </c>
      <c r="IR223" t="e">
        <f>AND(Bills!#REF!,"AAAAAEf57/s=")</f>
        <v>#REF!</v>
      </c>
      <c r="IS223" t="e">
        <f>AND(Bills!S890,"AAAAAEf57/w=")</f>
        <v>#VALUE!</v>
      </c>
      <c r="IT223" t="e">
        <f>AND(Bills!T890,"AAAAAEf57/0=")</f>
        <v>#VALUE!</v>
      </c>
      <c r="IU223" t="e">
        <f>AND(Bills!U890,"AAAAAEf57/4=")</f>
        <v>#VALUE!</v>
      </c>
      <c r="IV223" t="e">
        <f>AND(Bills!#REF!,"AAAAAEf57/8=")</f>
        <v>#REF!</v>
      </c>
    </row>
    <row r="224" spans="1:256">
      <c r="A224" t="e">
        <f>AND(Bills!#REF!,"AAAAAHu0TwA=")</f>
        <v>#REF!</v>
      </c>
      <c r="B224" t="e">
        <f>AND(Bills!W890,"AAAAAHu0TwE=")</f>
        <v>#VALUE!</v>
      </c>
      <c r="C224" t="e">
        <f>AND(Bills!X890,"AAAAAHu0TwI=")</f>
        <v>#VALUE!</v>
      </c>
      <c r="D224" t="e">
        <f>AND(Bills!#REF!,"AAAAAHu0TwM=")</f>
        <v>#REF!</v>
      </c>
      <c r="E224" t="e">
        <f>AND(Bills!#REF!,"AAAAAHu0TwQ=")</f>
        <v>#REF!</v>
      </c>
      <c r="F224" t="e">
        <f>AND(Bills!#REF!,"AAAAAHu0TwU=")</f>
        <v>#REF!</v>
      </c>
      <c r="G224" t="e">
        <f>AND(Bills!#REF!,"AAAAAHu0TwY=")</f>
        <v>#REF!</v>
      </c>
      <c r="H224" t="e">
        <f>AND(Bills!#REF!,"AAAAAHu0Twc=")</f>
        <v>#REF!</v>
      </c>
      <c r="I224" t="e">
        <f>AND(Bills!#REF!,"AAAAAHu0Twg=")</f>
        <v>#REF!</v>
      </c>
      <c r="J224" t="e">
        <f>AND(Bills!#REF!,"AAAAAHu0Twk=")</f>
        <v>#REF!</v>
      </c>
      <c r="K224" t="e">
        <f>AND(Bills!#REF!,"AAAAAHu0Two=")</f>
        <v>#REF!</v>
      </c>
      <c r="L224" t="e">
        <f>AND(Bills!#REF!,"AAAAAHu0Tws=")</f>
        <v>#REF!</v>
      </c>
      <c r="M224" t="e">
        <f>AND(Bills!Y890,"AAAAAHu0Tww=")</f>
        <v>#VALUE!</v>
      </c>
      <c r="N224" t="e">
        <f>AND(Bills!Z890,"AAAAAHu0Tw0=")</f>
        <v>#VALUE!</v>
      </c>
      <c r="O224" t="e">
        <f>AND(Bills!#REF!,"AAAAAHu0Tw4=")</f>
        <v>#REF!</v>
      </c>
      <c r="P224" t="e">
        <f>AND(Bills!#REF!,"AAAAAHu0Tw8=")</f>
        <v>#REF!</v>
      </c>
      <c r="Q224" t="e">
        <f>AND(Bills!#REF!,"AAAAAHu0TxA=")</f>
        <v>#REF!</v>
      </c>
      <c r="R224" t="e">
        <f>AND(Bills!AA890,"AAAAAHu0TxE=")</f>
        <v>#VALUE!</v>
      </c>
      <c r="S224" t="e">
        <f>AND(Bills!AB890,"AAAAAHu0TxI=")</f>
        <v>#VALUE!</v>
      </c>
      <c r="T224" t="e">
        <f>AND(Bills!#REF!,"AAAAAHu0TxM=")</f>
        <v>#REF!</v>
      </c>
      <c r="U224">
        <f>IF(Bills!891:891,"AAAAAHu0TxQ=",0)</f>
        <v>0</v>
      </c>
      <c r="V224" t="e">
        <f>AND(Bills!B891,"AAAAAHu0TxU=")</f>
        <v>#VALUE!</v>
      </c>
      <c r="W224" t="e">
        <f>AND(Bills!#REF!,"AAAAAHu0TxY=")</f>
        <v>#REF!</v>
      </c>
      <c r="X224" t="e">
        <f>AND(Bills!C891,"AAAAAHu0Txc=")</f>
        <v>#VALUE!</v>
      </c>
      <c r="Y224" t="e">
        <f>AND(Bills!#REF!,"AAAAAHu0Txg=")</f>
        <v>#REF!</v>
      </c>
      <c r="Z224" t="e">
        <f>AND(Bills!#REF!,"AAAAAHu0Txk=")</f>
        <v>#REF!</v>
      </c>
      <c r="AA224" t="e">
        <f>AND(Bills!#REF!,"AAAAAHu0Txo=")</f>
        <v>#REF!</v>
      </c>
      <c r="AB224" t="e">
        <f>AND(Bills!#REF!,"AAAAAHu0Txs=")</f>
        <v>#REF!</v>
      </c>
      <c r="AC224" t="e">
        <f>AND(Bills!#REF!,"AAAAAHu0Txw=")</f>
        <v>#REF!</v>
      </c>
      <c r="AD224" t="e">
        <f>AND(Bills!D891,"AAAAAHu0Tx0=")</f>
        <v>#VALUE!</v>
      </c>
      <c r="AE224" t="e">
        <f>AND(Bills!#REF!,"AAAAAHu0Tx4=")</f>
        <v>#REF!</v>
      </c>
      <c r="AF224" t="e">
        <f>AND(Bills!E891,"AAAAAHu0Tx8=")</f>
        <v>#VALUE!</v>
      </c>
      <c r="AG224" t="e">
        <f>AND(Bills!F891,"AAAAAHu0TyA=")</f>
        <v>#VALUE!</v>
      </c>
      <c r="AH224" t="e">
        <f>AND(Bills!G891,"AAAAAHu0TyE=")</f>
        <v>#VALUE!</v>
      </c>
      <c r="AI224" t="e">
        <f>AND(Bills!H891,"AAAAAHu0TyI=")</f>
        <v>#VALUE!</v>
      </c>
      <c r="AJ224" t="e">
        <f>AND(Bills!I891,"AAAAAHu0TyM=")</f>
        <v>#VALUE!</v>
      </c>
      <c r="AK224" t="e">
        <f>AND(Bills!J891,"AAAAAHu0TyQ=")</f>
        <v>#VALUE!</v>
      </c>
      <c r="AL224" t="e">
        <f>AND(Bills!#REF!,"AAAAAHu0TyU=")</f>
        <v>#REF!</v>
      </c>
      <c r="AM224" t="e">
        <f>AND(Bills!K891,"AAAAAHu0TyY=")</f>
        <v>#VALUE!</v>
      </c>
      <c r="AN224" t="e">
        <f>AND(Bills!L891,"AAAAAHu0Tyc=")</f>
        <v>#VALUE!</v>
      </c>
      <c r="AO224" t="e">
        <f>AND(Bills!M891,"AAAAAHu0Tyg=")</f>
        <v>#VALUE!</v>
      </c>
      <c r="AP224" t="e">
        <f>AND(Bills!N891,"AAAAAHu0Tyk=")</f>
        <v>#VALUE!</v>
      </c>
      <c r="AQ224" t="e">
        <f>AND(Bills!O891,"AAAAAHu0Tyo=")</f>
        <v>#VALUE!</v>
      </c>
      <c r="AR224" t="e">
        <f>AND(Bills!P891,"AAAAAHu0Tys=")</f>
        <v>#VALUE!</v>
      </c>
      <c r="AS224" t="e">
        <f>AND(Bills!Q891,"AAAAAHu0Tyw=")</f>
        <v>#VALUE!</v>
      </c>
      <c r="AT224" t="e">
        <f>AND(Bills!R891,"AAAAAHu0Ty0=")</f>
        <v>#VALUE!</v>
      </c>
      <c r="AU224" t="e">
        <f>AND(Bills!#REF!,"AAAAAHu0Ty4=")</f>
        <v>#REF!</v>
      </c>
      <c r="AV224" t="e">
        <f>AND(Bills!S891,"AAAAAHu0Ty8=")</f>
        <v>#VALUE!</v>
      </c>
      <c r="AW224" t="e">
        <f>AND(Bills!T891,"AAAAAHu0TzA=")</f>
        <v>#VALUE!</v>
      </c>
      <c r="AX224" t="e">
        <f>AND(Bills!U891,"AAAAAHu0TzE=")</f>
        <v>#VALUE!</v>
      </c>
      <c r="AY224" t="e">
        <f>AND(Bills!#REF!,"AAAAAHu0TzI=")</f>
        <v>#REF!</v>
      </c>
      <c r="AZ224" t="e">
        <f>AND(Bills!#REF!,"AAAAAHu0TzM=")</f>
        <v>#REF!</v>
      </c>
      <c r="BA224" t="e">
        <f>AND(Bills!W891,"AAAAAHu0TzQ=")</f>
        <v>#VALUE!</v>
      </c>
      <c r="BB224" t="e">
        <f>AND(Bills!X891,"AAAAAHu0TzU=")</f>
        <v>#VALUE!</v>
      </c>
      <c r="BC224" t="e">
        <f>AND(Bills!#REF!,"AAAAAHu0TzY=")</f>
        <v>#REF!</v>
      </c>
      <c r="BD224" t="e">
        <f>AND(Bills!#REF!,"AAAAAHu0Tzc=")</f>
        <v>#REF!</v>
      </c>
      <c r="BE224" t="e">
        <f>AND(Bills!#REF!,"AAAAAHu0Tzg=")</f>
        <v>#REF!</v>
      </c>
      <c r="BF224" t="e">
        <f>AND(Bills!#REF!,"AAAAAHu0Tzk=")</f>
        <v>#REF!</v>
      </c>
      <c r="BG224" t="e">
        <f>AND(Bills!#REF!,"AAAAAHu0Tzo=")</f>
        <v>#REF!</v>
      </c>
      <c r="BH224" t="e">
        <f>AND(Bills!#REF!,"AAAAAHu0Tzs=")</f>
        <v>#REF!</v>
      </c>
      <c r="BI224" t="e">
        <f>AND(Bills!#REF!,"AAAAAHu0Tzw=")</f>
        <v>#REF!</v>
      </c>
      <c r="BJ224" t="e">
        <f>AND(Bills!#REF!,"AAAAAHu0Tz0=")</f>
        <v>#REF!</v>
      </c>
      <c r="BK224" t="e">
        <f>AND(Bills!#REF!,"AAAAAHu0Tz4=")</f>
        <v>#REF!</v>
      </c>
      <c r="BL224" t="e">
        <f>AND(Bills!Y891,"AAAAAHu0Tz8=")</f>
        <v>#VALUE!</v>
      </c>
      <c r="BM224" t="e">
        <f>AND(Bills!Z891,"AAAAAHu0T0A=")</f>
        <v>#VALUE!</v>
      </c>
      <c r="BN224" t="e">
        <f>AND(Bills!#REF!,"AAAAAHu0T0E=")</f>
        <v>#REF!</v>
      </c>
      <c r="BO224" t="e">
        <f>AND(Bills!#REF!,"AAAAAHu0T0I=")</f>
        <v>#REF!</v>
      </c>
      <c r="BP224" t="e">
        <f>AND(Bills!#REF!,"AAAAAHu0T0M=")</f>
        <v>#REF!</v>
      </c>
      <c r="BQ224" t="e">
        <f>AND(Bills!AA891,"AAAAAHu0T0Q=")</f>
        <v>#VALUE!</v>
      </c>
      <c r="BR224" t="e">
        <f>AND(Bills!AB891,"AAAAAHu0T0U=")</f>
        <v>#VALUE!</v>
      </c>
      <c r="BS224" t="e">
        <f>AND(Bills!#REF!,"AAAAAHu0T0Y=")</f>
        <v>#REF!</v>
      </c>
      <c r="BT224">
        <f>IF(Bills!892:892,"AAAAAHu0T0c=",0)</f>
        <v>0</v>
      </c>
      <c r="BU224" t="e">
        <f>AND(Bills!B892,"AAAAAHu0T0g=")</f>
        <v>#VALUE!</v>
      </c>
      <c r="BV224" t="e">
        <f>AND(Bills!#REF!,"AAAAAHu0T0k=")</f>
        <v>#REF!</v>
      </c>
      <c r="BW224" t="e">
        <f>AND(Bills!C892,"AAAAAHu0T0o=")</f>
        <v>#VALUE!</v>
      </c>
      <c r="BX224" t="e">
        <f>AND(Bills!#REF!,"AAAAAHu0T0s=")</f>
        <v>#REF!</v>
      </c>
      <c r="BY224" t="e">
        <f>AND(Bills!#REF!,"AAAAAHu0T0w=")</f>
        <v>#REF!</v>
      </c>
      <c r="BZ224" t="e">
        <f>AND(Bills!#REF!,"AAAAAHu0T00=")</f>
        <v>#REF!</v>
      </c>
      <c r="CA224" t="e">
        <f>AND(Bills!#REF!,"AAAAAHu0T04=")</f>
        <v>#REF!</v>
      </c>
      <c r="CB224" t="e">
        <f>AND(Bills!#REF!,"AAAAAHu0T08=")</f>
        <v>#REF!</v>
      </c>
      <c r="CC224" t="e">
        <f>AND(Bills!D892,"AAAAAHu0T1A=")</f>
        <v>#VALUE!</v>
      </c>
      <c r="CD224" t="e">
        <f>AND(Bills!#REF!,"AAAAAHu0T1E=")</f>
        <v>#REF!</v>
      </c>
      <c r="CE224" t="e">
        <f>AND(Bills!E892,"AAAAAHu0T1I=")</f>
        <v>#VALUE!</v>
      </c>
      <c r="CF224" t="e">
        <f>AND(Bills!F892,"AAAAAHu0T1M=")</f>
        <v>#VALUE!</v>
      </c>
      <c r="CG224" t="e">
        <f>AND(Bills!G892,"AAAAAHu0T1Q=")</f>
        <v>#VALUE!</v>
      </c>
      <c r="CH224" t="e">
        <f>AND(Bills!H892,"AAAAAHu0T1U=")</f>
        <v>#VALUE!</v>
      </c>
      <c r="CI224" t="e">
        <f>AND(Bills!I892,"AAAAAHu0T1Y=")</f>
        <v>#VALUE!</v>
      </c>
      <c r="CJ224" t="e">
        <f>AND(Bills!J892,"AAAAAHu0T1c=")</f>
        <v>#VALUE!</v>
      </c>
      <c r="CK224" t="e">
        <f>AND(Bills!#REF!,"AAAAAHu0T1g=")</f>
        <v>#REF!</v>
      </c>
      <c r="CL224" t="e">
        <f>AND(Bills!K892,"AAAAAHu0T1k=")</f>
        <v>#VALUE!</v>
      </c>
      <c r="CM224" t="e">
        <f>AND(Bills!L892,"AAAAAHu0T1o=")</f>
        <v>#VALUE!</v>
      </c>
      <c r="CN224" t="e">
        <f>AND(Bills!M892,"AAAAAHu0T1s=")</f>
        <v>#VALUE!</v>
      </c>
      <c r="CO224" t="e">
        <f>AND(Bills!N892,"AAAAAHu0T1w=")</f>
        <v>#VALUE!</v>
      </c>
      <c r="CP224" t="e">
        <f>AND(Bills!O892,"AAAAAHu0T10=")</f>
        <v>#VALUE!</v>
      </c>
      <c r="CQ224" t="e">
        <f>AND(Bills!P892,"AAAAAHu0T14=")</f>
        <v>#VALUE!</v>
      </c>
      <c r="CR224" t="e">
        <f>AND(Bills!Q892,"AAAAAHu0T18=")</f>
        <v>#VALUE!</v>
      </c>
      <c r="CS224" t="e">
        <f>AND(Bills!R892,"AAAAAHu0T2A=")</f>
        <v>#VALUE!</v>
      </c>
      <c r="CT224" t="e">
        <f>AND(Bills!#REF!,"AAAAAHu0T2E=")</f>
        <v>#REF!</v>
      </c>
      <c r="CU224" t="e">
        <f>AND(Bills!S892,"AAAAAHu0T2I=")</f>
        <v>#VALUE!</v>
      </c>
      <c r="CV224" t="e">
        <f>AND(Bills!T892,"AAAAAHu0T2M=")</f>
        <v>#VALUE!</v>
      </c>
      <c r="CW224" t="e">
        <f>AND(Bills!U892,"AAAAAHu0T2Q=")</f>
        <v>#VALUE!</v>
      </c>
      <c r="CX224" t="e">
        <f>AND(Bills!#REF!,"AAAAAHu0T2U=")</f>
        <v>#REF!</v>
      </c>
      <c r="CY224" t="e">
        <f>AND(Bills!#REF!,"AAAAAHu0T2Y=")</f>
        <v>#REF!</v>
      </c>
      <c r="CZ224" t="e">
        <f>AND(Bills!W892,"AAAAAHu0T2c=")</f>
        <v>#VALUE!</v>
      </c>
      <c r="DA224" t="e">
        <f>AND(Bills!X892,"AAAAAHu0T2g=")</f>
        <v>#VALUE!</v>
      </c>
      <c r="DB224" t="e">
        <f>AND(Bills!#REF!,"AAAAAHu0T2k=")</f>
        <v>#REF!</v>
      </c>
      <c r="DC224" t="e">
        <f>AND(Bills!#REF!,"AAAAAHu0T2o=")</f>
        <v>#REF!</v>
      </c>
      <c r="DD224" t="e">
        <f>AND(Bills!#REF!,"AAAAAHu0T2s=")</f>
        <v>#REF!</v>
      </c>
      <c r="DE224" t="e">
        <f>AND(Bills!#REF!,"AAAAAHu0T2w=")</f>
        <v>#REF!</v>
      </c>
      <c r="DF224" t="e">
        <f>AND(Bills!#REF!,"AAAAAHu0T20=")</f>
        <v>#REF!</v>
      </c>
      <c r="DG224" t="e">
        <f>AND(Bills!#REF!,"AAAAAHu0T24=")</f>
        <v>#REF!</v>
      </c>
      <c r="DH224" t="e">
        <f>AND(Bills!#REF!,"AAAAAHu0T28=")</f>
        <v>#REF!</v>
      </c>
      <c r="DI224" t="e">
        <f>AND(Bills!#REF!,"AAAAAHu0T3A=")</f>
        <v>#REF!</v>
      </c>
      <c r="DJ224" t="e">
        <f>AND(Bills!#REF!,"AAAAAHu0T3E=")</f>
        <v>#REF!</v>
      </c>
      <c r="DK224" t="e">
        <f>AND(Bills!Y892,"AAAAAHu0T3I=")</f>
        <v>#VALUE!</v>
      </c>
      <c r="DL224" t="e">
        <f>AND(Bills!Z892,"AAAAAHu0T3M=")</f>
        <v>#VALUE!</v>
      </c>
      <c r="DM224" t="e">
        <f>AND(Bills!#REF!,"AAAAAHu0T3Q=")</f>
        <v>#REF!</v>
      </c>
      <c r="DN224" t="e">
        <f>AND(Bills!#REF!,"AAAAAHu0T3U=")</f>
        <v>#REF!</v>
      </c>
      <c r="DO224" t="e">
        <f>AND(Bills!#REF!,"AAAAAHu0T3Y=")</f>
        <v>#REF!</v>
      </c>
      <c r="DP224" t="e">
        <f>AND(Bills!AA892,"AAAAAHu0T3c=")</f>
        <v>#VALUE!</v>
      </c>
      <c r="DQ224" t="e">
        <f>AND(Bills!AB892,"AAAAAHu0T3g=")</f>
        <v>#VALUE!</v>
      </c>
      <c r="DR224" t="e">
        <f>AND(Bills!#REF!,"AAAAAHu0T3k=")</f>
        <v>#REF!</v>
      </c>
      <c r="DS224">
        <f>IF(Bills!893:893,"AAAAAHu0T3o=",0)</f>
        <v>0</v>
      </c>
      <c r="DT224" t="e">
        <f>AND(Bills!B893,"AAAAAHu0T3s=")</f>
        <v>#VALUE!</v>
      </c>
      <c r="DU224" t="e">
        <f>AND(Bills!#REF!,"AAAAAHu0T3w=")</f>
        <v>#REF!</v>
      </c>
      <c r="DV224" t="e">
        <f>AND(Bills!C893,"AAAAAHu0T30=")</f>
        <v>#VALUE!</v>
      </c>
      <c r="DW224" t="e">
        <f>AND(Bills!#REF!,"AAAAAHu0T34=")</f>
        <v>#REF!</v>
      </c>
      <c r="DX224" t="e">
        <f>AND(Bills!#REF!,"AAAAAHu0T38=")</f>
        <v>#REF!</v>
      </c>
      <c r="DY224" t="e">
        <f>AND(Bills!#REF!,"AAAAAHu0T4A=")</f>
        <v>#REF!</v>
      </c>
      <c r="DZ224" t="e">
        <f>AND(Bills!#REF!,"AAAAAHu0T4E=")</f>
        <v>#REF!</v>
      </c>
      <c r="EA224" t="e">
        <f>AND(Bills!#REF!,"AAAAAHu0T4I=")</f>
        <v>#REF!</v>
      </c>
      <c r="EB224" t="e">
        <f>AND(Bills!D893,"AAAAAHu0T4M=")</f>
        <v>#VALUE!</v>
      </c>
      <c r="EC224" t="e">
        <f>AND(Bills!#REF!,"AAAAAHu0T4Q=")</f>
        <v>#REF!</v>
      </c>
      <c r="ED224" t="e">
        <f>AND(Bills!E893,"AAAAAHu0T4U=")</f>
        <v>#VALUE!</v>
      </c>
      <c r="EE224" t="e">
        <f>AND(Bills!F893,"AAAAAHu0T4Y=")</f>
        <v>#VALUE!</v>
      </c>
      <c r="EF224" t="e">
        <f>AND(Bills!G893,"AAAAAHu0T4c=")</f>
        <v>#VALUE!</v>
      </c>
      <c r="EG224" t="e">
        <f>AND(Bills!H893,"AAAAAHu0T4g=")</f>
        <v>#VALUE!</v>
      </c>
      <c r="EH224" t="e">
        <f>AND(Bills!I893,"AAAAAHu0T4k=")</f>
        <v>#VALUE!</v>
      </c>
      <c r="EI224" t="e">
        <f>AND(Bills!J893,"AAAAAHu0T4o=")</f>
        <v>#VALUE!</v>
      </c>
      <c r="EJ224" t="e">
        <f>AND(Bills!#REF!,"AAAAAHu0T4s=")</f>
        <v>#REF!</v>
      </c>
      <c r="EK224" t="e">
        <f>AND(Bills!K893,"AAAAAHu0T4w=")</f>
        <v>#VALUE!</v>
      </c>
      <c r="EL224" t="e">
        <f>AND(Bills!L893,"AAAAAHu0T40=")</f>
        <v>#VALUE!</v>
      </c>
      <c r="EM224" t="e">
        <f>AND(Bills!M893,"AAAAAHu0T44=")</f>
        <v>#VALUE!</v>
      </c>
      <c r="EN224" t="e">
        <f>AND(Bills!N893,"AAAAAHu0T48=")</f>
        <v>#VALUE!</v>
      </c>
      <c r="EO224" t="e">
        <f>AND(Bills!O893,"AAAAAHu0T5A=")</f>
        <v>#VALUE!</v>
      </c>
      <c r="EP224" t="e">
        <f>AND(Bills!P893,"AAAAAHu0T5E=")</f>
        <v>#VALUE!</v>
      </c>
      <c r="EQ224" t="e">
        <f>AND(Bills!Q893,"AAAAAHu0T5I=")</f>
        <v>#VALUE!</v>
      </c>
      <c r="ER224" t="e">
        <f>AND(Bills!R893,"AAAAAHu0T5M=")</f>
        <v>#VALUE!</v>
      </c>
      <c r="ES224" t="e">
        <f>AND(Bills!#REF!,"AAAAAHu0T5Q=")</f>
        <v>#REF!</v>
      </c>
      <c r="ET224" t="e">
        <f>AND(Bills!S893,"AAAAAHu0T5U=")</f>
        <v>#VALUE!</v>
      </c>
      <c r="EU224" t="e">
        <f>AND(Bills!T893,"AAAAAHu0T5Y=")</f>
        <v>#VALUE!</v>
      </c>
      <c r="EV224" t="e">
        <f>AND(Bills!U893,"AAAAAHu0T5c=")</f>
        <v>#VALUE!</v>
      </c>
      <c r="EW224" t="e">
        <f>AND(Bills!#REF!,"AAAAAHu0T5g=")</f>
        <v>#REF!</v>
      </c>
      <c r="EX224" t="e">
        <f>AND(Bills!#REF!,"AAAAAHu0T5k=")</f>
        <v>#REF!</v>
      </c>
      <c r="EY224" t="e">
        <f>AND(Bills!W893,"AAAAAHu0T5o=")</f>
        <v>#VALUE!</v>
      </c>
      <c r="EZ224" t="e">
        <f>AND(Bills!X893,"AAAAAHu0T5s=")</f>
        <v>#VALUE!</v>
      </c>
      <c r="FA224" t="e">
        <f>AND(Bills!#REF!,"AAAAAHu0T5w=")</f>
        <v>#REF!</v>
      </c>
      <c r="FB224" t="e">
        <f>AND(Bills!#REF!,"AAAAAHu0T50=")</f>
        <v>#REF!</v>
      </c>
      <c r="FC224" t="e">
        <f>AND(Bills!#REF!,"AAAAAHu0T54=")</f>
        <v>#REF!</v>
      </c>
      <c r="FD224" t="e">
        <f>AND(Bills!#REF!,"AAAAAHu0T58=")</f>
        <v>#REF!</v>
      </c>
      <c r="FE224" t="e">
        <f>AND(Bills!#REF!,"AAAAAHu0T6A=")</f>
        <v>#REF!</v>
      </c>
      <c r="FF224" t="e">
        <f>AND(Bills!#REF!,"AAAAAHu0T6E=")</f>
        <v>#REF!</v>
      </c>
      <c r="FG224" t="e">
        <f>AND(Bills!#REF!,"AAAAAHu0T6I=")</f>
        <v>#REF!</v>
      </c>
      <c r="FH224" t="e">
        <f>AND(Bills!#REF!,"AAAAAHu0T6M=")</f>
        <v>#REF!</v>
      </c>
      <c r="FI224" t="e">
        <f>AND(Bills!#REF!,"AAAAAHu0T6Q=")</f>
        <v>#REF!</v>
      </c>
      <c r="FJ224" t="e">
        <f>AND(Bills!Y893,"AAAAAHu0T6U=")</f>
        <v>#VALUE!</v>
      </c>
      <c r="FK224" t="e">
        <f>AND(Bills!Z893,"AAAAAHu0T6Y=")</f>
        <v>#VALUE!</v>
      </c>
      <c r="FL224" t="e">
        <f>AND(Bills!#REF!,"AAAAAHu0T6c=")</f>
        <v>#REF!</v>
      </c>
      <c r="FM224" t="e">
        <f>AND(Bills!#REF!,"AAAAAHu0T6g=")</f>
        <v>#REF!</v>
      </c>
      <c r="FN224" t="e">
        <f>AND(Bills!#REF!,"AAAAAHu0T6k=")</f>
        <v>#REF!</v>
      </c>
      <c r="FO224" t="e">
        <f>AND(Bills!AA893,"AAAAAHu0T6o=")</f>
        <v>#VALUE!</v>
      </c>
      <c r="FP224" t="e">
        <f>AND(Bills!AB893,"AAAAAHu0T6s=")</f>
        <v>#VALUE!</v>
      </c>
      <c r="FQ224" t="e">
        <f>AND(Bills!#REF!,"AAAAAHu0T6w=")</f>
        <v>#REF!</v>
      </c>
      <c r="FR224">
        <f>IF(Bills!894:894,"AAAAAHu0T60=",0)</f>
        <v>0</v>
      </c>
      <c r="FS224" t="e">
        <f>AND(Bills!B894,"AAAAAHu0T64=")</f>
        <v>#VALUE!</v>
      </c>
      <c r="FT224" t="e">
        <f>AND(Bills!#REF!,"AAAAAHu0T68=")</f>
        <v>#REF!</v>
      </c>
      <c r="FU224" t="e">
        <f>AND(Bills!C894,"AAAAAHu0T7A=")</f>
        <v>#VALUE!</v>
      </c>
      <c r="FV224" t="e">
        <f>AND(Bills!#REF!,"AAAAAHu0T7E=")</f>
        <v>#REF!</v>
      </c>
      <c r="FW224" t="e">
        <f>AND(Bills!#REF!,"AAAAAHu0T7I=")</f>
        <v>#REF!</v>
      </c>
      <c r="FX224" t="e">
        <f>AND(Bills!#REF!,"AAAAAHu0T7M=")</f>
        <v>#REF!</v>
      </c>
      <c r="FY224" t="e">
        <f>AND(Bills!#REF!,"AAAAAHu0T7Q=")</f>
        <v>#REF!</v>
      </c>
      <c r="FZ224" t="e">
        <f>AND(Bills!#REF!,"AAAAAHu0T7U=")</f>
        <v>#REF!</v>
      </c>
      <c r="GA224" t="e">
        <f>AND(Bills!D894,"AAAAAHu0T7Y=")</f>
        <v>#VALUE!</v>
      </c>
      <c r="GB224" t="e">
        <f>AND(Bills!#REF!,"AAAAAHu0T7c=")</f>
        <v>#REF!</v>
      </c>
      <c r="GC224" t="e">
        <f>AND(Bills!E894,"AAAAAHu0T7g=")</f>
        <v>#VALUE!</v>
      </c>
      <c r="GD224" t="e">
        <f>AND(Bills!F894,"AAAAAHu0T7k=")</f>
        <v>#VALUE!</v>
      </c>
      <c r="GE224" t="e">
        <f>AND(Bills!G894,"AAAAAHu0T7o=")</f>
        <v>#VALUE!</v>
      </c>
      <c r="GF224" t="e">
        <f>AND(Bills!H894,"AAAAAHu0T7s=")</f>
        <v>#VALUE!</v>
      </c>
      <c r="GG224" t="e">
        <f>AND(Bills!I894,"AAAAAHu0T7w=")</f>
        <v>#VALUE!</v>
      </c>
      <c r="GH224" t="e">
        <f>AND(Bills!J894,"AAAAAHu0T70=")</f>
        <v>#VALUE!</v>
      </c>
      <c r="GI224" t="e">
        <f>AND(Bills!#REF!,"AAAAAHu0T74=")</f>
        <v>#REF!</v>
      </c>
      <c r="GJ224" t="e">
        <f>AND(Bills!K894,"AAAAAHu0T78=")</f>
        <v>#VALUE!</v>
      </c>
      <c r="GK224" t="e">
        <f>AND(Bills!L894,"AAAAAHu0T8A=")</f>
        <v>#VALUE!</v>
      </c>
      <c r="GL224" t="e">
        <f>AND(Bills!M894,"AAAAAHu0T8E=")</f>
        <v>#VALUE!</v>
      </c>
      <c r="GM224" t="e">
        <f>AND(Bills!N894,"AAAAAHu0T8I=")</f>
        <v>#VALUE!</v>
      </c>
      <c r="GN224" t="e">
        <f>AND(Bills!O894,"AAAAAHu0T8M=")</f>
        <v>#VALUE!</v>
      </c>
      <c r="GO224" t="e">
        <f>AND(Bills!P894,"AAAAAHu0T8Q=")</f>
        <v>#VALUE!</v>
      </c>
      <c r="GP224" t="e">
        <f>AND(Bills!Q894,"AAAAAHu0T8U=")</f>
        <v>#VALUE!</v>
      </c>
      <c r="GQ224" t="e">
        <f>AND(Bills!R894,"AAAAAHu0T8Y=")</f>
        <v>#VALUE!</v>
      </c>
      <c r="GR224" t="e">
        <f>AND(Bills!#REF!,"AAAAAHu0T8c=")</f>
        <v>#REF!</v>
      </c>
      <c r="GS224" t="e">
        <f>AND(Bills!S894,"AAAAAHu0T8g=")</f>
        <v>#VALUE!</v>
      </c>
      <c r="GT224" t="e">
        <f>AND(Bills!T894,"AAAAAHu0T8k=")</f>
        <v>#VALUE!</v>
      </c>
      <c r="GU224" t="e">
        <f>AND(Bills!U894,"AAAAAHu0T8o=")</f>
        <v>#VALUE!</v>
      </c>
      <c r="GV224" t="e">
        <f>AND(Bills!#REF!,"AAAAAHu0T8s=")</f>
        <v>#REF!</v>
      </c>
      <c r="GW224" t="e">
        <f>AND(Bills!#REF!,"AAAAAHu0T8w=")</f>
        <v>#REF!</v>
      </c>
      <c r="GX224" t="e">
        <f>AND(Bills!W894,"AAAAAHu0T80=")</f>
        <v>#VALUE!</v>
      </c>
      <c r="GY224" t="e">
        <f>AND(Bills!X894,"AAAAAHu0T84=")</f>
        <v>#VALUE!</v>
      </c>
      <c r="GZ224" t="e">
        <f>AND(Bills!#REF!,"AAAAAHu0T88=")</f>
        <v>#REF!</v>
      </c>
      <c r="HA224" t="e">
        <f>AND(Bills!#REF!,"AAAAAHu0T9A=")</f>
        <v>#REF!</v>
      </c>
      <c r="HB224" t="e">
        <f>AND(Bills!#REF!,"AAAAAHu0T9E=")</f>
        <v>#REF!</v>
      </c>
      <c r="HC224" t="e">
        <f>AND(Bills!#REF!,"AAAAAHu0T9I=")</f>
        <v>#REF!</v>
      </c>
      <c r="HD224" t="e">
        <f>AND(Bills!#REF!,"AAAAAHu0T9M=")</f>
        <v>#REF!</v>
      </c>
      <c r="HE224" t="e">
        <f>AND(Bills!#REF!,"AAAAAHu0T9Q=")</f>
        <v>#REF!</v>
      </c>
      <c r="HF224" t="e">
        <f>AND(Bills!#REF!,"AAAAAHu0T9U=")</f>
        <v>#REF!</v>
      </c>
      <c r="HG224" t="e">
        <f>AND(Bills!#REF!,"AAAAAHu0T9Y=")</f>
        <v>#REF!</v>
      </c>
      <c r="HH224" t="e">
        <f>AND(Bills!#REF!,"AAAAAHu0T9c=")</f>
        <v>#REF!</v>
      </c>
      <c r="HI224" t="e">
        <f>AND(Bills!Y894,"AAAAAHu0T9g=")</f>
        <v>#VALUE!</v>
      </c>
      <c r="HJ224" t="e">
        <f>AND(Bills!Z894,"AAAAAHu0T9k=")</f>
        <v>#VALUE!</v>
      </c>
      <c r="HK224" t="e">
        <f>AND(Bills!#REF!,"AAAAAHu0T9o=")</f>
        <v>#REF!</v>
      </c>
      <c r="HL224" t="e">
        <f>AND(Bills!#REF!,"AAAAAHu0T9s=")</f>
        <v>#REF!</v>
      </c>
      <c r="HM224" t="e">
        <f>AND(Bills!#REF!,"AAAAAHu0T9w=")</f>
        <v>#REF!</v>
      </c>
      <c r="HN224" t="e">
        <f>AND(Bills!AA894,"AAAAAHu0T90=")</f>
        <v>#VALUE!</v>
      </c>
      <c r="HO224" t="e">
        <f>AND(Bills!AB894,"AAAAAHu0T94=")</f>
        <v>#VALUE!</v>
      </c>
      <c r="HP224" t="e">
        <f>AND(Bills!#REF!,"AAAAAHu0T98=")</f>
        <v>#REF!</v>
      </c>
      <c r="HQ224">
        <f>IF(Bills!895:895,"AAAAAHu0T+A=",0)</f>
        <v>0</v>
      </c>
      <c r="HR224" t="e">
        <f>AND(Bills!B895,"AAAAAHu0T+E=")</f>
        <v>#VALUE!</v>
      </c>
      <c r="HS224" t="e">
        <f>AND(Bills!#REF!,"AAAAAHu0T+I=")</f>
        <v>#REF!</v>
      </c>
      <c r="HT224" t="e">
        <f>AND(Bills!C895,"AAAAAHu0T+M=")</f>
        <v>#VALUE!</v>
      </c>
      <c r="HU224" t="e">
        <f>AND(Bills!#REF!,"AAAAAHu0T+Q=")</f>
        <v>#REF!</v>
      </c>
      <c r="HV224" t="e">
        <f>AND(Bills!#REF!,"AAAAAHu0T+U=")</f>
        <v>#REF!</v>
      </c>
      <c r="HW224" t="e">
        <f>AND(Bills!#REF!,"AAAAAHu0T+Y=")</f>
        <v>#REF!</v>
      </c>
      <c r="HX224" t="e">
        <f>AND(Bills!#REF!,"AAAAAHu0T+c=")</f>
        <v>#REF!</v>
      </c>
      <c r="HY224" t="e">
        <f>AND(Bills!#REF!,"AAAAAHu0T+g=")</f>
        <v>#REF!</v>
      </c>
      <c r="HZ224" t="e">
        <f>AND(Bills!D895,"AAAAAHu0T+k=")</f>
        <v>#VALUE!</v>
      </c>
      <c r="IA224" t="e">
        <f>AND(Bills!#REF!,"AAAAAHu0T+o=")</f>
        <v>#REF!</v>
      </c>
      <c r="IB224" t="e">
        <f>AND(Bills!E895,"AAAAAHu0T+s=")</f>
        <v>#VALUE!</v>
      </c>
      <c r="IC224" t="e">
        <f>AND(Bills!F895,"AAAAAHu0T+w=")</f>
        <v>#VALUE!</v>
      </c>
      <c r="ID224" t="e">
        <f>AND(Bills!G895,"AAAAAHu0T+0=")</f>
        <v>#VALUE!</v>
      </c>
      <c r="IE224" t="e">
        <f>AND(Bills!H895,"AAAAAHu0T+4=")</f>
        <v>#VALUE!</v>
      </c>
      <c r="IF224" t="e">
        <f>AND(Bills!I895,"AAAAAHu0T+8=")</f>
        <v>#VALUE!</v>
      </c>
      <c r="IG224" t="e">
        <f>AND(Bills!J895,"AAAAAHu0T/A=")</f>
        <v>#VALUE!</v>
      </c>
      <c r="IH224" t="e">
        <f>AND(Bills!#REF!,"AAAAAHu0T/E=")</f>
        <v>#REF!</v>
      </c>
      <c r="II224" t="e">
        <f>AND(Bills!K895,"AAAAAHu0T/I=")</f>
        <v>#VALUE!</v>
      </c>
      <c r="IJ224" t="e">
        <f>AND(Bills!L895,"AAAAAHu0T/M=")</f>
        <v>#VALUE!</v>
      </c>
      <c r="IK224" t="e">
        <f>AND(Bills!M895,"AAAAAHu0T/Q=")</f>
        <v>#VALUE!</v>
      </c>
      <c r="IL224" t="e">
        <f>AND(Bills!N895,"AAAAAHu0T/U=")</f>
        <v>#VALUE!</v>
      </c>
      <c r="IM224" t="e">
        <f>AND(Bills!O895,"AAAAAHu0T/Y=")</f>
        <v>#VALUE!</v>
      </c>
      <c r="IN224" t="e">
        <f>AND(Bills!P895,"AAAAAHu0T/c=")</f>
        <v>#VALUE!</v>
      </c>
      <c r="IO224" t="e">
        <f>AND(Bills!Q895,"AAAAAHu0T/g=")</f>
        <v>#VALUE!</v>
      </c>
      <c r="IP224" t="e">
        <f>AND(Bills!R895,"AAAAAHu0T/k=")</f>
        <v>#VALUE!</v>
      </c>
      <c r="IQ224" t="e">
        <f>AND(Bills!#REF!,"AAAAAHu0T/o=")</f>
        <v>#REF!</v>
      </c>
      <c r="IR224" t="e">
        <f>AND(Bills!S895,"AAAAAHu0T/s=")</f>
        <v>#VALUE!</v>
      </c>
      <c r="IS224" t="e">
        <f>AND(Bills!T895,"AAAAAHu0T/w=")</f>
        <v>#VALUE!</v>
      </c>
      <c r="IT224" t="e">
        <f>AND(Bills!U895,"AAAAAHu0T/0=")</f>
        <v>#VALUE!</v>
      </c>
      <c r="IU224" t="e">
        <f>AND(Bills!#REF!,"AAAAAHu0T/4=")</f>
        <v>#REF!</v>
      </c>
      <c r="IV224" t="e">
        <f>AND(Bills!#REF!,"AAAAAHu0T/8=")</f>
        <v>#REF!</v>
      </c>
    </row>
    <row r="225" spans="1:256">
      <c r="A225" t="e">
        <f>AND(Bills!W895,"AAAAAG2+7gA=")</f>
        <v>#VALUE!</v>
      </c>
      <c r="B225" t="e">
        <f>AND(Bills!X895,"AAAAAG2+7gE=")</f>
        <v>#VALUE!</v>
      </c>
      <c r="C225" t="e">
        <f>AND(Bills!#REF!,"AAAAAG2+7gI=")</f>
        <v>#REF!</v>
      </c>
      <c r="D225" t="e">
        <f>AND(Bills!#REF!,"AAAAAG2+7gM=")</f>
        <v>#REF!</v>
      </c>
      <c r="E225" t="e">
        <f>AND(Bills!#REF!,"AAAAAG2+7gQ=")</f>
        <v>#REF!</v>
      </c>
      <c r="F225" t="e">
        <f>AND(Bills!#REF!,"AAAAAG2+7gU=")</f>
        <v>#REF!</v>
      </c>
      <c r="G225" t="e">
        <f>AND(Bills!#REF!,"AAAAAG2+7gY=")</f>
        <v>#REF!</v>
      </c>
      <c r="H225" t="e">
        <f>AND(Bills!#REF!,"AAAAAG2+7gc=")</f>
        <v>#REF!</v>
      </c>
      <c r="I225" t="e">
        <f>AND(Bills!#REF!,"AAAAAG2+7gg=")</f>
        <v>#REF!</v>
      </c>
      <c r="J225" t="e">
        <f>AND(Bills!#REF!,"AAAAAG2+7gk=")</f>
        <v>#REF!</v>
      </c>
      <c r="K225" t="e">
        <f>AND(Bills!#REF!,"AAAAAG2+7go=")</f>
        <v>#REF!</v>
      </c>
      <c r="L225" t="e">
        <f>AND(Bills!Y895,"AAAAAG2+7gs=")</f>
        <v>#VALUE!</v>
      </c>
      <c r="M225" t="e">
        <f>AND(Bills!Z895,"AAAAAG2+7gw=")</f>
        <v>#VALUE!</v>
      </c>
      <c r="N225" t="e">
        <f>AND(Bills!#REF!,"AAAAAG2+7g0=")</f>
        <v>#REF!</v>
      </c>
      <c r="O225" t="e">
        <f>AND(Bills!#REF!,"AAAAAG2+7g4=")</f>
        <v>#REF!</v>
      </c>
      <c r="P225" t="e">
        <f>AND(Bills!#REF!,"AAAAAG2+7g8=")</f>
        <v>#REF!</v>
      </c>
      <c r="Q225" t="e">
        <f>AND(Bills!AA895,"AAAAAG2+7hA=")</f>
        <v>#VALUE!</v>
      </c>
      <c r="R225" t="e">
        <f>AND(Bills!AB895,"AAAAAG2+7hE=")</f>
        <v>#VALUE!</v>
      </c>
      <c r="S225" t="e">
        <f>AND(Bills!#REF!,"AAAAAG2+7hI=")</f>
        <v>#REF!</v>
      </c>
      <c r="T225">
        <f>IF(Bills!896:896,"AAAAAG2+7hM=",0)</f>
        <v>0</v>
      </c>
      <c r="U225" t="e">
        <f>AND(Bills!B896,"AAAAAG2+7hQ=")</f>
        <v>#VALUE!</v>
      </c>
      <c r="V225" t="e">
        <f>AND(Bills!#REF!,"AAAAAG2+7hU=")</f>
        <v>#REF!</v>
      </c>
      <c r="W225" t="e">
        <f>AND(Bills!C896,"AAAAAG2+7hY=")</f>
        <v>#VALUE!</v>
      </c>
      <c r="X225" t="e">
        <f>AND(Bills!#REF!,"AAAAAG2+7hc=")</f>
        <v>#REF!</v>
      </c>
      <c r="Y225" t="e">
        <f>AND(Bills!#REF!,"AAAAAG2+7hg=")</f>
        <v>#REF!</v>
      </c>
      <c r="Z225" t="e">
        <f>AND(Bills!#REF!,"AAAAAG2+7hk=")</f>
        <v>#REF!</v>
      </c>
      <c r="AA225" t="e">
        <f>AND(Bills!#REF!,"AAAAAG2+7ho=")</f>
        <v>#REF!</v>
      </c>
      <c r="AB225" t="e">
        <f>AND(Bills!#REF!,"AAAAAG2+7hs=")</f>
        <v>#REF!</v>
      </c>
      <c r="AC225" t="e">
        <f>AND(Bills!D896,"AAAAAG2+7hw=")</f>
        <v>#VALUE!</v>
      </c>
      <c r="AD225" t="e">
        <f>AND(Bills!#REF!,"AAAAAG2+7h0=")</f>
        <v>#REF!</v>
      </c>
      <c r="AE225" t="e">
        <f>AND(Bills!E896,"AAAAAG2+7h4=")</f>
        <v>#VALUE!</v>
      </c>
      <c r="AF225" t="e">
        <f>AND(Bills!F896,"AAAAAG2+7h8=")</f>
        <v>#VALUE!</v>
      </c>
      <c r="AG225" t="e">
        <f>AND(Bills!G896,"AAAAAG2+7iA=")</f>
        <v>#VALUE!</v>
      </c>
      <c r="AH225" t="e">
        <f>AND(Bills!H896,"AAAAAG2+7iE=")</f>
        <v>#VALUE!</v>
      </c>
      <c r="AI225" t="e">
        <f>AND(Bills!I896,"AAAAAG2+7iI=")</f>
        <v>#VALUE!</v>
      </c>
      <c r="AJ225" t="e">
        <f>AND(Bills!J896,"AAAAAG2+7iM=")</f>
        <v>#VALUE!</v>
      </c>
      <c r="AK225" t="e">
        <f>AND(Bills!#REF!,"AAAAAG2+7iQ=")</f>
        <v>#REF!</v>
      </c>
      <c r="AL225" t="e">
        <f>AND(Bills!K896,"AAAAAG2+7iU=")</f>
        <v>#VALUE!</v>
      </c>
      <c r="AM225" t="e">
        <f>AND(Bills!L896,"AAAAAG2+7iY=")</f>
        <v>#VALUE!</v>
      </c>
      <c r="AN225" t="e">
        <f>AND(Bills!M896,"AAAAAG2+7ic=")</f>
        <v>#VALUE!</v>
      </c>
      <c r="AO225" t="e">
        <f>AND(Bills!N896,"AAAAAG2+7ig=")</f>
        <v>#VALUE!</v>
      </c>
      <c r="AP225" t="e">
        <f>AND(Bills!O896,"AAAAAG2+7ik=")</f>
        <v>#VALUE!</v>
      </c>
      <c r="AQ225" t="e">
        <f>AND(Bills!P896,"AAAAAG2+7io=")</f>
        <v>#VALUE!</v>
      </c>
      <c r="AR225" t="e">
        <f>AND(Bills!Q896,"AAAAAG2+7is=")</f>
        <v>#VALUE!</v>
      </c>
      <c r="AS225" t="e">
        <f>AND(Bills!R896,"AAAAAG2+7iw=")</f>
        <v>#VALUE!</v>
      </c>
      <c r="AT225" t="e">
        <f>AND(Bills!#REF!,"AAAAAG2+7i0=")</f>
        <v>#REF!</v>
      </c>
      <c r="AU225" t="e">
        <f>AND(Bills!S896,"AAAAAG2+7i4=")</f>
        <v>#VALUE!</v>
      </c>
      <c r="AV225" t="e">
        <f>AND(Bills!T896,"AAAAAG2+7i8=")</f>
        <v>#VALUE!</v>
      </c>
      <c r="AW225" t="e">
        <f>AND(Bills!U896,"AAAAAG2+7jA=")</f>
        <v>#VALUE!</v>
      </c>
      <c r="AX225" t="e">
        <f>AND(Bills!#REF!,"AAAAAG2+7jE=")</f>
        <v>#REF!</v>
      </c>
      <c r="AY225" t="e">
        <f>AND(Bills!#REF!,"AAAAAG2+7jI=")</f>
        <v>#REF!</v>
      </c>
      <c r="AZ225" t="e">
        <f>AND(Bills!W896,"AAAAAG2+7jM=")</f>
        <v>#VALUE!</v>
      </c>
      <c r="BA225" t="e">
        <f>AND(Bills!X896,"AAAAAG2+7jQ=")</f>
        <v>#VALUE!</v>
      </c>
      <c r="BB225" t="e">
        <f>AND(Bills!#REF!,"AAAAAG2+7jU=")</f>
        <v>#REF!</v>
      </c>
      <c r="BC225" t="e">
        <f>AND(Bills!#REF!,"AAAAAG2+7jY=")</f>
        <v>#REF!</v>
      </c>
      <c r="BD225" t="e">
        <f>AND(Bills!#REF!,"AAAAAG2+7jc=")</f>
        <v>#REF!</v>
      </c>
      <c r="BE225" t="e">
        <f>AND(Bills!#REF!,"AAAAAG2+7jg=")</f>
        <v>#REF!</v>
      </c>
      <c r="BF225" t="e">
        <f>AND(Bills!#REF!,"AAAAAG2+7jk=")</f>
        <v>#REF!</v>
      </c>
      <c r="BG225" t="e">
        <f>AND(Bills!#REF!,"AAAAAG2+7jo=")</f>
        <v>#REF!</v>
      </c>
      <c r="BH225" t="e">
        <f>AND(Bills!#REF!,"AAAAAG2+7js=")</f>
        <v>#REF!</v>
      </c>
      <c r="BI225" t="e">
        <f>AND(Bills!#REF!,"AAAAAG2+7jw=")</f>
        <v>#REF!</v>
      </c>
      <c r="BJ225" t="e">
        <f>AND(Bills!#REF!,"AAAAAG2+7j0=")</f>
        <v>#REF!</v>
      </c>
      <c r="BK225" t="e">
        <f>AND(Bills!Y896,"AAAAAG2+7j4=")</f>
        <v>#VALUE!</v>
      </c>
      <c r="BL225" t="e">
        <f>AND(Bills!Z896,"AAAAAG2+7j8=")</f>
        <v>#VALUE!</v>
      </c>
      <c r="BM225" t="e">
        <f>AND(Bills!#REF!,"AAAAAG2+7kA=")</f>
        <v>#REF!</v>
      </c>
      <c r="BN225" t="e">
        <f>AND(Bills!#REF!,"AAAAAG2+7kE=")</f>
        <v>#REF!</v>
      </c>
      <c r="BO225" t="e">
        <f>AND(Bills!#REF!,"AAAAAG2+7kI=")</f>
        <v>#REF!</v>
      </c>
      <c r="BP225" t="e">
        <f>AND(Bills!AA896,"AAAAAG2+7kM=")</f>
        <v>#VALUE!</v>
      </c>
      <c r="BQ225" t="e">
        <f>AND(Bills!AB896,"AAAAAG2+7kQ=")</f>
        <v>#VALUE!</v>
      </c>
      <c r="BR225" t="e">
        <f>AND(Bills!#REF!,"AAAAAG2+7kU=")</f>
        <v>#REF!</v>
      </c>
      <c r="BS225">
        <f>IF(Bills!897:897,"AAAAAG2+7kY=",0)</f>
        <v>0</v>
      </c>
      <c r="BT225" t="e">
        <f>AND(Bills!B897,"AAAAAG2+7kc=")</f>
        <v>#VALUE!</v>
      </c>
      <c r="BU225" t="e">
        <f>AND(Bills!#REF!,"AAAAAG2+7kg=")</f>
        <v>#REF!</v>
      </c>
      <c r="BV225" t="e">
        <f>AND(Bills!C897,"AAAAAG2+7kk=")</f>
        <v>#VALUE!</v>
      </c>
      <c r="BW225" t="e">
        <f>AND(Bills!#REF!,"AAAAAG2+7ko=")</f>
        <v>#REF!</v>
      </c>
      <c r="BX225" t="e">
        <f>AND(Bills!#REF!,"AAAAAG2+7ks=")</f>
        <v>#REF!</v>
      </c>
      <c r="BY225" t="e">
        <f>AND(Bills!#REF!,"AAAAAG2+7kw=")</f>
        <v>#REF!</v>
      </c>
      <c r="BZ225" t="e">
        <f>AND(Bills!#REF!,"AAAAAG2+7k0=")</f>
        <v>#REF!</v>
      </c>
      <c r="CA225" t="e">
        <f>AND(Bills!#REF!,"AAAAAG2+7k4=")</f>
        <v>#REF!</v>
      </c>
      <c r="CB225" t="e">
        <f>AND(Bills!D897,"AAAAAG2+7k8=")</f>
        <v>#VALUE!</v>
      </c>
      <c r="CC225" t="e">
        <f>AND(Bills!#REF!,"AAAAAG2+7lA=")</f>
        <v>#REF!</v>
      </c>
      <c r="CD225" t="e">
        <f>AND(Bills!E897,"AAAAAG2+7lE=")</f>
        <v>#VALUE!</v>
      </c>
      <c r="CE225" t="e">
        <f>AND(Bills!F897,"AAAAAG2+7lI=")</f>
        <v>#VALUE!</v>
      </c>
      <c r="CF225" t="e">
        <f>AND(Bills!G897,"AAAAAG2+7lM=")</f>
        <v>#VALUE!</v>
      </c>
      <c r="CG225" t="e">
        <f>AND(Bills!H897,"AAAAAG2+7lQ=")</f>
        <v>#VALUE!</v>
      </c>
      <c r="CH225" t="e">
        <f>AND(Bills!I897,"AAAAAG2+7lU=")</f>
        <v>#VALUE!</v>
      </c>
      <c r="CI225" t="e">
        <f>AND(Bills!J897,"AAAAAG2+7lY=")</f>
        <v>#VALUE!</v>
      </c>
      <c r="CJ225" t="e">
        <f>AND(Bills!#REF!,"AAAAAG2+7lc=")</f>
        <v>#REF!</v>
      </c>
      <c r="CK225" t="e">
        <f>AND(Bills!K897,"AAAAAG2+7lg=")</f>
        <v>#VALUE!</v>
      </c>
      <c r="CL225" t="e">
        <f>AND(Bills!L897,"AAAAAG2+7lk=")</f>
        <v>#VALUE!</v>
      </c>
      <c r="CM225" t="e">
        <f>AND(Bills!M897,"AAAAAG2+7lo=")</f>
        <v>#VALUE!</v>
      </c>
      <c r="CN225" t="e">
        <f>AND(Bills!N897,"AAAAAG2+7ls=")</f>
        <v>#VALUE!</v>
      </c>
      <c r="CO225" t="e">
        <f>AND(Bills!O897,"AAAAAG2+7lw=")</f>
        <v>#VALUE!</v>
      </c>
      <c r="CP225" t="e">
        <f>AND(Bills!P897,"AAAAAG2+7l0=")</f>
        <v>#VALUE!</v>
      </c>
      <c r="CQ225" t="e">
        <f>AND(Bills!Q897,"AAAAAG2+7l4=")</f>
        <v>#VALUE!</v>
      </c>
      <c r="CR225" t="e">
        <f>AND(Bills!R897,"AAAAAG2+7l8=")</f>
        <v>#VALUE!</v>
      </c>
      <c r="CS225" t="e">
        <f>AND(Bills!#REF!,"AAAAAG2+7mA=")</f>
        <v>#REF!</v>
      </c>
      <c r="CT225" t="e">
        <f>AND(Bills!S897,"AAAAAG2+7mE=")</f>
        <v>#VALUE!</v>
      </c>
      <c r="CU225" t="e">
        <f>AND(Bills!T897,"AAAAAG2+7mI=")</f>
        <v>#VALUE!</v>
      </c>
      <c r="CV225" t="e">
        <f>AND(Bills!U897,"AAAAAG2+7mM=")</f>
        <v>#VALUE!</v>
      </c>
      <c r="CW225" t="e">
        <f>AND(Bills!#REF!,"AAAAAG2+7mQ=")</f>
        <v>#REF!</v>
      </c>
      <c r="CX225" t="e">
        <f>AND(Bills!#REF!,"AAAAAG2+7mU=")</f>
        <v>#REF!</v>
      </c>
      <c r="CY225" t="e">
        <f>AND(Bills!W897,"AAAAAG2+7mY=")</f>
        <v>#VALUE!</v>
      </c>
      <c r="CZ225" t="e">
        <f>AND(Bills!X897,"AAAAAG2+7mc=")</f>
        <v>#VALUE!</v>
      </c>
      <c r="DA225" t="e">
        <f>AND(Bills!#REF!,"AAAAAG2+7mg=")</f>
        <v>#REF!</v>
      </c>
      <c r="DB225" t="e">
        <f>AND(Bills!#REF!,"AAAAAG2+7mk=")</f>
        <v>#REF!</v>
      </c>
      <c r="DC225" t="e">
        <f>AND(Bills!#REF!,"AAAAAG2+7mo=")</f>
        <v>#REF!</v>
      </c>
      <c r="DD225" t="e">
        <f>AND(Bills!#REF!,"AAAAAG2+7ms=")</f>
        <v>#REF!</v>
      </c>
      <c r="DE225" t="e">
        <f>AND(Bills!#REF!,"AAAAAG2+7mw=")</f>
        <v>#REF!</v>
      </c>
      <c r="DF225" t="e">
        <f>AND(Bills!#REF!,"AAAAAG2+7m0=")</f>
        <v>#REF!</v>
      </c>
      <c r="DG225" t="e">
        <f>AND(Bills!#REF!,"AAAAAG2+7m4=")</f>
        <v>#REF!</v>
      </c>
      <c r="DH225" t="e">
        <f>AND(Bills!#REF!,"AAAAAG2+7m8=")</f>
        <v>#REF!</v>
      </c>
      <c r="DI225" t="e">
        <f>AND(Bills!#REF!,"AAAAAG2+7nA=")</f>
        <v>#REF!</v>
      </c>
      <c r="DJ225" t="e">
        <f>AND(Bills!Y897,"AAAAAG2+7nE=")</f>
        <v>#VALUE!</v>
      </c>
      <c r="DK225" t="e">
        <f>AND(Bills!Z897,"AAAAAG2+7nI=")</f>
        <v>#VALUE!</v>
      </c>
      <c r="DL225" t="e">
        <f>AND(Bills!#REF!,"AAAAAG2+7nM=")</f>
        <v>#REF!</v>
      </c>
      <c r="DM225" t="e">
        <f>AND(Bills!#REF!,"AAAAAG2+7nQ=")</f>
        <v>#REF!</v>
      </c>
      <c r="DN225" t="e">
        <f>AND(Bills!#REF!,"AAAAAG2+7nU=")</f>
        <v>#REF!</v>
      </c>
      <c r="DO225" t="e">
        <f>AND(Bills!AA897,"AAAAAG2+7nY=")</f>
        <v>#VALUE!</v>
      </c>
      <c r="DP225" t="e">
        <f>AND(Bills!AB897,"AAAAAG2+7nc=")</f>
        <v>#VALUE!</v>
      </c>
      <c r="DQ225" t="e">
        <f>AND(Bills!#REF!,"AAAAAG2+7ng=")</f>
        <v>#REF!</v>
      </c>
      <c r="DR225">
        <f>IF(Bills!898:898,"AAAAAG2+7nk=",0)</f>
        <v>0</v>
      </c>
      <c r="DS225" t="e">
        <f>AND(Bills!B898,"AAAAAG2+7no=")</f>
        <v>#VALUE!</v>
      </c>
      <c r="DT225" t="e">
        <f>AND(Bills!#REF!,"AAAAAG2+7ns=")</f>
        <v>#REF!</v>
      </c>
      <c r="DU225" t="e">
        <f>AND(Bills!C898,"AAAAAG2+7nw=")</f>
        <v>#VALUE!</v>
      </c>
      <c r="DV225" t="e">
        <f>AND(Bills!#REF!,"AAAAAG2+7n0=")</f>
        <v>#REF!</v>
      </c>
      <c r="DW225" t="e">
        <f>AND(Bills!#REF!,"AAAAAG2+7n4=")</f>
        <v>#REF!</v>
      </c>
      <c r="DX225" t="e">
        <f>AND(Bills!#REF!,"AAAAAG2+7n8=")</f>
        <v>#REF!</v>
      </c>
      <c r="DY225" t="e">
        <f>AND(Bills!#REF!,"AAAAAG2+7oA=")</f>
        <v>#REF!</v>
      </c>
      <c r="DZ225" t="e">
        <f>AND(Bills!#REF!,"AAAAAG2+7oE=")</f>
        <v>#REF!</v>
      </c>
      <c r="EA225" t="e">
        <f>AND(Bills!D898,"AAAAAG2+7oI=")</f>
        <v>#VALUE!</v>
      </c>
      <c r="EB225" t="e">
        <f>AND(Bills!#REF!,"AAAAAG2+7oM=")</f>
        <v>#REF!</v>
      </c>
      <c r="EC225" t="e">
        <f>AND(Bills!E898,"AAAAAG2+7oQ=")</f>
        <v>#VALUE!</v>
      </c>
      <c r="ED225" t="e">
        <f>AND(Bills!F898,"AAAAAG2+7oU=")</f>
        <v>#VALUE!</v>
      </c>
      <c r="EE225" t="e">
        <f>AND(Bills!G898,"AAAAAG2+7oY=")</f>
        <v>#VALUE!</v>
      </c>
      <c r="EF225" t="e">
        <f>AND(Bills!H898,"AAAAAG2+7oc=")</f>
        <v>#VALUE!</v>
      </c>
      <c r="EG225" t="e">
        <f>AND(Bills!I898,"AAAAAG2+7og=")</f>
        <v>#VALUE!</v>
      </c>
      <c r="EH225" t="e">
        <f>AND(Bills!J898,"AAAAAG2+7ok=")</f>
        <v>#VALUE!</v>
      </c>
      <c r="EI225" t="e">
        <f>AND(Bills!#REF!,"AAAAAG2+7oo=")</f>
        <v>#REF!</v>
      </c>
      <c r="EJ225" t="e">
        <f>AND(Bills!K898,"AAAAAG2+7os=")</f>
        <v>#VALUE!</v>
      </c>
      <c r="EK225" t="e">
        <f>AND(Bills!L898,"AAAAAG2+7ow=")</f>
        <v>#VALUE!</v>
      </c>
      <c r="EL225" t="e">
        <f>AND(Bills!M898,"AAAAAG2+7o0=")</f>
        <v>#VALUE!</v>
      </c>
      <c r="EM225" t="e">
        <f>AND(Bills!N898,"AAAAAG2+7o4=")</f>
        <v>#VALUE!</v>
      </c>
      <c r="EN225" t="e">
        <f>AND(Bills!O898,"AAAAAG2+7o8=")</f>
        <v>#VALUE!</v>
      </c>
      <c r="EO225" t="e">
        <f>AND(Bills!P898,"AAAAAG2+7pA=")</f>
        <v>#VALUE!</v>
      </c>
      <c r="EP225" t="e">
        <f>AND(Bills!Q898,"AAAAAG2+7pE=")</f>
        <v>#VALUE!</v>
      </c>
      <c r="EQ225" t="e">
        <f>AND(Bills!R898,"AAAAAG2+7pI=")</f>
        <v>#VALUE!</v>
      </c>
      <c r="ER225" t="e">
        <f>AND(Bills!#REF!,"AAAAAG2+7pM=")</f>
        <v>#REF!</v>
      </c>
      <c r="ES225" t="e">
        <f>AND(Bills!S898,"AAAAAG2+7pQ=")</f>
        <v>#VALUE!</v>
      </c>
      <c r="ET225" t="e">
        <f>AND(Bills!T898,"AAAAAG2+7pU=")</f>
        <v>#VALUE!</v>
      </c>
      <c r="EU225" t="e">
        <f>AND(Bills!U898,"AAAAAG2+7pY=")</f>
        <v>#VALUE!</v>
      </c>
      <c r="EV225" t="e">
        <f>AND(Bills!#REF!,"AAAAAG2+7pc=")</f>
        <v>#REF!</v>
      </c>
      <c r="EW225" t="e">
        <f>AND(Bills!#REF!,"AAAAAG2+7pg=")</f>
        <v>#REF!</v>
      </c>
      <c r="EX225" t="e">
        <f>AND(Bills!W898,"AAAAAG2+7pk=")</f>
        <v>#VALUE!</v>
      </c>
      <c r="EY225" t="e">
        <f>AND(Bills!X898,"AAAAAG2+7po=")</f>
        <v>#VALUE!</v>
      </c>
      <c r="EZ225" t="e">
        <f>AND(Bills!#REF!,"AAAAAG2+7ps=")</f>
        <v>#REF!</v>
      </c>
      <c r="FA225" t="e">
        <f>AND(Bills!#REF!,"AAAAAG2+7pw=")</f>
        <v>#REF!</v>
      </c>
      <c r="FB225" t="e">
        <f>AND(Bills!#REF!,"AAAAAG2+7p0=")</f>
        <v>#REF!</v>
      </c>
      <c r="FC225" t="e">
        <f>AND(Bills!#REF!,"AAAAAG2+7p4=")</f>
        <v>#REF!</v>
      </c>
      <c r="FD225" t="e">
        <f>AND(Bills!#REF!,"AAAAAG2+7p8=")</f>
        <v>#REF!</v>
      </c>
      <c r="FE225" t="e">
        <f>AND(Bills!#REF!,"AAAAAG2+7qA=")</f>
        <v>#REF!</v>
      </c>
      <c r="FF225" t="e">
        <f>AND(Bills!#REF!,"AAAAAG2+7qE=")</f>
        <v>#REF!</v>
      </c>
      <c r="FG225" t="e">
        <f>AND(Bills!#REF!,"AAAAAG2+7qI=")</f>
        <v>#REF!</v>
      </c>
      <c r="FH225" t="e">
        <f>AND(Bills!#REF!,"AAAAAG2+7qM=")</f>
        <v>#REF!</v>
      </c>
      <c r="FI225" t="e">
        <f>AND(Bills!Y898,"AAAAAG2+7qQ=")</f>
        <v>#VALUE!</v>
      </c>
      <c r="FJ225" t="e">
        <f>AND(Bills!Z898,"AAAAAG2+7qU=")</f>
        <v>#VALUE!</v>
      </c>
      <c r="FK225" t="e">
        <f>AND(Bills!#REF!,"AAAAAG2+7qY=")</f>
        <v>#REF!</v>
      </c>
      <c r="FL225" t="e">
        <f>AND(Bills!#REF!,"AAAAAG2+7qc=")</f>
        <v>#REF!</v>
      </c>
      <c r="FM225" t="e">
        <f>AND(Bills!#REF!,"AAAAAG2+7qg=")</f>
        <v>#REF!</v>
      </c>
      <c r="FN225" t="e">
        <f>AND(Bills!AA898,"AAAAAG2+7qk=")</f>
        <v>#VALUE!</v>
      </c>
      <c r="FO225" t="e">
        <f>AND(Bills!AB898,"AAAAAG2+7qo=")</f>
        <v>#VALUE!</v>
      </c>
      <c r="FP225" t="e">
        <f>AND(Bills!#REF!,"AAAAAG2+7qs=")</f>
        <v>#REF!</v>
      </c>
      <c r="FQ225">
        <f>IF(Bills!899:899,"AAAAAG2+7qw=",0)</f>
        <v>0</v>
      </c>
      <c r="FR225" t="e">
        <f>AND(Bills!B899,"AAAAAG2+7q0=")</f>
        <v>#VALUE!</v>
      </c>
      <c r="FS225" t="e">
        <f>AND(Bills!#REF!,"AAAAAG2+7q4=")</f>
        <v>#REF!</v>
      </c>
      <c r="FT225" t="e">
        <f>AND(Bills!C899,"AAAAAG2+7q8=")</f>
        <v>#VALUE!</v>
      </c>
      <c r="FU225" t="e">
        <f>AND(Bills!#REF!,"AAAAAG2+7rA=")</f>
        <v>#REF!</v>
      </c>
      <c r="FV225" t="e">
        <f>AND(Bills!#REF!,"AAAAAG2+7rE=")</f>
        <v>#REF!</v>
      </c>
      <c r="FW225" t="e">
        <f>AND(Bills!#REF!,"AAAAAG2+7rI=")</f>
        <v>#REF!</v>
      </c>
      <c r="FX225" t="e">
        <f>AND(Bills!#REF!,"AAAAAG2+7rM=")</f>
        <v>#REF!</v>
      </c>
      <c r="FY225" t="e">
        <f>AND(Bills!#REF!,"AAAAAG2+7rQ=")</f>
        <v>#REF!</v>
      </c>
      <c r="FZ225" t="e">
        <f>AND(Bills!D899,"AAAAAG2+7rU=")</f>
        <v>#VALUE!</v>
      </c>
      <c r="GA225" t="e">
        <f>AND(Bills!#REF!,"AAAAAG2+7rY=")</f>
        <v>#REF!</v>
      </c>
      <c r="GB225" t="e">
        <f>AND(Bills!E899,"AAAAAG2+7rc=")</f>
        <v>#VALUE!</v>
      </c>
      <c r="GC225" t="e">
        <f>AND(Bills!F899,"AAAAAG2+7rg=")</f>
        <v>#VALUE!</v>
      </c>
      <c r="GD225" t="e">
        <f>AND(Bills!G899,"AAAAAG2+7rk=")</f>
        <v>#VALUE!</v>
      </c>
      <c r="GE225" t="e">
        <f>AND(Bills!H899,"AAAAAG2+7ro=")</f>
        <v>#VALUE!</v>
      </c>
      <c r="GF225" t="e">
        <f>AND(Bills!I899,"AAAAAG2+7rs=")</f>
        <v>#VALUE!</v>
      </c>
      <c r="GG225" t="e">
        <f>AND(Bills!J899,"AAAAAG2+7rw=")</f>
        <v>#VALUE!</v>
      </c>
      <c r="GH225" t="e">
        <f>AND(Bills!#REF!,"AAAAAG2+7r0=")</f>
        <v>#REF!</v>
      </c>
      <c r="GI225" t="e">
        <f>AND(Bills!K899,"AAAAAG2+7r4=")</f>
        <v>#VALUE!</v>
      </c>
      <c r="GJ225" t="e">
        <f>AND(Bills!L899,"AAAAAG2+7r8=")</f>
        <v>#VALUE!</v>
      </c>
      <c r="GK225" t="e">
        <f>AND(Bills!M899,"AAAAAG2+7sA=")</f>
        <v>#VALUE!</v>
      </c>
      <c r="GL225" t="e">
        <f>AND(Bills!N899,"AAAAAG2+7sE=")</f>
        <v>#VALUE!</v>
      </c>
      <c r="GM225" t="e">
        <f>AND(Bills!O899,"AAAAAG2+7sI=")</f>
        <v>#VALUE!</v>
      </c>
      <c r="GN225" t="e">
        <f>AND(Bills!P899,"AAAAAG2+7sM=")</f>
        <v>#VALUE!</v>
      </c>
      <c r="GO225" t="e">
        <f>AND(Bills!Q899,"AAAAAG2+7sQ=")</f>
        <v>#VALUE!</v>
      </c>
      <c r="GP225" t="e">
        <f>AND(Bills!R899,"AAAAAG2+7sU=")</f>
        <v>#VALUE!</v>
      </c>
      <c r="GQ225" t="e">
        <f>AND(Bills!#REF!,"AAAAAG2+7sY=")</f>
        <v>#REF!</v>
      </c>
      <c r="GR225" t="e">
        <f>AND(Bills!S899,"AAAAAG2+7sc=")</f>
        <v>#VALUE!</v>
      </c>
      <c r="GS225" t="e">
        <f>AND(Bills!T899,"AAAAAG2+7sg=")</f>
        <v>#VALUE!</v>
      </c>
      <c r="GT225" t="e">
        <f>AND(Bills!U899,"AAAAAG2+7sk=")</f>
        <v>#VALUE!</v>
      </c>
      <c r="GU225" t="e">
        <f>AND(Bills!#REF!,"AAAAAG2+7so=")</f>
        <v>#REF!</v>
      </c>
      <c r="GV225" t="e">
        <f>AND(Bills!#REF!,"AAAAAG2+7ss=")</f>
        <v>#REF!</v>
      </c>
      <c r="GW225" t="e">
        <f>AND(Bills!W899,"AAAAAG2+7sw=")</f>
        <v>#VALUE!</v>
      </c>
      <c r="GX225" t="e">
        <f>AND(Bills!X899,"AAAAAG2+7s0=")</f>
        <v>#VALUE!</v>
      </c>
      <c r="GY225" t="e">
        <f>AND(Bills!#REF!,"AAAAAG2+7s4=")</f>
        <v>#REF!</v>
      </c>
      <c r="GZ225" t="e">
        <f>AND(Bills!#REF!,"AAAAAG2+7s8=")</f>
        <v>#REF!</v>
      </c>
      <c r="HA225" t="e">
        <f>AND(Bills!#REF!,"AAAAAG2+7tA=")</f>
        <v>#REF!</v>
      </c>
      <c r="HB225" t="e">
        <f>AND(Bills!#REF!,"AAAAAG2+7tE=")</f>
        <v>#REF!</v>
      </c>
      <c r="HC225" t="e">
        <f>AND(Bills!#REF!,"AAAAAG2+7tI=")</f>
        <v>#REF!</v>
      </c>
      <c r="HD225" t="e">
        <f>AND(Bills!#REF!,"AAAAAG2+7tM=")</f>
        <v>#REF!</v>
      </c>
      <c r="HE225" t="e">
        <f>AND(Bills!#REF!,"AAAAAG2+7tQ=")</f>
        <v>#REF!</v>
      </c>
      <c r="HF225" t="e">
        <f>AND(Bills!#REF!,"AAAAAG2+7tU=")</f>
        <v>#REF!</v>
      </c>
      <c r="HG225" t="e">
        <f>AND(Bills!#REF!,"AAAAAG2+7tY=")</f>
        <v>#REF!</v>
      </c>
      <c r="HH225" t="e">
        <f>AND(Bills!Y899,"AAAAAG2+7tc=")</f>
        <v>#VALUE!</v>
      </c>
      <c r="HI225" t="e">
        <f>AND(Bills!Z899,"AAAAAG2+7tg=")</f>
        <v>#VALUE!</v>
      </c>
      <c r="HJ225" t="e">
        <f>AND(Bills!#REF!,"AAAAAG2+7tk=")</f>
        <v>#REF!</v>
      </c>
      <c r="HK225" t="e">
        <f>AND(Bills!#REF!,"AAAAAG2+7to=")</f>
        <v>#REF!</v>
      </c>
      <c r="HL225" t="e">
        <f>AND(Bills!#REF!,"AAAAAG2+7ts=")</f>
        <v>#REF!</v>
      </c>
      <c r="HM225" t="e">
        <f>AND(Bills!AA899,"AAAAAG2+7tw=")</f>
        <v>#VALUE!</v>
      </c>
      <c r="HN225" t="e">
        <f>AND(Bills!AB899,"AAAAAG2+7t0=")</f>
        <v>#VALUE!</v>
      </c>
      <c r="HO225" t="e">
        <f>AND(Bills!#REF!,"AAAAAG2+7t4=")</f>
        <v>#REF!</v>
      </c>
      <c r="HP225">
        <f>IF(Bills!900:900,"AAAAAG2+7t8=",0)</f>
        <v>0</v>
      </c>
      <c r="HQ225" t="e">
        <f>AND(Bills!B900,"AAAAAG2+7uA=")</f>
        <v>#VALUE!</v>
      </c>
      <c r="HR225" t="e">
        <f>AND(Bills!#REF!,"AAAAAG2+7uE=")</f>
        <v>#REF!</v>
      </c>
      <c r="HS225" t="e">
        <f>AND(Bills!C900,"AAAAAG2+7uI=")</f>
        <v>#VALUE!</v>
      </c>
      <c r="HT225" t="e">
        <f>AND(Bills!#REF!,"AAAAAG2+7uM=")</f>
        <v>#REF!</v>
      </c>
      <c r="HU225" t="e">
        <f>AND(Bills!#REF!,"AAAAAG2+7uQ=")</f>
        <v>#REF!</v>
      </c>
      <c r="HV225" t="e">
        <f>AND(Bills!#REF!,"AAAAAG2+7uU=")</f>
        <v>#REF!</v>
      </c>
      <c r="HW225" t="e">
        <f>AND(Bills!#REF!,"AAAAAG2+7uY=")</f>
        <v>#REF!</v>
      </c>
      <c r="HX225" t="e">
        <f>AND(Bills!#REF!,"AAAAAG2+7uc=")</f>
        <v>#REF!</v>
      </c>
      <c r="HY225" t="e">
        <f>AND(Bills!D900,"AAAAAG2+7ug=")</f>
        <v>#VALUE!</v>
      </c>
      <c r="HZ225" t="e">
        <f>AND(Bills!#REF!,"AAAAAG2+7uk=")</f>
        <v>#REF!</v>
      </c>
      <c r="IA225" t="e">
        <f>AND(Bills!E900,"AAAAAG2+7uo=")</f>
        <v>#VALUE!</v>
      </c>
      <c r="IB225" t="e">
        <f>AND(Bills!F900,"AAAAAG2+7us=")</f>
        <v>#VALUE!</v>
      </c>
      <c r="IC225" t="e">
        <f>AND(Bills!G900,"AAAAAG2+7uw=")</f>
        <v>#VALUE!</v>
      </c>
      <c r="ID225" t="e">
        <f>AND(Bills!H900,"AAAAAG2+7u0=")</f>
        <v>#VALUE!</v>
      </c>
      <c r="IE225" t="e">
        <f>AND(Bills!I900,"AAAAAG2+7u4=")</f>
        <v>#VALUE!</v>
      </c>
      <c r="IF225" t="e">
        <f>AND(Bills!J900,"AAAAAG2+7u8=")</f>
        <v>#VALUE!</v>
      </c>
      <c r="IG225" t="e">
        <f>AND(Bills!#REF!,"AAAAAG2+7vA=")</f>
        <v>#REF!</v>
      </c>
      <c r="IH225" t="e">
        <f>AND(Bills!K900,"AAAAAG2+7vE=")</f>
        <v>#VALUE!</v>
      </c>
      <c r="II225" t="e">
        <f>AND(Bills!L900,"AAAAAG2+7vI=")</f>
        <v>#VALUE!</v>
      </c>
      <c r="IJ225" t="e">
        <f>AND(Bills!M900,"AAAAAG2+7vM=")</f>
        <v>#VALUE!</v>
      </c>
      <c r="IK225" t="e">
        <f>AND(Bills!N900,"AAAAAG2+7vQ=")</f>
        <v>#VALUE!</v>
      </c>
      <c r="IL225" t="e">
        <f>AND(Bills!O900,"AAAAAG2+7vU=")</f>
        <v>#VALUE!</v>
      </c>
      <c r="IM225" t="e">
        <f>AND(Bills!P900,"AAAAAG2+7vY=")</f>
        <v>#VALUE!</v>
      </c>
      <c r="IN225" t="e">
        <f>AND(Bills!Q900,"AAAAAG2+7vc=")</f>
        <v>#VALUE!</v>
      </c>
      <c r="IO225" t="e">
        <f>AND(Bills!R900,"AAAAAG2+7vg=")</f>
        <v>#VALUE!</v>
      </c>
      <c r="IP225" t="e">
        <f>AND(Bills!#REF!,"AAAAAG2+7vk=")</f>
        <v>#REF!</v>
      </c>
      <c r="IQ225" t="e">
        <f>AND(Bills!S900,"AAAAAG2+7vo=")</f>
        <v>#VALUE!</v>
      </c>
      <c r="IR225" t="e">
        <f>AND(Bills!T900,"AAAAAG2+7vs=")</f>
        <v>#VALUE!</v>
      </c>
      <c r="IS225" t="e">
        <f>AND(Bills!U900,"AAAAAG2+7vw=")</f>
        <v>#VALUE!</v>
      </c>
      <c r="IT225" t="e">
        <f>AND(Bills!#REF!,"AAAAAG2+7v0=")</f>
        <v>#REF!</v>
      </c>
      <c r="IU225" t="e">
        <f>AND(Bills!#REF!,"AAAAAG2+7v4=")</f>
        <v>#REF!</v>
      </c>
      <c r="IV225" t="e">
        <f>AND(Bills!W900,"AAAAAG2+7v8=")</f>
        <v>#VALUE!</v>
      </c>
    </row>
    <row r="226" spans="1:256">
      <c r="A226" t="e">
        <f>AND(Bills!X900,"AAAAAGtd8wA=")</f>
        <v>#VALUE!</v>
      </c>
      <c r="B226" t="e">
        <f>AND(Bills!#REF!,"AAAAAGtd8wE=")</f>
        <v>#REF!</v>
      </c>
      <c r="C226" t="e">
        <f>AND(Bills!#REF!,"AAAAAGtd8wI=")</f>
        <v>#REF!</v>
      </c>
      <c r="D226" t="e">
        <f>AND(Bills!#REF!,"AAAAAGtd8wM=")</f>
        <v>#REF!</v>
      </c>
      <c r="E226" t="e">
        <f>AND(Bills!#REF!,"AAAAAGtd8wQ=")</f>
        <v>#REF!</v>
      </c>
      <c r="F226" t="e">
        <f>AND(Bills!#REF!,"AAAAAGtd8wU=")</f>
        <v>#REF!</v>
      </c>
      <c r="G226" t="e">
        <f>AND(Bills!#REF!,"AAAAAGtd8wY=")</f>
        <v>#REF!</v>
      </c>
      <c r="H226" t="e">
        <f>AND(Bills!#REF!,"AAAAAGtd8wc=")</f>
        <v>#REF!</v>
      </c>
      <c r="I226" t="e">
        <f>AND(Bills!#REF!,"AAAAAGtd8wg=")</f>
        <v>#REF!</v>
      </c>
      <c r="J226" t="e">
        <f>AND(Bills!#REF!,"AAAAAGtd8wk=")</f>
        <v>#REF!</v>
      </c>
      <c r="K226" t="e">
        <f>AND(Bills!Y900,"AAAAAGtd8wo=")</f>
        <v>#VALUE!</v>
      </c>
      <c r="L226" t="e">
        <f>AND(Bills!Z900,"AAAAAGtd8ws=")</f>
        <v>#VALUE!</v>
      </c>
      <c r="M226" t="e">
        <f>AND(Bills!#REF!,"AAAAAGtd8ww=")</f>
        <v>#REF!</v>
      </c>
      <c r="N226" t="e">
        <f>AND(Bills!#REF!,"AAAAAGtd8w0=")</f>
        <v>#REF!</v>
      </c>
      <c r="O226" t="e">
        <f>AND(Bills!#REF!,"AAAAAGtd8w4=")</f>
        <v>#REF!</v>
      </c>
      <c r="P226" t="e">
        <f>AND(Bills!AA900,"AAAAAGtd8w8=")</f>
        <v>#VALUE!</v>
      </c>
      <c r="Q226" t="e">
        <f>AND(Bills!AB900,"AAAAAGtd8xA=")</f>
        <v>#VALUE!</v>
      </c>
      <c r="R226" t="e">
        <f>AND(Bills!#REF!,"AAAAAGtd8xE=")</f>
        <v>#REF!</v>
      </c>
      <c r="S226">
        <f>IF(Bills!901:901,"AAAAAGtd8xI=",0)</f>
        <v>0</v>
      </c>
      <c r="T226" t="e">
        <f>AND(Bills!B901,"AAAAAGtd8xM=")</f>
        <v>#VALUE!</v>
      </c>
      <c r="U226" t="e">
        <f>AND(Bills!#REF!,"AAAAAGtd8xQ=")</f>
        <v>#REF!</v>
      </c>
      <c r="V226" t="e">
        <f>AND(Bills!C901,"AAAAAGtd8xU=")</f>
        <v>#VALUE!</v>
      </c>
      <c r="W226" t="e">
        <f>AND(Bills!#REF!,"AAAAAGtd8xY=")</f>
        <v>#REF!</v>
      </c>
      <c r="X226" t="e">
        <f>AND(Bills!#REF!,"AAAAAGtd8xc=")</f>
        <v>#REF!</v>
      </c>
      <c r="Y226" t="e">
        <f>AND(Bills!#REF!,"AAAAAGtd8xg=")</f>
        <v>#REF!</v>
      </c>
      <c r="Z226" t="e">
        <f>AND(Bills!#REF!,"AAAAAGtd8xk=")</f>
        <v>#REF!</v>
      </c>
      <c r="AA226" t="e">
        <f>AND(Bills!#REF!,"AAAAAGtd8xo=")</f>
        <v>#REF!</v>
      </c>
      <c r="AB226" t="e">
        <f>AND(Bills!D901,"AAAAAGtd8xs=")</f>
        <v>#VALUE!</v>
      </c>
      <c r="AC226" t="e">
        <f>AND(Bills!#REF!,"AAAAAGtd8xw=")</f>
        <v>#REF!</v>
      </c>
      <c r="AD226" t="e">
        <f>AND(Bills!E901,"AAAAAGtd8x0=")</f>
        <v>#VALUE!</v>
      </c>
      <c r="AE226" t="e">
        <f>AND(Bills!F901,"AAAAAGtd8x4=")</f>
        <v>#VALUE!</v>
      </c>
      <c r="AF226" t="e">
        <f>AND(Bills!G901,"AAAAAGtd8x8=")</f>
        <v>#VALUE!</v>
      </c>
      <c r="AG226" t="e">
        <f>AND(Bills!H901,"AAAAAGtd8yA=")</f>
        <v>#VALUE!</v>
      </c>
      <c r="AH226" t="e">
        <f>AND(Bills!I901,"AAAAAGtd8yE=")</f>
        <v>#VALUE!</v>
      </c>
      <c r="AI226" t="e">
        <f>AND(Bills!J901,"AAAAAGtd8yI=")</f>
        <v>#VALUE!</v>
      </c>
      <c r="AJ226" t="e">
        <f>AND(Bills!#REF!,"AAAAAGtd8yM=")</f>
        <v>#REF!</v>
      </c>
      <c r="AK226" t="e">
        <f>AND(Bills!K901,"AAAAAGtd8yQ=")</f>
        <v>#VALUE!</v>
      </c>
      <c r="AL226" t="e">
        <f>AND(Bills!L901,"AAAAAGtd8yU=")</f>
        <v>#VALUE!</v>
      </c>
      <c r="AM226" t="e">
        <f>AND(Bills!M901,"AAAAAGtd8yY=")</f>
        <v>#VALUE!</v>
      </c>
      <c r="AN226" t="e">
        <f>AND(Bills!N901,"AAAAAGtd8yc=")</f>
        <v>#VALUE!</v>
      </c>
      <c r="AO226" t="e">
        <f>AND(Bills!O901,"AAAAAGtd8yg=")</f>
        <v>#VALUE!</v>
      </c>
      <c r="AP226" t="e">
        <f>AND(Bills!P901,"AAAAAGtd8yk=")</f>
        <v>#VALUE!</v>
      </c>
      <c r="AQ226" t="e">
        <f>AND(Bills!Q901,"AAAAAGtd8yo=")</f>
        <v>#VALUE!</v>
      </c>
      <c r="AR226" t="e">
        <f>AND(Bills!R901,"AAAAAGtd8ys=")</f>
        <v>#VALUE!</v>
      </c>
      <c r="AS226" t="e">
        <f>AND(Bills!#REF!,"AAAAAGtd8yw=")</f>
        <v>#REF!</v>
      </c>
      <c r="AT226" t="e">
        <f>AND(Bills!S901,"AAAAAGtd8y0=")</f>
        <v>#VALUE!</v>
      </c>
      <c r="AU226" t="e">
        <f>AND(Bills!T901,"AAAAAGtd8y4=")</f>
        <v>#VALUE!</v>
      </c>
      <c r="AV226" t="e">
        <f>AND(Bills!U901,"AAAAAGtd8y8=")</f>
        <v>#VALUE!</v>
      </c>
      <c r="AW226" t="e">
        <f>AND(Bills!#REF!,"AAAAAGtd8zA=")</f>
        <v>#REF!</v>
      </c>
      <c r="AX226" t="e">
        <f>AND(Bills!#REF!,"AAAAAGtd8zE=")</f>
        <v>#REF!</v>
      </c>
      <c r="AY226" t="e">
        <f>AND(Bills!W901,"AAAAAGtd8zI=")</f>
        <v>#VALUE!</v>
      </c>
      <c r="AZ226" t="e">
        <f>AND(Bills!X901,"AAAAAGtd8zM=")</f>
        <v>#VALUE!</v>
      </c>
      <c r="BA226" t="e">
        <f>AND(Bills!#REF!,"AAAAAGtd8zQ=")</f>
        <v>#REF!</v>
      </c>
      <c r="BB226" t="e">
        <f>AND(Bills!#REF!,"AAAAAGtd8zU=")</f>
        <v>#REF!</v>
      </c>
      <c r="BC226" t="e">
        <f>AND(Bills!#REF!,"AAAAAGtd8zY=")</f>
        <v>#REF!</v>
      </c>
      <c r="BD226" t="e">
        <f>AND(Bills!#REF!,"AAAAAGtd8zc=")</f>
        <v>#REF!</v>
      </c>
      <c r="BE226" t="e">
        <f>AND(Bills!#REF!,"AAAAAGtd8zg=")</f>
        <v>#REF!</v>
      </c>
      <c r="BF226" t="e">
        <f>AND(Bills!#REF!,"AAAAAGtd8zk=")</f>
        <v>#REF!</v>
      </c>
      <c r="BG226" t="e">
        <f>AND(Bills!#REF!,"AAAAAGtd8zo=")</f>
        <v>#REF!</v>
      </c>
      <c r="BH226" t="e">
        <f>AND(Bills!#REF!,"AAAAAGtd8zs=")</f>
        <v>#REF!</v>
      </c>
      <c r="BI226" t="e">
        <f>AND(Bills!#REF!,"AAAAAGtd8zw=")</f>
        <v>#REF!</v>
      </c>
      <c r="BJ226" t="e">
        <f>AND(Bills!Y901,"AAAAAGtd8z0=")</f>
        <v>#VALUE!</v>
      </c>
      <c r="BK226" t="e">
        <f>AND(Bills!Z901,"AAAAAGtd8z4=")</f>
        <v>#VALUE!</v>
      </c>
      <c r="BL226" t="e">
        <f>AND(Bills!#REF!,"AAAAAGtd8z8=")</f>
        <v>#REF!</v>
      </c>
      <c r="BM226" t="e">
        <f>AND(Bills!#REF!,"AAAAAGtd80A=")</f>
        <v>#REF!</v>
      </c>
      <c r="BN226" t="e">
        <f>AND(Bills!#REF!,"AAAAAGtd80E=")</f>
        <v>#REF!</v>
      </c>
      <c r="BO226" t="e">
        <f>AND(Bills!AA901,"AAAAAGtd80I=")</f>
        <v>#VALUE!</v>
      </c>
      <c r="BP226" t="e">
        <f>AND(Bills!AB901,"AAAAAGtd80M=")</f>
        <v>#VALUE!</v>
      </c>
      <c r="BQ226" t="e">
        <f>AND(Bills!#REF!,"AAAAAGtd80Q=")</f>
        <v>#REF!</v>
      </c>
      <c r="BR226">
        <f>IF(Bills!902:902,"AAAAAGtd80U=",0)</f>
        <v>0</v>
      </c>
      <c r="BS226" t="e">
        <f>AND(Bills!B902,"AAAAAGtd80Y=")</f>
        <v>#VALUE!</v>
      </c>
      <c r="BT226" t="e">
        <f>AND(Bills!#REF!,"AAAAAGtd80c=")</f>
        <v>#REF!</v>
      </c>
      <c r="BU226" t="e">
        <f>AND(Bills!C902,"AAAAAGtd80g=")</f>
        <v>#VALUE!</v>
      </c>
      <c r="BV226" t="e">
        <f>AND(Bills!#REF!,"AAAAAGtd80k=")</f>
        <v>#REF!</v>
      </c>
      <c r="BW226" t="e">
        <f>AND(Bills!#REF!,"AAAAAGtd80o=")</f>
        <v>#REF!</v>
      </c>
      <c r="BX226" t="e">
        <f>AND(Bills!#REF!,"AAAAAGtd80s=")</f>
        <v>#REF!</v>
      </c>
      <c r="BY226" t="e">
        <f>AND(Bills!#REF!,"AAAAAGtd80w=")</f>
        <v>#REF!</v>
      </c>
      <c r="BZ226" t="e">
        <f>AND(Bills!#REF!,"AAAAAGtd800=")</f>
        <v>#REF!</v>
      </c>
      <c r="CA226" t="e">
        <f>AND(Bills!D902,"AAAAAGtd804=")</f>
        <v>#VALUE!</v>
      </c>
      <c r="CB226" t="e">
        <f>AND(Bills!#REF!,"AAAAAGtd808=")</f>
        <v>#REF!</v>
      </c>
      <c r="CC226" t="e">
        <f>AND(Bills!E902,"AAAAAGtd81A=")</f>
        <v>#VALUE!</v>
      </c>
      <c r="CD226" t="e">
        <f>AND(Bills!F902,"AAAAAGtd81E=")</f>
        <v>#VALUE!</v>
      </c>
      <c r="CE226" t="e">
        <f>AND(Bills!G902,"AAAAAGtd81I=")</f>
        <v>#VALUE!</v>
      </c>
      <c r="CF226" t="e">
        <f>AND(Bills!H902,"AAAAAGtd81M=")</f>
        <v>#VALUE!</v>
      </c>
      <c r="CG226" t="e">
        <f>AND(Bills!I902,"AAAAAGtd81Q=")</f>
        <v>#VALUE!</v>
      </c>
      <c r="CH226" t="e">
        <f>AND(Bills!J902,"AAAAAGtd81U=")</f>
        <v>#VALUE!</v>
      </c>
      <c r="CI226" t="e">
        <f>AND(Bills!#REF!,"AAAAAGtd81Y=")</f>
        <v>#REF!</v>
      </c>
      <c r="CJ226" t="e">
        <f>AND(Bills!K902,"AAAAAGtd81c=")</f>
        <v>#VALUE!</v>
      </c>
      <c r="CK226" t="e">
        <f>AND(Bills!L902,"AAAAAGtd81g=")</f>
        <v>#VALUE!</v>
      </c>
      <c r="CL226" t="e">
        <f>AND(Bills!M902,"AAAAAGtd81k=")</f>
        <v>#VALUE!</v>
      </c>
      <c r="CM226" t="e">
        <f>AND(Bills!N902,"AAAAAGtd81o=")</f>
        <v>#VALUE!</v>
      </c>
      <c r="CN226" t="e">
        <f>AND(Bills!O902,"AAAAAGtd81s=")</f>
        <v>#VALUE!</v>
      </c>
      <c r="CO226" t="e">
        <f>AND(Bills!P902,"AAAAAGtd81w=")</f>
        <v>#VALUE!</v>
      </c>
      <c r="CP226" t="e">
        <f>AND(Bills!Q902,"AAAAAGtd810=")</f>
        <v>#VALUE!</v>
      </c>
      <c r="CQ226" t="e">
        <f>AND(Bills!R902,"AAAAAGtd814=")</f>
        <v>#VALUE!</v>
      </c>
      <c r="CR226" t="e">
        <f>AND(Bills!#REF!,"AAAAAGtd818=")</f>
        <v>#REF!</v>
      </c>
      <c r="CS226" t="e">
        <f>AND(Bills!S902,"AAAAAGtd82A=")</f>
        <v>#VALUE!</v>
      </c>
      <c r="CT226" t="e">
        <f>AND(Bills!T902,"AAAAAGtd82E=")</f>
        <v>#VALUE!</v>
      </c>
      <c r="CU226" t="e">
        <f>AND(Bills!U902,"AAAAAGtd82I=")</f>
        <v>#VALUE!</v>
      </c>
      <c r="CV226" t="e">
        <f>AND(Bills!#REF!,"AAAAAGtd82M=")</f>
        <v>#REF!</v>
      </c>
      <c r="CW226" t="e">
        <f>AND(Bills!#REF!,"AAAAAGtd82Q=")</f>
        <v>#REF!</v>
      </c>
      <c r="CX226" t="e">
        <f>AND(Bills!W902,"AAAAAGtd82U=")</f>
        <v>#VALUE!</v>
      </c>
      <c r="CY226" t="e">
        <f>AND(Bills!X902,"AAAAAGtd82Y=")</f>
        <v>#VALUE!</v>
      </c>
      <c r="CZ226" t="e">
        <f>AND(Bills!#REF!,"AAAAAGtd82c=")</f>
        <v>#REF!</v>
      </c>
      <c r="DA226" t="e">
        <f>AND(Bills!#REF!,"AAAAAGtd82g=")</f>
        <v>#REF!</v>
      </c>
      <c r="DB226" t="e">
        <f>AND(Bills!#REF!,"AAAAAGtd82k=")</f>
        <v>#REF!</v>
      </c>
      <c r="DC226" t="e">
        <f>AND(Bills!#REF!,"AAAAAGtd82o=")</f>
        <v>#REF!</v>
      </c>
      <c r="DD226" t="e">
        <f>AND(Bills!#REF!,"AAAAAGtd82s=")</f>
        <v>#REF!</v>
      </c>
      <c r="DE226" t="e">
        <f>AND(Bills!#REF!,"AAAAAGtd82w=")</f>
        <v>#REF!</v>
      </c>
      <c r="DF226" t="e">
        <f>AND(Bills!#REF!,"AAAAAGtd820=")</f>
        <v>#REF!</v>
      </c>
      <c r="DG226" t="e">
        <f>AND(Bills!#REF!,"AAAAAGtd824=")</f>
        <v>#REF!</v>
      </c>
      <c r="DH226" t="e">
        <f>AND(Bills!#REF!,"AAAAAGtd828=")</f>
        <v>#REF!</v>
      </c>
      <c r="DI226" t="e">
        <f>AND(Bills!Y902,"AAAAAGtd83A=")</f>
        <v>#VALUE!</v>
      </c>
      <c r="DJ226" t="e">
        <f>AND(Bills!Z902,"AAAAAGtd83E=")</f>
        <v>#VALUE!</v>
      </c>
      <c r="DK226" t="e">
        <f>AND(Bills!#REF!,"AAAAAGtd83I=")</f>
        <v>#REF!</v>
      </c>
      <c r="DL226" t="e">
        <f>AND(Bills!#REF!,"AAAAAGtd83M=")</f>
        <v>#REF!</v>
      </c>
      <c r="DM226" t="e">
        <f>AND(Bills!#REF!,"AAAAAGtd83Q=")</f>
        <v>#REF!</v>
      </c>
      <c r="DN226" t="e">
        <f>AND(Bills!AA902,"AAAAAGtd83U=")</f>
        <v>#VALUE!</v>
      </c>
      <c r="DO226" t="e">
        <f>AND(Bills!AB902,"AAAAAGtd83Y=")</f>
        <v>#VALUE!</v>
      </c>
      <c r="DP226" t="e">
        <f>AND(Bills!#REF!,"AAAAAGtd83c=")</f>
        <v>#REF!</v>
      </c>
      <c r="DQ226">
        <f>IF(Bills!903:903,"AAAAAGtd83g=",0)</f>
        <v>0</v>
      </c>
      <c r="DR226" t="e">
        <f>AND(Bills!B903,"AAAAAGtd83k=")</f>
        <v>#VALUE!</v>
      </c>
      <c r="DS226" t="e">
        <f>AND(Bills!#REF!,"AAAAAGtd83o=")</f>
        <v>#REF!</v>
      </c>
      <c r="DT226" t="e">
        <f>AND(Bills!C903,"AAAAAGtd83s=")</f>
        <v>#VALUE!</v>
      </c>
      <c r="DU226" t="e">
        <f>AND(Bills!#REF!,"AAAAAGtd83w=")</f>
        <v>#REF!</v>
      </c>
      <c r="DV226" t="e">
        <f>AND(Bills!#REF!,"AAAAAGtd830=")</f>
        <v>#REF!</v>
      </c>
      <c r="DW226" t="e">
        <f>AND(Bills!#REF!,"AAAAAGtd834=")</f>
        <v>#REF!</v>
      </c>
      <c r="DX226" t="e">
        <f>AND(Bills!#REF!,"AAAAAGtd838=")</f>
        <v>#REF!</v>
      </c>
      <c r="DY226" t="e">
        <f>AND(Bills!#REF!,"AAAAAGtd84A=")</f>
        <v>#REF!</v>
      </c>
      <c r="DZ226" t="e">
        <f>AND(Bills!D903,"AAAAAGtd84E=")</f>
        <v>#VALUE!</v>
      </c>
      <c r="EA226" t="e">
        <f>AND(Bills!#REF!,"AAAAAGtd84I=")</f>
        <v>#REF!</v>
      </c>
      <c r="EB226" t="e">
        <f>AND(Bills!E903,"AAAAAGtd84M=")</f>
        <v>#VALUE!</v>
      </c>
      <c r="EC226" t="e">
        <f>AND(Bills!F903,"AAAAAGtd84Q=")</f>
        <v>#VALUE!</v>
      </c>
      <c r="ED226" t="e">
        <f>AND(Bills!G903,"AAAAAGtd84U=")</f>
        <v>#VALUE!</v>
      </c>
      <c r="EE226" t="e">
        <f>AND(Bills!H903,"AAAAAGtd84Y=")</f>
        <v>#VALUE!</v>
      </c>
      <c r="EF226" t="e">
        <f>AND(Bills!I903,"AAAAAGtd84c=")</f>
        <v>#VALUE!</v>
      </c>
      <c r="EG226" t="e">
        <f>AND(Bills!J903,"AAAAAGtd84g=")</f>
        <v>#VALUE!</v>
      </c>
      <c r="EH226" t="e">
        <f>AND(Bills!#REF!,"AAAAAGtd84k=")</f>
        <v>#REF!</v>
      </c>
      <c r="EI226" t="e">
        <f>AND(Bills!K903,"AAAAAGtd84o=")</f>
        <v>#VALUE!</v>
      </c>
      <c r="EJ226" t="e">
        <f>AND(Bills!L903,"AAAAAGtd84s=")</f>
        <v>#VALUE!</v>
      </c>
      <c r="EK226" t="e">
        <f>AND(Bills!M903,"AAAAAGtd84w=")</f>
        <v>#VALUE!</v>
      </c>
      <c r="EL226" t="e">
        <f>AND(Bills!N903,"AAAAAGtd840=")</f>
        <v>#VALUE!</v>
      </c>
      <c r="EM226" t="e">
        <f>AND(Bills!O903,"AAAAAGtd844=")</f>
        <v>#VALUE!</v>
      </c>
      <c r="EN226" t="e">
        <f>AND(Bills!P903,"AAAAAGtd848=")</f>
        <v>#VALUE!</v>
      </c>
      <c r="EO226" t="e">
        <f>AND(Bills!Q903,"AAAAAGtd85A=")</f>
        <v>#VALUE!</v>
      </c>
      <c r="EP226" t="e">
        <f>AND(Bills!R903,"AAAAAGtd85E=")</f>
        <v>#VALUE!</v>
      </c>
      <c r="EQ226" t="e">
        <f>AND(Bills!#REF!,"AAAAAGtd85I=")</f>
        <v>#REF!</v>
      </c>
      <c r="ER226" t="e">
        <f>AND(Bills!S903,"AAAAAGtd85M=")</f>
        <v>#VALUE!</v>
      </c>
      <c r="ES226" t="e">
        <f>AND(Bills!T903,"AAAAAGtd85Q=")</f>
        <v>#VALUE!</v>
      </c>
      <c r="ET226" t="e">
        <f>AND(Bills!U903,"AAAAAGtd85U=")</f>
        <v>#VALUE!</v>
      </c>
      <c r="EU226" t="e">
        <f>AND(Bills!#REF!,"AAAAAGtd85Y=")</f>
        <v>#REF!</v>
      </c>
      <c r="EV226" t="e">
        <f>AND(Bills!#REF!,"AAAAAGtd85c=")</f>
        <v>#REF!</v>
      </c>
      <c r="EW226" t="e">
        <f>AND(Bills!W903,"AAAAAGtd85g=")</f>
        <v>#VALUE!</v>
      </c>
      <c r="EX226" t="e">
        <f>AND(Bills!X903,"AAAAAGtd85k=")</f>
        <v>#VALUE!</v>
      </c>
      <c r="EY226" t="e">
        <f>AND(Bills!#REF!,"AAAAAGtd85o=")</f>
        <v>#REF!</v>
      </c>
      <c r="EZ226" t="e">
        <f>AND(Bills!#REF!,"AAAAAGtd85s=")</f>
        <v>#REF!</v>
      </c>
      <c r="FA226" t="e">
        <f>AND(Bills!#REF!,"AAAAAGtd85w=")</f>
        <v>#REF!</v>
      </c>
      <c r="FB226" t="e">
        <f>AND(Bills!#REF!,"AAAAAGtd850=")</f>
        <v>#REF!</v>
      </c>
      <c r="FC226" t="e">
        <f>AND(Bills!#REF!,"AAAAAGtd854=")</f>
        <v>#REF!</v>
      </c>
      <c r="FD226" t="e">
        <f>AND(Bills!#REF!,"AAAAAGtd858=")</f>
        <v>#REF!</v>
      </c>
      <c r="FE226" t="e">
        <f>AND(Bills!#REF!,"AAAAAGtd86A=")</f>
        <v>#REF!</v>
      </c>
      <c r="FF226" t="e">
        <f>AND(Bills!#REF!,"AAAAAGtd86E=")</f>
        <v>#REF!</v>
      </c>
      <c r="FG226" t="e">
        <f>AND(Bills!#REF!,"AAAAAGtd86I=")</f>
        <v>#REF!</v>
      </c>
      <c r="FH226" t="e">
        <f>AND(Bills!Y903,"AAAAAGtd86M=")</f>
        <v>#VALUE!</v>
      </c>
      <c r="FI226" t="e">
        <f>AND(Bills!Z903,"AAAAAGtd86Q=")</f>
        <v>#VALUE!</v>
      </c>
      <c r="FJ226" t="e">
        <f>AND(Bills!#REF!,"AAAAAGtd86U=")</f>
        <v>#REF!</v>
      </c>
      <c r="FK226" t="e">
        <f>AND(Bills!#REF!,"AAAAAGtd86Y=")</f>
        <v>#REF!</v>
      </c>
      <c r="FL226" t="e">
        <f>AND(Bills!#REF!,"AAAAAGtd86c=")</f>
        <v>#REF!</v>
      </c>
      <c r="FM226" t="e">
        <f>AND(Bills!AA903,"AAAAAGtd86g=")</f>
        <v>#VALUE!</v>
      </c>
      <c r="FN226" t="e">
        <f>AND(Bills!AB903,"AAAAAGtd86k=")</f>
        <v>#VALUE!</v>
      </c>
      <c r="FO226" t="e">
        <f>AND(Bills!#REF!,"AAAAAGtd86o=")</f>
        <v>#REF!</v>
      </c>
      <c r="FP226">
        <f>IF(Bills!904:904,"AAAAAGtd86s=",0)</f>
        <v>0</v>
      </c>
      <c r="FQ226" t="e">
        <f>AND(Bills!B904,"AAAAAGtd86w=")</f>
        <v>#VALUE!</v>
      </c>
      <c r="FR226" t="e">
        <f>AND(Bills!#REF!,"AAAAAGtd860=")</f>
        <v>#REF!</v>
      </c>
      <c r="FS226" t="e">
        <f>AND(Bills!C904,"AAAAAGtd864=")</f>
        <v>#VALUE!</v>
      </c>
      <c r="FT226" t="e">
        <f>AND(Bills!#REF!,"AAAAAGtd868=")</f>
        <v>#REF!</v>
      </c>
      <c r="FU226" t="e">
        <f>AND(Bills!#REF!,"AAAAAGtd87A=")</f>
        <v>#REF!</v>
      </c>
      <c r="FV226" t="e">
        <f>AND(Bills!#REF!,"AAAAAGtd87E=")</f>
        <v>#REF!</v>
      </c>
      <c r="FW226" t="e">
        <f>AND(Bills!#REF!,"AAAAAGtd87I=")</f>
        <v>#REF!</v>
      </c>
      <c r="FX226" t="e">
        <f>AND(Bills!#REF!,"AAAAAGtd87M=")</f>
        <v>#REF!</v>
      </c>
      <c r="FY226" t="e">
        <f>AND(Bills!D904,"AAAAAGtd87Q=")</f>
        <v>#VALUE!</v>
      </c>
      <c r="FZ226" t="e">
        <f>AND(Bills!#REF!,"AAAAAGtd87U=")</f>
        <v>#REF!</v>
      </c>
      <c r="GA226" t="e">
        <f>AND(Bills!E904,"AAAAAGtd87Y=")</f>
        <v>#VALUE!</v>
      </c>
      <c r="GB226" t="e">
        <f>AND(Bills!F904,"AAAAAGtd87c=")</f>
        <v>#VALUE!</v>
      </c>
      <c r="GC226" t="e">
        <f>AND(Bills!G904,"AAAAAGtd87g=")</f>
        <v>#VALUE!</v>
      </c>
      <c r="GD226" t="e">
        <f>AND(Bills!H904,"AAAAAGtd87k=")</f>
        <v>#VALUE!</v>
      </c>
      <c r="GE226" t="e">
        <f>AND(Bills!I904,"AAAAAGtd87o=")</f>
        <v>#VALUE!</v>
      </c>
      <c r="GF226" t="e">
        <f>AND(Bills!J904,"AAAAAGtd87s=")</f>
        <v>#VALUE!</v>
      </c>
      <c r="GG226" t="e">
        <f>AND(Bills!#REF!,"AAAAAGtd87w=")</f>
        <v>#REF!</v>
      </c>
      <c r="GH226" t="e">
        <f>AND(Bills!K904,"AAAAAGtd870=")</f>
        <v>#VALUE!</v>
      </c>
      <c r="GI226" t="e">
        <f>AND(Bills!L904,"AAAAAGtd874=")</f>
        <v>#VALUE!</v>
      </c>
      <c r="GJ226" t="e">
        <f>AND(Bills!M904,"AAAAAGtd878=")</f>
        <v>#VALUE!</v>
      </c>
      <c r="GK226" t="e">
        <f>AND(Bills!N904,"AAAAAGtd88A=")</f>
        <v>#VALUE!</v>
      </c>
      <c r="GL226" t="e">
        <f>AND(Bills!O904,"AAAAAGtd88E=")</f>
        <v>#VALUE!</v>
      </c>
      <c r="GM226" t="e">
        <f>AND(Bills!P904,"AAAAAGtd88I=")</f>
        <v>#VALUE!</v>
      </c>
      <c r="GN226" t="e">
        <f>AND(Bills!Q904,"AAAAAGtd88M=")</f>
        <v>#VALUE!</v>
      </c>
      <c r="GO226" t="e">
        <f>AND(Bills!R904,"AAAAAGtd88Q=")</f>
        <v>#VALUE!</v>
      </c>
      <c r="GP226" t="e">
        <f>AND(Bills!#REF!,"AAAAAGtd88U=")</f>
        <v>#REF!</v>
      </c>
      <c r="GQ226" t="e">
        <f>AND(Bills!S904,"AAAAAGtd88Y=")</f>
        <v>#VALUE!</v>
      </c>
      <c r="GR226" t="e">
        <f>AND(Bills!T904,"AAAAAGtd88c=")</f>
        <v>#VALUE!</v>
      </c>
      <c r="GS226" t="e">
        <f>AND(Bills!U904,"AAAAAGtd88g=")</f>
        <v>#VALUE!</v>
      </c>
      <c r="GT226" t="e">
        <f>AND(Bills!#REF!,"AAAAAGtd88k=")</f>
        <v>#REF!</v>
      </c>
      <c r="GU226" t="e">
        <f>AND(Bills!#REF!,"AAAAAGtd88o=")</f>
        <v>#REF!</v>
      </c>
      <c r="GV226" t="e">
        <f>AND(Bills!W904,"AAAAAGtd88s=")</f>
        <v>#VALUE!</v>
      </c>
      <c r="GW226" t="e">
        <f>AND(Bills!X904,"AAAAAGtd88w=")</f>
        <v>#VALUE!</v>
      </c>
      <c r="GX226" t="e">
        <f>AND(Bills!#REF!,"AAAAAGtd880=")</f>
        <v>#REF!</v>
      </c>
      <c r="GY226" t="e">
        <f>AND(Bills!#REF!,"AAAAAGtd884=")</f>
        <v>#REF!</v>
      </c>
      <c r="GZ226" t="e">
        <f>AND(Bills!#REF!,"AAAAAGtd888=")</f>
        <v>#REF!</v>
      </c>
      <c r="HA226" t="e">
        <f>AND(Bills!#REF!,"AAAAAGtd89A=")</f>
        <v>#REF!</v>
      </c>
      <c r="HB226" t="e">
        <f>AND(Bills!#REF!,"AAAAAGtd89E=")</f>
        <v>#REF!</v>
      </c>
      <c r="HC226" t="e">
        <f>AND(Bills!#REF!,"AAAAAGtd89I=")</f>
        <v>#REF!</v>
      </c>
      <c r="HD226" t="e">
        <f>AND(Bills!#REF!,"AAAAAGtd89M=")</f>
        <v>#REF!</v>
      </c>
      <c r="HE226" t="e">
        <f>AND(Bills!#REF!,"AAAAAGtd89Q=")</f>
        <v>#REF!</v>
      </c>
      <c r="HF226" t="e">
        <f>AND(Bills!#REF!,"AAAAAGtd89U=")</f>
        <v>#REF!</v>
      </c>
      <c r="HG226" t="e">
        <f>AND(Bills!Y904,"AAAAAGtd89Y=")</f>
        <v>#VALUE!</v>
      </c>
      <c r="HH226" t="e">
        <f>AND(Bills!Z904,"AAAAAGtd89c=")</f>
        <v>#VALUE!</v>
      </c>
      <c r="HI226" t="e">
        <f>AND(Bills!#REF!,"AAAAAGtd89g=")</f>
        <v>#REF!</v>
      </c>
      <c r="HJ226" t="e">
        <f>AND(Bills!#REF!,"AAAAAGtd89k=")</f>
        <v>#REF!</v>
      </c>
      <c r="HK226" t="e">
        <f>AND(Bills!#REF!,"AAAAAGtd89o=")</f>
        <v>#REF!</v>
      </c>
      <c r="HL226" t="e">
        <f>AND(Bills!AA904,"AAAAAGtd89s=")</f>
        <v>#VALUE!</v>
      </c>
      <c r="HM226" t="e">
        <f>AND(Bills!AB904,"AAAAAGtd89w=")</f>
        <v>#VALUE!</v>
      </c>
      <c r="HN226" t="e">
        <f>AND(Bills!#REF!,"AAAAAGtd890=")</f>
        <v>#REF!</v>
      </c>
      <c r="HO226">
        <f>IF(Bills!905:905,"AAAAAGtd894=",0)</f>
        <v>0</v>
      </c>
      <c r="HP226" t="e">
        <f>AND(Bills!B905,"AAAAAGtd898=")</f>
        <v>#VALUE!</v>
      </c>
      <c r="HQ226" t="e">
        <f>AND(Bills!#REF!,"AAAAAGtd8+A=")</f>
        <v>#REF!</v>
      </c>
      <c r="HR226" t="e">
        <f>AND(Bills!C905,"AAAAAGtd8+E=")</f>
        <v>#VALUE!</v>
      </c>
      <c r="HS226" t="e">
        <f>AND(Bills!#REF!,"AAAAAGtd8+I=")</f>
        <v>#REF!</v>
      </c>
      <c r="HT226" t="e">
        <f>AND(Bills!#REF!,"AAAAAGtd8+M=")</f>
        <v>#REF!</v>
      </c>
      <c r="HU226" t="e">
        <f>AND(Bills!#REF!,"AAAAAGtd8+Q=")</f>
        <v>#REF!</v>
      </c>
      <c r="HV226" t="e">
        <f>AND(Bills!#REF!,"AAAAAGtd8+U=")</f>
        <v>#REF!</v>
      </c>
      <c r="HW226" t="e">
        <f>AND(Bills!#REF!,"AAAAAGtd8+Y=")</f>
        <v>#REF!</v>
      </c>
      <c r="HX226" t="e">
        <f>AND(Bills!D905,"AAAAAGtd8+c=")</f>
        <v>#VALUE!</v>
      </c>
      <c r="HY226" t="e">
        <f>AND(Bills!#REF!,"AAAAAGtd8+g=")</f>
        <v>#REF!</v>
      </c>
      <c r="HZ226" t="e">
        <f>AND(Bills!E905,"AAAAAGtd8+k=")</f>
        <v>#VALUE!</v>
      </c>
      <c r="IA226" t="e">
        <f>AND(Bills!F905,"AAAAAGtd8+o=")</f>
        <v>#VALUE!</v>
      </c>
      <c r="IB226" t="e">
        <f>AND(Bills!G905,"AAAAAGtd8+s=")</f>
        <v>#VALUE!</v>
      </c>
      <c r="IC226" t="e">
        <f>AND(Bills!H905,"AAAAAGtd8+w=")</f>
        <v>#VALUE!</v>
      </c>
      <c r="ID226" t="e">
        <f>AND(Bills!I905,"AAAAAGtd8+0=")</f>
        <v>#VALUE!</v>
      </c>
      <c r="IE226" t="e">
        <f>AND(Bills!J905,"AAAAAGtd8+4=")</f>
        <v>#VALUE!</v>
      </c>
      <c r="IF226" t="e">
        <f>AND(Bills!#REF!,"AAAAAGtd8+8=")</f>
        <v>#REF!</v>
      </c>
      <c r="IG226" t="e">
        <f>AND(Bills!K905,"AAAAAGtd8/A=")</f>
        <v>#VALUE!</v>
      </c>
      <c r="IH226" t="e">
        <f>AND(Bills!L905,"AAAAAGtd8/E=")</f>
        <v>#VALUE!</v>
      </c>
      <c r="II226" t="e">
        <f>AND(Bills!M905,"AAAAAGtd8/I=")</f>
        <v>#VALUE!</v>
      </c>
      <c r="IJ226" t="e">
        <f>AND(Bills!N905,"AAAAAGtd8/M=")</f>
        <v>#VALUE!</v>
      </c>
      <c r="IK226" t="e">
        <f>AND(Bills!O905,"AAAAAGtd8/Q=")</f>
        <v>#VALUE!</v>
      </c>
      <c r="IL226" t="e">
        <f>AND(Bills!P905,"AAAAAGtd8/U=")</f>
        <v>#VALUE!</v>
      </c>
      <c r="IM226" t="e">
        <f>AND(Bills!Q905,"AAAAAGtd8/Y=")</f>
        <v>#VALUE!</v>
      </c>
      <c r="IN226" t="e">
        <f>AND(Bills!R905,"AAAAAGtd8/c=")</f>
        <v>#VALUE!</v>
      </c>
      <c r="IO226" t="e">
        <f>AND(Bills!#REF!,"AAAAAGtd8/g=")</f>
        <v>#REF!</v>
      </c>
      <c r="IP226" t="e">
        <f>AND(Bills!S905,"AAAAAGtd8/k=")</f>
        <v>#VALUE!</v>
      </c>
      <c r="IQ226" t="e">
        <f>AND(Bills!T905,"AAAAAGtd8/o=")</f>
        <v>#VALUE!</v>
      </c>
      <c r="IR226" t="e">
        <f>AND(Bills!U905,"AAAAAGtd8/s=")</f>
        <v>#VALUE!</v>
      </c>
      <c r="IS226" t="e">
        <f>AND(Bills!#REF!,"AAAAAGtd8/w=")</f>
        <v>#REF!</v>
      </c>
      <c r="IT226" t="e">
        <f>AND(Bills!#REF!,"AAAAAGtd8/0=")</f>
        <v>#REF!</v>
      </c>
      <c r="IU226" t="e">
        <f>AND(Bills!W905,"AAAAAGtd8/4=")</f>
        <v>#VALUE!</v>
      </c>
      <c r="IV226" t="e">
        <f>AND(Bills!X905,"AAAAAGtd8/8=")</f>
        <v>#VALUE!</v>
      </c>
    </row>
    <row r="227" spans="1:256">
      <c r="A227" t="e">
        <f>AND(Bills!#REF!,"AAAAAFZq3wA=")</f>
        <v>#REF!</v>
      </c>
      <c r="B227" t="e">
        <f>AND(Bills!#REF!,"AAAAAFZq3wE=")</f>
        <v>#REF!</v>
      </c>
      <c r="C227" t="e">
        <f>AND(Bills!#REF!,"AAAAAFZq3wI=")</f>
        <v>#REF!</v>
      </c>
      <c r="D227" t="e">
        <f>AND(Bills!#REF!,"AAAAAFZq3wM=")</f>
        <v>#REF!</v>
      </c>
      <c r="E227" t="e">
        <f>AND(Bills!#REF!,"AAAAAFZq3wQ=")</f>
        <v>#REF!</v>
      </c>
      <c r="F227" t="e">
        <f>AND(Bills!#REF!,"AAAAAFZq3wU=")</f>
        <v>#REF!</v>
      </c>
      <c r="G227" t="e">
        <f>AND(Bills!#REF!,"AAAAAFZq3wY=")</f>
        <v>#REF!</v>
      </c>
      <c r="H227" t="e">
        <f>AND(Bills!#REF!,"AAAAAFZq3wc=")</f>
        <v>#REF!</v>
      </c>
      <c r="I227" t="e">
        <f>AND(Bills!#REF!,"AAAAAFZq3wg=")</f>
        <v>#REF!</v>
      </c>
      <c r="J227" t="e">
        <f>AND(Bills!Y905,"AAAAAFZq3wk=")</f>
        <v>#VALUE!</v>
      </c>
      <c r="K227" t="e">
        <f>AND(Bills!Z905,"AAAAAFZq3wo=")</f>
        <v>#VALUE!</v>
      </c>
      <c r="L227" t="e">
        <f>AND(Bills!#REF!,"AAAAAFZq3ws=")</f>
        <v>#REF!</v>
      </c>
      <c r="M227" t="e">
        <f>AND(Bills!#REF!,"AAAAAFZq3ww=")</f>
        <v>#REF!</v>
      </c>
      <c r="N227" t="e">
        <f>AND(Bills!#REF!,"AAAAAFZq3w0=")</f>
        <v>#REF!</v>
      </c>
      <c r="O227" t="e">
        <f>AND(Bills!AA905,"AAAAAFZq3w4=")</f>
        <v>#VALUE!</v>
      </c>
      <c r="P227" t="e">
        <f>AND(Bills!AB905,"AAAAAFZq3w8=")</f>
        <v>#VALUE!</v>
      </c>
      <c r="Q227" t="e">
        <f>AND(Bills!#REF!,"AAAAAFZq3xA=")</f>
        <v>#REF!</v>
      </c>
      <c r="R227">
        <f>IF(Bills!906:906,"AAAAAFZq3xE=",0)</f>
        <v>0</v>
      </c>
      <c r="S227" t="e">
        <f>AND(Bills!B906,"AAAAAFZq3xI=")</f>
        <v>#VALUE!</v>
      </c>
      <c r="T227" t="e">
        <f>AND(Bills!#REF!,"AAAAAFZq3xM=")</f>
        <v>#REF!</v>
      </c>
      <c r="U227" t="e">
        <f>AND(Bills!C906,"AAAAAFZq3xQ=")</f>
        <v>#VALUE!</v>
      </c>
      <c r="V227" t="e">
        <f>AND(Bills!#REF!,"AAAAAFZq3xU=")</f>
        <v>#REF!</v>
      </c>
      <c r="W227" t="e">
        <f>AND(Bills!#REF!,"AAAAAFZq3xY=")</f>
        <v>#REF!</v>
      </c>
      <c r="X227" t="e">
        <f>AND(Bills!#REF!,"AAAAAFZq3xc=")</f>
        <v>#REF!</v>
      </c>
      <c r="Y227" t="e">
        <f>AND(Bills!#REF!,"AAAAAFZq3xg=")</f>
        <v>#REF!</v>
      </c>
      <c r="Z227" t="e">
        <f>AND(Bills!#REF!,"AAAAAFZq3xk=")</f>
        <v>#REF!</v>
      </c>
      <c r="AA227" t="e">
        <f>AND(Bills!D906,"AAAAAFZq3xo=")</f>
        <v>#VALUE!</v>
      </c>
      <c r="AB227" t="e">
        <f>AND(Bills!#REF!,"AAAAAFZq3xs=")</f>
        <v>#REF!</v>
      </c>
      <c r="AC227" t="e">
        <f>AND(Bills!E906,"AAAAAFZq3xw=")</f>
        <v>#VALUE!</v>
      </c>
      <c r="AD227" t="e">
        <f>AND(Bills!F906,"AAAAAFZq3x0=")</f>
        <v>#VALUE!</v>
      </c>
      <c r="AE227" t="e">
        <f>AND(Bills!G906,"AAAAAFZq3x4=")</f>
        <v>#VALUE!</v>
      </c>
      <c r="AF227" t="e">
        <f>AND(Bills!H906,"AAAAAFZq3x8=")</f>
        <v>#VALUE!</v>
      </c>
      <c r="AG227" t="e">
        <f>AND(Bills!I906,"AAAAAFZq3yA=")</f>
        <v>#VALUE!</v>
      </c>
      <c r="AH227" t="e">
        <f>AND(Bills!J906,"AAAAAFZq3yE=")</f>
        <v>#VALUE!</v>
      </c>
      <c r="AI227" t="e">
        <f>AND(Bills!#REF!,"AAAAAFZq3yI=")</f>
        <v>#REF!</v>
      </c>
      <c r="AJ227" t="e">
        <f>AND(Bills!K906,"AAAAAFZq3yM=")</f>
        <v>#VALUE!</v>
      </c>
      <c r="AK227" t="e">
        <f>AND(Bills!L906,"AAAAAFZq3yQ=")</f>
        <v>#VALUE!</v>
      </c>
      <c r="AL227" t="e">
        <f>AND(Bills!M906,"AAAAAFZq3yU=")</f>
        <v>#VALUE!</v>
      </c>
      <c r="AM227" t="e">
        <f>AND(Bills!N906,"AAAAAFZq3yY=")</f>
        <v>#VALUE!</v>
      </c>
      <c r="AN227" t="e">
        <f>AND(Bills!O906,"AAAAAFZq3yc=")</f>
        <v>#VALUE!</v>
      </c>
      <c r="AO227" t="e">
        <f>AND(Bills!P906,"AAAAAFZq3yg=")</f>
        <v>#VALUE!</v>
      </c>
      <c r="AP227" t="e">
        <f>AND(Bills!Q906,"AAAAAFZq3yk=")</f>
        <v>#VALUE!</v>
      </c>
      <c r="AQ227" t="e">
        <f>AND(Bills!R906,"AAAAAFZq3yo=")</f>
        <v>#VALUE!</v>
      </c>
      <c r="AR227" t="e">
        <f>AND(Bills!#REF!,"AAAAAFZq3ys=")</f>
        <v>#REF!</v>
      </c>
      <c r="AS227" t="e">
        <f>AND(Bills!S906,"AAAAAFZq3yw=")</f>
        <v>#VALUE!</v>
      </c>
      <c r="AT227" t="e">
        <f>AND(Bills!T906,"AAAAAFZq3y0=")</f>
        <v>#VALUE!</v>
      </c>
      <c r="AU227" t="e">
        <f>AND(Bills!U906,"AAAAAFZq3y4=")</f>
        <v>#VALUE!</v>
      </c>
      <c r="AV227" t="e">
        <f>AND(Bills!#REF!,"AAAAAFZq3y8=")</f>
        <v>#REF!</v>
      </c>
      <c r="AW227" t="e">
        <f>AND(Bills!#REF!,"AAAAAFZq3zA=")</f>
        <v>#REF!</v>
      </c>
      <c r="AX227" t="e">
        <f>AND(Bills!W906,"AAAAAFZq3zE=")</f>
        <v>#VALUE!</v>
      </c>
      <c r="AY227" t="e">
        <f>AND(Bills!X906,"AAAAAFZq3zI=")</f>
        <v>#VALUE!</v>
      </c>
      <c r="AZ227" t="e">
        <f>AND(Bills!#REF!,"AAAAAFZq3zM=")</f>
        <v>#REF!</v>
      </c>
      <c r="BA227" t="e">
        <f>AND(Bills!#REF!,"AAAAAFZq3zQ=")</f>
        <v>#REF!</v>
      </c>
      <c r="BB227" t="e">
        <f>AND(Bills!#REF!,"AAAAAFZq3zU=")</f>
        <v>#REF!</v>
      </c>
      <c r="BC227" t="e">
        <f>AND(Bills!#REF!,"AAAAAFZq3zY=")</f>
        <v>#REF!</v>
      </c>
      <c r="BD227" t="e">
        <f>AND(Bills!#REF!,"AAAAAFZq3zc=")</f>
        <v>#REF!</v>
      </c>
      <c r="BE227" t="e">
        <f>AND(Bills!#REF!,"AAAAAFZq3zg=")</f>
        <v>#REF!</v>
      </c>
      <c r="BF227" t="e">
        <f>AND(Bills!#REF!,"AAAAAFZq3zk=")</f>
        <v>#REF!</v>
      </c>
      <c r="BG227" t="e">
        <f>AND(Bills!#REF!,"AAAAAFZq3zo=")</f>
        <v>#REF!</v>
      </c>
      <c r="BH227" t="e">
        <f>AND(Bills!#REF!,"AAAAAFZq3zs=")</f>
        <v>#REF!</v>
      </c>
      <c r="BI227" t="e">
        <f>AND(Bills!Y906,"AAAAAFZq3zw=")</f>
        <v>#VALUE!</v>
      </c>
      <c r="BJ227" t="e">
        <f>AND(Bills!Z906,"AAAAAFZq3z0=")</f>
        <v>#VALUE!</v>
      </c>
      <c r="BK227" t="e">
        <f>AND(Bills!#REF!,"AAAAAFZq3z4=")</f>
        <v>#REF!</v>
      </c>
      <c r="BL227" t="e">
        <f>AND(Bills!#REF!,"AAAAAFZq3z8=")</f>
        <v>#REF!</v>
      </c>
      <c r="BM227" t="e">
        <f>AND(Bills!#REF!,"AAAAAFZq30A=")</f>
        <v>#REF!</v>
      </c>
      <c r="BN227" t="e">
        <f>AND(Bills!AA906,"AAAAAFZq30E=")</f>
        <v>#VALUE!</v>
      </c>
      <c r="BO227" t="e">
        <f>AND(Bills!AB906,"AAAAAFZq30I=")</f>
        <v>#VALUE!</v>
      </c>
      <c r="BP227" t="e">
        <f>AND(Bills!#REF!,"AAAAAFZq30M=")</f>
        <v>#REF!</v>
      </c>
      <c r="BQ227">
        <f>IF(Bills!907:907,"AAAAAFZq30Q=",0)</f>
        <v>0</v>
      </c>
      <c r="BR227" t="e">
        <f>AND(Bills!B907,"AAAAAFZq30U=")</f>
        <v>#VALUE!</v>
      </c>
      <c r="BS227" t="e">
        <f>AND(Bills!#REF!,"AAAAAFZq30Y=")</f>
        <v>#REF!</v>
      </c>
      <c r="BT227" t="e">
        <f>AND(Bills!C907,"AAAAAFZq30c=")</f>
        <v>#VALUE!</v>
      </c>
      <c r="BU227" t="e">
        <f>AND(Bills!#REF!,"AAAAAFZq30g=")</f>
        <v>#REF!</v>
      </c>
      <c r="BV227" t="e">
        <f>AND(Bills!#REF!,"AAAAAFZq30k=")</f>
        <v>#REF!</v>
      </c>
      <c r="BW227" t="e">
        <f>AND(Bills!#REF!,"AAAAAFZq30o=")</f>
        <v>#REF!</v>
      </c>
      <c r="BX227" t="e">
        <f>AND(Bills!#REF!,"AAAAAFZq30s=")</f>
        <v>#REF!</v>
      </c>
      <c r="BY227" t="e">
        <f>AND(Bills!#REF!,"AAAAAFZq30w=")</f>
        <v>#REF!</v>
      </c>
      <c r="BZ227" t="e">
        <f>AND(Bills!D907,"AAAAAFZq300=")</f>
        <v>#VALUE!</v>
      </c>
      <c r="CA227" t="e">
        <f>AND(Bills!#REF!,"AAAAAFZq304=")</f>
        <v>#REF!</v>
      </c>
      <c r="CB227" t="e">
        <f>AND(Bills!E907,"AAAAAFZq308=")</f>
        <v>#VALUE!</v>
      </c>
      <c r="CC227" t="e">
        <f>AND(Bills!F907,"AAAAAFZq31A=")</f>
        <v>#VALUE!</v>
      </c>
      <c r="CD227" t="e">
        <f>AND(Bills!G907,"AAAAAFZq31E=")</f>
        <v>#VALUE!</v>
      </c>
      <c r="CE227" t="e">
        <f>AND(Bills!H907,"AAAAAFZq31I=")</f>
        <v>#VALUE!</v>
      </c>
      <c r="CF227" t="e">
        <f>AND(Bills!I907,"AAAAAFZq31M=")</f>
        <v>#VALUE!</v>
      </c>
      <c r="CG227" t="e">
        <f>AND(Bills!J907,"AAAAAFZq31Q=")</f>
        <v>#VALUE!</v>
      </c>
      <c r="CH227" t="e">
        <f>AND(Bills!#REF!,"AAAAAFZq31U=")</f>
        <v>#REF!</v>
      </c>
      <c r="CI227" t="e">
        <f>AND(Bills!K907,"AAAAAFZq31Y=")</f>
        <v>#VALUE!</v>
      </c>
      <c r="CJ227" t="e">
        <f>AND(Bills!L907,"AAAAAFZq31c=")</f>
        <v>#VALUE!</v>
      </c>
      <c r="CK227" t="e">
        <f>AND(Bills!M907,"AAAAAFZq31g=")</f>
        <v>#VALUE!</v>
      </c>
      <c r="CL227" t="e">
        <f>AND(Bills!N907,"AAAAAFZq31k=")</f>
        <v>#VALUE!</v>
      </c>
      <c r="CM227" t="e">
        <f>AND(Bills!O907,"AAAAAFZq31o=")</f>
        <v>#VALUE!</v>
      </c>
      <c r="CN227" t="e">
        <f>AND(Bills!P907,"AAAAAFZq31s=")</f>
        <v>#VALUE!</v>
      </c>
      <c r="CO227" t="e">
        <f>AND(Bills!Q907,"AAAAAFZq31w=")</f>
        <v>#VALUE!</v>
      </c>
      <c r="CP227" t="e">
        <f>AND(Bills!R907,"AAAAAFZq310=")</f>
        <v>#VALUE!</v>
      </c>
      <c r="CQ227" t="e">
        <f>AND(Bills!#REF!,"AAAAAFZq314=")</f>
        <v>#REF!</v>
      </c>
      <c r="CR227" t="e">
        <f>AND(Bills!S907,"AAAAAFZq318=")</f>
        <v>#VALUE!</v>
      </c>
      <c r="CS227" t="e">
        <f>AND(Bills!T907,"AAAAAFZq32A=")</f>
        <v>#VALUE!</v>
      </c>
      <c r="CT227" t="e">
        <f>AND(Bills!U907,"AAAAAFZq32E=")</f>
        <v>#VALUE!</v>
      </c>
      <c r="CU227" t="e">
        <f>AND(Bills!#REF!,"AAAAAFZq32I=")</f>
        <v>#REF!</v>
      </c>
      <c r="CV227" t="e">
        <f>AND(Bills!#REF!,"AAAAAFZq32M=")</f>
        <v>#REF!</v>
      </c>
      <c r="CW227" t="e">
        <f>AND(Bills!W907,"AAAAAFZq32Q=")</f>
        <v>#VALUE!</v>
      </c>
      <c r="CX227" t="e">
        <f>AND(Bills!X907,"AAAAAFZq32U=")</f>
        <v>#VALUE!</v>
      </c>
      <c r="CY227" t="e">
        <f>AND(Bills!#REF!,"AAAAAFZq32Y=")</f>
        <v>#REF!</v>
      </c>
      <c r="CZ227" t="e">
        <f>AND(Bills!#REF!,"AAAAAFZq32c=")</f>
        <v>#REF!</v>
      </c>
      <c r="DA227" t="e">
        <f>AND(Bills!#REF!,"AAAAAFZq32g=")</f>
        <v>#REF!</v>
      </c>
      <c r="DB227" t="e">
        <f>AND(Bills!#REF!,"AAAAAFZq32k=")</f>
        <v>#REF!</v>
      </c>
      <c r="DC227" t="e">
        <f>AND(Bills!#REF!,"AAAAAFZq32o=")</f>
        <v>#REF!</v>
      </c>
      <c r="DD227" t="e">
        <f>AND(Bills!#REF!,"AAAAAFZq32s=")</f>
        <v>#REF!</v>
      </c>
      <c r="DE227" t="e">
        <f>AND(Bills!#REF!,"AAAAAFZq32w=")</f>
        <v>#REF!</v>
      </c>
      <c r="DF227" t="e">
        <f>AND(Bills!#REF!,"AAAAAFZq320=")</f>
        <v>#REF!</v>
      </c>
      <c r="DG227" t="e">
        <f>AND(Bills!#REF!,"AAAAAFZq324=")</f>
        <v>#REF!</v>
      </c>
      <c r="DH227" t="e">
        <f>AND(Bills!Y907,"AAAAAFZq328=")</f>
        <v>#VALUE!</v>
      </c>
      <c r="DI227" t="e">
        <f>AND(Bills!Z907,"AAAAAFZq33A=")</f>
        <v>#VALUE!</v>
      </c>
      <c r="DJ227" t="e">
        <f>AND(Bills!#REF!,"AAAAAFZq33E=")</f>
        <v>#REF!</v>
      </c>
      <c r="DK227" t="e">
        <f>AND(Bills!#REF!,"AAAAAFZq33I=")</f>
        <v>#REF!</v>
      </c>
      <c r="DL227" t="e">
        <f>AND(Bills!#REF!,"AAAAAFZq33M=")</f>
        <v>#REF!</v>
      </c>
      <c r="DM227" t="e">
        <f>AND(Bills!AA907,"AAAAAFZq33Q=")</f>
        <v>#VALUE!</v>
      </c>
      <c r="DN227" t="e">
        <f>AND(Bills!AB907,"AAAAAFZq33U=")</f>
        <v>#VALUE!</v>
      </c>
      <c r="DO227" t="e">
        <f>AND(Bills!#REF!,"AAAAAFZq33Y=")</f>
        <v>#REF!</v>
      </c>
      <c r="DP227">
        <f>IF(Bills!908:908,"AAAAAFZq33c=",0)</f>
        <v>0</v>
      </c>
      <c r="DQ227" t="e">
        <f>AND(Bills!B908,"AAAAAFZq33g=")</f>
        <v>#VALUE!</v>
      </c>
      <c r="DR227" t="e">
        <f>AND(Bills!#REF!,"AAAAAFZq33k=")</f>
        <v>#REF!</v>
      </c>
      <c r="DS227" t="e">
        <f>AND(Bills!C908,"AAAAAFZq33o=")</f>
        <v>#VALUE!</v>
      </c>
      <c r="DT227" t="e">
        <f>AND(Bills!#REF!,"AAAAAFZq33s=")</f>
        <v>#REF!</v>
      </c>
      <c r="DU227" t="e">
        <f>AND(Bills!#REF!,"AAAAAFZq33w=")</f>
        <v>#REF!</v>
      </c>
      <c r="DV227" t="e">
        <f>AND(Bills!#REF!,"AAAAAFZq330=")</f>
        <v>#REF!</v>
      </c>
      <c r="DW227" t="e">
        <f>AND(Bills!#REF!,"AAAAAFZq334=")</f>
        <v>#REF!</v>
      </c>
      <c r="DX227" t="e">
        <f>AND(Bills!#REF!,"AAAAAFZq338=")</f>
        <v>#REF!</v>
      </c>
      <c r="DY227" t="e">
        <f>AND(Bills!D908,"AAAAAFZq34A=")</f>
        <v>#VALUE!</v>
      </c>
      <c r="DZ227" t="e">
        <f>AND(Bills!#REF!,"AAAAAFZq34E=")</f>
        <v>#REF!</v>
      </c>
      <c r="EA227" t="e">
        <f>AND(Bills!E908,"AAAAAFZq34I=")</f>
        <v>#VALUE!</v>
      </c>
      <c r="EB227" t="e">
        <f>AND(Bills!F908,"AAAAAFZq34M=")</f>
        <v>#VALUE!</v>
      </c>
      <c r="EC227" t="e">
        <f>AND(Bills!G908,"AAAAAFZq34Q=")</f>
        <v>#VALUE!</v>
      </c>
      <c r="ED227" t="e">
        <f>AND(Bills!H908,"AAAAAFZq34U=")</f>
        <v>#VALUE!</v>
      </c>
      <c r="EE227" t="e">
        <f>AND(Bills!I908,"AAAAAFZq34Y=")</f>
        <v>#VALUE!</v>
      </c>
      <c r="EF227" t="e">
        <f>AND(Bills!J908,"AAAAAFZq34c=")</f>
        <v>#VALUE!</v>
      </c>
      <c r="EG227" t="e">
        <f>AND(Bills!#REF!,"AAAAAFZq34g=")</f>
        <v>#REF!</v>
      </c>
      <c r="EH227" t="e">
        <f>AND(Bills!K908,"AAAAAFZq34k=")</f>
        <v>#VALUE!</v>
      </c>
      <c r="EI227" t="e">
        <f>AND(Bills!L908,"AAAAAFZq34o=")</f>
        <v>#VALUE!</v>
      </c>
      <c r="EJ227" t="e">
        <f>AND(Bills!M908,"AAAAAFZq34s=")</f>
        <v>#VALUE!</v>
      </c>
      <c r="EK227" t="e">
        <f>AND(Bills!N908,"AAAAAFZq34w=")</f>
        <v>#VALUE!</v>
      </c>
      <c r="EL227" t="e">
        <f>AND(Bills!O908,"AAAAAFZq340=")</f>
        <v>#VALUE!</v>
      </c>
      <c r="EM227" t="e">
        <f>AND(Bills!P908,"AAAAAFZq344=")</f>
        <v>#VALUE!</v>
      </c>
      <c r="EN227" t="e">
        <f>AND(Bills!Q908,"AAAAAFZq348=")</f>
        <v>#VALUE!</v>
      </c>
      <c r="EO227" t="e">
        <f>AND(Bills!R908,"AAAAAFZq35A=")</f>
        <v>#VALUE!</v>
      </c>
      <c r="EP227" t="e">
        <f>AND(Bills!#REF!,"AAAAAFZq35E=")</f>
        <v>#REF!</v>
      </c>
      <c r="EQ227" t="e">
        <f>AND(Bills!S908,"AAAAAFZq35I=")</f>
        <v>#VALUE!</v>
      </c>
      <c r="ER227" t="e">
        <f>AND(Bills!T908,"AAAAAFZq35M=")</f>
        <v>#VALUE!</v>
      </c>
      <c r="ES227" t="e">
        <f>AND(Bills!U908,"AAAAAFZq35Q=")</f>
        <v>#VALUE!</v>
      </c>
      <c r="ET227" t="e">
        <f>AND(Bills!#REF!,"AAAAAFZq35U=")</f>
        <v>#REF!</v>
      </c>
      <c r="EU227" t="e">
        <f>AND(Bills!#REF!,"AAAAAFZq35Y=")</f>
        <v>#REF!</v>
      </c>
      <c r="EV227" t="e">
        <f>AND(Bills!W908,"AAAAAFZq35c=")</f>
        <v>#VALUE!</v>
      </c>
      <c r="EW227" t="e">
        <f>AND(Bills!X908,"AAAAAFZq35g=")</f>
        <v>#VALUE!</v>
      </c>
      <c r="EX227" t="e">
        <f>AND(Bills!#REF!,"AAAAAFZq35k=")</f>
        <v>#REF!</v>
      </c>
      <c r="EY227" t="e">
        <f>AND(Bills!#REF!,"AAAAAFZq35o=")</f>
        <v>#REF!</v>
      </c>
      <c r="EZ227" t="e">
        <f>AND(Bills!#REF!,"AAAAAFZq35s=")</f>
        <v>#REF!</v>
      </c>
      <c r="FA227" t="e">
        <f>AND(Bills!#REF!,"AAAAAFZq35w=")</f>
        <v>#REF!</v>
      </c>
      <c r="FB227" t="e">
        <f>AND(Bills!#REF!,"AAAAAFZq350=")</f>
        <v>#REF!</v>
      </c>
      <c r="FC227" t="e">
        <f>AND(Bills!#REF!,"AAAAAFZq354=")</f>
        <v>#REF!</v>
      </c>
      <c r="FD227" t="e">
        <f>AND(Bills!#REF!,"AAAAAFZq358=")</f>
        <v>#REF!</v>
      </c>
      <c r="FE227" t="e">
        <f>AND(Bills!#REF!,"AAAAAFZq36A=")</f>
        <v>#REF!</v>
      </c>
      <c r="FF227" t="e">
        <f>AND(Bills!#REF!,"AAAAAFZq36E=")</f>
        <v>#REF!</v>
      </c>
      <c r="FG227" t="e">
        <f>AND(Bills!Y908,"AAAAAFZq36I=")</f>
        <v>#VALUE!</v>
      </c>
      <c r="FH227" t="e">
        <f>AND(Bills!Z908,"AAAAAFZq36M=")</f>
        <v>#VALUE!</v>
      </c>
      <c r="FI227" t="e">
        <f>AND(Bills!#REF!,"AAAAAFZq36Q=")</f>
        <v>#REF!</v>
      </c>
      <c r="FJ227" t="e">
        <f>AND(Bills!#REF!,"AAAAAFZq36U=")</f>
        <v>#REF!</v>
      </c>
      <c r="FK227" t="e">
        <f>AND(Bills!#REF!,"AAAAAFZq36Y=")</f>
        <v>#REF!</v>
      </c>
      <c r="FL227" t="e">
        <f>AND(Bills!AA908,"AAAAAFZq36c=")</f>
        <v>#VALUE!</v>
      </c>
      <c r="FM227" t="e">
        <f>AND(Bills!AB908,"AAAAAFZq36g=")</f>
        <v>#VALUE!</v>
      </c>
      <c r="FN227" t="e">
        <f>AND(Bills!#REF!,"AAAAAFZq36k=")</f>
        <v>#REF!</v>
      </c>
      <c r="FO227">
        <f>IF(Bills!909:909,"AAAAAFZq36o=",0)</f>
        <v>0</v>
      </c>
      <c r="FP227" t="e">
        <f>AND(Bills!B909,"AAAAAFZq36s=")</f>
        <v>#VALUE!</v>
      </c>
      <c r="FQ227" t="e">
        <f>AND(Bills!#REF!,"AAAAAFZq36w=")</f>
        <v>#REF!</v>
      </c>
      <c r="FR227" t="e">
        <f>AND(Bills!C909,"AAAAAFZq360=")</f>
        <v>#VALUE!</v>
      </c>
      <c r="FS227" t="e">
        <f>AND(Bills!#REF!,"AAAAAFZq364=")</f>
        <v>#REF!</v>
      </c>
      <c r="FT227" t="e">
        <f>AND(Bills!#REF!,"AAAAAFZq368=")</f>
        <v>#REF!</v>
      </c>
      <c r="FU227" t="e">
        <f>AND(Bills!#REF!,"AAAAAFZq37A=")</f>
        <v>#REF!</v>
      </c>
      <c r="FV227" t="e">
        <f>AND(Bills!#REF!,"AAAAAFZq37E=")</f>
        <v>#REF!</v>
      </c>
      <c r="FW227" t="e">
        <f>AND(Bills!#REF!,"AAAAAFZq37I=")</f>
        <v>#REF!</v>
      </c>
      <c r="FX227" t="e">
        <f>AND(Bills!D909,"AAAAAFZq37M=")</f>
        <v>#VALUE!</v>
      </c>
      <c r="FY227" t="e">
        <f>AND(Bills!#REF!,"AAAAAFZq37Q=")</f>
        <v>#REF!</v>
      </c>
      <c r="FZ227" t="e">
        <f>AND(Bills!E909,"AAAAAFZq37U=")</f>
        <v>#VALUE!</v>
      </c>
      <c r="GA227" t="e">
        <f>AND(Bills!F909,"AAAAAFZq37Y=")</f>
        <v>#VALUE!</v>
      </c>
      <c r="GB227" t="e">
        <f>AND(Bills!G909,"AAAAAFZq37c=")</f>
        <v>#VALUE!</v>
      </c>
      <c r="GC227" t="e">
        <f>AND(Bills!H909,"AAAAAFZq37g=")</f>
        <v>#VALUE!</v>
      </c>
      <c r="GD227" t="e">
        <f>AND(Bills!I909,"AAAAAFZq37k=")</f>
        <v>#VALUE!</v>
      </c>
      <c r="GE227" t="e">
        <f>AND(Bills!J909,"AAAAAFZq37o=")</f>
        <v>#VALUE!</v>
      </c>
      <c r="GF227" t="e">
        <f>AND(Bills!#REF!,"AAAAAFZq37s=")</f>
        <v>#REF!</v>
      </c>
      <c r="GG227" t="e">
        <f>AND(Bills!K909,"AAAAAFZq37w=")</f>
        <v>#VALUE!</v>
      </c>
      <c r="GH227" t="e">
        <f>AND(Bills!L909,"AAAAAFZq370=")</f>
        <v>#VALUE!</v>
      </c>
      <c r="GI227" t="e">
        <f>AND(Bills!M909,"AAAAAFZq374=")</f>
        <v>#VALUE!</v>
      </c>
      <c r="GJ227" t="e">
        <f>AND(Bills!N909,"AAAAAFZq378=")</f>
        <v>#VALUE!</v>
      </c>
      <c r="GK227" t="e">
        <f>AND(Bills!O909,"AAAAAFZq38A=")</f>
        <v>#VALUE!</v>
      </c>
      <c r="GL227" t="e">
        <f>AND(Bills!P909,"AAAAAFZq38E=")</f>
        <v>#VALUE!</v>
      </c>
      <c r="GM227" t="e">
        <f>AND(Bills!Q909,"AAAAAFZq38I=")</f>
        <v>#VALUE!</v>
      </c>
      <c r="GN227" t="e">
        <f>AND(Bills!R909,"AAAAAFZq38M=")</f>
        <v>#VALUE!</v>
      </c>
      <c r="GO227" t="e">
        <f>AND(Bills!#REF!,"AAAAAFZq38Q=")</f>
        <v>#REF!</v>
      </c>
      <c r="GP227" t="e">
        <f>AND(Bills!S909,"AAAAAFZq38U=")</f>
        <v>#VALUE!</v>
      </c>
      <c r="GQ227" t="e">
        <f>AND(Bills!T909,"AAAAAFZq38Y=")</f>
        <v>#VALUE!</v>
      </c>
      <c r="GR227" t="e">
        <f>AND(Bills!U909,"AAAAAFZq38c=")</f>
        <v>#VALUE!</v>
      </c>
      <c r="GS227" t="e">
        <f>AND(Bills!#REF!,"AAAAAFZq38g=")</f>
        <v>#REF!</v>
      </c>
      <c r="GT227" t="e">
        <f>AND(Bills!#REF!,"AAAAAFZq38k=")</f>
        <v>#REF!</v>
      </c>
      <c r="GU227" t="e">
        <f>AND(Bills!W909,"AAAAAFZq38o=")</f>
        <v>#VALUE!</v>
      </c>
      <c r="GV227" t="e">
        <f>AND(Bills!X909,"AAAAAFZq38s=")</f>
        <v>#VALUE!</v>
      </c>
      <c r="GW227" t="e">
        <f>AND(Bills!#REF!,"AAAAAFZq38w=")</f>
        <v>#REF!</v>
      </c>
      <c r="GX227" t="e">
        <f>AND(Bills!#REF!,"AAAAAFZq380=")</f>
        <v>#REF!</v>
      </c>
      <c r="GY227" t="e">
        <f>AND(Bills!#REF!,"AAAAAFZq384=")</f>
        <v>#REF!</v>
      </c>
      <c r="GZ227" t="e">
        <f>AND(Bills!#REF!,"AAAAAFZq388=")</f>
        <v>#REF!</v>
      </c>
      <c r="HA227" t="e">
        <f>AND(Bills!#REF!,"AAAAAFZq39A=")</f>
        <v>#REF!</v>
      </c>
      <c r="HB227" t="e">
        <f>AND(Bills!#REF!,"AAAAAFZq39E=")</f>
        <v>#REF!</v>
      </c>
      <c r="HC227" t="e">
        <f>AND(Bills!#REF!,"AAAAAFZq39I=")</f>
        <v>#REF!</v>
      </c>
      <c r="HD227" t="e">
        <f>AND(Bills!#REF!,"AAAAAFZq39M=")</f>
        <v>#REF!</v>
      </c>
      <c r="HE227" t="e">
        <f>AND(Bills!#REF!,"AAAAAFZq39Q=")</f>
        <v>#REF!</v>
      </c>
      <c r="HF227" t="e">
        <f>AND(Bills!Y909,"AAAAAFZq39U=")</f>
        <v>#VALUE!</v>
      </c>
      <c r="HG227" t="e">
        <f>AND(Bills!Z909,"AAAAAFZq39Y=")</f>
        <v>#VALUE!</v>
      </c>
      <c r="HH227" t="e">
        <f>AND(Bills!#REF!,"AAAAAFZq39c=")</f>
        <v>#REF!</v>
      </c>
      <c r="HI227" t="e">
        <f>AND(Bills!#REF!,"AAAAAFZq39g=")</f>
        <v>#REF!</v>
      </c>
      <c r="HJ227" t="e">
        <f>AND(Bills!#REF!,"AAAAAFZq39k=")</f>
        <v>#REF!</v>
      </c>
      <c r="HK227" t="e">
        <f>AND(Bills!AA909,"AAAAAFZq39o=")</f>
        <v>#VALUE!</v>
      </c>
      <c r="HL227" t="e">
        <f>AND(Bills!AB909,"AAAAAFZq39s=")</f>
        <v>#VALUE!</v>
      </c>
      <c r="HM227" t="e">
        <f>AND(Bills!#REF!,"AAAAAFZq39w=")</f>
        <v>#REF!</v>
      </c>
      <c r="HN227">
        <f>IF(Bills!910:910,"AAAAAFZq390=",0)</f>
        <v>0</v>
      </c>
      <c r="HO227" t="e">
        <f>AND(Bills!B910,"AAAAAFZq394=")</f>
        <v>#VALUE!</v>
      </c>
      <c r="HP227" t="e">
        <f>AND(Bills!#REF!,"AAAAAFZq398=")</f>
        <v>#REF!</v>
      </c>
      <c r="HQ227" t="e">
        <f>AND(Bills!C910,"AAAAAFZq3+A=")</f>
        <v>#VALUE!</v>
      </c>
      <c r="HR227" t="e">
        <f>AND(Bills!#REF!,"AAAAAFZq3+E=")</f>
        <v>#REF!</v>
      </c>
      <c r="HS227" t="e">
        <f>AND(Bills!#REF!,"AAAAAFZq3+I=")</f>
        <v>#REF!</v>
      </c>
      <c r="HT227" t="e">
        <f>AND(Bills!#REF!,"AAAAAFZq3+M=")</f>
        <v>#REF!</v>
      </c>
      <c r="HU227" t="e">
        <f>AND(Bills!#REF!,"AAAAAFZq3+Q=")</f>
        <v>#REF!</v>
      </c>
      <c r="HV227" t="e">
        <f>AND(Bills!#REF!,"AAAAAFZq3+U=")</f>
        <v>#REF!</v>
      </c>
      <c r="HW227" t="e">
        <f>AND(Bills!D910,"AAAAAFZq3+Y=")</f>
        <v>#VALUE!</v>
      </c>
      <c r="HX227" t="e">
        <f>AND(Bills!#REF!,"AAAAAFZq3+c=")</f>
        <v>#REF!</v>
      </c>
      <c r="HY227" t="e">
        <f>AND(Bills!E910,"AAAAAFZq3+g=")</f>
        <v>#VALUE!</v>
      </c>
      <c r="HZ227" t="e">
        <f>AND(Bills!F910,"AAAAAFZq3+k=")</f>
        <v>#VALUE!</v>
      </c>
      <c r="IA227" t="e">
        <f>AND(Bills!G910,"AAAAAFZq3+o=")</f>
        <v>#VALUE!</v>
      </c>
      <c r="IB227" t="e">
        <f>AND(Bills!H910,"AAAAAFZq3+s=")</f>
        <v>#VALUE!</v>
      </c>
      <c r="IC227" t="e">
        <f>AND(Bills!I910,"AAAAAFZq3+w=")</f>
        <v>#VALUE!</v>
      </c>
      <c r="ID227" t="e">
        <f>AND(Bills!J910,"AAAAAFZq3+0=")</f>
        <v>#VALUE!</v>
      </c>
      <c r="IE227" t="e">
        <f>AND(Bills!#REF!,"AAAAAFZq3+4=")</f>
        <v>#REF!</v>
      </c>
      <c r="IF227" t="e">
        <f>AND(Bills!K910,"AAAAAFZq3+8=")</f>
        <v>#VALUE!</v>
      </c>
      <c r="IG227" t="e">
        <f>AND(Bills!L910,"AAAAAFZq3/A=")</f>
        <v>#VALUE!</v>
      </c>
      <c r="IH227" t="e">
        <f>AND(Bills!M910,"AAAAAFZq3/E=")</f>
        <v>#VALUE!</v>
      </c>
      <c r="II227" t="e">
        <f>AND(Bills!N910,"AAAAAFZq3/I=")</f>
        <v>#VALUE!</v>
      </c>
      <c r="IJ227" t="e">
        <f>AND(Bills!O910,"AAAAAFZq3/M=")</f>
        <v>#VALUE!</v>
      </c>
      <c r="IK227" t="e">
        <f>AND(Bills!P910,"AAAAAFZq3/Q=")</f>
        <v>#VALUE!</v>
      </c>
      <c r="IL227" t="e">
        <f>AND(Bills!Q910,"AAAAAFZq3/U=")</f>
        <v>#VALUE!</v>
      </c>
      <c r="IM227" t="e">
        <f>AND(Bills!R910,"AAAAAFZq3/Y=")</f>
        <v>#VALUE!</v>
      </c>
      <c r="IN227" t="e">
        <f>AND(Bills!#REF!,"AAAAAFZq3/c=")</f>
        <v>#REF!</v>
      </c>
      <c r="IO227" t="e">
        <f>AND(Bills!S910,"AAAAAFZq3/g=")</f>
        <v>#VALUE!</v>
      </c>
      <c r="IP227" t="e">
        <f>AND(Bills!T910,"AAAAAFZq3/k=")</f>
        <v>#VALUE!</v>
      </c>
      <c r="IQ227" t="e">
        <f>AND(Bills!U910,"AAAAAFZq3/o=")</f>
        <v>#VALUE!</v>
      </c>
      <c r="IR227" t="e">
        <f>AND(Bills!#REF!,"AAAAAFZq3/s=")</f>
        <v>#REF!</v>
      </c>
      <c r="IS227" t="e">
        <f>AND(Bills!#REF!,"AAAAAFZq3/w=")</f>
        <v>#REF!</v>
      </c>
      <c r="IT227" t="e">
        <f>AND(Bills!W910,"AAAAAFZq3/0=")</f>
        <v>#VALUE!</v>
      </c>
      <c r="IU227" t="e">
        <f>AND(Bills!X910,"AAAAAFZq3/4=")</f>
        <v>#VALUE!</v>
      </c>
      <c r="IV227" t="e">
        <f>AND(Bills!#REF!,"AAAAAFZq3/8=")</f>
        <v>#REF!</v>
      </c>
    </row>
    <row r="228" spans="1:256">
      <c r="A228" t="e">
        <f>AND(Bills!#REF!,"AAAAAH9b9wA=")</f>
        <v>#REF!</v>
      </c>
      <c r="B228" t="e">
        <f>AND(Bills!#REF!,"AAAAAH9b9wE=")</f>
        <v>#REF!</v>
      </c>
      <c r="C228" t="e">
        <f>AND(Bills!#REF!,"AAAAAH9b9wI=")</f>
        <v>#REF!</v>
      </c>
      <c r="D228" t="e">
        <f>AND(Bills!#REF!,"AAAAAH9b9wM=")</f>
        <v>#REF!</v>
      </c>
      <c r="E228" t="e">
        <f>AND(Bills!#REF!,"AAAAAH9b9wQ=")</f>
        <v>#REF!</v>
      </c>
      <c r="F228" t="e">
        <f>AND(Bills!#REF!,"AAAAAH9b9wU=")</f>
        <v>#REF!</v>
      </c>
      <c r="G228" t="e">
        <f>AND(Bills!#REF!,"AAAAAH9b9wY=")</f>
        <v>#REF!</v>
      </c>
      <c r="H228" t="e">
        <f>AND(Bills!#REF!,"AAAAAH9b9wc=")</f>
        <v>#REF!</v>
      </c>
      <c r="I228" t="e">
        <f>AND(Bills!Y910,"AAAAAH9b9wg=")</f>
        <v>#VALUE!</v>
      </c>
      <c r="J228" t="e">
        <f>AND(Bills!Z910,"AAAAAH9b9wk=")</f>
        <v>#VALUE!</v>
      </c>
      <c r="K228" t="e">
        <f>AND(Bills!#REF!,"AAAAAH9b9wo=")</f>
        <v>#REF!</v>
      </c>
      <c r="L228" t="e">
        <f>AND(Bills!#REF!,"AAAAAH9b9ws=")</f>
        <v>#REF!</v>
      </c>
      <c r="M228" t="e">
        <f>AND(Bills!#REF!,"AAAAAH9b9ww=")</f>
        <v>#REF!</v>
      </c>
      <c r="N228" t="e">
        <f>AND(Bills!AA910,"AAAAAH9b9w0=")</f>
        <v>#VALUE!</v>
      </c>
      <c r="O228" t="e">
        <f>AND(Bills!AB910,"AAAAAH9b9w4=")</f>
        <v>#VALUE!</v>
      </c>
      <c r="P228" t="e">
        <f>AND(Bills!#REF!,"AAAAAH9b9w8=")</f>
        <v>#REF!</v>
      </c>
      <c r="Q228">
        <f>IF(Bills!911:911,"AAAAAH9b9xA=",0)</f>
        <v>0</v>
      </c>
      <c r="R228" t="e">
        <f>AND(Bills!B911,"AAAAAH9b9xE=")</f>
        <v>#VALUE!</v>
      </c>
      <c r="S228" t="e">
        <f>AND(Bills!#REF!,"AAAAAH9b9xI=")</f>
        <v>#REF!</v>
      </c>
      <c r="T228" t="e">
        <f>AND(Bills!C911,"AAAAAH9b9xM=")</f>
        <v>#VALUE!</v>
      </c>
      <c r="U228" t="e">
        <f>AND(Bills!#REF!,"AAAAAH9b9xQ=")</f>
        <v>#REF!</v>
      </c>
      <c r="V228" t="e">
        <f>AND(Bills!#REF!,"AAAAAH9b9xU=")</f>
        <v>#REF!</v>
      </c>
      <c r="W228" t="e">
        <f>AND(Bills!#REF!,"AAAAAH9b9xY=")</f>
        <v>#REF!</v>
      </c>
      <c r="X228" t="e">
        <f>AND(Bills!#REF!,"AAAAAH9b9xc=")</f>
        <v>#REF!</v>
      </c>
      <c r="Y228" t="e">
        <f>AND(Bills!#REF!,"AAAAAH9b9xg=")</f>
        <v>#REF!</v>
      </c>
      <c r="Z228" t="e">
        <f>AND(Bills!D911,"AAAAAH9b9xk=")</f>
        <v>#VALUE!</v>
      </c>
      <c r="AA228" t="e">
        <f>AND(Bills!#REF!,"AAAAAH9b9xo=")</f>
        <v>#REF!</v>
      </c>
      <c r="AB228" t="e">
        <f>AND(Bills!E911,"AAAAAH9b9xs=")</f>
        <v>#VALUE!</v>
      </c>
      <c r="AC228" t="e">
        <f>AND(Bills!F911,"AAAAAH9b9xw=")</f>
        <v>#VALUE!</v>
      </c>
      <c r="AD228" t="e">
        <f>AND(Bills!G911,"AAAAAH9b9x0=")</f>
        <v>#VALUE!</v>
      </c>
      <c r="AE228" t="e">
        <f>AND(Bills!H911,"AAAAAH9b9x4=")</f>
        <v>#VALUE!</v>
      </c>
      <c r="AF228" t="e">
        <f>AND(Bills!I911,"AAAAAH9b9x8=")</f>
        <v>#VALUE!</v>
      </c>
      <c r="AG228" t="e">
        <f>AND(Bills!J911,"AAAAAH9b9yA=")</f>
        <v>#VALUE!</v>
      </c>
      <c r="AH228" t="e">
        <f>AND(Bills!#REF!,"AAAAAH9b9yE=")</f>
        <v>#REF!</v>
      </c>
      <c r="AI228" t="e">
        <f>AND(Bills!K911,"AAAAAH9b9yI=")</f>
        <v>#VALUE!</v>
      </c>
      <c r="AJ228" t="e">
        <f>AND(Bills!L911,"AAAAAH9b9yM=")</f>
        <v>#VALUE!</v>
      </c>
      <c r="AK228" t="e">
        <f>AND(Bills!M911,"AAAAAH9b9yQ=")</f>
        <v>#VALUE!</v>
      </c>
      <c r="AL228" t="e">
        <f>AND(Bills!N911,"AAAAAH9b9yU=")</f>
        <v>#VALUE!</v>
      </c>
      <c r="AM228" t="e">
        <f>AND(Bills!O911,"AAAAAH9b9yY=")</f>
        <v>#VALUE!</v>
      </c>
      <c r="AN228" t="e">
        <f>AND(Bills!P911,"AAAAAH9b9yc=")</f>
        <v>#VALUE!</v>
      </c>
      <c r="AO228" t="e">
        <f>AND(Bills!Q911,"AAAAAH9b9yg=")</f>
        <v>#VALUE!</v>
      </c>
      <c r="AP228" t="e">
        <f>AND(Bills!R911,"AAAAAH9b9yk=")</f>
        <v>#VALUE!</v>
      </c>
      <c r="AQ228" t="e">
        <f>AND(Bills!#REF!,"AAAAAH9b9yo=")</f>
        <v>#REF!</v>
      </c>
      <c r="AR228" t="e">
        <f>AND(Bills!S911,"AAAAAH9b9ys=")</f>
        <v>#VALUE!</v>
      </c>
      <c r="AS228" t="e">
        <f>AND(Bills!T911,"AAAAAH9b9yw=")</f>
        <v>#VALUE!</v>
      </c>
      <c r="AT228" t="e">
        <f>AND(Bills!U911,"AAAAAH9b9y0=")</f>
        <v>#VALUE!</v>
      </c>
      <c r="AU228" t="e">
        <f>AND(Bills!#REF!,"AAAAAH9b9y4=")</f>
        <v>#REF!</v>
      </c>
      <c r="AV228" t="e">
        <f>AND(Bills!#REF!,"AAAAAH9b9y8=")</f>
        <v>#REF!</v>
      </c>
      <c r="AW228" t="e">
        <f>AND(Bills!W911,"AAAAAH9b9zA=")</f>
        <v>#VALUE!</v>
      </c>
      <c r="AX228" t="e">
        <f>AND(Bills!X911,"AAAAAH9b9zE=")</f>
        <v>#VALUE!</v>
      </c>
      <c r="AY228" t="e">
        <f>AND(Bills!#REF!,"AAAAAH9b9zI=")</f>
        <v>#REF!</v>
      </c>
      <c r="AZ228" t="e">
        <f>AND(Bills!#REF!,"AAAAAH9b9zM=")</f>
        <v>#REF!</v>
      </c>
      <c r="BA228" t="e">
        <f>AND(Bills!#REF!,"AAAAAH9b9zQ=")</f>
        <v>#REF!</v>
      </c>
      <c r="BB228" t="e">
        <f>AND(Bills!#REF!,"AAAAAH9b9zU=")</f>
        <v>#REF!</v>
      </c>
      <c r="BC228" t="e">
        <f>AND(Bills!#REF!,"AAAAAH9b9zY=")</f>
        <v>#REF!</v>
      </c>
      <c r="BD228" t="e">
        <f>AND(Bills!#REF!,"AAAAAH9b9zc=")</f>
        <v>#REF!</v>
      </c>
      <c r="BE228" t="e">
        <f>AND(Bills!#REF!,"AAAAAH9b9zg=")</f>
        <v>#REF!</v>
      </c>
      <c r="BF228" t="e">
        <f>AND(Bills!#REF!,"AAAAAH9b9zk=")</f>
        <v>#REF!</v>
      </c>
      <c r="BG228" t="e">
        <f>AND(Bills!#REF!,"AAAAAH9b9zo=")</f>
        <v>#REF!</v>
      </c>
      <c r="BH228" t="e">
        <f>AND(Bills!Y911,"AAAAAH9b9zs=")</f>
        <v>#VALUE!</v>
      </c>
      <c r="BI228" t="e">
        <f>AND(Bills!Z911,"AAAAAH9b9zw=")</f>
        <v>#VALUE!</v>
      </c>
      <c r="BJ228" t="e">
        <f>AND(Bills!#REF!,"AAAAAH9b9z0=")</f>
        <v>#REF!</v>
      </c>
      <c r="BK228" t="e">
        <f>AND(Bills!#REF!,"AAAAAH9b9z4=")</f>
        <v>#REF!</v>
      </c>
      <c r="BL228" t="e">
        <f>AND(Bills!#REF!,"AAAAAH9b9z8=")</f>
        <v>#REF!</v>
      </c>
      <c r="BM228" t="e">
        <f>AND(Bills!AA911,"AAAAAH9b90A=")</f>
        <v>#VALUE!</v>
      </c>
      <c r="BN228" t="e">
        <f>AND(Bills!AB911,"AAAAAH9b90E=")</f>
        <v>#VALUE!</v>
      </c>
      <c r="BO228" t="e">
        <f>AND(Bills!#REF!,"AAAAAH9b90I=")</f>
        <v>#REF!</v>
      </c>
      <c r="BP228">
        <f>IF(Bills!912:912,"AAAAAH9b90M=",0)</f>
        <v>0</v>
      </c>
      <c r="BQ228" t="e">
        <f>AND(Bills!B912,"AAAAAH9b90Q=")</f>
        <v>#VALUE!</v>
      </c>
      <c r="BR228" t="e">
        <f>AND(Bills!#REF!,"AAAAAH9b90U=")</f>
        <v>#REF!</v>
      </c>
      <c r="BS228" t="e">
        <f>AND(Bills!C912,"AAAAAH9b90Y=")</f>
        <v>#VALUE!</v>
      </c>
      <c r="BT228" t="e">
        <f>AND(Bills!#REF!,"AAAAAH9b90c=")</f>
        <v>#REF!</v>
      </c>
      <c r="BU228" t="e">
        <f>AND(Bills!#REF!,"AAAAAH9b90g=")</f>
        <v>#REF!</v>
      </c>
      <c r="BV228" t="e">
        <f>AND(Bills!#REF!,"AAAAAH9b90k=")</f>
        <v>#REF!</v>
      </c>
      <c r="BW228" t="e">
        <f>AND(Bills!#REF!,"AAAAAH9b90o=")</f>
        <v>#REF!</v>
      </c>
      <c r="BX228" t="e">
        <f>AND(Bills!#REF!,"AAAAAH9b90s=")</f>
        <v>#REF!</v>
      </c>
      <c r="BY228" t="e">
        <f>AND(Bills!D912,"AAAAAH9b90w=")</f>
        <v>#VALUE!</v>
      </c>
      <c r="BZ228" t="e">
        <f>AND(Bills!#REF!,"AAAAAH9b900=")</f>
        <v>#REF!</v>
      </c>
      <c r="CA228" t="e">
        <f>AND(Bills!E912,"AAAAAH9b904=")</f>
        <v>#VALUE!</v>
      </c>
      <c r="CB228" t="e">
        <f>AND(Bills!F912,"AAAAAH9b908=")</f>
        <v>#VALUE!</v>
      </c>
      <c r="CC228" t="e">
        <f>AND(Bills!G912,"AAAAAH9b91A=")</f>
        <v>#VALUE!</v>
      </c>
      <c r="CD228" t="e">
        <f>AND(Bills!H912,"AAAAAH9b91E=")</f>
        <v>#VALUE!</v>
      </c>
      <c r="CE228" t="e">
        <f>AND(Bills!I912,"AAAAAH9b91I=")</f>
        <v>#VALUE!</v>
      </c>
      <c r="CF228" t="e">
        <f>AND(Bills!J912,"AAAAAH9b91M=")</f>
        <v>#VALUE!</v>
      </c>
      <c r="CG228" t="e">
        <f>AND(Bills!#REF!,"AAAAAH9b91Q=")</f>
        <v>#REF!</v>
      </c>
      <c r="CH228" t="e">
        <f>AND(Bills!K912,"AAAAAH9b91U=")</f>
        <v>#VALUE!</v>
      </c>
      <c r="CI228" t="e">
        <f>AND(Bills!L912,"AAAAAH9b91Y=")</f>
        <v>#VALUE!</v>
      </c>
      <c r="CJ228" t="e">
        <f>AND(Bills!M912,"AAAAAH9b91c=")</f>
        <v>#VALUE!</v>
      </c>
      <c r="CK228" t="e">
        <f>AND(Bills!N912,"AAAAAH9b91g=")</f>
        <v>#VALUE!</v>
      </c>
      <c r="CL228" t="e">
        <f>AND(Bills!O912,"AAAAAH9b91k=")</f>
        <v>#VALUE!</v>
      </c>
      <c r="CM228" t="e">
        <f>AND(Bills!P912,"AAAAAH9b91o=")</f>
        <v>#VALUE!</v>
      </c>
      <c r="CN228" t="e">
        <f>AND(Bills!Q912,"AAAAAH9b91s=")</f>
        <v>#VALUE!</v>
      </c>
      <c r="CO228" t="e">
        <f>AND(Bills!R912,"AAAAAH9b91w=")</f>
        <v>#VALUE!</v>
      </c>
      <c r="CP228" t="e">
        <f>AND(Bills!#REF!,"AAAAAH9b910=")</f>
        <v>#REF!</v>
      </c>
      <c r="CQ228" t="e">
        <f>AND(Bills!S912,"AAAAAH9b914=")</f>
        <v>#VALUE!</v>
      </c>
      <c r="CR228" t="e">
        <f>AND(Bills!T912,"AAAAAH9b918=")</f>
        <v>#VALUE!</v>
      </c>
      <c r="CS228" t="e">
        <f>AND(Bills!U912,"AAAAAH9b92A=")</f>
        <v>#VALUE!</v>
      </c>
      <c r="CT228" t="e">
        <f>AND(Bills!#REF!,"AAAAAH9b92E=")</f>
        <v>#REF!</v>
      </c>
      <c r="CU228" t="e">
        <f>AND(Bills!#REF!,"AAAAAH9b92I=")</f>
        <v>#REF!</v>
      </c>
      <c r="CV228" t="e">
        <f>AND(Bills!W912,"AAAAAH9b92M=")</f>
        <v>#VALUE!</v>
      </c>
      <c r="CW228" t="e">
        <f>AND(Bills!X912,"AAAAAH9b92Q=")</f>
        <v>#VALUE!</v>
      </c>
      <c r="CX228" t="e">
        <f>AND(Bills!#REF!,"AAAAAH9b92U=")</f>
        <v>#REF!</v>
      </c>
      <c r="CY228" t="e">
        <f>AND(Bills!#REF!,"AAAAAH9b92Y=")</f>
        <v>#REF!</v>
      </c>
      <c r="CZ228" t="e">
        <f>AND(Bills!#REF!,"AAAAAH9b92c=")</f>
        <v>#REF!</v>
      </c>
      <c r="DA228" t="e">
        <f>AND(Bills!#REF!,"AAAAAH9b92g=")</f>
        <v>#REF!</v>
      </c>
      <c r="DB228" t="e">
        <f>AND(Bills!#REF!,"AAAAAH9b92k=")</f>
        <v>#REF!</v>
      </c>
      <c r="DC228" t="e">
        <f>AND(Bills!#REF!,"AAAAAH9b92o=")</f>
        <v>#REF!</v>
      </c>
      <c r="DD228" t="e">
        <f>AND(Bills!#REF!,"AAAAAH9b92s=")</f>
        <v>#REF!</v>
      </c>
      <c r="DE228" t="e">
        <f>AND(Bills!#REF!,"AAAAAH9b92w=")</f>
        <v>#REF!</v>
      </c>
      <c r="DF228" t="e">
        <f>AND(Bills!#REF!,"AAAAAH9b920=")</f>
        <v>#REF!</v>
      </c>
      <c r="DG228" t="e">
        <f>AND(Bills!Y912,"AAAAAH9b924=")</f>
        <v>#VALUE!</v>
      </c>
      <c r="DH228" t="e">
        <f>AND(Bills!Z912,"AAAAAH9b928=")</f>
        <v>#VALUE!</v>
      </c>
      <c r="DI228" t="e">
        <f>AND(Bills!#REF!,"AAAAAH9b93A=")</f>
        <v>#REF!</v>
      </c>
      <c r="DJ228" t="e">
        <f>AND(Bills!#REF!,"AAAAAH9b93E=")</f>
        <v>#REF!</v>
      </c>
      <c r="DK228" t="e">
        <f>AND(Bills!#REF!,"AAAAAH9b93I=")</f>
        <v>#REF!</v>
      </c>
      <c r="DL228" t="e">
        <f>AND(Bills!AA912,"AAAAAH9b93M=")</f>
        <v>#VALUE!</v>
      </c>
      <c r="DM228" t="e">
        <f>AND(Bills!AB912,"AAAAAH9b93Q=")</f>
        <v>#VALUE!</v>
      </c>
      <c r="DN228" t="e">
        <f>AND(Bills!#REF!,"AAAAAH9b93U=")</f>
        <v>#REF!</v>
      </c>
      <c r="DO228">
        <f>IF(Bills!913:913,"AAAAAH9b93Y=",0)</f>
        <v>0</v>
      </c>
      <c r="DP228" t="e">
        <f>AND(Bills!B913,"AAAAAH9b93c=")</f>
        <v>#VALUE!</v>
      </c>
      <c r="DQ228" t="e">
        <f>AND(Bills!#REF!,"AAAAAH9b93g=")</f>
        <v>#REF!</v>
      </c>
      <c r="DR228" t="e">
        <f>AND(Bills!C913,"AAAAAH9b93k=")</f>
        <v>#VALUE!</v>
      </c>
      <c r="DS228" t="e">
        <f>AND(Bills!#REF!,"AAAAAH9b93o=")</f>
        <v>#REF!</v>
      </c>
      <c r="DT228" t="e">
        <f>AND(Bills!#REF!,"AAAAAH9b93s=")</f>
        <v>#REF!</v>
      </c>
      <c r="DU228" t="e">
        <f>AND(Bills!#REF!,"AAAAAH9b93w=")</f>
        <v>#REF!</v>
      </c>
      <c r="DV228" t="e">
        <f>AND(Bills!#REF!,"AAAAAH9b930=")</f>
        <v>#REF!</v>
      </c>
      <c r="DW228" t="e">
        <f>AND(Bills!#REF!,"AAAAAH9b934=")</f>
        <v>#REF!</v>
      </c>
      <c r="DX228" t="e">
        <f>AND(Bills!D913,"AAAAAH9b938=")</f>
        <v>#VALUE!</v>
      </c>
      <c r="DY228" t="e">
        <f>AND(Bills!#REF!,"AAAAAH9b94A=")</f>
        <v>#REF!</v>
      </c>
      <c r="DZ228" t="e">
        <f>AND(Bills!E913,"AAAAAH9b94E=")</f>
        <v>#VALUE!</v>
      </c>
      <c r="EA228" t="e">
        <f>AND(Bills!F913,"AAAAAH9b94I=")</f>
        <v>#VALUE!</v>
      </c>
      <c r="EB228" t="e">
        <f>AND(Bills!G913,"AAAAAH9b94M=")</f>
        <v>#VALUE!</v>
      </c>
      <c r="EC228" t="e">
        <f>AND(Bills!H913,"AAAAAH9b94Q=")</f>
        <v>#VALUE!</v>
      </c>
      <c r="ED228" t="e">
        <f>AND(Bills!I913,"AAAAAH9b94U=")</f>
        <v>#VALUE!</v>
      </c>
      <c r="EE228" t="e">
        <f>AND(Bills!J913,"AAAAAH9b94Y=")</f>
        <v>#VALUE!</v>
      </c>
      <c r="EF228" t="e">
        <f>AND(Bills!#REF!,"AAAAAH9b94c=")</f>
        <v>#REF!</v>
      </c>
      <c r="EG228" t="e">
        <f>AND(Bills!K913,"AAAAAH9b94g=")</f>
        <v>#VALUE!</v>
      </c>
      <c r="EH228" t="e">
        <f>AND(Bills!L913,"AAAAAH9b94k=")</f>
        <v>#VALUE!</v>
      </c>
      <c r="EI228" t="e">
        <f>AND(Bills!M913,"AAAAAH9b94o=")</f>
        <v>#VALUE!</v>
      </c>
      <c r="EJ228" t="e">
        <f>AND(Bills!N913,"AAAAAH9b94s=")</f>
        <v>#VALUE!</v>
      </c>
      <c r="EK228" t="e">
        <f>AND(Bills!O913,"AAAAAH9b94w=")</f>
        <v>#VALUE!</v>
      </c>
      <c r="EL228" t="e">
        <f>AND(Bills!P913,"AAAAAH9b940=")</f>
        <v>#VALUE!</v>
      </c>
      <c r="EM228" t="e">
        <f>AND(Bills!Q913,"AAAAAH9b944=")</f>
        <v>#VALUE!</v>
      </c>
      <c r="EN228" t="e">
        <f>AND(Bills!R913,"AAAAAH9b948=")</f>
        <v>#VALUE!</v>
      </c>
      <c r="EO228" t="e">
        <f>AND(Bills!#REF!,"AAAAAH9b95A=")</f>
        <v>#REF!</v>
      </c>
      <c r="EP228" t="e">
        <f>AND(Bills!S913,"AAAAAH9b95E=")</f>
        <v>#VALUE!</v>
      </c>
      <c r="EQ228" t="e">
        <f>AND(Bills!T913,"AAAAAH9b95I=")</f>
        <v>#VALUE!</v>
      </c>
      <c r="ER228" t="e">
        <f>AND(Bills!U913,"AAAAAH9b95M=")</f>
        <v>#VALUE!</v>
      </c>
      <c r="ES228" t="e">
        <f>AND(Bills!#REF!,"AAAAAH9b95Q=")</f>
        <v>#REF!</v>
      </c>
      <c r="ET228" t="e">
        <f>AND(Bills!#REF!,"AAAAAH9b95U=")</f>
        <v>#REF!</v>
      </c>
      <c r="EU228" t="e">
        <f>AND(Bills!W913,"AAAAAH9b95Y=")</f>
        <v>#VALUE!</v>
      </c>
      <c r="EV228" t="e">
        <f>AND(Bills!X913,"AAAAAH9b95c=")</f>
        <v>#VALUE!</v>
      </c>
      <c r="EW228" t="e">
        <f>AND(Bills!#REF!,"AAAAAH9b95g=")</f>
        <v>#REF!</v>
      </c>
      <c r="EX228" t="e">
        <f>AND(Bills!#REF!,"AAAAAH9b95k=")</f>
        <v>#REF!</v>
      </c>
      <c r="EY228" t="e">
        <f>AND(Bills!#REF!,"AAAAAH9b95o=")</f>
        <v>#REF!</v>
      </c>
      <c r="EZ228" t="e">
        <f>AND(Bills!#REF!,"AAAAAH9b95s=")</f>
        <v>#REF!</v>
      </c>
      <c r="FA228" t="e">
        <f>AND(Bills!#REF!,"AAAAAH9b95w=")</f>
        <v>#REF!</v>
      </c>
      <c r="FB228" t="e">
        <f>AND(Bills!#REF!,"AAAAAH9b950=")</f>
        <v>#REF!</v>
      </c>
      <c r="FC228" t="e">
        <f>AND(Bills!#REF!,"AAAAAH9b954=")</f>
        <v>#REF!</v>
      </c>
      <c r="FD228" t="e">
        <f>AND(Bills!#REF!,"AAAAAH9b958=")</f>
        <v>#REF!</v>
      </c>
      <c r="FE228" t="e">
        <f>AND(Bills!#REF!,"AAAAAH9b96A=")</f>
        <v>#REF!</v>
      </c>
      <c r="FF228" t="e">
        <f>AND(Bills!Y913,"AAAAAH9b96E=")</f>
        <v>#VALUE!</v>
      </c>
      <c r="FG228" t="e">
        <f>AND(Bills!Z913,"AAAAAH9b96I=")</f>
        <v>#VALUE!</v>
      </c>
      <c r="FH228" t="e">
        <f>AND(Bills!#REF!,"AAAAAH9b96M=")</f>
        <v>#REF!</v>
      </c>
      <c r="FI228" t="e">
        <f>AND(Bills!#REF!,"AAAAAH9b96Q=")</f>
        <v>#REF!</v>
      </c>
      <c r="FJ228" t="e">
        <f>AND(Bills!#REF!,"AAAAAH9b96U=")</f>
        <v>#REF!</v>
      </c>
      <c r="FK228" t="e">
        <f>AND(Bills!AA913,"AAAAAH9b96Y=")</f>
        <v>#VALUE!</v>
      </c>
      <c r="FL228" t="e">
        <f>AND(Bills!AB913,"AAAAAH9b96c=")</f>
        <v>#VALUE!</v>
      </c>
      <c r="FM228" t="e">
        <f>AND(Bills!#REF!,"AAAAAH9b96g=")</f>
        <v>#REF!</v>
      </c>
      <c r="FN228">
        <f>IF(Bills!914:914,"AAAAAH9b96k=",0)</f>
        <v>0</v>
      </c>
      <c r="FO228" t="e">
        <f>AND(Bills!B914,"AAAAAH9b96o=")</f>
        <v>#VALUE!</v>
      </c>
      <c r="FP228" t="e">
        <f>AND(Bills!#REF!,"AAAAAH9b96s=")</f>
        <v>#REF!</v>
      </c>
      <c r="FQ228" t="e">
        <f>AND(Bills!C914,"AAAAAH9b96w=")</f>
        <v>#VALUE!</v>
      </c>
      <c r="FR228" t="e">
        <f>AND(Bills!#REF!,"AAAAAH9b960=")</f>
        <v>#REF!</v>
      </c>
      <c r="FS228" t="e">
        <f>AND(Bills!#REF!,"AAAAAH9b964=")</f>
        <v>#REF!</v>
      </c>
      <c r="FT228" t="e">
        <f>AND(Bills!#REF!,"AAAAAH9b968=")</f>
        <v>#REF!</v>
      </c>
      <c r="FU228" t="e">
        <f>AND(Bills!#REF!,"AAAAAH9b97A=")</f>
        <v>#REF!</v>
      </c>
      <c r="FV228" t="e">
        <f>AND(Bills!#REF!,"AAAAAH9b97E=")</f>
        <v>#REF!</v>
      </c>
      <c r="FW228" t="e">
        <f>AND(Bills!D914,"AAAAAH9b97I=")</f>
        <v>#VALUE!</v>
      </c>
      <c r="FX228" t="e">
        <f>AND(Bills!#REF!,"AAAAAH9b97M=")</f>
        <v>#REF!</v>
      </c>
      <c r="FY228" t="e">
        <f>AND(Bills!E914,"AAAAAH9b97Q=")</f>
        <v>#VALUE!</v>
      </c>
      <c r="FZ228" t="e">
        <f>AND(Bills!F914,"AAAAAH9b97U=")</f>
        <v>#VALUE!</v>
      </c>
      <c r="GA228" t="e">
        <f>AND(Bills!G914,"AAAAAH9b97Y=")</f>
        <v>#VALUE!</v>
      </c>
      <c r="GB228" t="e">
        <f>AND(Bills!H914,"AAAAAH9b97c=")</f>
        <v>#VALUE!</v>
      </c>
      <c r="GC228" t="e">
        <f>AND(Bills!I914,"AAAAAH9b97g=")</f>
        <v>#VALUE!</v>
      </c>
      <c r="GD228" t="e">
        <f>AND(Bills!J914,"AAAAAH9b97k=")</f>
        <v>#VALUE!</v>
      </c>
      <c r="GE228" t="e">
        <f>AND(Bills!#REF!,"AAAAAH9b97o=")</f>
        <v>#REF!</v>
      </c>
      <c r="GF228" t="e">
        <f>AND(Bills!K914,"AAAAAH9b97s=")</f>
        <v>#VALUE!</v>
      </c>
      <c r="GG228" t="e">
        <f>AND(Bills!L914,"AAAAAH9b97w=")</f>
        <v>#VALUE!</v>
      </c>
      <c r="GH228" t="e">
        <f>AND(Bills!M914,"AAAAAH9b970=")</f>
        <v>#VALUE!</v>
      </c>
      <c r="GI228" t="e">
        <f>AND(Bills!N914,"AAAAAH9b974=")</f>
        <v>#VALUE!</v>
      </c>
      <c r="GJ228" t="e">
        <f>AND(Bills!O914,"AAAAAH9b978=")</f>
        <v>#VALUE!</v>
      </c>
      <c r="GK228" t="e">
        <f>AND(Bills!P914,"AAAAAH9b98A=")</f>
        <v>#VALUE!</v>
      </c>
      <c r="GL228" t="e">
        <f>AND(Bills!Q914,"AAAAAH9b98E=")</f>
        <v>#VALUE!</v>
      </c>
      <c r="GM228" t="e">
        <f>AND(Bills!R914,"AAAAAH9b98I=")</f>
        <v>#VALUE!</v>
      </c>
      <c r="GN228" t="e">
        <f>AND(Bills!#REF!,"AAAAAH9b98M=")</f>
        <v>#REF!</v>
      </c>
      <c r="GO228" t="e">
        <f>AND(Bills!S914,"AAAAAH9b98Q=")</f>
        <v>#VALUE!</v>
      </c>
      <c r="GP228" t="e">
        <f>AND(Bills!T914,"AAAAAH9b98U=")</f>
        <v>#VALUE!</v>
      </c>
      <c r="GQ228" t="e">
        <f>AND(Bills!U914,"AAAAAH9b98Y=")</f>
        <v>#VALUE!</v>
      </c>
      <c r="GR228" t="e">
        <f>AND(Bills!#REF!,"AAAAAH9b98c=")</f>
        <v>#REF!</v>
      </c>
      <c r="GS228" t="e">
        <f>AND(Bills!#REF!,"AAAAAH9b98g=")</f>
        <v>#REF!</v>
      </c>
      <c r="GT228" t="e">
        <f>AND(Bills!W914,"AAAAAH9b98k=")</f>
        <v>#VALUE!</v>
      </c>
      <c r="GU228" t="e">
        <f>AND(Bills!X914,"AAAAAH9b98o=")</f>
        <v>#VALUE!</v>
      </c>
      <c r="GV228" t="e">
        <f>AND(Bills!#REF!,"AAAAAH9b98s=")</f>
        <v>#REF!</v>
      </c>
      <c r="GW228" t="e">
        <f>AND(Bills!#REF!,"AAAAAH9b98w=")</f>
        <v>#REF!</v>
      </c>
      <c r="GX228" t="e">
        <f>AND(Bills!#REF!,"AAAAAH9b980=")</f>
        <v>#REF!</v>
      </c>
      <c r="GY228" t="e">
        <f>AND(Bills!#REF!,"AAAAAH9b984=")</f>
        <v>#REF!</v>
      </c>
      <c r="GZ228" t="e">
        <f>AND(Bills!#REF!,"AAAAAH9b988=")</f>
        <v>#REF!</v>
      </c>
      <c r="HA228" t="e">
        <f>AND(Bills!#REF!,"AAAAAH9b99A=")</f>
        <v>#REF!</v>
      </c>
      <c r="HB228" t="e">
        <f>AND(Bills!#REF!,"AAAAAH9b99E=")</f>
        <v>#REF!</v>
      </c>
      <c r="HC228" t="e">
        <f>AND(Bills!#REF!,"AAAAAH9b99I=")</f>
        <v>#REF!</v>
      </c>
      <c r="HD228" t="e">
        <f>AND(Bills!#REF!,"AAAAAH9b99M=")</f>
        <v>#REF!</v>
      </c>
      <c r="HE228" t="e">
        <f>AND(Bills!Y914,"AAAAAH9b99Q=")</f>
        <v>#VALUE!</v>
      </c>
      <c r="HF228" t="e">
        <f>AND(Bills!Z914,"AAAAAH9b99U=")</f>
        <v>#VALUE!</v>
      </c>
      <c r="HG228" t="e">
        <f>AND(Bills!#REF!,"AAAAAH9b99Y=")</f>
        <v>#REF!</v>
      </c>
      <c r="HH228" t="e">
        <f>AND(Bills!#REF!,"AAAAAH9b99c=")</f>
        <v>#REF!</v>
      </c>
      <c r="HI228" t="e">
        <f>AND(Bills!#REF!,"AAAAAH9b99g=")</f>
        <v>#REF!</v>
      </c>
      <c r="HJ228" t="e">
        <f>AND(Bills!AA914,"AAAAAH9b99k=")</f>
        <v>#VALUE!</v>
      </c>
      <c r="HK228" t="e">
        <f>AND(Bills!AB914,"AAAAAH9b99o=")</f>
        <v>#VALUE!</v>
      </c>
      <c r="HL228" t="e">
        <f>AND(Bills!#REF!,"AAAAAH9b99s=")</f>
        <v>#REF!</v>
      </c>
      <c r="HM228">
        <f>IF(Bills!915:915,"AAAAAH9b99w=",0)</f>
        <v>0</v>
      </c>
      <c r="HN228" t="e">
        <f>AND(Bills!B915,"AAAAAH9b990=")</f>
        <v>#VALUE!</v>
      </c>
      <c r="HO228" t="e">
        <f>AND(Bills!#REF!,"AAAAAH9b994=")</f>
        <v>#REF!</v>
      </c>
      <c r="HP228" t="e">
        <f>AND(Bills!C915,"AAAAAH9b998=")</f>
        <v>#VALUE!</v>
      </c>
      <c r="HQ228" t="e">
        <f>AND(Bills!#REF!,"AAAAAH9b9+A=")</f>
        <v>#REF!</v>
      </c>
      <c r="HR228" t="e">
        <f>AND(Bills!#REF!,"AAAAAH9b9+E=")</f>
        <v>#REF!</v>
      </c>
      <c r="HS228" t="e">
        <f>AND(Bills!#REF!,"AAAAAH9b9+I=")</f>
        <v>#REF!</v>
      </c>
      <c r="HT228" t="e">
        <f>AND(Bills!#REF!,"AAAAAH9b9+M=")</f>
        <v>#REF!</v>
      </c>
      <c r="HU228" t="e">
        <f>AND(Bills!#REF!,"AAAAAH9b9+Q=")</f>
        <v>#REF!</v>
      </c>
      <c r="HV228" t="e">
        <f>AND(Bills!D915,"AAAAAH9b9+U=")</f>
        <v>#VALUE!</v>
      </c>
      <c r="HW228" t="e">
        <f>AND(Bills!#REF!,"AAAAAH9b9+Y=")</f>
        <v>#REF!</v>
      </c>
      <c r="HX228" t="e">
        <f>AND(Bills!E915,"AAAAAH9b9+c=")</f>
        <v>#VALUE!</v>
      </c>
      <c r="HY228" t="e">
        <f>AND(Bills!F915,"AAAAAH9b9+g=")</f>
        <v>#VALUE!</v>
      </c>
      <c r="HZ228" t="e">
        <f>AND(Bills!G915,"AAAAAH9b9+k=")</f>
        <v>#VALUE!</v>
      </c>
      <c r="IA228" t="e">
        <f>AND(Bills!H915,"AAAAAH9b9+o=")</f>
        <v>#VALUE!</v>
      </c>
      <c r="IB228" t="e">
        <f>AND(Bills!I915,"AAAAAH9b9+s=")</f>
        <v>#VALUE!</v>
      </c>
      <c r="IC228" t="e">
        <f>AND(Bills!J915,"AAAAAH9b9+w=")</f>
        <v>#VALUE!</v>
      </c>
      <c r="ID228" t="e">
        <f>AND(Bills!#REF!,"AAAAAH9b9+0=")</f>
        <v>#REF!</v>
      </c>
      <c r="IE228" t="e">
        <f>AND(Bills!K915,"AAAAAH9b9+4=")</f>
        <v>#VALUE!</v>
      </c>
      <c r="IF228" t="e">
        <f>AND(Bills!L915,"AAAAAH9b9+8=")</f>
        <v>#VALUE!</v>
      </c>
      <c r="IG228" t="e">
        <f>AND(Bills!M915,"AAAAAH9b9/A=")</f>
        <v>#VALUE!</v>
      </c>
      <c r="IH228" t="e">
        <f>AND(Bills!N915,"AAAAAH9b9/E=")</f>
        <v>#VALUE!</v>
      </c>
      <c r="II228" t="e">
        <f>AND(Bills!O915,"AAAAAH9b9/I=")</f>
        <v>#VALUE!</v>
      </c>
      <c r="IJ228" t="e">
        <f>AND(Bills!P915,"AAAAAH9b9/M=")</f>
        <v>#VALUE!</v>
      </c>
      <c r="IK228" t="e">
        <f>AND(Bills!Q915,"AAAAAH9b9/Q=")</f>
        <v>#VALUE!</v>
      </c>
      <c r="IL228" t="e">
        <f>AND(Bills!R915,"AAAAAH9b9/U=")</f>
        <v>#VALUE!</v>
      </c>
      <c r="IM228" t="e">
        <f>AND(Bills!#REF!,"AAAAAH9b9/Y=")</f>
        <v>#REF!</v>
      </c>
      <c r="IN228" t="e">
        <f>AND(Bills!S915,"AAAAAH9b9/c=")</f>
        <v>#VALUE!</v>
      </c>
      <c r="IO228" t="e">
        <f>AND(Bills!T915,"AAAAAH9b9/g=")</f>
        <v>#VALUE!</v>
      </c>
      <c r="IP228" t="e">
        <f>AND(Bills!U915,"AAAAAH9b9/k=")</f>
        <v>#VALUE!</v>
      </c>
      <c r="IQ228" t="e">
        <f>AND(Bills!#REF!,"AAAAAH9b9/o=")</f>
        <v>#REF!</v>
      </c>
      <c r="IR228" t="e">
        <f>AND(Bills!#REF!,"AAAAAH9b9/s=")</f>
        <v>#REF!</v>
      </c>
      <c r="IS228" t="e">
        <f>AND(Bills!W915,"AAAAAH9b9/w=")</f>
        <v>#VALUE!</v>
      </c>
      <c r="IT228" t="e">
        <f>AND(Bills!X915,"AAAAAH9b9/0=")</f>
        <v>#VALUE!</v>
      </c>
      <c r="IU228" t="e">
        <f>AND(Bills!#REF!,"AAAAAH9b9/4=")</f>
        <v>#REF!</v>
      </c>
      <c r="IV228" t="e">
        <f>AND(Bills!#REF!,"AAAAAH9b9/8=")</f>
        <v>#REF!</v>
      </c>
    </row>
    <row r="229" spans="1:256">
      <c r="A229" t="e">
        <f>AND(Bills!#REF!,"AAAAABv/8QA=")</f>
        <v>#REF!</v>
      </c>
      <c r="B229" t="e">
        <f>AND(Bills!#REF!,"AAAAABv/8QE=")</f>
        <v>#REF!</v>
      </c>
      <c r="C229" t="e">
        <f>AND(Bills!#REF!,"AAAAABv/8QI=")</f>
        <v>#REF!</v>
      </c>
      <c r="D229" t="e">
        <f>AND(Bills!#REF!,"AAAAABv/8QM=")</f>
        <v>#REF!</v>
      </c>
      <c r="E229" t="e">
        <f>AND(Bills!#REF!,"AAAAABv/8QQ=")</f>
        <v>#REF!</v>
      </c>
      <c r="F229" t="e">
        <f>AND(Bills!#REF!,"AAAAABv/8QU=")</f>
        <v>#REF!</v>
      </c>
      <c r="G229" t="e">
        <f>AND(Bills!#REF!,"AAAAABv/8QY=")</f>
        <v>#REF!</v>
      </c>
      <c r="H229" t="e">
        <f>AND(Bills!Y915,"AAAAABv/8Qc=")</f>
        <v>#VALUE!</v>
      </c>
      <c r="I229" t="e">
        <f>AND(Bills!Z915,"AAAAABv/8Qg=")</f>
        <v>#VALUE!</v>
      </c>
      <c r="J229" t="e">
        <f>AND(Bills!#REF!,"AAAAABv/8Qk=")</f>
        <v>#REF!</v>
      </c>
      <c r="K229" t="e">
        <f>AND(Bills!#REF!,"AAAAABv/8Qo=")</f>
        <v>#REF!</v>
      </c>
      <c r="L229" t="e">
        <f>AND(Bills!#REF!,"AAAAABv/8Qs=")</f>
        <v>#REF!</v>
      </c>
      <c r="M229" t="e">
        <f>AND(Bills!AA915,"AAAAABv/8Qw=")</f>
        <v>#VALUE!</v>
      </c>
      <c r="N229" t="e">
        <f>AND(Bills!AB915,"AAAAABv/8Q0=")</f>
        <v>#VALUE!</v>
      </c>
      <c r="O229" t="e">
        <f>AND(Bills!#REF!,"AAAAABv/8Q4=")</f>
        <v>#REF!</v>
      </c>
      <c r="P229">
        <f>IF(Bills!916:916,"AAAAABv/8Q8=",0)</f>
        <v>0</v>
      </c>
      <c r="Q229" t="e">
        <f>AND(Bills!B916,"AAAAABv/8RA=")</f>
        <v>#VALUE!</v>
      </c>
      <c r="R229" t="e">
        <f>AND(Bills!#REF!,"AAAAABv/8RE=")</f>
        <v>#REF!</v>
      </c>
      <c r="S229" t="e">
        <f>AND(Bills!C916,"AAAAABv/8RI=")</f>
        <v>#VALUE!</v>
      </c>
      <c r="T229" t="e">
        <f>AND(Bills!#REF!,"AAAAABv/8RM=")</f>
        <v>#REF!</v>
      </c>
      <c r="U229" t="e">
        <f>AND(Bills!#REF!,"AAAAABv/8RQ=")</f>
        <v>#REF!</v>
      </c>
      <c r="V229" t="e">
        <f>AND(Bills!#REF!,"AAAAABv/8RU=")</f>
        <v>#REF!</v>
      </c>
      <c r="W229" t="e">
        <f>AND(Bills!#REF!,"AAAAABv/8RY=")</f>
        <v>#REF!</v>
      </c>
      <c r="X229" t="e">
        <f>AND(Bills!#REF!,"AAAAABv/8Rc=")</f>
        <v>#REF!</v>
      </c>
      <c r="Y229" t="e">
        <f>AND(Bills!D916,"AAAAABv/8Rg=")</f>
        <v>#VALUE!</v>
      </c>
      <c r="Z229" t="e">
        <f>AND(Bills!#REF!,"AAAAABv/8Rk=")</f>
        <v>#REF!</v>
      </c>
      <c r="AA229" t="e">
        <f>AND(Bills!E916,"AAAAABv/8Ro=")</f>
        <v>#VALUE!</v>
      </c>
      <c r="AB229" t="e">
        <f>AND(Bills!F916,"AAAAABv/8Rs=")</f>
        <v>#VALUE!</v>
      </c>
      <c r="AC229" t="e">
        <f>AND(Bills!G916,"AAAAABv/8Rw=")</f>
        <v>#VALUE!</v>
      </c>
      <c r="AD229" t="e">
        <f>AND(Bills!H916,"AAAAABv/8R0=")</f>
        <v>#VALUE!</v>
      </c>
      <c r="AE229" t="e">
        <f>AND(Bills!I916,"AAAAABv/8R4=")</f>
        <v>#VALUE!</v>
      </c>
      <c r="AF229" t="e">
        <f>AND(Bills!J916,"AAAAABv/8R8=")</f>
        <v>#VALUE!</v>
      </c>
      <c r="AG229" t="e">
        <f>AND(Bills!#REF!,"AAAAABv/8SA=")</f>
        <v>#REF!</v>
      </c>
      <c r="AH229" t="e">
        <f>AND(Bills!K916,"AAAAABv/8SE=")</f>
        <v>#VALUE!</v>
      </c>
      <c r="AI229" t="e">
        <f>AND(Bills!L916,"AAAAABv/8SI=")</f>
        <v>#VALUE!</v>
      </c>
      <c r="AJ229" t="e">
        <f>AND(Bills!M916,"AAAAABv/8SM=")</f>
        <v>#VALUE!</v>
      </c>
      <c r="AK229" t="e">
        <f>AND(Bills!N916,"AAAAABv/8SQ=")</f>
        <v>#VALUE!</v>
      </c>
      <c r="AL229" t="e">
        <f>AND(Bills!O916,"AAAAABv/8SU=")</f>
        <v>#VALUE!</v>
      </c>
      <c r="AM229" t="e">
        <f>AND(Bills!P916,"AAAAABv/8SY=")</f>
        <v>#VALUE!</v>
      </c>
      <c r="AN229" t="e">
        <f>AND(Bills!Q916,"AAAAABv/8Sc=")</f>
        <v>#VALUE!</v>
      </c>
      <c r="AO229" t="e">
        <f>AND(Bills!R916,"AAAAABv/8Sg=")</f>
        <v>#VALUE!</v>
      </c>
      <c r="AP229" t="e">
        <f>AND(Bills!#REF!,"AAAAABv/8Sk=")</f>
        <v>#REF!</v>
      </c>
      <c r="AQ229" t="e">
        <f>AND(Bills!S916,"AAAAABv/8So=")</f>
        <v>#VALUE!</v>
      </c>
      <c r="AR229" t="e">
        <f>AND(Bills!T916,"AAAAABv/8Ss=")</f>
        <v>#VALUE!</v>
      </c>
      <c r="AS229" t="e">
        <f>AND(Bills!U916,"AAAAABv/8Sw=")</f>
        <v>#VALUE!</v>
      </c>
      <c r="AT229" t="e">
        <f>AND(Bills!#REF!,"AAAAABv/8S0=")</f>
        <v>#REF!</v>
      </c>
      <c r="AU229" t="e">
        <f>AND(Bills!#REF!,"AAAAABv/8S4=")</f>
        <v>#REF!</v>
      </c>
      <c r="AV229" t="e">
        <f>AND(Bills!W916,"AAAAABv/8S8=")</f>
        <v>#VALUE!</v>
      </c>
      <c r="AW229" t="e">
        <f>AND(Bills!X916,"AAAAABv/8TA=")</f>
        <v>#VALUE!</v>
      </c>
      <c r="AX229" t="e">
        <f>AND(Bills!#REF!,"AAAAABv/8TE=")</f>
        <v>#REF!</v>
      </c>
      <c r="AY229" t="e">
        <f>AND(Bills!#REF!,"AAAAABv/8TI=")</f>
        <v>#REF!</v>
      </c>
      <c r="AZ229" t="e">
        <f>AND(Bills!#REF!,"AAAAABv/8TM=")</f>
        <v>#REF!</v>
      </c>
      <c r="BA229" t="e">
        <f>AND(Bills!#REF!,"AAAAABv/8TQ=")</f>
        <v>#REF!</v>
      </c>
      <c r="BB229" t="e">
        <f>AND(Bills!#REF!,"AAAAABv/8TU=")</f>
        <v>#REF!</v>
      </c>
      <c r="BC229" t="e">
        <f>AND(Bills!#REF!,"AAAAABv/8TY=")</f>
        <v>#REF!</v>
      </c>
      <c r="BD229" t="e">
        <f>AND(Bills!#REF!,"AAAAABv/8Tc=")</f>
        <v>#REF!</v>
      </c>
      <c r="BE229" t="e">
        <f>AND(Bills!#REF!,"AAAAABv/8Tg=")</f>
        <v>#REF!</v>
      </c>
      <c r="BF229" t="e">
        <f>AND(Bills!#REF!,"AAAAABv/8Tk=")</f>
        <v>#REF!</v>
      </c>
      <c r="BG229" t="e">
        <f>AND(Bills!Y916,"AAAAABv/8To=")</f>
        <v>#VALUE!</v>
      </c>
      <c r="BH229" t="e">
        <f>AND(Bills!Z916,"AAAAABv/8Ts=")</f>
        <v>#VALUE!</v>
      </c>
      <c r="BI229" t="e">
        <f>AND(Bills!#REF!,"AAAAABv/8Tw=")</f>
        <v>#REF!</v>
      </c>
      <c r="BJ229" t="e">
        <f>AND(Bills!#REF!,"AAAAABv/8T0=")</f>
        <v>#REF!</v>
      </c>
      <c r="BK229" t="e">
        <f>AND(Bills!#REF!,"AAAAABv/8T4=")</f>
        <v>#REF!</v>
      </c>
      <c r="BL229" t="e">
        <f>AND(Bills!AA916,"AAAAABv/8T8=")</f>
        <v>#VALUE!</v>
      </c>
      <c r="BM229" t="e">
        <f>AND(Bills!AB916,"AAAAABv/8UA=")</f>
        <v>#VALUE!</v>
      </c>
      <c r="BN229" t="e">
        <f>AND(Bills!#REF!,"AAAAABv/8UE=")</f>
        <v>#REF!</v>
      </c>
      <c r="BO229">
        <f>IF(Bills!917:917,"AAAAABv/8UI=",0)</f>
        <v>0</v>
      </c>
      <c r="BP229" t="e">
        <f>AND(Bills!B917,"AAAAABv/8UM=")</f>
        <v>#VALUE!</v>
      </c>
      <c r="BQ229" t="e">
        <f>AND(Bills!#REF!,"AAAAABv/8UQ=")</f>
        <v>#REF!</v>
      </c>
      <c r="BR229" t="e">
        <f>AND(Bills!C917,"AAAAABv/8UU=")</f>
        <v>#VALUE!</v>
      </c>
      <c r="BS229" t="e">
        <f>AND(Bills!#REF!,"AAAAABv/8UY=")</f>
        <v>#REF!</v>
      </c>
      <c r="BT229" t="e">
        <f>AND(Bills!#REF!,"AAAAABv/8Uc=")</f>
        <v>#REF!</v>
      </c>
      <c r="BU229" t="e">
        <f>AND(Bills!#REF!,"AAAAABv/8Ug=")</f>
        <v>#REF!</v>
      </c>
      <c r="BV229" t="e">
        <f>AND(Bills!#REF!,"AAAAABv/8Uk=")</f>
        <v>#REF!</v>
      </c>
      <c r="BW229" t="e">
        <f>AND(Bills!#REF!,"AAAAABv/8Uo=")</f>
        <v>#REF!</v>
      </c>
      <c r="BX229" t="e">
        <f>AND(Bills!D917,"AAAAABv/8Us=")</f>
        <v>#VALUE!</v>
      </c>
      <c r="BY229" t="e">
        <f>AND(Bills!#REF!,"AAAAABv/8Uw=")</f>
        <v>#REF!</v>
      </c>
      <c r="BZ229" t="e">
        <f>AND(Bills!E917,"AAAAABv/8U0=")</f>
        <v>#VALUE!</v>
      </c>
      <c r="CA229" t="e">
        <f>AND(Bills!F917,"AAAAABv/8U4=")</f>
        <v>#VALUE!</v>
      </c>
      <c r="CB229" t="e">
        <f>AND(Bills!G917,"AAAAABv/8U8=")</f>
        <v>#VALUE!</v>
      </c>
      <c r="CC229" t="e">
        <f>AND(Bills!H917,"AAAAABv/8VA=")</f>
        <v>#VALUE!</v>
      </c>
      <c r="CD229" t="e">
        <f>AND(Bills!I917,"AAAAABv/8VE=")</f>
        <v>#VALUE!</v>
      </c>
      <c r="CE229" t="e">
        <f>AND(Bills!J917,"AAAAABv/8VI=")</f>
        <v>#VALUE!</v>
      </c>
      <c r="CF229" t="e">
        <f>AND(Bills!#REF!,"AAAAABv/8VM=")</f>
        <v>#REF!</v>
      </c>
      <c r="CG229" t="e">
        <f>AND(Bills!K917,"AAAAABv/8VQ=")</f>
        <v>#VALUE!</v>
      </c>
      <c r="CH229" t="e">
        <f>AND(Bills!L917,"AAAAABv/8VU=")</f>
        <v>#VALUE!</v>
      </c>
      <c r="CI229" t="e">
        <f>AND(Bills!M917,"AAAAABv/8VY=")</f>
        <v>#VALUE!</v>
      </c>
      <c r="CJ229" t="e">
        <f>AND(Bills!N917,"AAAAABv/8Vc=")</f>
        <v>#VALUE!</v>
      </c>
      <c r="CK229" t="e">
        <f>AND(Bills!O917,"AAAAABv/8Vg=")</f>
        <v>#VALUE!</v>
      </c>
      <c r="CL229" t="e">
        <f>AND(Bills!P917,"AAAAABv/8Vk=")</f>
        <v>#VALUE!</v>
      </c>
      <c r="CM229" t="e">
        <f>AND(Bills!Q917,"AAAAABv/8Vo=")</f>
        <v>#VALUE!</v>
      </c>
      <c r="CN229" t="e">
        <f>AND(Bills!R917,"AAAAABv/8Vs=")</f>
        <v>#VALUE!</v>
      </c>
      <c r="CO229" t="e">
        <f>AND(Bills!#REF!,"AAAAABv/8Vw=")</f>
        <v>#REF!</v>
      </c>
      <c r="CP229" t="e">
        <f>AND(Bills!S917,"AAAAABv/8V0=")</f>
        <v>#VALUE!</v>
      </c>
      <c r="CQ229" t="e">
        <f>AND(Bills!T917,"AAAAABv/8V4=")</f>
        <v>#VALUE!</v>
      </c>
      <c r="CR229" t="e">
        <f>AND(Bills!U917,"AAAAABv/8V8=")</f>
        <v>#VALUE!</v>
      </c>
      <c r="CS229" t="e">
        <f>AND(Bills!#REF!,"AAAAABv/8WA=")</f>
        <v>#REF!</v>
      </c>
      <c r="CT229" t="e">
        <f>AND(Bills!#REF!,"AAAAABv/8WE=")</f>
        <v>#REF!</v>
      </c>
      <c r="CU229" t="e">
        <f>AND(Bills!W917,"AAAAABv/8WI=")</f>
        <v>#VALUE!</v>
      </c>
      <c r="CV229" t="e">
        <f>AND(Bills!X917,"AAAAABv/8WM=")</f>
        <v>#VALUE!</v>
      </c>
      <c r="CW229" t="e">
        <f>AND(Bills!#REF!,"AAAAABv/8WQ=")</f>
        <v>#REF!</v>
      </c>
      <c r="CX229" t="e">
        <f>AND(Bills!#REF!,"AAAAABv/8WU=")</f>
        <v>#REF!</v>
      </c>
      <c r="CY229" t="e">
        <f>AND(Bills!#REF!,"AAAAABv/8WY=")</f>
        <v>#REF!</v>
      </c>
      <c r="CZ229" t="e">
        <f>AND(Bills!#REF!,"AAAAABv/8Wc=")</f>
        <v>#REF!</v>
      </c>
      <c r="DA229" t="e">
        <f>AND(Bills!#REF!,"AAAAABv/8Wg=")</f>
        <v>#REF!</v>
      </c>
      <c r="DB229" t="e">
        <f>AND(Bills!#REF!,"AAAAABv/8Wk=")</f>
        <v>#REF!</v>
      </c>
      <c r="DC229" t="e">
        <f>AND(Bills!#REF!,"AAAAABv/8Wo=")</f>
        <v>#REF!</v>
      </c>
      <c r="DD229" t="e">
        <f>AND(Bills!#REF!,"AAAAABv/8Ws=")</f>
        <v>#REF!</v>
      </c>
      <c r="DE229" t="e">
        <f>AND(Bills!#REF!,"AAAAABv/8Ww=")</f>
        <v>#REF!</v>
      </c>
      <c r="DF229" t="e">
        <f>AND(Bills!Y917,"AAAAABv/8W0=")</f>
        <v>#VALUE!</v>
      </c>
      <c r="DG229" t="e">
        <f>AND(Bills!Z917,"AAAAABv/8W4=")</f>
        <v>#VALUE!</v>
      </c>
      <c r="DH229" t="e">
        <f>AND(Bills!#REF!,"AAAAABv/8W8=")</f>
        <v>#REF!</v>
      </c>
      <c r="DI229" t="e">
        <f>AND(Bills!#REF!,"AAAAABv/8XA=")</f>
        <v>#REF!</v>
      </c>
      <c r="DJ229" t="e">
        <f>AND(Bills!#REF!,"AAAAABv/8XE=")</f>
        <v>#REF!</v>
      </c>
      <c r="DK229" t="e">
        <f>AND(Bills!AA917,"AAAAABv/8XI=")</f>
        <v>#VALUE!</v>
      </c>
      <c r="DL229" t="e">
        <f>AND(Bills!AB917,"AAAAABv/8XM=")</f>
        <v>#VALUE!</v>
      </c>
      <c r="DM229" t="e">
        <f>AND(Bills!#REF!,"AAAAABv/8XQ=")</f>
        <v>#REF!</v>
      </c>
      <c r="DN229">
        <f>IF(Bills!918:918,"AAAAABv/8XU=",0)</f>
        <v>0</v>
      </c>
      <c r="DO229" t="e">
        <f>AND(Bills!B918,"AAAAABv/8XY=")</f>
        <v>#VALUE!</v>
      </c>
      <c r="DP229" t="e">
        <f>AND(Bills!#REF!,"AAAAABv/8Xc=")</f>
        <v>#REF!</v>
      </c>
      <c r="DQ229" t="e">
        <f>AND(Bills!C918,"AAAAABv/8Xg=")</f>
        <v>#VALUE!</v>
      </c>
      <c r="DR229" t="e">
        <f>AND(Bills!#REF!,"AAAAABv/8Xk=")</f>
        <v>#REF!</v>
      </c>
      <c r="DS229" t="e">
        <f>AND(Bills!#REF!,"AAAAABv/8Xo=")</f>
        <v>#REF!</v>
      </c>
      <c r="DT229" t="e">
        <f>AND(Bills!#REF!,"AAAAABv/8Xs=")</f>
        <v>#REF!</v>
      </c>
      <c r="DU229" t="e">
        <f>AND(Bills!#REF!,"AAAAABv/8Xw=")</f>
        <v>#REF!</v>
      </c>
      <c r="DV229" t="e">
        <f>AND(Bills!#REF!,"AAAAABv/8X0=")</f>
        <v>#REF!</v>
      </c>
      <c r="DW229" t="e">
        <f>AND(Bills!D918,"AAAAABv/8X4=")</f>
        <v>#VALUE!</v>
      </c>
      <c r="DX229" t="e">
        <f>AND(Bills!#REF!,"AAAAABv/8X8=")</f>
        <v>#REF!</v>
      </c>
      <c r="DY229" t="e">
        <f>AND(Bills!E918,"AAAAABv/8YA=")</f>
        <v>#VALUE!</v>
      </c>
      <c r="DZ229" t="e">
        <f>AND(Bills!F918,"AAAAABv/8YE=")</f>
        <v>#VALUE!</v>
      </c>
      <c r="EA229" t="e">
        <f>AND(Bills!G918,"AAAAABv/8YI=")</f>
        <v>#VALUE!</v>
      </c>
      <c r="EB229" t="e">
        <f>AND(Bills!H918,"AAAAABv/8YM=")</f>
        <v>#VALUE!</v>
      </c>
      <c r="EC229" t="e">
        <f>AND(Bills!I918,"AAAAABv/8YQ=")</f>
        <v>#VALUE!</v>
      </c>
      <c r="ED229" t="e">
        <f>AND(Bills!J918,"AAAAABv/8YU=")</f>
        <v>#VALUE!</v>
      </c>
      <c r="EE229" t="e">
        <f>AND(Bills!#REF!,"AAAAABv/8YY=")</f>
        <v>#REF!</v>
      </c>
      <c r="EF229" t="e">
        <f>AND(Bills!K918,"AAAAABv/8Yc=")</f>
        <v>#VALUE!</v>
      </c>
      <c r="EG229" t="e">
        <f>AND(Bills!L918,"AAAAABv/8Yg=")</f>
        <v>#VALUE!</v>
      </c>
      <c r="EH229" t="e">
        <f>AND(Bills!M918,"AAAAABv/8Yk=")</f>
        <v>#VALUE!</v>
      </c>
      <c r="EI229" t="e">
        <f>AND(Bills!N918,"AAAAABv/8Yo=")</f>
        <v>#VALUE!</v>
      </c>
      <c r="EJ229" t="e">
        <f>AND(Bills!O918,"AAAAABv/8Ys=")</f>
        <v>#VALUE!</v>
      </c>
      <c r="EK229" t="e">
        <f>AND(Bills!P918,"AAAAABv/8Yw=")</f>
        <v>#VALUE!</v>
      </c>
      <c r="EL229" t="e">
        <f>AND(Bills!Q918,"AAAAABv/8Y0=")</f>
        <v>#VALUE!</v>
      </c>
      <c r="EM229" t="e">
        <f>AND(Bills!R918,"AAAAABv/8Y4=")</f>
        <v>#VALUE!</v>
      </c>
      <c r="EN229" t="e">
        <f>AND(Bills!#REF!,"AAAAABv/8Y8=")</f>
        <v>#REF!</v>
      </c>
      <c r="EO229" t="e">
        <f>AND(Bills!S918,"AAAAABv/8ZA=")</f>
        <v>#VALUE!</v>
      </c>
      <c r="EP229" t="e">
        <f>AND(Bills!T918,"AAAAABv/8ZE=")</f>
        <v>#VALUE!</v>
      </c>
      <c r="EQ229" t="e">
        <f>AND(Bills!U918,"AAAAABv/8ZI=")</f>
        <v>#VALUE!</v>
      </c>
      <c r="ER229" t="e">
        <f>AND(Bills!#REF!,"AAAAABv/8ZM=")</f>
        <v>#REF!</v>
      </c>
      <c r="ES229" t="e">
        <f>AND(Bills!#REF!,"AAAAABv/8ZQ=")</f>
        <v>#REF!</v>
      </c>
      <c r="ET229" t="e">
        <f>AND(Bills!W918,"AAAAABv/8ZU=")</f>
        <v>#VALUE!</v>
      </c>
      <c r="EU229" t="e">
        <f>AND(Bills!X918,"AAAAABv/8ZY=")</f>
        <v>#VALUE!</v>
      </c>
      <c r="EV229" t="e">
        <f>AND(Bills!#REF!,"AAAAABv/8Zc=")</f>
        <v>#REF!</v>
      </c>
      <c r="EW229" t="e">
        <f>AND(Bills!#REF!,"AAAAABv/8Zg=")</f>
        <v>#REF!</v>
      </c>
      <c r="EX229" t="e">
        <f>AND(Bills!#REF!,"AAAAABv/8Zk=")</f>
        <v>#REF!</v>
      </c>
      <c r="EY229" t="e">
        <f>AND(Bills!#REF!,"AAAAABv/8Zo=")</f>
        <v>#REF!</v>
      </c>
      <c r="EZ229" t="e">
        <f>AND(Bills!#REF!,"AAAAABv/8Zs=")</f>
        <v>#REF!</v>
      </c>
      <c r="FA229" t="e">
        <f>AND(Bills!#REF!,"AAAAABv/8Zw=")</f>
        <v>#REF!</v>
      </c>
      <c r="FB229" t="e">
        <f>AND(Bills!#REF!,"AAAAABv/8Z0=")</f>
        <v>#REF!</v>
      </c>
      <c r="FC229" t="e">
        <f>AND(Bills!#REF!,"AAAAABv/8Z4=")</f>
        <v>#REF!</v>
      </c>
      <c r="FD229" t="e">
        <f>AND(Bills!#REF!,"AAAAABv/8Z8=")</f>
        <v>#REF!</v>
      </c>
      <c r="FE229" t="e">
        <f>AND(Bills!Y918,"AAAAABv/8aA=")</f>
        <v>#VALUE!</v>
      </c>
      <c r="FF229" t="e">
        <f>AND(Bills!Z918,"AAAAABv/8aE=")</f>
        <v>#VALUE!</v>
      </c>
      <c r="FG229" t="e">
        <f>AND(Bills!#REF!,"AAAAABv/8aI=")</f>
        <v>#REF!</v>
      </c>
      <c r="FH229" t="e">
        <f>AND(Bills!#REF!,"AAAAABv/8aM=")</f>
        <v>#REF!</v>
      </c>
      <c r="FI229" t="e">
        <f>AND(Bills!#REF!,"AAAAABv/8aQ=")</f>
        <v>#REF!</v>
      </c>
      <c r="FJ229" t="e">
        <f>AND(Bills!AA918,"AAAAABv/8aU=")</f>
        <v>#VALUE!</v>
      </c>
      <c r="FK229" t="e">
        <f>AND(Bills!AB918,"AAAAABv/8aY=")</f>
        <v>#VALUE!</v>
      </c>
      <c r="FL229" t="e">
        <f>AND(Bills!#REF!,"AAAAABv/8ac=")</f>
        <v>#REF!</v>
      </c>
      <c r="FM229">
        <f>IF(Bills!919:919,"AAAAABv/8ag=",0)</f>
        <v>0</v>
      </c>
      <c r="FN229" t="e">
        <f>AND(Bills!B919,"AAAAABv/8ak=")</f>
        <v>#VALUE!</v>
      </c>
      <c r="FO229" t="e">
        <f>AND(Bills!#REF!,"AAAAABv/8ao=")</f>
        <v>#REF!</v>
      </c>
      <c r="FP229" t="e">
        <f>AND(Bills!C919,"AAAAABv/8as=")</f>
        <v>#VALUE!</v>
      </c>
      <c r="FQ229" t="e">
        <f>AND(Bills!#REF!,"AAAAABv/8aw=")</f>
        <v>#REF!</v>
      </c>
      <c r="FR229" t="e">
        <f>AND(Bills!#REF!,"AAAAABv/8a0=")</f>
        <v>#REF!</v>
      </c>
      <c r="FS229" t="e">
        <f>AND(Bills!#REF!,"AAAAABv/8a4=")</f>
        <v>#REF!</v>
      </c>
      <c r="FT229" t="e">
        <f>AND(Bills!#REF!,"AAAAABv/8a8=")</f>
        <v>#REF!</v>
      </c>
      <c r="FU229" t="e">
        <f>AND(Bills!#REF!,"AAAAABv/8bA=")</f>
        <v>#REF!</v>
      </c>
      <c r="FV229" t="e">
        <f>AND(Bills!D919,"AAAAABv/8bE=")</f>
        <v>#VALUE!</v>
      </c>
      <c r="FW229" t="e">
        <f>AND(Bills!#REF!,"AAAAABv/8bI=")</f>
        <v>#REF!</v>
      </c>
      <c r="FX229" t="e">
        <f>AND(Bills!E919,"AAAAABv/8bM=")</f>
        <v>#VALUE!</v>
      </c>
      <c r="FY229" t="e">
        <f>AND(Bills!F919,"AAAAABv/8bQ=")</f>
        <v>#VALUE!</v>
      </c>
      <c r="FZ229" t="e">
        <f>AND(Bills!G919,"AAAAABv/8bU=")</f>
        <v>#VALUE!</v>
      </c>
      <c r="GA229" t="e">
        <f>AND(Bills!H919,"AAAAABv/8bY=")</f>
        <v>#VALUE!</v>
      </c>
      <c r="GB229" t="e">
        <f>AND(Bills!I919,"AAAAABv/8bc=")</f>
        <v>#VALUE!</v>
      </c>
      <c r="GC229" t="e">
        <f>AND(Bills!J919,"AAAAABv/8bg=")</f>
        <v>#VALUE!</v>
      </c>
      <c r="GD229" t="e">
        <f>AND(Bills!#REF!,"AAAAABv/8bk=")</f>
        <v>#REF!</v>
      </c>
      <c r="GE229" t="e">
        <f>AND(Bills!K919,"AAAAABv/8bo=")</f>
        <v>#VALUE!</v>
      </c>
      <c r="GF229" t="e">
        <f>AND(Bills!L919,"AAAAABv/8bs=")</f>
        <v>#VALUE!</v>
      </c>
      <c r="GG229" t="e">
        <f>AND(Bills!M919,"AAAAABv/8bw=")</f>
        <v>#VALUE!</v>
      </c>
      <c r="GH229" t="e">
        <f>AND(Bills!N919,"AAAAABv/8b0=")</f>
        <v>#VALUE!</v>
      </c>
      <c r="GI229" t="e">
        <f>AND(Bills!O919,"AAAAABv/8b4=")</f>
        <v>#VALUE!</v>
      </c>
      <c r="GJ229" t="e">
        <f>AND(Bills!P919,"AAAAABv/8b8=")</f>
        <v>#VALUE!</v>
      </c>
      <c r="GK229" t="e">
        <f>AND(Bills!Q919,"AAAAABv/8cA=")</f>
        <v>#VALUE!</v>
      </c>
      <c r="GL229" t="e">
        <f>AND(Bills!R919,"AAAAABv/8cE=")</f>
        <v>#VALUE!</v>
      </c>
      <c r="GM229" t="e">
        <f>AND(Bills!#REF!,"AAAAABv/8cI=")</f>
        <v>#REF!</v>
      </c>
      <c r="GN229" t="e">
        <f>AND(Bills!S919,"AAAAABv/8cM=")</f>
        <v>#VALUE!</v>
      </c>
      <c r="GO229" t="e">
        <f>AND(Bills!T919,"AAAAABv/8cQ=")</f>
        <v>#VALUE!</v>
      </c>
      <c r="GP229" t="e">
        <f>AND(Bills!U919,"AAAAABv/8cU=")</f>
        <v>#VALUE!</v>
      </c>
      <c r="GQ229" t="e">
        <f>AND(Bills!#REF!,"AAAAABv/8cY=")</f>
        <v>#REF!</v>
      </c>
      <c r="GR229" t="e">
        <f>AND(Bills!#REF!,"AAAAABv/8cc=")</f>
        <v>#REF!</v>
      </c>
      <c r="GS229" t="e">
        <f>AND(Bills!W919,"AAAAABv/8cg=")</f>
        <v>#VALUE!</v>
      </c>
      <c r="GT229" t="e">
        <f>AND(Bills!X919,"AAAAABv/8ck=")</f>
        <v>#VALUE!</v>
      </c>
      <c r="GU229" t="e">
        <f>AND(Bills!#REF!,"AAAAABv/8co=")</f>
        <v>#REF!</v>
      </c>
      <c r="GV229" t="e">
        <f>AND(Bills!#REF!,"AAAAABv/8cs=")</f>
        <v>#REF!</v>
      </c>
      <c r="GW229" t="e">
        <f>AND(Bills!#REF!,"AAAAABv/8cw=")</f>
        <v>#REF!</v>
      </c>
      <c r="GX229" t="e">
        <f>AND(Bills!#REF!,"AAAAABv/8c0=")</f>
        <v>#REF!</v>
      </c>
      <c r="GY229" t="e">
        <f>AND(Bills!#REF!,"AAAAABv/8c4=")</f>
        <v>#REF!</v>
      </c>
      <c r="GZ229" t="e">
        <f>AND(Bills!#REF!,"AAAAABv/8c8=")</f>
        <v>#REF!</v>
      </c>
      <c r="HA229" t="e">
        <f>AND(Bills!#REF!,"AAAAABv/8dA=")</f>
        <v>#REF!</v>
      </c>
      <c r="HB229" t="e">
        <f>AND(Bills!#REF!,"AAAAABv/8dE=")</f>
        <v>#REF!</v>
      </c>
      <c r="HC229" t="e">
        <f>AND(Bills!#REF!,"AAAAABv/8dI=")</f>
        <v>#REF!</v>
      </c>
      <c r="HD229" t="e">
        <f>AND(Bills!Y919,"AAAAABv/8dM=")</f>
        <v>#VALUE!</v>
      </c>
      <c r="HE229" t="e">
        <f>AND(Bills!Z919,"AAAAABv/8dQ=")</f>
        <v>#VALUE!</v>
      </c>
      <c r="HF229" t="e">
        <f>AND(Bills!#REF!,"AAAAABv/8dU=")</f>
        <v>#REF!</v>
      </c>
      <c r="HG229" t="e">
        <f>AND(Bills!#REF!,"AAAAABv/8dY=")</f>
        <v>#REF!</v>
      </c>
      <c r="HH229" t="e">
        <f>AND(Bills!#REF!,"AAAAABv/8dc=")</f>
        <v>#REF!</v>
      </c>
      <c r="HI229" t="e">
        <f>AND(Bills!AA919,"AAAAABv/8dg=")</f>
        <v>#VALUE!</v>
      </c>
      <c r="HJ229" t="e">
        <f>AND(Bills!AB919,"AAAAABv/8dk=")</f>
        <v>#VALUE!</v>
      </c>
      <c r="HK229" t="e">
        <f>AND(Bills!#REF!,"AAAAABv/8do=")</f>
        <v>#REF!</v>
      </c>
      <c r="HL229">
        <f>IF(Bills!920:920,"AAAAABv/8ds=",0)</f>
        <v>0</v>
      </c>
      <c r="HM229" t="e">
        <f>AND(Bills!B920,"AAAAABv/8dw=")</f>
        <v>#VALUE!</v>
      </c>
      <c r="HN229" t="e">
        <f>AND(Bills!#REF!,"AAAAABv/8d0=")</f>
        <v>#REF!</v>
      </c>
      <c r="HO229" t="e">
        <f>AND(Bills!C920,"AAAAABv/8d4=")</f>
        <v>#VALUE!</v>
      </c>
      <c r="HP229" t="e">
        <f>AND(Bills!#REF!,"AAAAABv/8d8=")</f>
        <v>#REF!</v>
      </c>
      <c r="HQ229" t="e">
        <f>AND(Bills!#REF!,"AAAAABv/8eA=")</f>
        <v>#REF!</v>
      </c>
      <c r="HR229" t="e">
        <f>AND(Bills!#REF!,"AAAAABv/8eE=")</f>
        <v>#REF!</v>
      </c>
      <c r="HS229" t="e">
        <f>AND(Bills!#REF!,"AAAAABv/8eI=")</f>
        <v>#REF!</v>
      </c>
      <c r="HT229" t="e">
        <f>AND(Bills!#REF!,"AAAAABv/8eM=")</f>
        <v>#REF!</v>
      </c>
      <c r="HU229" t="e">
        <f>AND(Bills!D920,"AAAAABv/8eQ=")</f>
        <v>#VALUE!</v>
      </c>
      <c r="HV229" t="e">
        <f>AND(Bills!#REF!,"AAAAABv/8eU=")</f>
        <v>#REF!</v>
      </c>
      <c r="HW229" t="e">
        <f>AND(Bills!E920,"AAAAABv/8eY=")</f>
        <v>#VALUE!</v>
      </c>
      <c r="HX229" t="e">
        <f>AND(Bills!F920,"AAAAABv/8ec=")</f>
        <v>#VALUE!</v>
      </c>
      <c r="HY229" t="e">
        <f>AND(Bills!G920,"AAAAABv/8eg=")</f>
        <v>#VALUE!</v>
      </c>
      <c r="HZ229" t="e">
        <f>AND(Bills!H920,"AAAAABv/8ek=")</f>
        <v>#VALUE!</v>
      </c>
      <c r="IA229" t="e">
        <f>AND(Bills!I920,"AAAAABv/8eo=")</f>
        <v>#VALUE!</v>
      </c>
      <c r="IB229" t="e">
        <f>AND(Bills!J920,"AAAAABv/8es=")</f>
        <v>#VALUE!</v>
      </c>
      <c r="IC229" t="e">
        <f>AND(Bills!#REF!,"AAAAABv/8ew=")</f>
        <v>#REF!</v>
      </c>
      <c r="ID229" t="e">
        <f>AND(Bills!K920,"AAAAABv/8e0=")</f>
        <v>#VALUE!</v>
      </c>
      <c r="IE229" t="e">
        <f>AND(Bills!L920,"AAAAABv/8e4=")</f>
        <v>#VALUE!</v>
      </c>
      <c r="IF229" t="e">
        <f>AND(Bills!M920,"AAAAABv/8e8=")</f>
        <v>#VALUE!</v>
      </c>
      <c r="IG229" t="e">
        <f>AND(Bills!N920,"AAAAABv/8fA=")</f>
        <v>#VALUE!</v>
      </c>
      <c r="IH229" t="e">
        <f>AND(Bills!O920,"AAAAABv/8fE=")</f>
        <v>#VALUE!</v>
      </c>
      <c r="II229" t="e">
        <f>AND(Bills!P920,"AAAAABv/8fI=")</f>
        <v>#VALUE!</v>
      </c>
      <c r="IJ229" t="e">
        <f>AND(Bills!Q920,"AAAAABv/8fM=")</f>
        <v>#VALUE!</v>
      </c>
      <c r="IK229" t="e">
        <f>AND(Bills!R920,"AAAAABv/8fQ=")</f>
        <v>#VALUE!</v>
      </c>
      <c r="IL229" t="e">
        <f>AND(Bills!#REF!,"AAAAABv/8fU=")</f>
        <v>#REF!</v>
      </c>
      <c r="IM229" t="e">
        <f>AND(Bills!S920,"AAAAABv/8fY=")</f>
        <v>#VALUE!</v>
      </c>
      <c r="IN229" t="e">
        <f>AND(Bills!T920,"AAAAABv/8fc=")</f>
        <v>#VALUE!</v>
      </c>
      <c r="IO229" t="e">
        <f>AND(Bills!U920,"AAAAABv/8fg=")</f>
        <v>#VALUE!</v>
      </c>
      <c r="IP229" t="e">
        <f>AND(Bills!#REF!,"AAAAABv/8fk=")</f>
        <v>#REF!</v>
      </c>
      <c r="IQ229" t="e">
        <f>AND(Bills!#REF!,"AAAAABv/8fo=")</f>
        <v>#REF!</v>
      </c>
      <c r="IR229" t="e">
        <f>AND(Bills!W920,"AAAAABv/8fs=")</f>
        <v>#VALUE!</v>
      </c>
      <c r="IS229" t="e">
        <f>AND(Bills!X920,"AAAAABv/8fw=")</f>
        <v>#VALUE!</v>
      </c>
      <c r="IT229" t="e">
        <f>AND(Bills!#REF!,"AAAAABv/8f0=")</f>
        <v>#REF!</v>
      </c>
      <c r="IU229" t="e">
        <f>AND(Bills!#REF!,"AAAAABv/8f4=")</f>
        <v>#REF!</v>
      </c>
      <c r="IV229" t="e">
        <f>AND(Bills!#REF!,"AAAAABv/8f8=")</f>
        <v>#REF!</v>
      </c>
    </row>
    <row r="230" spans="1:256">
      <c r="A230" t="e">
        <f>AND(Bills!#REF!,"AAAAAH+//gA=")</f>
        <v>#REF!</v>
      </c>
      <c r="B230" t="e">
        <f>AND(Bills!#REF!,"AAAAAH+//gE=")</f>
        <v>#REF!</v>
      </c>
      <c r="C230" t="e">
        <f>AND(Bills!#REF!,"AAAAAH+//gI=")</f>
        <v>#REF!</v>
      </c>
      <c r="D230" t="e">
        <f>AND(Bills!#REF!,"AAAAAH+//gM=")</f>
        <v>#REF!</v>
      </c>
      <c r="E230" t="e">
        <f>AND(Bills!#REF!,"AAAAAH+//gQ=")</f>
        <v>#REF!</v>
      </c>
      <c r="F230" t="e">
        <f>AND(Bills!#REF!,"AAAAAH+//gU=")</f>
        <v>#REF!</v>
      </c>
      <c r="G230" t="e">
        <f>AND(Bills!Y920,"AAAAAH+//gY=")</f>
        <v>#VALUE!</v>
      </c>
      <c r="H230" t="e">
        <f>AND(Bills!Z920,"AAAAAH+//gc=")</f>
        <v>#VALUE!</v>
      </c>
      <c r="I230" t="e">
        <f>AND(Bills!#REF!,"AAAAAH+//gg=")</f>
        <v>#REF!</v>
      </c>
      <c r="J230" t="e">
        <f>AND(Bills!#REF!,"AAAAAH+//gk=")</f>
        <v>#REF!</v>
      </c>
      <c r="K230" t="e">
        <f>AND(Bills!#REF!,"AAAAAH+//go=")</f>
        <v>#REF!</v>
      </c>
      <c r="L230" t="e">
        <f>AND(Bills!AA920,"AAAAAH+//gs=")</f>
        <v>#VALUE!</v>
      </c>
      <c r="M230" t="e">
        <f>AND(Bills!AB920,"AAAAAH+//gw=")</f>
        <v>#VALUE!</v>
      </c>
      <c r="N230" t="e">
        <f>AND(Bills!#REF!,"AAAAAH+//g0=")</f>
        <v>#REF!</v>
      </c>
      <c r="O230">
        <f>IF(Bills!921:921,"AAAAAH+//g4=",0)</f>
        <v>0</v>
      </c>
      <c r="P230" t="e">
        <f>AND(Bills!B921,"AAAAAH+//g8=")</f>
        <v>#VALUE!</v>
      </c>
      <c r="Q230" t="e">
        <f>AND(Bills!#REF!,"AAAAAH+//hA=")</f>
        <v>#REF!</v>
      </c>
      <c r="R230" t="e">
        <f>AND(Bills!C921,"AAAAAH+//hE=")</f>
        <v>#VALUE!</v>
      </c>
      <c r="S230" t="e">
        <f>AND(Bills!#REF!,"AAAAAH+//hI=")</f>
        <v>#REF!</v>
      </c>
      <c r="T230" t="e">
        <f>AND(Bills!#REF!,"AAAAAH+//hM=")</f>
        <v>#REF!</v>
      </c>
      <c r="U230" t="e">
        <f>AND(Bills!#REF!,"AAAAAH+//hQ=")</f>
        <v>#REF!</v>
      </c>
      <c r="V230" t="e">
        <f>AND(Bills!#REF!,"AAAAAH+//hU=")</f>
        <v>#REF!</v>
      </c>
      <c r="W230" t="e">
        <f>AND(Bills!#REF!,"AAAAAH+//hY=")</f>
        <v>#REF!</v>
      </c>
      <c r="X230" t="e">
        <f>AND(Bills!D921,"AAAAAH+//hc=")</f>
        <v>#VALUE!</v>
      </c>
      <c r="Y230" t="e">
        <f>AND(Bills!#REF!,"AAAAAH+//hg=")</f>
        <v>#REF!</v>
      </c>
      <c r="Z230" t="e">
        <f>AND(Bills!E921,"AAAAAH+//hk=")</f>
        <v>#VALUE!</v>
      </c>
      <c r="AA230" t="e">
        <f>AND(Bills!F921,"AAAAAH+//ho=")</f>
        <v>#VALUE!</v>
      </c>
      <c r="AB230" t="e">
        <f>AND(Bills!G921,"AAAAAH+//hs=")</f>
        <v>#VALUE!</v>
      </c>
      <c r="AC230" t="e">
        <f>AND(Bills!H921,"AAAAAH+//hw=")</f>
        <v>#VALUE!</v>
      </c>
      <c r="AD230" t="e">
        <f>AND(Bills!I921,"AAAAAH+//h0=")</f>
        <v>#VALUE!</v>
      </c>
      <c r="AE230" t="e">
        <f>AND(Bills!J921,"AAAAAH+//h4=")</f>
        <v>#VALUE!</v>
      </c>
      <c r="AF230" t="e">
        <f>AND(Bills!#REF!,"AAAAAH+//h8=")</f>
        <v>#REF!</v>
      </c>
      <c r="AG230" t="e">
        <f>AND(Bills!K921,"AAAAAH+//iA=")</f>
        <v>#VALUE!</v>
      </c>
      <c r="AH230" t="e">
        <f>AND(Bills!L921,"AAAAAH+//iE=")</f>
        <v>#VALUE!</v>
      </c>
      <c r="AI230" t="e">
        <f>AND(Bills!M921,"AAAAAH+//iI=")</f>
        <v>#VALUE!</v>
      </c>
      <c r="AJ230" t="e">
        <f>AND(Bills!N921,"AAAAAH+//iM=")</f>
        <v>#VALUE!</v>
      </c>
      <c r="AK230" t="e">
        <f>AND(Bills!O921,"AAAAAH+//iQ=")</f>
        <v>#VALUE!</v>
      </c>
      <c r="AL230" t="e">
        <f>AND(Bills!P921,"AAAAAH+//iU=")</f>
        <v>#VALUE!</v>
      </c>
      <c r="AM230" t="e">
        <f>AND(Bills!Q921,"AAAAAH+//iY=")</f>
        <v>#VALUE!</v>
      </c>
      <c r="AN230" t="e">
        <f>AND(Bills!R921,"AAAAAH+//ic=")</f>
        <v>#VALUE!</v>
      </c>
      <c r="AO230" t="e">
        <f>AND(Bills!#REF!,"AAAAAH+//ig=")</f>
        <v>#REF!</v>
      </c>
      <c r="AP230" t="e">
        <f>AND(Bills!S921,"AAAAAH+//ik=")</f>
        <v>#VALUE!</v>
      </c>
      <c r="AQ230" t="e">
        <f>AND(Bills!T921,"AAAAAH+//io=")</f>
        <v>#VALUE!</v>
      </c>
      <c r="AR230" t="e">
        <f>AND(Bills!U921,"AAAAAH+//is=")</f>
        <v>#VALUE!</v>
      </c>
      <c r="AS230" t="e">
        <f>AND(Bills!#REF!,"AAAAAH+//iw=")</f>
        <v>#REF!</v>
      </c>
      <c r="AT230" t="e">
        <f>AND(Bills!#REF!,"AAAAAH+//i0=")</f>
        <v>#REF!</v>
      </c>
      <c r="AU230" t="e">
        <f>AND(Bills!W921,"AAAAAH+//i4=")</f>
        <v>#VALUE!</v>
      </c>
      <c r="AV230" t="e">
        <f>AND(Bills!X921,"AAAAAH+//i8=")</f>
        <v>#VALUE!</v>
      </c>
      <c r="AW230" t="e">
        <f>AND(Bills!#REF!,"AAAAAH+//jA=")</f>
        <v>#REF!</v>
      </c>
      <c r="AX230" t="e">
        <f>AND(Bills!#REF!,"AAAAAH+//jE=")</f>
        <v>#REF!</v>
      </c>
      <c r="AY230" t="e">
        <f>AND(Bills!#REF!,"AAAAAH+//jI=")</f>
        <v>#REF!</v>
      </c>
      <c r="AZ230" t="e">
        <f>AND(Bills!#REF!,"AAAAAH+//jM=")</f>
        <v>#REF!</v>
      </c>
      <c r="BA230" t="e">
        <f>AND(Bills!#REF!,"AAAAAH+//jQ=")</f>
        <v>#REF!</v>
      </c>
      <c r="BB230" t="e">
        <f>AND(Bills!#REF!,"AAAAAH+//jU=")</f>
        <v>#REF!</v>
      </c>
      <c r="BC230" t="e">
        <f>AND(Bills!#REF!,"AAAAAH+//jY=")</f>
        <v>#REF!</v>
      </c>
      <c r="BD230" t="e">
        <f>AND(Bills!#REF!,"AAAAAH+//jc=")</f>
        <v>#REF!</v>
      </c>
      <c r="BE230" t="e">
        <f>AND(Bills!#REF!,"AAAAAH+//jg=")</f>
        <v>#REF!</v>
      </c>
      <c r="BF230" t="e">
        <f>AND(Bills!Y921,"AAAAAH+//jk=")</f>
        <v>#VALUE!</v>
      </c>
      <c r="BG230" t="e">
        <f>AND(Bills!Z921,"AAAAAH+//jo=")</f>
        <v>#VALUE!</v>
      </c>
      <c r="BH230" t="e">
        <f>AND(Bills!#REF!,"AAAAAH+//js=")</f>
        <v>#REF!</v>
      </c>
      <c r="BI230" t="e">
        <f>AND(Bills!#REF!,"AAAAAH+//jw=")</f>
        <v>#REF!</v>
      </c>
      <c r="BJ230" t="e">
        <f>AND(Bills!#REF!,"AAAAAH+//j0=")</f>
        <v>#REF!</v>
      </c>
      <c r="BK230" t="e">
        <f>AND(Bills!AA921,"AAAAAH+//j4=")</f>
        <v>#VALUE!</v>
      </c>
      <c r="BL230" t="e">
        <f>AND(Bills!AB921,"AAAAAH+//j8=")</f>
        <v>#VALUE!</v>
      </c>
      <c r="BM230" t="e">
        <f>AND(Bills!#REF!,"AAAAAH+//kA=")</f>
        <v>#REF!</v>
      </c>
      <c r="BN230">
        <f>IF(Bills!922:922,"AAAAAH+//kE=",0)</f>
        <v>0</v>
      </c>
      <c r="BO230" t="e">
        <f>AND(Bills!B922,"AAAAAH+//kI=")</f>
        <v>#VALUE!</v>
      </c>
      <c r="BP230" t="e">
        <f>AND(Bills!#REF!,"AAAAAH+//kM=")</f>
        <v>#REF!</v>
      </c>
      <c r="BQ230" t="e">
        <f>AND(Bills!C922,"AAAAAH+//kQ=")</f>
        <v>#VALUE!</v>
      </c>
      <c r="BR230" t="e">
        <f>AND(Bills!#REF!,"AAAAAH+//kU=")</f>
        <v>#REF!</v>
      </c>
      <c r="BS230" t="e">
        <f>AND(Bills!#REF!,"AAAAAH+//kY=")</f>
        <v>#REF!</v>
      </c>
      <c r="BT230" t="e">
        <f>AND(Bills!#REF!,"AAAAAH+//kc=")</f>
        <v>#REF!</v>
      </c>
      <c r="BU230" t="e">
        <f>AND(Bills!#REF!,"AAAAAH+//kg=")</f>
        <v>#REF!</v>
      </c>
      <c r="BV230" t="e">
        <f>AND(Bills!#REF!,"AAAAAH+//kk=")</f>
        <v>#REF!</v>
      </c>
      <c r="BW230" t="e">
        <f>AND(Bills!D922,"AAAAAH+//ko=")</f>
        <v>#VALUE!</v>
      </c>
      <c r="BX230" t="e">
        <f>AND(Bills!#REF!,"AAAAAH+//ks=")</f>
        <v>#REF!</v>
      </c>
      <c r="BY230" t="e">
        <f>AND(Bills!E922,"AAAAAH+//kw=")</f>
        <v>#VALUE!</v>
      </c>
      <c r="BZ230" t="e">
        <f>AND(Bills!F922,"AAAAAH+//k0=")</f>
        <v>#VALUE!</v>
      </c>
      <c r="CA230" t="e">
        <f>AND(Bills!G922,"AAAAAH+//k4=")</f>
        <v>#VALUE!</v>
      </c>
      <c r="CB230" t="e">
        <f>AND(Bills!H922,"AAAAAH+//k8=")</f>
        <v>#VALUE!</v>
      </c>
      <c r="CC230" t="e">
        <f>AND(Bills!I922,"AAAAAH+//lA=")</f>
        <v>#VALUE!</v>
      </c>
      <c r="CD230" t="e">
        <f>AND(Bills!J922,"AAAAAH+//lE=")</f>
        <v>#VALUE!</v>
      </c>
      <c r="CE230" t="e">
        <f>AND(Bills!#REF!,"AAAAAH+//lI=")</f>
        <v>#REF!</v>
      </c>
      <c r="CF230" t="e">
        <f>AND(Bills!K922,"AAAAAH+//lM=")</f>
        <v>#VALUE!</v>
      </c>
      <c r="CG230" t="e">
        <f>AND(Bills!L922,"AAAAAH+//lQ=")</f>
        <v>#VALUE!</v>
      </c>
      <c r="CH230" t="e">
        <f>AND(Bills!M922,"AAAAAH+//lU=")</f>
        <v>#VALUE!</v>
      </c>
      <c r="CI230" t="e">
        <f>AND(Bills!N922,"AAAAAH+//lY=")</f>
        <v>#VALUE!</v>
      </c>
      <c r="CJ230" t="e">
        <f>AND(Bills!O922,"AAAAAH+//lc=")</f>
        <v>#VALUE!</v>
      </c>
      <c r="CK230" t="e">
        <f>AND(Bills!P922,"AAAAAH+//lg=")</f>
        <v>#VALUE!</v>
      </c>
      <c r="CL230" t="e">
        <f>AND(Bills!Q922,"AAAAAH+//lk=")</f>
        <v>#VALUE!</v>
      </c>
      <c r="CM230" t="e">
        <f>AND(Bills!R922,"AAAAAH+//lo=")</f>
        <v>#VALUE!</v>
      </c>
      <c r="CN230" t="e">
        <f>AND(Bills!#REF!,"AAAAAH+//ls=")</f>
        <v>#REF!</v>
      </c>
      <c r="CO230" t="e">
        <f>AND(Bills!S922,"AAAAAH+//lw=")</f>
        <v>#VALUE!</v>
      </c>
      <c r="CP230" t="e">
        <f>AND(Bills!T922,"AAAAAH+//l0=")</f>
        <v>#VALUE!</v>
      </c>
      <c r="CQ230" t="e">
        <f>AND(Bills!U922,"AAAAAH+//l4=")</f>
        <v>#VALUE!</v>
      </c>
      <c r="CR230" t="e">
        <f>AND(Bills!#REF!,"AAAAAH+//l8=")</f>
        <v>#REF!</v>
      </c>
      <c r="CS230" t="e">
        <f>AND(Bills!#REF!,"AAAAAH+//mA=")</f>
        <v>#REF!</v>
      </c>
      <c r="CT230" t="e">
        <f>AND(Bills!W922,"AAAAAH+//mE=")</f>
        <v>#VALUE!</v>
      </c>
      <c r="CU230" t="e">
        <f>AND(Bills!X922,"AAAAAH+//mI=")</f>
        <v>#VALUE!</v>
      </c>
      <c r="CV230" t="e">
        <f>AND(Bills!#REF!,"AAAAAH+//mM=")</f>
        <v>#REF!</v>
      </c>
      <c r="CW230" t="e">
        <f>AND(Bills!#REF!,"AAAAAH+//mQ=")</f>
        <v>#REF!</v>
      </c>
      <c r="CX230" t="e">
        <f>AND(Bills!#REF!,"AAAAAH+//mU=")</f>
        <v>#REF!</v>
      </c>
      <c r="CY230" t="e">
        <f>AND(Bills!#REF!,"AAAAAH+//mY=")</f>
        <v>#REF!</v>
      </c>
      <c r="CZ230" t="e">
        <f>AND(Bills!#REF!,"AAAAAH+//mc=")</f>
        <v>#REF!</v>
      </c>
      <c r="DA230" t="e">
        <f>AND(Bills!#REF!,"AAAAAH+//mg=")</f>
        <v>#REF!</v>
      </c>
      <c r="DB230" t="e">
        <f>AND(Bills!#REF!,"AAAAAH+//mk=")</f>
        <v>#REF!</v>
      </c>
      <c r="DC230" t="e">
        <f>AND(Bills!#REF!,"AAAAAH+//mo=")</f>
        <v>#REF!</v>
      </c>
      <c r="DD230" t="e">
        <f>AND(Bills!#REF!,"AAAAAH+//ms=")</f>
        <v>#REF!</v>
      </c>
      <c r="DE230" t="e">
        <f>AND(Bills!Y922,"AAAAAH+//mw=")</f>
        <v>#VALUE!</v>
      </c>
      <c r="DF230" t="e">
        <f>AND(Bills!Z922,"AAAAAH+//m0=")</f>
        <v>#VALUE!</v>
      </c>
      <c r="DG230" t="e">
        <f>AND(Bills!#REF!,"AAAAAH+//m4=")</f>
        <v>#REF!</v>
      </c>
      <c r="DH230" t="e">
        <f>AND(Bills!#REF!,"AAAAAH+//m8=")</f>
        <v>#REF!</v>
      </c>
      <c r="DI230" t="e">
        <f>AND(Bills!#REF!,"AAAAAH+//nA=")</f>
        <v>#REF!</v>
      </c>
      <c r="DJ230" t="e">
        <f>AND(Bills!AA922,"AAAAAH+//nE=")</f>
        <v>#VALUE!</v>
      </c>
      <c r="DK230" t="e">
        <f>AND(Bills!AB922,"AAAAAH+//nI=")</f>
        <v>#VALUE!</v>
      </c>
      <c r="DL230" t="e">
        <f>AND(Bills!#REF!,"AAAAAH+//nM=")</f>
        <v>#REF!</v>
      </c>
      <c r="DM230">
        <f>IF(Bills!923:923,"AAAAAH+//nQ=",0)</f>
        <v>0</v>
      </c>
      <c r="DN230" t="e">
        <f>AND(Bills!B923,"AAAAAH+//nU=")</f>
        <v>#VALUE!</v>
      </c>
      <c r="DO230" t="e">
        <f>AND(Bills!#REF!,"AAAAAH+//nY=")</f>
        <v>#REF!</v>
      </c>
      <c r="DP230" t="e">
        <f>AND(Bills!C923,"AAAAAH+//nc=")</f>
        <v>#VALUE!</v>
      </c>
      <c r="DQ230" t="e">
        <f>AND(Bills!#REF!,"AAAAAH+//ng=")</f>
        <v>#REF!</v>
      </c>
      <c r="DR230" t="e">
        <f>AND(Bills!#REF!,"AAAAAH+//nk=")</f>
        <v>#REF!</v>
      </c>
      <c r="DS230" t="e">
        <f>AND(Bills!#REF!,"AAAAAH+//no=")</f>
        <v>#REF!</v>
      </c>
      <c r="DT230" t="e">
        <f>AND(Bills!#REF!,"AAAAAH+//ns=")</f>
        <v>#REF!</v>
      </c>
      <c r="DU230" t="e">
        <f>AND(Bills!#REF!,"AAAAAH+//nw=")</f>
        <v>#REF!</v>
      </c>
      <c r="DV230" t="e">
        <f>AND(Bills!D923,"AAAAAH+//n0=")</f>
        <v>#VALUE!</v>
      </c>
      <c r="DW230" t="e">
        <f>AND(Bills!#REF!,"AAAAAH+//n4=")</f>
        <v>#REF!</v>
      </c>
      <c r="DX230" t="e">
        <f>AND(Bills!E923,"AAAAAH+//n8=")</f>
        <v>#VALUE!</v>
      </c>
      <c r="DY230" t="e">
        <f>AND(Bills!F923,"AAAAAH+//oA=")</f>
        <v>#VALUE!</v>
      </c>
      <c r="DZ230" t="e">
        <f>AND(Bills!G923,"AAAAAH+//oE=")</f>
        <v>#VALUE!</v>
      </c>
      <c r="EA230" t="e">
        <f>AND(Bills!H923,"AAAAAH+//oI=")</f>
        <v>#VALUE!</v>
      </c>
      <c r="EB230" t="e">
        <f>AND(Bills!I923,"AAAAAH+//oM=")</f>
        <v>#VALUE!</v>
      </c>
      <c r="EC230" t="e">
        <f>AND(Bills!J923,"AAAAAH+//oQ=")</f>
        <v>#VALUE!</v>
      </c>
      <c r="ED230" t="e">
        <f>AND(Bills!#REF!,"AAAAAH+//oU=")</f>
        <v>#REF!</v>
      </c>
      <c r="EE230" t="e">
        <f>AND(Bills!K923,"AAAAAH+//oY=")</f>
        <v>#VALUE!</v>
      </c>
      <c r="EF230" t="e">
        <f>AND(Bills!L923,"AAAAAH+//oc=")</f>
        <v>#VALUE!</v>
      </c>
      <c r="EG230" t="e">
        <f>AND(Bills!M923,"AAAAAH+//og=")</f>
        <v>#VALUE!</v>
      </c>
      <c r="EH230" t="e">
        <f>AND(Bills!N923,"AAAAAH+//ok=")</f>
        <v>#VALUE!</v>
      </c>
      <c r="EI230" t="e">
        <f>AND(Bills!O923,"AAAAAH+//oo=")</f>
        <v>#VALUE!</v>
      </c>
      <c r="EJ230" t="e">
        <f>AND(Bills!P923,"AAAAAH+//os=")</f>
        <v>#VALUE!</v>
      </c>
      <c r="EK230" t="e">
        <f>AND(Bills!Q923,"AAAAAH+//ow=")</f>
        <v>#VALUE!</v>
      </c>
      <c r="EL230" t="e">
        <f>AND(Bills!R923,"AAAAAH+//o0=")</f>
        <v>#VALUE!</v>
      </c>
      <c r="EM230" t="e">
        <f>AND(Bills!#REF!,"AAAAAH+//o4=")</f>
        <v>#REF!</v>
      </c>
      <c r="EN230" t="e">
        <f>AND(Bills!S923,"AAAAAH+//o8=")</f>
        <v>#VALUE!</v>
      </c>
      <c r="EO230" t="e">
        <f>AND(Bills!T923,"AAAAAH+//pA=")</f>
        <v>#VALUE!</v>
      </c>
      <c r="EP230" t="e">
        <f>AND(Bills!U923,"AAAAAH+//pE=")</f>
        <v>#VALUE!</v>
      </c>
      <c r="EQ230" t="e">
        <f>AND(Bills!#REF!,"AAAAAH+//pI=")</f>
        <v>#REF!</v>
      </c>
      <c r="ER230" t="e">
        <f>AND(Bills!#REF!,"AAAAAH+//pM=")</f>
        <v>#REF!</v>
      </c>
      <c r="ES230" t="e">
        <f>AND(Bills!W923,"AAAAAH+//pQ=")</f>
        <v>#VALUE!</v>
      </c>
      <c r="ET230" t="e">
        <f>AND(Bills!X923,"AAAAAH+//pU=")</f>
        <v>#VALUE!</v>
      </c>
      <c r="EU230" t="e">
        <f>AND(Bills!#REF!,"AAAAAH+//pY=")</f>
        <v>#REF!</v>
      </c>
      <c r="EV230" t="e">
        <f>AND(Bills!#REF!,"AAAAAH+//pc=")</f>
        <v>#REF!</v>
      </c>
      <c r="EW230" t="e">
        <f>AND(Bills!#REF!,"AAAAAH+//pg=")</f>
        <v>#REF!</v>
      </c>
      <c r="EX230" t="e">
        <f>AND(Bills!#REF!,"AAAAAH+//pk=")</f>
        <v>#REF!</v>
      </c>
      <c r="EY230" t="e">
        <f>AND(Bills!#REF!,"AAAAAH+//po=")</f>
        <v>#REF!</v>
      </c>
      <c r="EZ230" t="e">
        <f>AND(Bills!#REF!,"AAAAAH+//ps=")</f>
        <v>#REF!</v>
      </c>
      <c r="FA230" t="e">
        <f>AND(Bills!#REF!,"AAAAAH+//pw=")</f>
        <v>#REF!</v>
      </c>
      <c r="FB230" t="e">
        <f>AND(Bills!#REF!,"AAAAAH+//p0=")</f>
        <v>#REF!</v>
      </c>
      <c r="FC230" t="e">
        <f>AND(Bills!#REF!,"AAAAAH+//p4=")</f>
        <v>#REF!</v>
      </c>
      <c r="FD230" t="e">
        <f>AND(Bills!Y923,"AAAAAH+//p8=")</f>
        <v>#VALUE!</v>
      </c>
      <c r="FE230" t="e">
        <f>AND(Bills!Z923,"AAAAAH+//qA=")</f>
        <v>#VALUE!</v>
      </c>
      <c r="FF230" t="e">
        <f>AND(Bills!#REF!,"AAAAAH+//qE=")</f>
        <v>#REF!</v>
      </c>
      <c r="FG230" t="e">
        <f>AND(Bills!#REF!,"AAAAAH+//qI=")</f>
        <v>#REF!</v>
      </c>
      <c r="FH230" t="e">
        <f>AND(Bills!#REF!,"AAAAAH+//qM=")</f>
        <v>#REF!</v>
      </c>
      <c r="FI230" t="e">
        <f>AND(Bills!AA923,"AAAAAH+//qQ=")</f>
        <v>#VALUE!</v>
      </c>
      <c r="FJ230" t="e">
        <f>AND(Bills!AB923,"AAAAAH+//qU=")</f>
        <v>#VALUE!</v>
      </c>
      <c r="FK230" t="e">
        <f>AND(Bills!#REF!,"AAAAAH+//qY=")</f>
        <v>#REF!</v>
      </c>
      <c r="FL230">
        <f>IF(Bills!924:924,"AAAAAH+//qc=",0)</f>
        <v>0</v>
      </c>
      <c r="FM230" t="e">
        <f>AND(Bills!B924,"AAAAAH+//qg=")</f>
        <v>#VALUE!</v>
      </c>
      <c r="FN230" t="e">
        <f>AND(Bills!#REF!,"AAAAAH+//qk=")</f>
        <v>#REF!</v>
      </c>
      <c r="FO230" t="e">
        <f>AND(Bills!C924,"AAAAAH+//qo=")</f>
        <v>#VALUE!</v>
      </c>
      <c r="FP230" t="e">
        <f>AND(Bills!#REF!,"AAAAAH+//qs=")</f>
        <v>#REF!</v>
      </c>
      <c r="FQ230" t="e">
        <f>AND(Bills!#REF!,"AAAAAH+//qw=")</f>
        <v>#REF!</v>
      </c>
      <c r="FR230" t="e">
        <f>AND(Bills!#REF!,"AAAAAH+//q0=")</f>
        <v>#REF!</v>
      </c>
      <c r="FS230" t="e">
        <f>AND(Bills!#REF!,"AAAAAH+//q4=")</f>
        <v>#REF!</v>
      </c>
      <c r="FT230" t="e">
        <f>AND(Bills!#REF!,"AAAAAH+//q8=")</f>
        <v>#REF!</v>
      </c>
      <c r="FU230" t="e">
        <f>AND(Bills!D924,"AAAAAH+//rA=")</f>
        <v>#VALUE!</v>
      </c>
      <c r="FV230" t="e">
        <f>AND(Bills!#REF!,"AAAAAH+//rE=")</f>
        <v>#REF!</v>
      </c>
      <c r="FW230" t="e">
        <f>AND(Bills!E924,"AAAAAH+//rI=")</f>
        <v>#VALUE!</v>
      </c>
      <c r="FX230" t="e">
        <f>AND(Bills!F924,"AAAAAH+//rM=")</f>
        <v>#VALUE!</v>
      </c>
      <c r="FY230" t="e">
        <f>AND(Bills!G924,"AAAAAH+//rQ=")</f>
        <v>#VALUE!</v>
      </c>
      <c r="FZ230" t="e">
        <f>AND(Bills!H924,"AAAAAH+//rU=")</f>
        <v>#VALUE!</v>
      </c>
      <c r="GA230" t="e">
        <f>AND(Bills!I924,"AAAAAH+//rY=")</f>
        <v>#VALUE!</v>
      </c>
      <c r="GB230" t="e">
        <f>AND(Bills!J924,"AAAAAH+//rc=")</f>
        <v>#VALUE!</v>
      </c>
      <c r="GC230" t="e">
        <f>AND(Bills!#REF!,"AAAAAH+//rg=")</f>
        <v>#REF!</v>
      </c>
      <c r="GD230" t="e">
        <f>AND(Bills!K924,"AAAAAH+//rk=")</f>
        <v>#VALUE!</v>
      </c>
      <c r="GE230" t="e">
        <f>AND(Bills!L924,"AAAAAH+//ro=")</f>
        <v>#VALUE!</v>
      </c>
      <c r="GF230" t="e">
        <f>AND(Bills!M924,"AAAAAH+//rs=")</f>
        <v>#VALUE!</v>
      </c>
      <c r="GG230" t="e">
        <f>AND(Bills!N924,"AAAAAH+//rw=")</f>
        <v>#VALUE!</v>
      </c>
      <c r="GH230" t="e">
        <f>AND(Bills!O924,"AAAAAH+//r0=")</f>
        <v>#VALUE!</v>
      </c>
      <c r="GI230" t="e">
        <f>AND(Bills!P924,"AAAAAH+//r4=")</f>
        <v>#VALUE!</v>
      </c>
      <c r="GJ230" t="e">
        <f>AND(Bills!Q924,"AAAAAH+//r8=")</f>
        <v>#VALUE!</v>
      </c>
      <c r="GK230" t="e">
        <f>AND(Bills!R924,"AAAAAH+//sA=")</f>
        <v>#VALUE!</v>
      </c>
      <c r="GL230" t="e">
        <f>AND(Bills!#REF!,"AAAAAH+//sE=")</f>
        <v>#REF!</v>
      </c>
      <c r="GM230" t="e">
        <f>AND(Bills!S924,"AAAAAH+//sI=")</f>
        <v>#VALUE!</v>
      </c>
      <c r="GN230" t="e">
        <f>AND(Bills!T924,"AAAAAH+//sM=")</f>
        <v>#VALUE!</v>
      </c>
      <c r="GO230" t="e">
        <f>AND(Bills!U924,"AAAAAH+//sQ=")</f>
        <v>#VALUE!</v>
      </c>
      <c r="GP230" t="e">
        <f>AND(Bills!#REF!,"AAAAAH+//sU=")</f>
        <v>#REF!</v>
      </c>
      <c r="GQ230" t="e">
        <f>AND(Bills!#REF!,"AAAAAH+//sY=")</f>
        <v>#REF!</v>
      </c>
      <c r="GR230" t="e">
        <f>AND(Bills!W924,"AAAAAH+//sc=")</f>
        <v>#VALUE!</v>
      </c>
      <c r="GS230" t="e">
        <f>AND(Bills!X924,"AAAAAH+//sg=")</f>
        <v>#VALUE!</v>
      </c>
      <c r="GT230" t="e">
        <f>AND(Bills!#REF!,"AAAAAH+//sk=")</f>
        <v>#REF!</v>
      </c>
      <c r="GU230" t="e">
        <f>AND(Bills!#REF!,"AAAAAH+//so=")</f>
        <v>#REF!</v>
      </c>
      <c r="GV230" t="e">
        <f>AND(Bills!#REF!,"AAAAAH+//ss=")</f>
        <v>#REF!</v>
      </c>
      <c r="GW230" t="e">
        <f>AND(Bills!#REF!,"AAAAAH+//sw=")</f>
        <v>#REF!</v>
      </c>
      <c r="GX230" t="e">
        <f>AND(Bills!#REF!,"AAAAAH+//s0=")</f>
        <v>#REF!</v>
      </c>
      <c r="GY230" t="e">
        <f>AND(Bills!#REF!,"AAAAAH+//s4=")</f>
        <v>#REF!</v>
      </c>
      <c r="GZ230" t="e">
        <f>AND(Bills!#REF!,"AAAAAH+//s8=")</f>
        <v>#REF!</v>
      </c>
      <c r="HA230" t="e">
        <f>AND(Bills!#REF!,"AAAAAH+//tA=")</f>
        <v>#REF!</v>
      </c>
      <c r="HB230" t="e">
        <f>AND(Bills!#REF!,"AAAAAH+//tE=")</f>
        <v>#REF!</v>
      </c>
      <c r="HC230" t="e">
        <f>AND(Bills!Y924,"AAAAAH+//tI=")</f>
        <v>#VALUE!</v>
      </c>
      <c r="HD230" t="e">
        <f>AND(Bills!Z924,"AAAAAH+//tM=")</f>
        <v>#VALUE!</v>
      </c>
      <c r="HE230" t="e">
        <f>AND(Bills!#REF!,"AAAAAH+//tQ=")</f>
        <v>#REF!</v>
      </c>
      <c r="HF230" t="e">
        <f>AND(Bills!#REF!,"AAAAAH+//tU=")</f>
        <v>#REF!</v>
      </c>
      <c r="HG230" t="e">
        <f>AND(Bills!#REF!,"AAAAAH+//tY=")</f>
        <v>#REF!</v>
      </c>
      <c r="HH230" t="e">
        <f>AND(Bills!AA924,"AAAAAH+//tc=")</f>
        <v>#VALUE!</v>
      </c>
      <c r="HI230" t="e">
        <f>AND(Bills!AB924,"AAAAAH+//tg=")</f>
        <v>#VALUE!</v>
      </c>
      <c r="HJ230" t="e">
        <f>AND(Bills!#REF!,"AAAAAH+//tk=")</f>
        <v>#REF!</v>
      </c>
      <c r="HK230">
        <f>IF(Bills!925:925,"AAAAAH+//to=",0)</f>
        <v>0</v>
      </c>
      <c r="HL230" t="e">
        <f>AND(Bills!B925,"AAAAAH+//ts=")</f>
        <v>#VALUE!</v>
      </c>
      <c r="HM230" t="e">
        <f>AND(Bills!#REF!,"AAAAAH+//tw=")</f>
        <v>#REF!</v>
      </c>
      <c r="HN230" t="e">
        <f>AND(Bills!C925,"AAAAAH+//t0=")</f>
        <v>#VALUE!</v>
      </c>
      <c r="HO230" t="e">
        <f>AND(Bills!#REF!,"AAAAAH+//t4=")</f>
        <v>#REF!</v>
      </c>
      <c r="HP230" t="e">
        <f>AND(Bills!#REF!,"AAAAAH+//t8=")</f>
        <v>#REF!</v>
      </c>
      <c r="HQ230" t="e">
        <f>AND(Bills!#REF!,"AAAAAH+//uA=")</f>
        <v>#REF!</v>
      </c>
      <c r="HR230" t="e">
        <f>AND(Bills!#REF!,"AAAAAH+//uE=")</f>
        <v>#REF!</v>
      </c>
      <c r="HS230" t="e">
        <f>AND(Bills!#REF!,"AAAAAH+//uI=")</f>
        <v>#REF!</v>
      </c>
      <c r="HT230" t="e">
        <f>AND(Bills!D925,"AAAAAH+//uM=")</f>
        <v>#VALUE!</v>
      </c>
      <c r="HU230" t="e">
        <f>AND(Bills!#REF!,"AAAAAH+//uQ=")</f>
        <v>#REF!</v>
      </c>
      <c r="HV230" t="e">
        <f>AND(Bills!E925,"AAAAAH+//uU=")</f>
        <v>#VALUE!</v>
      </c>
      <c r="HW230" t="e">
        <f>AND(Bills!F925,"AAAAAH+//uY=")</f>
        <v>#VALUE!</v>
      </c>
      <c r="HX230" t="e">
        <f>AND(Bills!G925,"AAAAAH+//uc=")</f>
        <v>#VALUE!</v>
      </c>
      <c r="HY230" t="e">
        <f>AND(Bills!H925,"AAAAAH+//ug=")</f>
        <v>#VALUE!</v>
      </c>
      <c r="HZ230" t="e">
        <f>AND(Bills!I925,"AAAAAH+//uk=")</f>
        <v>#VALUE!</v>
      </c>
      <c r="IA230" t="e">
        <f>AND(Bills!J925,"AAAAAH+//uo=")</f>
        <v>#VALUE!</v>
      </c>
      <c r="IB230" t="e">
        <f>AND(Bills!#REF!,"AAAAAH+//us=")</f>
        <v>#REF!</v>
      </c>
      <c r="IC230" t="e">
        <f>AND(Bills!K925,"AAAAAH+//uw=")</f>
        <v>#VALUE!</v>
      </c>
      <c r="ID230" t="e">
        <f>AND(Bills!L925,"AAAAAH+//u0=")</f>
        <v>#VALUE!</v>
      </c>
      <c r="IE230" t="e">
        <f>AND(Bills!M925,"AAAAAH+//u4=")</f>
        <v>#VALUE!</v>
      </c>
      <c r="IF230" t="e">
        <f>AND(Bills!N925,"AAAAAH+//u8=")</f>
        <v>#VALUE!</v>
      </c>
      <c r="IG230" t="e">
        <f>AND(Bills!O925,"AAAAAH+//vA=")</f>
        <v>#VALUE!</v>
      </c>
      <c r="IH230" t="e">
        <f>AND(Bills!P925,"AAAAAH+//vE=")</f>
        <v>#VALUE!</v>
      </c>
      <c r="II230" t="e">
        <f>AND(Bills!Q925,"AAAAAH+//vI=")</f>
        <v>#VALUE!</v>
      </c>
      <c r="IJ230" t="e">
        <f>AND(Bills!R925,"AAAAAH+//vM=")</f>
        <v>#VALUE!</v>
      </c>
      <c r="IK230" t="e">
        <f>AND(Bills!#REF!,"AAAAAH+//vQ=")</f>
        <v>#REF!</v>
      </c>
      <c r="IL230" t="e">
        <f>AND(Bills!S925,"AAAAAH+//vU=")</f>
        <v>#VALUE!</v>
      </c>
      <c r="IM230" t="e">
        <f>AND(Bills!T925,"AAAAAH+//vY=")</f>
        <v>#VALUE!</v>
      </c>
      <c r="IN230" t="e">
        <f>AND(Bills!U925,"AAAAAH+//vc=")</f>
        <v>#VALUE!</v>
      </c>
      <c r="IO230" t="e">
        <f>AND(Bills!#REF!,"AAAAAH+//vg=")</f>
        <v>#REF!</v>
      </c>
      <c r="IP230" t="e">
        <f>AND(Bills!#REF!,"AAAAAH+//vk=")</f>
        <v>#REF!</v>
      </c>
      <c r="IQ230" t="e">
        <f>AND(Bills!W925,"AAAAAH+//vo=")</f>
        <v>#VALUE!</v>
      </c>
      <c r="IR230" t="e">
        <f>AND(Bills!X925,"AAAAAH+//vs=")</f>
        <v>#VALUE!</v>
      </c>
      <c r="IS230" t="e">
        <f>AND(Bills!#REF!,"AAAAAH+//vw=")</f>
        <v>#REF!</v>
      </c>
      <c r="IT230" t="e">
        <f>AND(Bills!#REF!,"AAAAAH+//v0=")</f>
        <v>#REF!</v>
      </c>
      <c r="IU230" t="e">
        <f>AND(Bills!#REF!,"AAAAAH+//v4=")</f>
        <v>#REF!</v>
      </c>
      <c r="IV230" t="e">
        <f>AND(Bills!#REF!,"AAAAAH+//v8=")</f>
        <v>#REF!</v>
      </c>
    </row>
    <row r="231" spans="1:256">
      <c r="A231" t="e">
        <f>AND(Bills!#REF!,"AAAAAHV/9wA=")</f>
        <v>#REF!</v>
      </c>
      <c r="B231" t="e">
        <f>AND(Bills!#REF!,"AAAAAHV/9wE=")</f>
        <v>#REF!</v>
      </c>
      <c r="C231" t="e">
        <f>AND(Bills!#REF!,"AAAAAHV/9wI=")</f>
        <v>#REF!</v>
      </c>
      <c r="D231" t="e">
        <f>AND(Bills!#REF!,"AAAAAHV/9wM=")</f>
        <v>#REF!</v>
      </c>
      <c r="E231" t="e">
        <f>AND(Bills!#REF!,"AAAAAHV/9wQ=")</f>
        <v>#REF!</v>
      </c>
      <c r="F231" t="e">
        <f>AND(Bills!Y925,"AAAAAHV/9wU=")</f>
        <v>#VALUE!</v>
      </c>
      <c r="G231" t="e">
        <f>AND(Bills!Z925,"AAAAAHV/9wY=")</f>
        <v>#VALUE!</v>
      </c>
      <c r="H231" t="e">
        <f>AND(Bills!#REF!,"AAAAAHV/9wc=")</f>
        <v>#REF!</v>
      </c>
      <c r="I231" t="e">
        <f>AND(Bills!#REF!,"AAAAAHV/9wg=")</f>
        <v>#REF!</v>
      </c>
      <c r="J231" t="e">
        <f>AND(Bills!#REF!,"AAAAAHV/9wk=")</f>
        <v>#REF!</v>
      </c>
      <c r="K231" t="e">
        <f>AND(Bills!AA925,"AAAAAHV/9wo=")</f>
        <v>#VALUE!</v>
      </c>
      <c r="L231" t="e">
        <f>AND(Bills!AB925,"AAAAAHV/9ws=")</f>
        <v>#VALUE!</v>
      </c>
      <c r="M231" t="e">
        <f>AND(Bills!#REF!,"AAAAAHV/9ww=")</f>
        <v>#REF!</v>
      </c>
      <c r="N231">
        <f>IF(Bills!926:926,"AAAAAHV/9w0=",0)</f>
        <v>0</v>
      </c>
      <c r="O231" t="e">
        <f>AND(Bills!B926,"AAAAAHV/9w4=")</f>
        <v>#VALUE!</v>
      </c>
      <c r="P231" t="e">
        <f>AND(Bills!#REF!,"AAAAAHV/9w8=")</f>
        <v>#REF!</v>
      </c>
      <c r="Q231" t="e">
        <f>AND(Bills!C926,"AAAAAHV/9xA=")</f>
        <v>#VALUE!</v>
      </c>
      <c r="R231" t="e">
        <f>AND(Bills!#REF!,"AAAAAHV/9xE=")</f>
        <v>#REF!</v>
      </c>
      <c r="S231" t="e">
        <f>AND(Bills!#REF!,"AAAAAHV/9xI=")</f>
        <v>#REF!</v>
      </c>
      <c r="T231" t="e">
        <f>AND(Bills!#REF!,"AAAAAHV/9xM=")</f>
        <v>#REF!</v>
      </c>
      <c r="U231" t="e">
        <f>AND(Bills!#REF!,"AAAAAHV/9xQ=")</f>
        <v>#REF!</v>
      </c>
      <c r="V231" t="e">
        <f>AND(Bills!#REF!,"AAAAAHV/9xU=")</f>
        <v>#REF!</v>
      </c>
      <c r="W231" t="e">
        <f>AND(Bills!D926,"AAAAAHV/9xY=")</f>
        <v>#VALUE!</v>
      </c>
      <c r="X231" t="e">
        <f>AND(Bills!#REF!,"AAAAAHV/9xc=")</f>
        <v>#REF!</v>
      </c>
      <c r="Y231" t="e">
        <f>AND(Bills!E926,"AAAAAHV/9xg=")</f>
        <v>#VALUE!</v>
      </c>
      <c r="Z231" t="e">
        <f>AND(Bills!F926,"AAAAAHV/9xk=")</f>
        <v>#VALUE!</v>
      </c>
      <c r="AA231" t="e">
        <f>AND(Bills!G926,"AAAAAHV/9xo=")</f>
        <v>#VALUE!</v>
      </c>
      <c r="AB231" t="e">
        <f>AND(Bills!H926,"AAAAAHV/9xs=")</f>
        <v>#VALUE!</v>
      </c>
      <c r="AC231" t="e">
        <f>AND(Bills!I926,"AAAAAHV/9xw=")</f>
        <v>#VALUE!</v>
      </c>
      <c r="AD231" t="e">
        <f>AND(Bills!J926,"AAAAAHV/9x0=")</f>
        <v>#VALUE!</v>
      </c>
      <c r="AE231" t="e">
        <f>AND(Bills!#REF!,"AAAAAHV/9x4=")</f>
        <v>#REF!</v>
      </c>
      <c r="AF231" t="e">
        <f>AND(Bills!K926,"AAAAAHV/9x8=")</f>
        <v>#VALUE!</v>
      </c>
      <c r="AG231" t="e">
        <f>AND(Bills!L926,"AAAAAHV/9yA=")</f>
        <v>#VALUE!</v>
      </c>
      <c r="AH231" t="e">
        <f>AND(Bills!M926,"AAAAAHV/9yE=")</f>
        <v>#VALUE!</v>
      </c>
      <c r="AI231" t="e">
        <f>AND(Bills!N926,"AAAAAHV/9yI=")</f>
        <v>#VALUE!</v>
      </c>
      <c r="AJ231" t="e">
        <f>AND(Bills!O926,"AAAAAHV/9yM=")</f>
        <v>#VALUE!</v>
      </c>
      <c r="AK231" t="e">
        <f>AND(Bills!P926,"AAAAAHV/9yQ=")</f>
        <v>#VALUE!</v>
      </c>
      <c r="AL231" t="e">
        <f>AND(Bills!Q926,"AAAAAHV/9yU=")</f>
        <v>#VALUE!</v>
      </c>
      <c r="AM231" t="e">
        <f>AND(Bills!R926,"AAAAAHV/9yY=")</f>
        <v>#VALUE!</v>
      </c>
      <c r="AN231" t="e">
        <f>AND(Bills!#REF!,"AAAAAHV/9yc=")</f>
        <v>#REF!</v>
      </c>
      <c r="AO231" t="e">
        <f>AND(Bills!S926,"AAAAAHV/9yg=")</f>
        <v>#VALUE!</v>
      </c>
      <c r="AP231" t="e">
        <f>AND(Bills!T926,"AAAAAHV/9yk=")</f>
        <v>#VALUE!</v>
      </c>
      <c r="AQ231" t="e">
        <f>AND(Bills!U926,"AAAAAHV/9yo=")</f>
        <v>#VALUE!</v>
      </c>
      <c r="AR231" t="e">
        <f>AND(Bills!#REF!,"AAAAAHV/9ys=")</f>
        <v>#REF!</v>
      </c>
      <c r="AS231" t="e">
        <f>AND(Bills!#REF!,"AAAAAHV/9yw=")</f>
        <v>#REF!</v>
      </c>
      <c r="AT231" t="e">
        <f>AND(Bills!W926,"AAAAAHV/9y0=")</f>
        <v>#VALUE!</v>
      </c>
      <c r="AU231" t="e">
        <f>AND(Bills!X926,"AAAAAHV/9y4=")</f>
        <v>#VALUE!</v>
      </c>
      <c r="AV231" t="e">
        <f>AND(Bills!#REF!,"AAAAAHV/9y8=")</f>
        <v>#REF!</v>
      </c>
      <c r="AW231" t="e">
        <f>AND(Bills!#REF!,"AAAAAHV/9zA=")</f>
        <v>#REF!</v>
      </c>
      <c r="AX231" t="e">
        <f>AND(Bills!#REF!,"AAAAAHV/9zE=")</f>
        <v>#REF!</v>
      </c>
      <c r="AY231" t="e">
        <f>AND(Bills!#REF!,"AAAAAHV/9zI=")</f>
        <v>#REF!</v>
      </c>
      <c r="AZ231" t="e">
        <f>AND(Bills!#REF!,"AAAAAHV/9zM=")</f>
        <v>#REF!</v>
      </c>
      <c r="BA231" t="e">
        <f>AND(Bills!#REF!,"AAAAAHV/9zQ=")</f>
        <v>#REF!</v>
      </c>
      <c r="BB231" t="e">
        <f>AND(Bills!#REF!,"AAAAAHV/9zU=")</f>
        <v>#REF!</v>
      </c>
      <c r="BC231" t="e">
        <f>AND(Bills!#REF!,"AAAAAHV/9zY=")</f>
        <v>#REF!</v>
      </c>
      <c r="BD231" t="e">
        <f>AND(Bills!#REF!,"AAAAAHV/9zc=")</f>
        <v>#REF!</v>
      </c>
      <c r="BE231" t="e">
        <f>AND(Bills!Y926,"AAAAAHV/9zg=")</f>
        <v>#VALUE!</v>
      </c>
      <c r="BF231" t="e">
        <f>AND(Bills!Z926,"AAAAAHV/9zk=")</f>
        <v>#VALUE!</v>
      </c>
      <c r="BG231" t="e">
        <f>AND(Bills!#REF!,"AAAAAHV/9zo=")</f>
        <v>#REF!</v>
      </c>
      <c r="BH231" t="e">
        <f>AND(Bills!#REF!,"AAAAAHV/9zs=")</f>
        <v>#REF!</v>
      </c>
      <c r="BI231" t="e">
        <f>AND(Bills!#REF!,"AAAAAHV/9zw=")</f>
        <v>#REF!</v>
      </c>
      <c r="BJ231" t="e">
        <f>AND(Bills!AA926,"AAAAAHV/9z0=")</f>
        <v>#VALUE!</v>
      </c>
      <c r="BK231" t="e">
        <f>AND(Bills!AB926,"AAAAAHV/9z4=")</f>
        <v>#VALUE!</v>
      </c>
      <c r="BL231" t="e">
        <f>AND(Bills!#REF!,"AAAAAHV/9z8=")</f>
        <v>#REF!</v>
      </c>
      <c r="BM231">
        <f>IF(Bills!927:927,"AAAAAHV/90A=",0)</f>
        <v>0</v>
      </c>
      <c r="BN231" t="e">
        <f>AND(Bills!B927,"AAAAAHV/90E=")</f>
        <v>#VALUE!</v>
      </c>
      <c r="BO231" t="e">
        <f>AND(Bills!#REF!,"AAAAAHV/90I=")</f>
        <v>#REF!</v>
      </c>
      <c r="BP231" t="e">
        <f>AND(Bills!C927,"AAAAAHV/90M=")</f>
        <v>#VALUE!</v>
      </c>
      <c r="BQ231" t="e">
        <f>AND(Bills!#REF!,"AAAAAHV/90Q=")</f>
        <v>#REF!</v>
      </c>
      <c r="BR231" t="e">
        <f>AND(Bills!#REF!,"AAAAAHV/90U=")</f>
        <v>#REF!</v>
      </c>
      <c r="BS231" t="e">
        <f>AND(Bills!#REF!,"AAAAAHV/90Y=")</f>
        <v>#REF!</v>
      </c>
      <c r="BT231" t="e">
        <f>AND(Bills!#REF!,"AAAAAHV/90c=")</f>
        <v>#REF!</v>
      </c>
      <c r="BU231" t="e">
        <f>AND(Bills!#REF!,"AAAAAHV/90g=")</f>
        <v>#REF!</v>
      </c>
      <c r="BV231" t="e">
        <f>AND(Bills!D927,"AAAAAHV/90k=")</f>
        <v>#VALUE!</v>
      </c>
      <c r="BW231" t="e">
        <f>AND(Bills!#REF!,"AAAAAHV/90o=")</f>
        <v>#REF!</v>
      </c>
      <c r="BX231" t="e">
        <f>AND(Bills!E927,"AAAAAHV/90s=")</f>
        <v>#VALUE!</v>
      </c>
      <c r="BY231" t="e">
        <f>AND(Bills!F927,"AAAAAHV/90w=")</f>
        <v>#VALUE!</v>
      </c>
      <c r="BZ231" t="e">
        <f>AND(Bills!G927,"AAAAAHV/900=")</f>
        <v>#VALUE!</v>
      </c>
      <c r="CA231" t="e">
        <f>AND(Bills!H927,"AAAAAHV/904=")</f>
        <v>#VALUE!</v>
      </c>
      <c r="CB231" t="e">
        <f>AND(Bills!I927,"AAAAAHV/908=")</f>
        <v>#VALUE!</v>
      </c>
      <c r="CC231" t="e">
        <f>AND(Bills!J927,"AAAAAHV/91A=")</f>
        <v>#VALUE!</v>
      </c>
      <c r="CD231" t="e">
        <f>AND(Bills!#REF!,"AAAAAHV/91E=")</f>
        <v>#REF!</v>
      </c>
      <c r="CE231" t="e">
        <f>AND(Bills!K927,"AAAAAHV/91I=")</f>
        <v>#VALUE!</v>
      </c>
      <c r="CF231" t="e">
        <f>AND(Bills!L927,"AAAAAHV/91M=")</f>
        <v>#VALUE!</v>
      </c>
      <c r="CG231" t="e">
        <f>AND(Bills!M927,"AAAAAHV/91Q=")</f>
        <v>#VALUE!</v>
      </c>
      <c r="CH231" t="e">
        <f>AND(Bills!N927,"AAAAAHV/91U=")</f>
        <v>#VALUE!</v>
      </c>
      <c r="CI231" t="e">
        <f>AND(Bills!O927,"AAAAAHV/91Y=")</f>
        <v>#VALUE!</v>
      </c>
      <c r="CJ231" t="e">
        <f>AND(Bills!P927,"AAAAAHV/91c=")</f>
        <v>#VALUE!</v>
      </c>
      <c r="CK231" t="e">
        <f>AND(Bills!Q927,"AAAAAHV/91g=")</f>
        <v>#VALUE!</v>
      </c>
      <c r="CL231" t="e">
        <f>AND(Bills!R927,"AAAAAHV/91k=")</f>
        <v>#VALUE!</v>
      </c>
      <c r="CM231" t="e">
        <f>AND(Bills!#REF!,"AAAAAHV/91o=")</f>
        <v>#REF!</v>
      </c>
      <c r="CN231" t="e">
        <f>AND(Bills!S927,"AAAAAHV/91s=")</f>
        <v>#VALUE!</v>
      </c>
      <c r="CO231" t="e">
        <f>AND(Bills!T927,"AAAAAHV/91w=")</f>
        <v>#VALUE!</v>
      </c>
      <c r="CP231" t="e">
        <f>AND(Bills!U927,"AAAAAHV/910=")</f>
        <v>#VALUE!</v>
      </c>
      <c r="CQ231" t="e">
        <f>AND(Bills!#REF!,"AAAAAHV/914=")</f>
        <v>#REF!</v>
      </c>
      <c r="CR231" t="e">
        <f>AND(Bills!#REF!,"AAAAAHV/918=")</f>
        <v>#REF!</v>
      </c>
      <c r="CS231" t="e">
        <f>AND(Bills!W927,"AAAAAHV/92A=")</f>
        <v>#VALUE!</v>
      </c>
      <c r="CT231" t="e">
        <f>AND(Bills!X927,"AAAAAHV/92E=")</f>
        <v>#VALUE!</v>
      </c>
      <c r="CU231" t="e">
        <f>AND(Bills!#REF!,"AAAAAHV/92I=")</f>
        <v>#REF!</v>
      </c>
      <c r="CV231" t="e">
        <f>AND(Bills!#REF!,"AAAAAHV/92M=")</f>
        <v>#REF!</v>
      </c>
      <c r="CW231" t="e">
        <f>AND(Bills!#REF!,"AAAAAHV/92Q=")</f>
        <v>#REF!</v>
      </c>
      <c r="CX231" t="e">
        <f>AND(Bills!#REF!,"AAAAAHV/92U=")</f>
        <v>#REF!</v>
      </c>
      <c r="CY231" t="e">
        <f>AND(Bills!#REF!,"AAAAAHV/92Y=")</f>
        <v>#REF!</v>
      </c>
      <c r="CZ231" t="e">
        <f>AND(Bills!#REF!,"AAAAAHV/92c=")</f>
        <v>#REF!</v>
      </c>
      <c r="DA231" t="e">
        <f>AND(Bills!#REF!,"AAAAAHV/92g=")</f>
        <v>#REF!</v>
      </c>
      <c r="DB231" t="e">
        <f>AND(Bills!#REF!,"AAAAAHV/92k=")</f>
        <v>#REF!</v>
      </c>
      <c r="DC231" t="e">
        <f>AND(Bills!#REF!,"AAAAAHV/92o=")</f>
        <v>#REF!</v>
      </c>
      <c r="DD231" t="e">
        <f>AND(Bills!Y927,"AAAAAHV/92s=")</f>
        <v>#VALUE!</v>
      </c>
      <c r="DE231" t="e">
        <f>AND(Bills!Z927,"AAAAAHV/92w=")</f>
        <v>#VALUE!</v>
      </c>
      <c r="DF231" t="e">
        <f>AND(Bills!#REF!,"AAAAAHV/920=")</f>
        <v>#REF!</v>
      </c>
      <c r="DG231" t="e">
        <f>AND(Bills!#REF!,"AAAAAHV/924=")</f>
        <v>#REF!</v>
      </c>
      <c r="DH231" t="e">
        <f>AND(Bills!#REF!,"AAAAAHV/928=")</f>
        <v>#REF!</v>
      </c>
      <c r="DI231" t="e">
        <f>AND(Bills!AA927,"AAAAAHV/93A=")</f>
        <v>#VALUE!</v>
      </c>
      <c r="DJ231" t="e">
        <f>AND(Bills!AB927,"AAAAAHV/93E=")</f>
        <v>#VALUE!</v>
      </c>
      <c r="DK231" t="e">
        <f>AND(Bills!#REF!,"AAAAAHV/93I=")</f>
        <v>#REF!</v>
      </c>
      <c r="DL231">
        <f>IF(Bills!928:928,"AAAAAHV/93M=",0)</f>
        <v>0</v>
      </c>
      <c r="DM231" t="e">
        <f>AND(Bills!B928,"AAAAAHV/93Q=")</f>
        <v>#VALUE!</v>
      </c>
      <c r="DN231" t="e">
        <f>AND(Bills!#REF!,"AAAAAHV/93U=")</f>
        <v>#REF!</v>
      </c>
      <c r="DO231" t="e">
        <f>AND(Bills!C928,"AAAAAHV/93Y=")</f>
        <v>#VALUE!</v>
      </c>
      <c r="DP231" t="e">
        <f>AND(Bills!#REF!,"AAAAAHV/93c=")</f>
        <v>#REF!</v>
      </c>
      <c r="DQ231" t="e">
        <f>AND(Bills!#REF!,"AAAAAHV/93g=")</f>
        <v>#REF!</v>
      </c>
      <c r="DR231" t="e">
        <f>AND(Bills!#REF!,"AAAAAHV/93k=")</f>
        <v>#REF!</v>
      </c>
      <c r="DS231" t="e">
        <f>AND(Bills!#REF!,"AAAAAHV/93o=")</f>
        <v>#REF!</v>
      </c>
      <c r="DT231" t="e">
        <f>AND(Bills!#REF!,"AAAAAHV/93s=")</f>
        <v>#REF!</v>
      </c>
      <c r="DU231" t="e">
        <f>AND(Bills!D928,"AAAAAHV/93w=")</f>
        <v>#VALUE!</v>
      </c>
      <c r="DV231" t="e">
        <f>AND(Bills!#REF!,"AAAAAHV/930=")</f>
        <v>#REF!</v>
      </c>
      <c r="DW231" t="e">
        <f>AND(Bills!E928,"AAAAAHV/934=")</f>
        <v>#VALUE!</v>
      </c>
      <c r="DX231" t="e">
        <f>AND(Bills!F928,"AAAAAHV/938=")</f>
        <v>#VALUE!</v>
      </c>
      <c r="DY231" t="e">
        <f>AND(Bills!G928,"AAAAAHV/94A=")</f>
        <v>#VALUE!</v>
      </c>
      <c r="DZ231" t="e">
        <f>AND(Bills!H928,"AAAAAHV/94E=")</f>
        <v>#VALUE!</v>
      </c>
      <c r="EA231" t="e">
        <f>AND(Bills!I928,"AAAAAHV/94I=")</f>
        <v>#VALUE!</v>
      </c>
      <c r="EB231" t="e">
        <f>AND(Bills!J928,"AAAAAHV/94M=")</f>
        <v>#VALUE!</v>
      </c>
      <c r="EC231" t="e">
        <f>AND(Bills!#REF!,"AAAAAHV/94Q=")</f>
        <v>#REF!</v>
      </c>
      <c r="ED231" t="e">
        <f>AND(Bills!K928,"AAAAAHV/94U=")</f>
        <v>#VALUE!</v>
      </c>
      <c r="EE231" t="e">
        <f>AND(Bills!L928,"AAAAAHV/94Y=")</f>
        <v>#VALUE!</v>
      </c>
      <c r="EF231" t="e">
        <f>AND(Bills!M928,"AAAAAHV/94c=")</f>
        <v>#VALUE!</v>
      </c>
      <c r="EG231" t="e">
        <f>AND(Bills!N928,"AAAAAHV/94g=")</f>
        <v>#VALUE!</v>
      </c>
      <c r="EH231" t="e">
        <f>AND(Bills!O928,"AAAAAHV/94k=")</f>
        <v>#VALUE!</v>
      </c>
      <c r="EI231" t="e">
        <f>AND(Bills!P928,"AAAAAHV/94o=")</f>
        <v>#VALUE!</v>
      </c>
      <c r="EJ231" t="e">
        <f>AND(Bills!Q928,"AAAAAHV/94s=")</f>
        <v>#VALUE!</v>
      </c>
      <c r="EK231" t="e">
        <f>AND(Bills!R928,"AAAAAHV/94w=")</f>
        <v>#VALUE!</v>
      </c>
      <c r="EL231" t="e">
        <f>AND(Bills!#REF!,"AAAAAHV/940=")</f>
        <v>#REF!</v>
      </c>
      <c r="EM231" t="e">
        <f>AND(Bills!S928,"AAAAAHV/944=")</f>
        <v>#VALUE!</v>
      </c>
      <c r="EN231" t="e">
        <f>AND(Bills!T928,"AAAAAHV/948=")</f>
        <v>#VALUE!</v>
      </c>
      <c r="EO231" t="e">
        <f>AND(Bills!U928,"AAAAAHV/95A=")</f>
        <v>#VALUE!</v>
      </c>
      <c r="EP231" t="e">
        <f>AND(Bills!#REF!,"AAAAAHV/95E=")</f>
        <v>#REF!</v>
      </c>
      <c r="EQ231" t="e">
        <f>AND(Bills!#REF!,"AAAAAHV/95I=")</f>
        <v>#REF!</v>
      </c>
      <c r="ER231" t="e">
        <f>AND(Bills!W928,"AAAAAHV/95M=")</f>
        <v>#VALUE!</v>
      </c>
      <c r="ES231" t="e">
        <f>AND(Bills!X928,"AAAAAHV/95Q=")</f>
        <v>#VALUE!</v>
      </c>
      <c r="ET231" t="e">
        <f>AND(Bills!#REF!,"AAAAAHV/95U=")</f>
        <v>#REF!</v>
      </c>
      <c r="EU231" t="e">
        <f>AND(Bills!#REF!,"AAAAAHV/95Y=")</f>
        <v>#REF!</v>
      </c>
      <c r="EV231" t="e">
        <f>AND(Bills!#REF!,"AAAAAHV/95c=")</f>
        <v>#REF!</v>
      </c>
      <c r="EW231" t="e">
        <f>AND(Bills!#REF!,"AAAAAHV/95g=")</f>
        <v>#REF!</v>
      </c>
      <c r="EX231" t="e">
        <f>AND(Bills!#REF!,"AAAAAHV/95k=")</f>
        <v>#REF!</v>
      </c>
      <c r="EY231" t="e">
        <f>AND(Bills!#REF!,"AAAAAHV/95o=")</f>
        <v>#REF!</v>
      </c>
      <c r="EZ231" t="e">
        <f>AND(Bills!#REF!,"AAAAAHV/95s=")</f>
        <v>#REF!</v>
      </c>
      <c r="FA231" t="e">
        <f>AND(Bills!#REF!,"AAAAAHV/95w=")</f>
        <v>#REF!</v>
      </c>
      <c r="FB231" t="e">
        <f>AND(Bills!#REF!,"AAAAAHV/950=")</f>
        <v>#REF!</v>
      </c>
      <c r="FC231" t="e">
        <f>AND(Bills!Y928,"AAAAAHV/954=")</f>
        <v>#VALUE!</v>
      </c>
      <c r="FD231" t="e">
        <f>AND(Bills!Z928,"AAAAAHV/958=")</f>
        <v>#VALUE!</v>
      </c>
      <c r="FE231" t="e">
        <f>AND(Bills!#REF!,"AAAAAHV/96A=")</f>
        <v>#REF!</v>
      </c>
      <c r="FF231" t="e">
        <f>AND(Bills!#REF!,"AAAAAHV/96E=")</f>
        <v>#REF!</v>
      </c>
      <c r="FG231" t="e">
        <f>AND(Bills!#REF!,"AAAAAHV/96I=")</f>
        <v>#REF!</v>
      </c>
      <c r="FH231" t="e">
        <f>AND(Bills!AA928,"AAAAAHV/96M=")</f>
        <v>#VALUE!</v>
      </c>
      <c r="FI231" t="e">
        <f>AND(Bills!AB928,"AAAAAHV/96Q=")</f>
        <v>#VALUE!</v>
      </c>
      <c r="FJ231" t="e">
        <f>AND(Bills!#REF!,"AAAAAHV/96U=")</f>
        <v>#REF!</v>
      </c>
      <c r="FK231">
        <f>IF(Bills!929:929,"AAAAAHV/96Y=",0)</f>
        <v>0</v>
      </c>
      <c r="FL231" t="e">
        <f>AND(Bills!B929,"AAAAAHV/96c=")</f>
        <v>#VALUE!</v>
      </c>
      <c r="FM231" t="e">
        <f>AND(Bills!#REF!,"AAAAAHV/96g=")</f>
        <v>#REF!</v>
      </c>
      <c r="FN231" t="e">
        <f>AND(Bills!C929,"AAAAAHV/96k=")</f>
        <v>#VALUE!</v>
      </c>
      <c r="FO231" t="e">
        <f>AND(Bills!#REF!,"AAAAAHV/96o=")</f>
        <v>#REF!</v>
      </c>
      <c r="FP231" t="e">
        <f>AND(Bills!#REF!,"AAAAAHV/96s=")</f>
        <v>#REF!</v>
      </c>
      <c r="FQ231" t="e">
        <f>AND(Bills!#REF!,"AAAAAHV/96w=")</f>
        <v>#REF!</v>
      </c>
      <c r="FR231" t="e">
        <f>AND(Bills!#REF!,"AAAAAHV/960=")</f>
        <v>#REF!</v>
      </c>
      <c r="FS231" t="e">
        <f>AND(Bills!#REF!,"AAAAAHV/964=")</f>
        <v>#REF!</v>
      </c>
      <c r="FT231" t="e">
        <f>AND(Bills!D929,"AAAAAHV/968=")</f>
        <v>#VALUE!</v>
      </c>
      <c r="FU231" t="e">
        <f>AND(Bills!#REF!,"AAAAAHV/97A=")</f>
        <v>#REF!</v>
      </c>
      <c r="FV231" t="e">
        <f>AND(Bills!E929,"AAAAAHV/97E=")</f>
        <v>#VALUE!</v>
      </c>
      <c r="FW231" t="e">
        <f>AND(Bills!F929,"AAAAAHV/97I=")</f>
        <v>#VALUE!</v>
      </c>
      <c r="FX231" t="e">
        <f>AND(Bills!G929,"AAAAAHV/97M=")</f>
        <v>#VALUE!</v>
      </c>
      <c r="FY231" t="e">
        <f>AND(Bills!H929,"AAAAAHV/97Q=")</f>
        <v>#VALUE!</v>
      </c>
      <c r="FZ231" t="e">
        <f>AND(Bills!I929,"AAAAAHV/97U=")</f>
        <v>#VALUE!</v>
      </c>
      <c r="GA231" t="e">
        <f>AND(Bills!J929,"AAAAAHV/97Y=")</f>
        <v>#VALUE!</v>
      </c>
      <c r="GB231" t="e">
        <f>AND(Bills!#REF!,"AAAAAHV/97c=")</f>
        <v>#REF!</v>
      </c>
      <c r="GC231" t="e">
        <f>AND(Bills!K929,"AAAAAHV/97g=")</f>
        <v>#VALUE!</v>
      </c>
      <c r="GD231" t="e">
        <f>AND(Bills!L929,"AAAAAHV/97k=")</f>
        <v>#VALUE!</v>
      </c>
      <c r="GE231" t="e">
        <f>AND(Bills!M929,"AAAAAHV/97o=")</f>
        <v>#VALUE!</v>
      </c>
      <c r="GF231" t="e">
        <f>AND(Bills!N929,"AAAAAHV/97s=")</f>
        <v>#VALUE!</v>
      </c>
      <c r="GG231" t="e">
        <f>AND(Bills!O929,"AAAAAHV/97w=")</f>
        <v>#VALUE!</v>
      </c>
      <c r="GH231" t="e">
        <f>AND(Bills!P929,"AAAAAHV/970=")</f>
        <v>#VALUE!</v>
      </c>
      <c r="GI231" t="e">
        <f>AND(Bills!Q929,"AAAAAHV/974=")</f>
        <v>#VALUE!</v>
      </c>
      <c r="GJ231" t="e">
        <f>AND(Bills!R929,"AAAAAHV/978=")</f>
        <v>#VALUE!</v>
      </c>
      <c r="GK231" t="e">
        <f>AND(Bills!#REF!,"AAAAAHV/98A=")</f>
        <v>#REF!</v>
      </c>
      <c r="GL231" t="e">
        <f>AND(Bills!S929,"AAAAAHV/98E=")</f>
        <v>#VALUE!</v>
      </c>
      <c r="GM231" t="e">
        <f>AND(Bills!T929,"AAAAAHV/98I=")</f>
        <v>#VALUE!</v>
      </c>
      <c r="GN231" t="e">
        <f>AND(Bills!U929,"AAAAAHV/98M=")</f>
        <v>#VALUE!</v>
      </c>
      <c r="GO231" t="e">
        <f>AND(Bills!#REF!,"AAAAAHV/98Q=")</f>
        <v>#REF!</v>
      </c>
      <c r="GP231" t="e">
        <f>AND(Bills!#REF!,"AAAAAHV/98U=")</f>
        <v>#REF!</v>
      </c>
      <c r="GQ231" t="e">
        <f>AND(Bills!W929,"AAAAAHV/98Y=")</f>
        <v>#VALUE!</v>
      </c>
      <c r="GR231" t="e">
        <f>AND(Bills!X929,"AAAAAHV/98c=")</f>
        <v>#VALUE!</v>
      </c>
      <c r="GS231" t="e">
        <f>AND(Bills!#REF!,"AAAAAHV/98g=")</f>
        <v>#REF!</v>
      </c>
      <c r="GT231" t="e">
        <f>AND(Bills!#REF!,"AAAAAHV/98k=")</f>
        <v>#REF!</v>
      </c>
      <c r="GU231" t="e">
        <f>AND(Bills!#REF!,"AAAAAHV/98o=")</f>
        <v>#REF!</v>
      </c>
      <c r="GV231" t="e">
        <f>AND(Bills!#REF!,"AAAAAHV/98s=")</f>
        <v>#REF!</v>
      </c>
      <c r="GW231" t="e">
        <f>AND(Bills!#REF!,"AAAAAHV/98w=")</f>
        <v>#REF!</v>
      </c>
      <c r="GX231" t="e">
        <f>AND(Bills!#REF!,"AAAAAHV/980=")</f>
        <v>#REF!</v>
      </c>
      <c r="GY231" t="e">
        <f>AND(Bills!#REF!,"AAAAAHV/984=")</f>
        <v>#REF!</v>
      </c>
      <c r="GZ231" t="e">
        <f>AND(Bills!#REF!,"AAAAAHV/988=")</f>
        <v>#REF!</v>
      </c>
      <c r="HA231" t="e">
        <f>AND(Bills!#REF!,"AAAAAHV/99A=")</f>
        <v>#REF!</v>
      </c>
      <c r="HB231" t="e">
        <f>AND(Bills!Y929,"AAAAAHV/99E=")</f>
        <v>#VALUE!</v>
      </c>
      <c r="HC231" t="e">
        <f>AND(Bills!Z929,"AAAAAHV/99I=")</f>
        <v>#VALUE!</v>
      </c>
      <c r="HD231" t="e">
        <f>AND(Bills!#REF!,"AAAAAHV/99M=")</f>
        <v>#REF!</v>
      </c>
      <c r="HE231" t="e">
        <f>AND(Bills!#REF!,"AAAAAHV/99Q=")</f>
        <v>#REF!</v>
      </c>
      <c r="HF231" t="e">
        <f>AND(Bills!#REF!,"AAAAAHV/99U=")</f>
        <v>#REF!</v>
      </c>
      <c r="HG231" t="e">
        <f>AND(Bills!AA929,"AAAAAHV/99Y=")</f>
        <v>#VALUE!</v>
      </c>
      <c r="HH231" t="e">
        <f>AND(Bills!AB929,"AAAAAHV/99c=")</f>
        <v>#VALUE!</v>
      </c>
      <c r="HI231" t="e">
        <f>AND(Bills!#REF!,"AAAAAHV/99g=")</f>
        <v>#REF!</v>
      </c>
      <c r="HJ231">
        <f>IF(Bills!930:930,"AAAAAHV/99k=",0)</f>
        <v>0</v>
      </c>
      <c r="HK231" t="e">
        <f>AND(Bills!B930,"AAAAAHV/99o=")</f>
        <v>#VALUE!</v>
      </c>
      <c r="HL231" t="e">
        <f>AND(Bills!#REF!,"AAAAAHV/99s=")</f>
        <v>#REF!</v>
      </c>
      <c r="HM231" t="e">
        <f>AND(Bills!C930,"AAAAAHV/99w=")</f>
        <v>#VALUE!</v>
      </c>
      <c r="HN231" t="e">
        <f>AND(Bills!#REF!,"AAAAAHV/990=")</f>
        <v>#REF!</v>
      </c>
      <c r="HO231" t="e">
        <f>AND(Bills!#REF!,"AAAAAHV/994=")</f>
        <v>#REF!</v>
      </c>
      <c r="HP231" t="e">
        <f>AND(Bills!#REF!,"AAAAAHV/998=")</f>
        <v>#REF!</v>
      </c>
      <c r="HQ231" t="e">
        <f>AND(Bills!#REF!,"AAAAAHV/9+A=")</f>
        <v>#REF!</v>
      </c>
      <c r="HR231" t="e">
        <f>AND(Bills!#REF!,"AAAAAHV/9+E=")</f>
        <v>#REF!</v>
      </c>
      <c r="HS231" t="e">
        <f>AND(Bills!D930,"AAAAAHV/9+I=")</f>
        <v>#VALUE!</v>
      </c>
      <c r="HT231" t="e">
        <f>AND(Bills!#REF!,"AAAAAHV/9+M=")</f>
        <v>#REF!</v>
      </c>
      <c r="HU231" t="e">
        <f>AND(Bills!E930,"AAAAAHV/9+Q=")</f>
        <v>#VALUE!</v>
      </c>
      <c r="HV231" t="e">
        <f>AND(Bills!F930,"AAAAAHV/9+U=")</f>
        <v>#VALUE!</v>
      </c>
      <c r="HW231" t="e">
        <f>AND(Bills!G930,"AAAAAHV/9+Y=")</f>
        <v>#VALUE!</v>
      </c>
      <c r="HX231" t="e">
        <f>AND(Bills!H930,"AAAAAHV/9+c=")</f>
        <v>#VALUE!</v>
      </c>
      <c r="HY231" t="e">
        <f>AND(Bills!I930,"AAAAAHV/9+g=")</f>
        <v>#VALUE!</v>
      </c>
      <c r="HZ231" t="e">
        <f>AND(Bills!J930,"AAAAAHV/9+k=")</f>
        <v>#VALUE!</v>
      </c>
      <c r="IA231" t="e">
        <f>AND(Bills!#REF!,"AAAAAHV/9+o=")</f>
        <v>#REF!</v>
      </c>
      <c r="IB231" t="e">
        <f>AND(Bills!K930,"AAAAAHV/9+s=")</f>
        <v>#VALUE!</v>
      </c>
      <c r="IC231" t="e">
        <f>AND(Bills!L930,"AAAAAHV/9+w=")</f>
        <v>#VALUE!</v>
      </c>
      <c r="ID231" t="e">
        <f>AND(Bills!M930,"AAAAAHV/9+0=")</f>
        <v>#VALUE!</v>
      </c>
      <c r="IE231" t="e">
        <f>AND(Bills!N930,"AAAAAHV/9+4=")</f>
        <v>#VALUE!</v>
      </c>
      <c r="IF231" t="e">
        <f>AND(Bills!O930,"AAAAAHV/9+8=")</f>
        <v>#VALUE!</v>
      </c>
      <c r="IG231" t="e">
        <f>AND(Bills!P930,"AAAAAHV/9/A=")</f>
        <v>#VALUE!</v>
      </c>
      <c r="IH231" t="e">
        <f>AND(Bills!Q930,"AAAAAHV/9/E=")</f>
        <v>#VALUE!</v>
      </c>
      <c r="II231" t="e">
        <f>AND(Bills!R930,"AAAAAHV/9/I=")</f>
        <v>#VALUE!</v>
      </c>
      <c r="IJ231" t="e">
        <f>AND(Bills!#REF!,"AAAAAHV/9/M=")</f>
        <v>#REF!</v>
      </c>
      <c r="IK231" t="e">
        <f>AND(Bills!S930,"AAAAAHV/9/Q=")</f>
        <v>#VALUE!</v>
      </c>
      <c r="IL231" t="e">
        <f>AND(Bills!T930,"AAAAAHV/9/U=")</f>
        <v>#VALUE!</v>
      </c>
      <c r="IM231" t="e">
        <f>AND(Bills!U930,"AAAAAHV/9/Y=")</f>
        <v>#VALUE!</v>
      </c>
      <c r="IN231" t="e">
        <f>AND(Bills!#REF!,"AAAAAHV/9/c=")</f>
        <v>#REF!</v>
      </c>
      <c r="IO231" t="e">
        <f>AND(Bills!#REF!,"AAAAAHV/9/g=")</f>
        <v>#REF!</v>
      </c>
      <c r="IP231" t="e">
        <f>AND(Bills!W930,"AAAAAHV/9/k=")</f>
        <v>#VALUE!</v>
      </c>
      <c r="IQ231" t="e">
        <f>AND(Bills!X930,"AAAAAHV/9/o=")</f>
        <v>#VALUE!</v>
      </c>
      <c r="IR231" t="e">
        <f>AND(Bills!#REF!,"AAAAAHV/9/s=")</f>
        <v>#REF!</v>
      </c>
      <c r="IS231" t="e">
        <f>AND(Bills!#REF!,"AAAAAHV/9/w=")</f>
        <v>#REF!</v>
      </c>
      <c r="IT231" t="e">
        <f>AND(Bills!#REF!,"AAAAAHV/9/0=")</f>
        <v>#REF!</v>
      </c>
      <c r="IU231" t="e">
        <f>AND(Bills!#REF!,"AAAAAHV/9/4=")</f>
        <v>#REF!</v>
      </c>
      <c r="IV231" t="e">
        <f>AND(Bills!#REF!,"AAAAAHV/9/8=")</f>
        <v>#REF!</v>
      </c>
    </row>
    <row r="232" spans="1:256">
      <c r="A232" t="e">
        <f>AND(Bills!#REF!,"AAAAAH0X/AA=")</f>
        <v>#REF!</v>
      </c>
      <c r="B232" t="e">
        <f>AND(Bills!#REF!,"AAAAAH0X/AE=")</f>
        <v>#REF!</v>
      </c>
      <c r="C232" t="e">
        <f>AND(Bills!#REF!,"AAAAAH0X/AI=")</f>
        <v>#REF!</v>
      </c>
      <c r="D232" t="e">
        <f>AND(Bills!#REF!,"AAAAAH0X/AM=")</f>
        <v>#REF!</v>
      </c>
      <c r="E232" t="e">
        <f>AND(Bills!Y930,"AAAAAH0X/AQ=")</f>
        <v>#VALUE!</v>
      </c>
      <c r="F232" t="e">
        <f>AND(Bills!Z930,"AAAAAH0X/AU=")</f>
        <v>#VALUE!</v>
      </c>
      <c r="G232" t="e">
        <f>AND(Bills!#REF!,"AAAAAH0X/AY=")</f>
        <v>#REF!</v>
      </c>
      <c r="H232" t="e">
        <f>AND(Bills!#REF!,"AAAAAH0X/Ac=")</f>
        <v>#REF!</v>
      </c>
      <c r="I232" t="e">
        <f>AND(Bills!#REF!,"AAAAAH0X/Ag=")</f>
        <v>#REF!</v>
      </c>
      <c r="J232" t="e">
        <f>AND(Bills!AA930,"AAAAAH0X/Ak=")</f>
        <v>#VALUE!</v>
      </c>
      <c r="K232" t="e">
        <f>AND(Bills!AB930,"AAAAAH0X/Ao=")</f>
        <v>#VALUE!</v>
      </c>
      <c r="L232" t="e">
        <f>AND(Bills!#REF!,"AAAAAH0X/As=")</f>
        <v>#REF!</v>
      </c>
      <c r="M232">
        <f>IF(Bills!931:931,"AAAAAH0X/Aw=",0)</f>
        <v>0</v>
      </c>
      <c r="N232" t="e">
        <f>AND(Bills!B931,"AAAAAH0X/A0=")</f>
        <v>#VALUE!</v>
      </c>
      <c r="O232" t="e">
        <f>AND(Bills!#REF!,"AAAAAH0X/A4=")</f>
        <v>#REF!</v>
      </c>
      <c r="P232" t="e">
        <f>AND(Bills!C931,"AAAAAH0X/A8=")</f>
        <v>#VALUE!</v>
      </c>
      <c r="Q232" t="e">
        <f>AND(Bills!#REF!,"AAAAAH0X/BA=")</f>
        <v>#REF!</v>
      </c>
      <c r="R232" t="e">
        <f>AND(Bills!#REF!,"AAAAAH0X/BE=")</f>
        <v>#REF!</v>
      </c>
      <c r="S232" t="e">
        <f>AND(Bills!#REF!,"AAAAAH0X/BI=")</f>
        <v>#REF!</v>
      </c>
      <c r="T232" t="e">
        <f>AND(Bills!#REF!,"AAAAAH0X/BM=")</f>
        <v>#REF!</v>
      </c>
      <c r="U232" t="e">
        <f>AND(Bills!#REF!,"AAAAAH0X/BQ=")</f>
        <v>#REF!</v>
      </c>
      <c r="V232" t="e">
        <f>AND(Bills!D931,"AAAAAH0X/BU=")</f>
        <v>#VALUE!</v>
      </c>
      <c r="W232" t="e">
        <f>AND(Bills!#REF!,"AAAAAH0X/BY=")</f>
        <v>#REF!</v>
      </c>
      <c r="X232" t="e">
        <f>AND(Bills!E931,"AAAAAH0X/Bc=")</f>
        <v>#VALUE!</v>
      </c>
      <c r="Y232" t="e">
        <f>AND(Bills!F931,"AAAAAH0X/Bg=")</f>
        <v>#VALUE!</v>
      </c>
      <c r="Z232" t="e">
        <f>AND(Bills!G931,"AAAAAH0X/Bk=")</f>
        <v>#VALUE!</v>
      </c>
      <c r="AA232" t="e">
        <f>AND(Bills!H931,"AAAAAH0X/Bo=")</f>
        <v>#VALUE!</v>
      </c>
      <c r="AB232" t="e">
        <f>AND(Bills!I931,"AAAAAH0X/Bs=")</f>
        <v>#VALUE!</v>
      </c>
      <c r="AC232" t="e">
        <f>AND(Bills!J931,"AAAAAH0X/Bw=")</f>
        <v>#VALUE!</v>
      </c>
      <c r="AD232" t="e">
        <f>AND(Bills!#REF!,"AAAAAH0X/B0=")</f>
        <v>#REF!</v>
      </c>
      <c r="AE232" t="e">
        <f>AND(Bills!K931,"AAAAAH0X/B4=")</f>
        <v>#VALUE!</v>
      </c>
      <c r="AF232" t="e">
        <f>AND(Bills!L931,"AAAAAH0X/B8=")</f>
        <v>#VALUE!</v>
      </c>
      <c r="AG232" t="e">
        <f>AND(Bills!M931,"AAAAAH0X/CA=")</f>
        <v>#VALUE!</v>
      </c>
      <c r="AH232" t="e">
        <f>AND(Bills!N931,"AAAAAH0X/CE=")</f>
        <v>#VALUE!</v>
      </c>
      <c r="AI232" t="e">
        <f>AND(Bills!O931,"AAAAAH0X/CI=")</f>
        <v>#VALUE!</v>
      </c>
      <c r="AJ232" t="e">
        <f>AND(Bills!P931,"AAAAAH0X/CM=")</f>
        <v>#VALUE!</v>
      </c>
      <c r="AK232" t="e">
        <f>AND(Bills!Q931,"AAAAAH0X/CQ=")</f>
        <v>#VALUE!</v>
      </c>
      <c r="AL232" t="e">
        <f>AND(Bills!R931,"AAAAAH0X/CU=")</f>
        <v>#VALUE!</v>
      </c>
      <c r="AM232" t="e">
        <f>AND(Bills!#REF!,"AAAAAH0X/CY=")</f>
        <v>#REF!</v>
      </c>
      <c r="AN232" t="e">
        <f>AND(Bills!S931,"AAAAAH0X/Cc=")</f>
        <v>#VALUE!</v>
      </c>
      <c r="AO232" t="e">
        <f>AND(Bills!T931,"AAAAAH0X/Cg=")</f>
        <v>#VALUE!</v>
      </c>
      <c r="AP232" t="e">
        <f>AND(Bills!U931,"AAAAAH0X/Ck=")</f>
        <v>#VALUE!</v>
      </c>
      <c r="AQ232" t="e">
        <f>AND(Bills!#REF!,"AAAAAH0X/Co=")</f>
        <v>#REF!</v>
      </c>
      <c r="AR232" t="e">
        <f>AND(Bills!#REF!,"AAAAAH0X/Cs=")</f>
        <v>#REF!</v>
      </c>
      <c r="AS232" t="e">
        <f>AND(Bills!W931,"AAAAAH0X/Cw=")</f>
        <v>#VALUE!</v>
      </c>
      <c r="AT232" t="e">
        <f>AND(Bills!X931,"AAAAAH0X/C0=")</f>
        <v>#VALUE!</v>
      </c>
      <c r="AU232" t="e">
        <f>AND(Bills!#REF!,"AAAAAH0X/C4=")</f>
        <v>#REF!</v>
      </c>
      <c r="AV232" t="e">
        <f>AND(Bills!#REF!,"AAAAAH0X/C8=")</f>
        <v>#REF!</v>
      </c>
      <c r="AW232" t="e">
        <f>AND(Bills!#REF!,"AAAAAH0X/DA=")</f>
        <v>#REF!</v>
      </c>
      <c r="AX232" t="e">
        <f>AND(Bills!#REF!,"AAAAAH0X/DE=")</f>
        <v>#REF!</v>
      </c>
      <c r="AY232" t="e">
        <f>AND(Bills!#REF!,"AAAAAH0X/DI=")</f>
        <v>#REF!</v>
      </c>
      <c r="AZ232" t="e">
        <f>AND(Bills!#REF!,"AAAAAH0X/DM=")</f>
        <v>#REF!</v>
      </c>
      <c r="BA232" t="e">
        <f>AND(Bills!#REF!,"AAAAAH0X/DQ=")</f>
        <v>#REF!</v>
      </c>
      <c r="BB232" t="e">
        <f>AND(Bills!#REF!,"AAAAAH0X/DU=")</f>
        <v>#REF!</v>
      </c>
      <c r="BC232" t="e">
        <f>AND(Bills!#REF!,"AAAAAH0X/DY=")</f>
        <v>#REF!</v>
      </c>
      <c r="BD232" t="e">
        <f>AND(Bills!Y931,"AAAAAH0X/Dc=")</f>
        <v>#VALUE!</v>
      </c>
      <c r="BE232" t="e">
        <f>AND(Bills!Z931,"AAAAAH0X/Dg=")</f>
        <v>#VALUE!</v>
      </c>
      <c r="BF232" t="e">
        <f>AND(Bills!#REF!,"AAAAAH0X/Dk=")</f>
        <v>#REF!</v>
      </c>
      <c r="BG232" t="e">
        <f>AND(Bills!#REF!,"AAAAAH0X/Do=")</f>
        <v>#REF!</v>
      </c>
      <c r="BH232" t="e">
        <f>AND(Bills!#REF!,"AAAAAH0X/Ds=")</f>
        <v>#REF!</v>
      </c>
      <c r="BI232" t="e">
        <f>AND(Bills!AA931,"AAAAAH0X/Dw=")</f>
        <v>#VALUE!</v>
      </c>
      <c r="BJ232" t="e">
        <f>AND(Bills!AB931,"AAAAAH0X/D0=")</f>
        <v>#VALUE!</v>
      </c>
      <c r="BK232" t="e">
        <f>AND(Bills!#REF!,"AAAAAH0X/D4=")</f>
        <v>#REF!</v>
      </c>
      <c r="BL232">
        <f>IF(Bills!932:932,"AAAAAH0X/D8=",0)</f>
        <v>0</v>
      </c>
      <c r="BM232" t="e">
        <f>AND(Bills!B932,"AAAAAH0X/EA=")</f>
        <v>#VALUE!</v>
      </c>
      <c r="BN232" t="e">
        <f>AND(Bills!#REF!,"AAAAAH0X/EE=")</f>
        <v>#REF!</v>
      </c>
      <c r="BO232" t="e">
        <f>AND(Bills!C932,"AAAAAH0X/EI=")</f>
        <v>#VALUE!</v>
      </c>
      <c r="BP232" t="e">
        <f>AND(Bills!#REF!,"AAAAAH0X/EM=")</f>
        <v>#REF!</v>
      </c>
      <c r="BQ232" t="e">
        <f>AND(Bills!#REF!,"AAAAAH0X/EQ=")</f>
        <v>#REF!</v>
      </c>
      <c r="BR232" t="e">
        <f>AND(Bills!#REF!,"AAAAAH0X/EU=")</f>
        <v>#REF!</v>
      </c>
      <c r="BS232" t="e">
        <f>AND(Bills!#REF!,"AAAAAH0X/EY=")</f>
        <v>#REF!</v>
      </c>
      <c r="BT232" t="e">
        <f>AND(Bills!#REF!,"AAAAAH0X/Ec=")</f>
        <v>#REF!</v>
      </c>
      <c r="BU232" t="e">
        <f>AND(Bills!D932,"AAAAAH0X/Eg=")</f>
        <v>#VALUE!</v>
      </c>
      <c r="BV232" t="e">
        <f>AND(Bills!#REF!,"AAAAAH0X/Ek=")</f>
        <v>#REF!</v>
      </c>
      <c r="BW232" t="e">
        <f>AND(Bills!E932,"AAAAAH0X/Eo=")</f>
        <v>#VALUE!</v>
      </c>
      <c r="BX232" t="e">
        <f>AND(Bills!F932,"AAAAAH0X/Es=")</f>
        <v>#VALUE!</v>
      </c>
      <c r="BY232" t="e">
        <f>AND(Bills!G932,"AAAAAH0X/Ew=")</f>
        <v>#VALUE!</v>
      </c>
      <c r="BZ232" t="e">
        <f>AND(Bills!H932,"AAAAAH0X/E0=")</f>
        <v>#VALUE!</v>
      </c>
      <c r="CA232" t="e">
        <f>AND(Bills!I932,"AAAAAH0X/E4=")</f>
        <v>#VALUE!</v>
      </c>
      <c r="CB232" t="e">
        <f>AND(Bills!J932,"AAAAAH0X/E8=")</f>
        <v>#VALUE!</v>
      </c>
      <c r="CC232" t="e">
        <f>AND(Bills!#REF!,"AAAAAH0X/FA=")</f>
        <v>#REF!</v>
      </c>
      <c r="CD232" t="e">
        <f>AND(Bills!K932,"AAAAAH0X/FE=")</f>
        <v>#VALUE!</v>
      </c>
      <c r="CE232" t="e">
        <f>AND(Bills!L932,"AAAAAH0X/FI=")</f>
        <v>#VALUE!</v>
      </c>
      <c r="CF232" t="e">
        <f>AND(Bills!M932,"AAAAAH0X/FM=")</f>
        <v>#VALUE!</v>
      </c>
      <c r="CG232" t="e">
        <f>AND(Bills!N932,"AAAAAH0X/FQ=")</f>
        <v>#VALUE!</v>
      </c>
      <c r="CH232" t="e">
        <f>AND(Bills!O932,"AAAAAH0X/FU=")</f>
        <v>#VALUE!</v>
      </c>
      <c r="CI232" t="e">
        <f>AND(Bills!P932,"AAAAAH0X/FY=")</f>
        <v>#VALUE!</v>
      </c>
      <c r="CJ232" t="e">
        <f>AND(Bills!Q932,"AAAAAH0X/Fc=")</f>
        <v>#VALUE!</v>
      </c>
      <c r="CK232" t="e">
        <f>AND(Bills!R932,"AAAAAH0X/Fg=")</f>
        <v>#VALUE!</v>
      </c>
      <c r="CL232" t="e">
        <f>AND(Bills!#REF!,"AAAAAH0X/Fk=")</f>
        <v>#REF!</v>
      </c>
      <c r="CM232" t="e">
        <f>AND(Bills!S932,"AAAAAH0X/Fo=")</f>
        <v>#VALUE!</v>
      </c>
      <c r="CN232" t="e">
        <f>AND(Bills!T932,"AAAAAH0X/Fs=")</f>
        <v>#VALUE!</v>
      </c>
      <c r="CO232" t="e">
        <f>AND(Bills!U932,"AAAAAH0X/Fw=")</f>
        <v>#VALUE!</v>
      </c>
      <c r="CP232" t="e">
        <f>AND(Bills!#REF!,"AAAAAH0X/F0=")</f>
        <v>#REF!</v>
      </c>
      <c r="CQ232" t="e">
        <f>AND(Bills!#REF!,"AAAAAH0X/F4=")</f>
        <v>#REF!</v>
      </c>
      <c r="CR232" t="e">
        <f>AND(Bills!W932,"AAAAAH0X/F8=")</f>
        <v>#VALUE!</v>
      </c>
      <c r="CS232" t="e">
        <f>AND(Bills!X932,"AAAAAH0X/GA=")</f>
        <v>#VALUE!</v>
      </c>
      <c r="CT232" t="e">
        <f>AND(Bills!#REF!,"AAAAAH0X/GE=")</f>
        <v>#REF!</v>
      </c>
      <c r="CU232" t="e">
        <f>AND(Bills!#REF!,"AAAAAH0X/GI=")</f>
        <v>#REF!</v>
      </c>
      <c r="CV232" t="e">
        <f>AND(Bills!#REF!,"AAAAAH0X/GM=")</f>
        <v>#REF!</v>
      </c>
      <c r="CW232" t="e">
        <f>AND(Bills!#REF!,"AAAAAH0X/GQ=")</f>
        <v>#REF!</v>
      </c>
      <c r="CX232" t="e">
        <f>AND(Bills!#REF!,"AAAAAH0X/GU=")</f>
        <v>#REF!</v>
      </c>
      <c r="CY232" t="e">
        <f>AND(Bills!#REF!,"AAAAAH0X/GY=")</f>
        <v>#REF!</v>
      </c>
      <c r="CZ232" t="e">
        <f>AND(Bills!#REF!,"AAAAAH0X/Gc=")</f>
        <v>#REF!</v>
      </c>
      <c r="DA232" t="e">
        <f>AND(Bills!#REF!,"AAAAAH0X/Gg=")</f>
        <v>#REF!</v>
      </c>
      <c r="DB232" t="e">
        <f>AND(Bills!#REF!,"AAAAAH0X/Gk=")</f>
        <v>#REF!</v>
      </c>
      <c r="DC232" t="e">
        <f>AND(Bills!Y932,"AAAAAH0X/Go=")</f>
        <v>#VALUE!</v>
      </c>
      <c r="DD232" t="e">
        <f>AND(Bills!Z932,"AAAAAH0X/Gs=")</f>
        <v>#VALUE!</v>
      </c>
      <c r="DE232" t="e">
        <f>AND(Bills!#REF!,"AAAAAH0X/Gw=")</f>
        <v>#REF!</v>
      </c>
      <c r="DF232" t="e">
        <f>AND(Bills!#REF!,"AAAAAH0X/G0=")</f>
        <v>#REF!</v>
      </c>
      <c r="DG232" t="e">
        <f>AND(Bills!#REF!,"AAAAAH0X/G4=")</f>
        <v>#REF!</v>
      </c>
      <c r="DH232" t="e">
        <f>AND(Bills!AA932,"AAAAAH0X/G8=")</f>
        <v>#VALUE!</v>
      </c>
      <c r="DI232" t="e">
        <f>AND(Bills!AB932,"AAAAAH0X/HA=")</f>
        <v>#VALUE!</v>
      </c>
      <c r="DJ232" t="e">
        <f>AND(Bills!#REF!,"AAAAAH0X/HE=")</f>
        <v>#REF!</v>
      </c>
      <c r="DK232">
        <f>IF(Bills!933:933,"AAAAAH0X/HI=",0)</f>
        <v>0</v>
      </c>
      <c r="DL232" t="e">
        <f>AND(Bills!B933,"AAAAAH0X/HM=")</f>
        <v>#VALUE!</v>
      </c>
      <c r="DM232" t="e">
        <f>AND(Bills!#REF!,"AAAAAH0X/HQ=")</f>
        <v>#REF!</v>
      </c>
      <c r="DN232" t="e">
        <f>AND(Bills!C933,"AAAAAH0X/HU=")</f>
        <v>#VALUE!</v>
      </c>
      <c r="DO232" t="e">
        <f>AND(Bills!#REF!,"AAAAAH0X/HY=")</f>
        <v>#REF!</v>
      </c>
      <c r="DP232" t="e">
        <f>AND(Bills!#REF!,"AAAAAH0X/Hc=")</f>
        <v>#REF!</v>
      </c>
      <c r="DQ232" t="e">
        <f>AND(Bills!#REF!,"AAAAAH0X/Hg=")</f>
        <v>#REF!</v>
      </c>
      <c r="DR232" t="e">
        <f>AND(Bills!#REF!,"AAAAAH0X/Hk=")</f>
        <v>#REF!</v>
      </c>
      <c r="DS232" t="e">
        <f>AND(Bills!#REF!,"AAAAAH0X/Ho=")</f>
        <v>#REF!</v>
      </c>
      <c r="DT232" t="e">
        <f>AND(Bills!D933,"AAAAAH0X/Hs=")</f>
        <v>#VALUE!</v>
      </c>
      <c r="DU232" t="e">
        <f>AND(Bills!#REF!,"AAAAAH0X/Hw=")</f>
        <v>#REF!</v>
      </c>
      <c r="DV232" t="e">
        <f>AND(Bills!E933,"AAAAAH0X/H0=")</f>
        <v>#VALUE!</v>
      </c>
      <c r="DW232" t="e">
        <f>AND(Bills!F933,"AAAAAH0X/H4=")</f>
        <v>#VALUE!</v>
      </c>
      <c r="DX232" t="e">
        <f>AND(Bills!G933,"AAAAAH0X/H8=")</f>
        <v>#VALUE!</v>
      </c>
      <c r="DY232" t="e">
        <f>AND(Bills!H933,"AAAAAH0X/IA=")</f>
        <v>#VALUE!</v>
      </c>
      <c r="DZ232" t="e">
        <f>AND(Bills!I933,"AAAAAH0X/IE=")</f>
        <v>#VALUE!</v>
      </c>
      <c r="EA232" t="e">
        <f>AND(Bills!J933,"AAAAAH0X/II=")</f>
        <v>#VALUE!</v>
      </c>
      <c r="EB232" t="e">
        <f>AND(Bills!#REF!,"AAAAAH0X/IM=")</f>
        <v>#REF!</v>
      </c>
      <c r="EC232" t="e">
        <f>AND(Bills!K933,"AAAAAH0X/IQ=")</f>
        <v>#VALUE!</v>
      </c>
      <c r="ED232" t="e">
        <f>AND(Bills!L933,"AAAAAH0X/IU=")</f>
        <v>#VALUE!</v>
      </c>
      <c r="EE232" t="e">
        <f>AND(Bills!M933,"AAAAAH0X/IY=")</f>
        <v>#VALUE!</v>
      </c>
      <c r="EF232" t="e">
        <f>AND(Bills!N933,"AAAAAH0X/Ic=")</f>
        <v>#VALUE!</v>
      </c>
      <c r="EG232" t="e">
        <f>AND(Bills!O933,"AAAAAH0X/Ig=")</f>
        <v>#VALUE!</v>
      </c>
      <c r="EH232" t="e">
        <f>AND(Bills!P933,"AAAAAH0X/Ik=")</f>
        <v>#VALUE!</v>
      </c>
      <c r="EI232" t="e">
        <f>AND(Bills!Q933,"AAAAAH0X/Io=")</f>
        <v>#VALUE!</v>
      </c>
      <c r="EJ232" t="e">
        <f>AND(Bills!R933,"AAAAAH0X/Is=")</f>
        <v>#VALUE!</v>
      </c>
      <c r="EK232" t="e">
        <f>AND(Bills!#REF!,"AAAAAH0X/Iw=")</f>
        <v>#REF!</v>
      </c>
      <c r="EL232" t="e">
        <f>AND(Bills!S933,"AAAAAH0X/I0=")</f>
        <v>#VALUE!</v>
      </c>
      <c r="EM232" t="e">
        <f>AND(Bills!T933,"AAAAAH0X/I4=")</f>
        <v>#VALUE!</v>
      </c>
      <c r="EN232" t="e">
        <f>AND(Bills!U933,"AAAAAH0X/I8=")</f>
        <v>#VALUE!</v>
      </c>
      <c r="EO232" t="e">
        <f>AND(Bills!#REF!,"AAAAAH0X/JA=")</f>
        <v>#REF!</v>
      </c>
      <c r="EP232" t="e">
        <f>AND(Bills!#REF!,"AAAAAH0X/JE=")</f>
        <v>#REF!</v>
      </c>
      <c r="EQ232" t="e">
        <f>AND(Bills!W933,"AAAAAH0X/JI=")</f>
        <v>#VALUE!</v>
      </c>
      <c r="ER232" t="e">
        <f>AND(Bills!X933,"AAAAAH0X/JM=")</f>
        <v>#VALUE!</v>
      </c>
      <c r="ES232" t="e">
        <f>AND(Bills!#REF!,"AAAAAH0X/JQ=")</f>
        <v>#REF!</v>
      </c>
      <c r="ET232" t="e">
        <f>AND(Bills!#REF!,"AAAAAH0X/JU=")</f>
        <v>#REF!</v>
      </c>
      <c r="EU232" t="e">
        <f>AND(Bills!#REF!,"AAAAAH0X/JY=")</f>
        <v>#REF!</v>
      </c>
      <c r="EV232" t="e">
        <f>AND(Bills!#REF!,"AAAAAH0X/Jc=")</f>
        <v>#REF!</v>
      </c>
      <c r="EW232" t="e">
        <f>AND(Bills!#REF!,"AAAAAH0X/Jg=")</f>
        <v>#REF!</v>
      </c>
      <c r="EX232" t="e">
        <f>AND(Bills!#REF!,"AAAAAH0X/Jk=")</f>
        <v>#REF!</v>
      </c>
      <c r="EY232" t="e">
        <f>AND(Bills!#REF!,"AAAAAH0X/Jo=")</f>
        <v>#REF!</v>
      </c>
      <c r="EZ232" t="e">
        <f>AND(Bills!#REF!,"AAAAAH0X/Js=")</f>
        <v>#REF!</v>
      </c>
      <c r="FA232" t="e">
        <f>AND(Bills!#REF!,"AAAAAH0X/Jw=")</f>
        <v>#REF!</v>
      </c>
      <c r="FB232" t="e">
        <f>AND(Bills!Y933,"AAAAAH0X/J0=")</f>
        <v>#VALUE!</v>
      </c>
      <c r="FC232" t="e">
        <f>AND(Bills!Z933,"AAAAAH0X/J4=")</f>
        <v>#VALUE!</v>
      </c>
      <c r="FD232" t="e">
        <f>AND(Bills!#REF!,"AAAAAH0X/J8=")</f>
        <v>#REF!</v>
      </c>
      <c r="FE232" t="e">
        <f>AND(Bills!#REF!,"AAAAAH0X/KA=")</f>
        <v>#REF!</v>
      </c>
      <c r="FF232" t="e">
        <f>AND(Bills!#REF!,"AAAAAH0X/KE=")</f>
        <v>#REF!</v>
      </c>
      <c r="FG232" t="e">
        <f>AND(Bills!AA933,"AAAAAH0X/KI=")</f>
        <v>#VALUE!</v>
      </c>
      <c r="FH232" t="e">
        <f>AND(Bills!AB933,"AAAAAH0X/KM=")</f>
        <v>#VALUE!</v>
      </c>
      <c r="FI232" t="e">
        <f>AND(Bills!#REF!,"AAAAAH0X/KQ=")</f>
        <v>#REF!</v>
      </c>
      <c r="FJ232">
        <f>IF(Bills!934:934,"AAAAAH0X/KU=",0)</f>
        <v>0</v>
      </c>
      <c r="FK232" t="e">
        <f>AND(Bills!B934,"AAAAAH0X/KY=")</f>
        <v>#VALUE!</v>
      </c>
      <c r="FL232" t="e">
        <f>AND(Bills!#REF!,"AAAAAH0X/Kc=")</f>
        <v>#REF!</v>
      </c>
      <c r="FM232" t="e">
        <f>AND(Bills!C934,"AAAAAH0X/Kg=")</f>
        <v>#VALUE!</v>
      </c>
      <c r="FN232" t="e">
        <f>AND(Bills!#REF!,"AAAAAH0X/Kk=")</f>
        <v>#REF!</v>
      </c>
      <c r="FO232" t="e">
        <f>AND(Bills!#REF!,"AAAAAH0X/Ko=")</f>
        <v>#REF!</v>
      </c>
      <c r="FP232" t="e">
        <f>AND(Bills!#REF!,"AAAAAH0X/Ks=")</f>
        <v>#REF!</v>
      </c>
      <c r="FQ232" t="e">
        <f>AND(Bills!#REF!,"AAAAAH0X/Kw=")</f>
        <v>#REF!</v>
      </c>
      <c r="FR232" t="e">
        <f>AND(Bills!#REF!,"AAAAAH0X/K0=")</f>
        <v>#REF!</v>
      </c>
      <c r="FS232" t="e">
        <f>AND(Bills!D934,"AAAAAH0X/K4=")</f>
        <v>#VALUE!</v>
      </c>
      <c r="FT232" t="e">
        <f>AND(Bills!#REF!,"AAAAAH0X/K8=")</f>
        <v>#REF!</v>
      </c>
      <c r="FU232" t="e">
        <f>AND(Bills!E934,"AAAAAH0X/LA=")</f>
        <v>#VALUE!</v>
      </c>
      <c r="FV232" t="e">
        <f>AND(Bills!F934,"AAAAAH0X/LE=")</f>
        <v>#VALUE!</v>
      </c>
      <c r="FW232" t="e">
        <f>AND(Bills!G934,"AAAAAH0X/LI=")</f>
        <v>#VALUE!</v>
      </c>
      <c r="FX232" t="e">
        <f>AND(Bills!H934,"AAAAAH0X/LM=")</f>
        <v>#VALUE!</v>
      </c>
      <c r="FY232" t="e">
        <f>AND(Bills!I934,"AAAAAH0X/LQ=")</f>
        <v>#VALUE!</v>
      </c>
      <c r="FZ232" t="e">
        <f>AND(Bills!J934,"AAAAAH0X/LU=")</f>
        <v>#VALUE!</v>
      </c>
      <c r="GA232" t="e">
        <f>AND(Bills!#REF!,"AAAAAH0X/LY=")</f>
        <v>#REF!</v>
      </c>
      <c r="GB232" t="e">
        <f>AND(Bills!K934,"AAAAAH0X/Lc=")</f>
        <v>#VALUE!</v>
      </c>
      <c r="GC232" t="e">
        <f>AND(Bills!L934,"AAAAAH0X/Lg=")</f>
        <v>#VALUE!</v>
      </c>
      <c r="GD232" t="e">
        <f>AND(Bills!M934,"AAAAAH0X/Lk=")</f>
        <v>#VALUE!</v>
      </c>
      <c r="GE232" t="e">
        <f>AND(Bills!N934,"AAAAAH0X/Lo=")</f>
        <v>#VALUE!</v>
      </c>
      <c r="GF232" t="e">
        <f>AND(Bills!O934,"AAAAAH0X/Ls=")</f>
        <v>#VALUE!</v>
      </c>
      <c r="GG232" t="e">
        <f>AND(Bills!P934,"AAAAAH0X/Lw=")</f>
        <v>#VALUE!</v>
      </c>
      <c r="GH232" t="e">
        <f>AND(Bills!Q934,"AAAAAH0X/L0=")</f>
        <v>#VALUE!</v>
      </c>
      <c r="GI232" t="e">
        <f>AND(Bills!R934,"AAAAAH0X/L4=")</f>
        <v>#VALUE!</v>
      </c>
      <c r="GJ232" t="e">
        <f>AND(Bills!#REF!,"AAAAAH0X/L8=")</f>
        <v>#REF!</v>
      </c>
      <c r="GK232" t="e">
        <f>AND(Bills!S934,"AAAAAH0X/MA=")</f>
        <v>#VALUE!</v>
      </c>
      <c r="GL232" t="e">
        <f>AND(Bills!T934,"AAAAAH0X/ME=")</f>
        <v>#VALUE!</v>
      </c>
      <c r="GM232" t="e">
        <f>AND(Bills!U934,"AAAAAH0X/MI=")</f>
        <v>#VALUE!</v>
      </c>
      <c r="GN232" t="e">
        <f>AND(Bills!#REF!,"AAAAAH0X/MM=")</f>
        <v>#REF!</v>
      </c>
      <c r="GO232" t="e">
        <f>AND(Bills!#REF!,"AAAAAH0X/MQ=")</f>
        <v>#REF!</v>
      </c>
      <c r="GP232" t="e">
        <f>AND(Bills!W934,"AAAAAH0X/MU=")</f>
        <v>#VALUE!</v>
      </c>
      <c r="GQ232" t="e">
        <f>AND(Bills!X934,"AAAAAH0X/MY=")</f>
        <v>#VALUE!</v>
      </c>
      <c r="GR232" t="e">
        <f>AND(Bills!#REF!,"AAAAAH0X/Mc=")</f>
        <v>#REF!</v>
      </c>
      <c r="GS232" t="e">
        <f>AND(Bills!#REF!,"AAAAAH0X/Mg=")</f>
        <v>#REF!</v>
      </c>
      <c r="GT232" t="e">
        <f>AND(Bills!#REF!,"AAAAAH0X/Mk=")</f>
        <v>#REF!</v>
      </c>
      <c r="GU232" t="e">
        <f>AND(Bills!#REF!,"AAAAAH0X/Mo=")</f>
        <v>#REF!</v>
      </c>
      <c r="GV232" t="e">
        <f>AND(Bills!#REF!,"AAAAAH0X/Ms=")</f>
        <v>#REF!</v>
      </c>
      <c r="GW232" t="e">
        <f>AND(Bills!#REF!,"AAAAAH0X/Mw=")</f>
        <v>#REF!</v>
      </c>
      <c r="GX232" t="e">
        <f>AND(Bills!#REF!,"AAAAAH0X/M0=")</f>
        <v>#REF!</v>
      </c>
      <c r="GY232" t="e">
        <f>AND(Bills!#REF!,"AAAAAH0X/M4=")</f>
        <v>#REF!</v>
      </c>
      <c r="GZ232" t="e">
        <f>AND(Bills!#REF!,"AAAAAH0X/M8=")</f>
        <v>#REF!</v>
      </c>
      <c r="HA232" t="e">
        <f>AND(Bills!Y934,"AAAAAH0X/NA=")</f>
        <v>#VALUE!</v>
      </c>
      <c r="HB232" t="e">
        <f>AND(Bills!Z934,"AAAAAH0X/NE=")</f>
        <v>#VALUE!</v>
      </c>
      <c r="HC232" t="e">
        <f>AND(Bills!#REF!,"AAAAAH0X/NI=")</f>
        <v>#REF!</v>
      </c>
      <c r="HD232" t="e">
        <f>AND(Bills!#REF!,"AAAAAH0X/NM=")</f>
        <v>#REF!</v>
      </c>
      <c r="HE232" t="e">
        <f>AND(Bills!#REF!,"AAAAAH0X/NQ=")</f>
        <v>#REF!</v>
      </c>
      <c r="HF232" t="e">
        <f>AND(Bills!AA934,"AAAAAH0X/NU=")</f>
        <v>#VALUE!</v>
      </c>
      <c r="HG232" t="e">
        <f>AND(Bills!AB934,"AAAAAH0X/NY=")</f>
        <v>#VALUE!</v>
      </c>
      <c r="HH232" t="e">
        <f>AND(Bills!#REF!,"AAAAAH0X/Nc=")</f>
        <v>#REF!</v>
      </c>
      <c r="HI232">
        <f>IF(Bills!935:935,"AAAAAH0X/Ng=",0)</f>
        <v>0</v>
      </c>
      <c r="HJ232" t="e">
        <f>AND(Bills!B935,"AAAAAH0X/Nk=")</f>
        <v>#VALUE!</v>
      </c>
      <c r="HK232" t="e">
        <f>AND(Bills!#REF!,"AAAAAH0X/No=")</f>
        <v>#REF!</v>
      </c>
      <c r="HL232" t="e">
        <f>AND(Bills!C935,"AAAAAH0X/Ns=")</f>
        <v>#VALUE!</v>
      </c>
      <c r="HM232" t="e">
        <f>AND(Bills!#REF!,"AAAAAH0X/Nw=")</f>
        <v>#REF!</v>
      </c>
      <c r="HN232" t="e">
        <f>AND(Bills!#REF!,"AAAAAH0X/N0=")</f>
        <v>#REF!</v>
      </c>
      <c r="HO232" t="e">
        <f>AND(Bills!#REF!,"AAAAAH0X/N4=")</f>
        <v>#REF!</v>
      </c>
      <c r="HP232" t="e">
        <f>AND(Bills!#REF!,"AAAAAH0X/N8=")</f>
        <v>#REF!</v>
      </c>
      <c r="HQ232" t="e">
        <f>AND(Bills!#REF!,"AAAAAH0X/OA=")</f>
        <v>#REF!</v>
      </c>
      <c r="HR232" t="e">
        <f>AND(Bills!D935,"AAAAAH0X/OE=")</f>
        <v>#VALUE!</v>
      </c>
      <c r="HS232" t="e">
        <f>AND(Bills!#REF!,"AAAAAH0X/OI=")</f>
        <v>#REF!</v>
      </c>
      <c r="HT232" t="e">
        <f>AND(Bills!E935,"AAAAAH0X/OM=")</f>
        <v>#VALUE!</v>
      </c>
      <c r="HU232" t="e">
        <f>AND(Bills!F935,"AAAAAH0X/OQ=")</f>
        <v>#VALUE!</v>
      </c>
      <c r="HV232" t="e">
        <f>AND(Bills!G935,"AAAAAH0X/OU=")</f>
        <v>#VALUE!</v>
      </c>
      <c r="HW232" t="e">
        <f>AND(Bills!H935,"AAAAAH0X/OY=")</f>
        <v>#VALUE!</v>
      </c>
      <c r="HX232" t="e">
        <f>AND(Bills!I935,"AAAAAH0X/Oc=")</f>
        <v>#VALUE!</v>
      </c>
      <c r="HY232" t="e">
        <f>AND(Bills!J935,"AAAAAH0X/Og=")</f>
        <v>#VALUE!</v>
      </c>
      <c r="HZ232" t="e">
        <f>AND(Bills!#REF!,"AAAAAH0X/Ok=")</f>
        <v>#REF!</v>
      </c>
      <c r="IA232" t="e">
        <f>AND(Bills!K935,"AAAAAH0X/Oo=")</f>
        <v>#VALUE!</v>
      </c>
      <c r="IB232" t="e">
        <f>AND(Bills!L935,"AAAAAH0X/Os=")</f>
        <v>#VALUE!</v>
      </c>
      <c r="IC232" t="e">
        <f>AND(Bills!M935,"AAAAAH0X/Ow=")</f>
        <v>#VALUE!</v>
      </c>
      <c r="ID232" t="e">
        <f>AND(Bills!N935,"AAAAAH0X/O0=")</f>
        <v>#VALUE!</v>
      </c>
      <c r="IE232" t="e">
        <f>AND(Bills!O935,"AAAAAH0X/O4=")</f>
        <v>#VALUE!</v>
      </c>
      <c r="IF232" t="e">
        <f>AND(Bills!P935,"AAAAAH0X/O8=")</f>
        <v>#VALUE!</v>
      </c>
      <c r="IG232" t="e">
        <f>AND(Bills!Q935,"AAAAAH0X/PA=")</f>
        <v>#VALUE!</v>
      </c>
      <c r="IH232" t="e">
        <f>AND(Bills!R935,"AAAAAH0X/PE=")</f>
        <v>#VALUE!</v>
      </c>
      <c r="II232" t="e">
        <f>AND(Bills!#REF!,"AAAAAH0X/PI=")</f>
        <v>#REF!</v>
      </c>
      <c r="IJ232" t="e">
        <f>AND(Bills!S935,"AAAAAH0X/PM=")</f>
        <v>#VALUE!</v>
      </c>
      <c r="IK232" t="e">
        <f>AND(Bills!T935,"AAAAAH0X/PQ=")</f>
        <v>#VALUE!</v>
      </c>
      <c r="IL232" t="e">
        <f>AND(Bills!U935,"AAAAAH0X/PU=")</f>
        <v>#VALUE!</v>
      </c>
      <c r="IM232" t="e">
        <f>AND(Bills!#REF!,"AAAAAH0X/PY=")</f>
        <v>#REF!</v>
      </c>
      <c r="IN232" t="e">
        <f>AND(Bills!#REF!,"AAAAAH0X/Pc=")</f>
        <v>#REF!</v>
      </c>
      <c r="IO232" t="e">
        <f>AND(Bills!W935,"AAAAAH0X/Pg=")</f>
        <v>#VALUE!</v>
      </c>
      <c r="IP232" t="e">
        <f>AND(Bills!X935,"AAAAAH0X/Pk=")</f>
        <v>#VALUE!</v>
      </c>
      <c r="IQ232" t="e">
        <f>AND(Bills!#REF!,"AAAAAH0X/Po=")</f>
        <v>#REF!</v>
      </c>
      <c r="IR232" t="e">
        <f>AND(Bills!#REF!,"AAAAAH0X/Ps=")</f>
        <v>#REF!</v>
      </c>
      <c r="IS232" t="e">
        <f>AND(Bills!#REF!,"AAAAAH0X/Pw=")</f>
        <v>#REF!</v>
      </c>
      <c r="IT232" t="e">
        <f>AND(Bills!#REF!,"AAAAAH0X/P0=")</f>
        <v>#REF!</v>
      </c>
      <c r="IU232" t="e">
        <f>AND(Bills!#REF!,"AAAAAH0X/P4=")</f>
        <v>#REF!</v>
      </c>
      <c r="IV232" t="e">
        <f>AND(Bills!#REF!,"AAAAAH0X/P8=")</f>
        <v>#REF!</v>
      </c>
    </row>
    <row r="233" spans="1:256">
      <c r="A233" t="e">
        <f>AND(Bills!#REF!,"AAAAAGf+fwA=")</f>
        <v>#REF!</v>
      </c>
      <c r="B233" t="e">
        <f>AND(Bills!#REF!,"AAAAAGf+fwE=")</f>
        <v>#REF!</v>
      </c>
      <c r="C233" t="e">
        <f>AND(Bills!#REF!,"AAAAAGf+fwI=")</f>
        <v>#REF!</v>
      </c>
      <c r="D233" t="e">
        <f>AND(Bills!Y935,"AAAAAGf+fwM=")</f>
        <v>#VALUE!</v>
      </c>
      <c r="E233" t="e">
        <f>AND(Bills!Z935,"AAAAAGf+fwQ=")</f>
        <v>#VALUE!</v>
      </c>
      <c r="F233" t="e">
        <f>AND(Bills!#REF!,"AAAAAGf+fwU=")</f>
        <v>#REF!</v>
      </c>
      <c r="G233" t="e">
        <f>AND(Bills!#REF!,"AAAAAGf+fwY=")</f>
        <v>#REF!</v>
      </c>
      <c r="H233" t="e">
        <f>AND(Bills!#REF!,"AAAAAGf+fwc=")</f>
        <v>#REF!</v>
      </c>
      <c r="I233" t="e">
        <f>AND(Bills!AA935,"AAAAAGf+fwg=")</f>
        <v>#VALUE!</v>
      </c>
      <c r="J233" t="e">
        <f>AND(Bills!AB935,"AAAAAGf+fwk=")</f>
        <v>#VALUE!</v>
      </c>
      <c r="K233" t="e">
        <f>AND(Bills!#REF!,"AAAAAGf+fwo=")</f>
        <v>#REF!</v>
      </c>
      <c r="L233">
        <f>IF(Bills!936:936,"AAAAAGf+fws=",0)</f>
        <v>0</v>
      </c>
      <c r="M233" t="e">
        <f>AND(Bills!B936,"AAAAAGf+fww=")</f>
        <v>#VALUE!</v>
      </c>
      <c r="N233" t="e">
        <f>AND(Bills!#REF!,"AAAAAGf+fw0=")</f>
        <v>#REF!</v>
      </c>
      <c r="O233" t="e">
        <f>AND(Bills!C936,"AAAAAGf+fw4=")</f>
        <v>#VALUE!</v>
      </c>
      <c r="P233" t="e">
        <f>AND(Bills!#REF!,"AAAAAGf+fw8=")</f>
        <v>#REF!</v>
      </c>
      <c r="Q233" t="e">
        <f>AND(Bills!#REF!,"AAAAAGf+fxA=")</f>
        <v>#REF!</v>
      </c>
      <c r="R233" t="e">
        <f>AND(Bills!#REF!,"AAAAAGf+fxE=")</f>
        <v>#REF!</v>
      </c>
      <c r="S233" t="e">
        <f>AND(Bills!#REF!,"AAAAAGf+fxI=")</f>
        <v>#REF!</v>
      </c>
      <c r="T233" t="e">
        <f>AND(Bills!#REF!,"AAAAAGf+fxM=")</f>
        <v>#REF!</v>
      </c>
      <c r="U233" t="e">
        <f>AND(Bills!D936,"AAAAAGf+fxQ=")</f>
        <v>#VALUE!</v>
      </c>
      <c r="V233" t="e">
        <f>AND(Bills!#REF!,"AAAAAGf+fxU=")</f>
        <v>#REF!</v>
      </c>
      <c r="W233" t="e">
        <f>AND(Bills!E936,"AAAAAGf+fxY=")</f>
        <v>#VALUE!</v>
      </c>
      <c r="X233" t="e">
        <f>AND(Bills!F936,"AAAAAGf+fxc=")</f>
        <v>#VALUE!</v>
      </c>
      <c r="Y233" t="e">
        <f>AND(Bills!G936,"AAAAAGf+fxg=")</f>
        <v>#VALUE!</v>
      </c>
      <c r="Z233" t="e">
        <f>AND(Bills!H936,"AAAAAGf+fxk=")</f>
        <v>#VALUE!</v>
      </c>
      <c r="AA233" t="e">
        <f>AND(Bills!I936,"AAAAAGf+fxo=")</f>
        <v>#VALUE!</v>
      </c>
      <c r="AB233" t="e">
        <f>AND(Bills!J936,"AAAAAGf+fxs=")</f>
        <v>#VALUE!</v>
      </c>
      <c r="AC233" t="e">
        <f>AND(Bills!#REF!,"AAAAAGf+fxw=")</f>
        <v>#REF!</v>
      </c>
      <c r="AD233" t="e">
        <f>AND(Bills!K936,"AAAAAGf+fx0=")</f>
        <v>#VALUE!</v>
      </c>
      <c r="AE233" t="e">
        <f>AND(Bills!L936,"AAAAAGf+fx4=")</f>
        <v>#VALUE!</v>
      </c>
      <c r="AF233" t="e">
        <f>AND(Bills!M936,"AAAAAGf+fx8=")</f>
        <v>#VALUE!</v>
      </c>
      <c r="AG233" t="e">
        <f>AND(Bills!N936,"AAAAAGf+fyA=")</f>
        <v>#VALUE!</v>
      </c>
      <c r="AH233" t="e">
        <f>AND(Bills!O936,"AAAAAGf+fyE=")</f>
        <v>#VALUE!</v>
      </c>
      <c r="AI233" t="e">
        <f>AND(Bills!P936,"AAAAAGf+fyI=")</f>
        <v>#VALUE!</v>
      </c>
      <c r="AJ233" t="e">
        <f>AND(Bills!Q936,"AAAAAGf+fyM=")</f>
        <v>#VALUE!</v>
      </c>
      <c r="AK233" t="e">
        <f>AND(Bills!R936,"AAAAAGf+fyQ=")</f>
        <v>#VALUE!</v>
      </c>
      <c r="AL233" t="e">
        <f>AND(Bills!#REF!,"AAAAAGf+fyU=")</f>
        <v>#REF!</v>
      </c>
      <c r="AM233" t="e">
        <f>AND(Bills!S936,"AAAAAGf+fyY=")</f>
        <v>#VALUE!</v>
      </c>
      <c r="AN233" t="e">
        <f>AND(Bills!T936,"AAAAAGf+fyc=")</f>
        <v>#VALUE!</v>
      </c>
      <c r="AO233" t="e">
        <f>AND(Bills!U936,"AAAAAGf+fyg=")</f>
        <v>#VALUE!</v>
      </c>
      <c r="AP233" t="e">
        <f>AND(Bills!#REF!,"AAAAAGf+fyk=")</f>
        <v>#REF!</v>
      </c>
      <c r="AQ233" t="e">
        <f>AND(Bills!#REF!,"AAAAAGf+fyo=")</f>
        <v>#REF!</v>
      </c>
      <c r="AR233" t="e">
        <f>AND(Bills!W936,"AAAAAGf+fys=")</f>
        <v>#VALUE!</v>
      </c>
      <c r="AS233" t="e">
        <f>AND(Bills!X936,"AAAAAGf+fyw=")</f>
        <v>#VALUE!</v>
      </c>
      <c r="AT233" t="e">
        <f>AND(Bills!#REF!,"AAAAAGf+fy0=")</f>
        <v>#REF!</v>
      </c>
      <c r="AU233" t="e">
        <f>AND(Bills!#REF!,"AAAAAGf+fy4=")</f>
        <v>#REF!</v>
      </c>
      <c r="AV233" t="e">
        <f>AND(Bills!#REF!,"AAAAAGf+fy8=")</f>
        <v>#REF!</v>
      </c>
      <c r="AW233" t="e">
        <f>AND(Bills!#REF!,"AAAAAGf+fzA=")</f>
        <v>#REF!</v>
      </c>
      <c r="AX233" t="e">
        <f>AND(Bills!#REF!,"AAAAAGf+fzE=")</f>
        <v>#REF!</v>
      </c>
      <c r="AY233" t="e">
        <f>AND(Bills!#REF!,"AAAAAGf+fzI=")</f>
        <v>#REF!</v>
      </c>
      <c r="AZ233" t="e">
        <f>AND(Bills!#REF!,"AAAAAGf+fzM=")</f>
        <v>#REF!</v>
      </c>
      <c r="BA233" t="e">
        <f>AND(Bills!#REF!,"AAAAAGf+fzQ=")</f>
        <v>#REF!</v>
      </c>
      <c r="BB233" t="e">
        <f>AND(Bills!#REF!,"AAAAAGf+fzU=")</f>
        <v>#REF!</v>
      </c>
      <c r="BC233" t="e">
        <f>AND(Bills!Y936,"AAAAAGf+fzY=")</f>
        <v>#VALUE!</v>
      </c>
      <c r="BD233" t="e">
        <f>AND(Bills!Z936,"AAAAAGf+fzc=")</f>
        <v>#VALUE!</v>
      </c>
      <c r="BE233" t="e">
        <f>AND(Bills!#REF!,"AAAAAGf+fzg=")</f>
        <v>#REF!</v>
      </c>
      <c r="BF233" t="e">
        <f>AND(Bills!#REF!,"AAAAAGf+fzk=")</f>
        <v>#REF!</v>
      </c>
      <c r="BG233" t="e">
        <f>AND(Bills!#REF!,"AAAAAGf+fzo=")</f>
        <v>#REF!</v>
      </c>
      <c r="BH233" t="e">
        <f>AND(Bills!AA936,"AAAAAGf+fzs=")</f>
        <v>#VALUE!</v>
      </c>
      <c r="BI233" t="e">
        <f>AND(Bills!AB936,"AAAAAGf+fzw=")</f>
        <v>#VALUE!</v>
      </c>
      <c r="BJ233" t="e">
        <f>AND(Bills!#REF!,"AAAAAGf+fz0=")</f>
        <v>#REF!</v>
      </c>
      <c r="BK233">
        <f>IF(Bills!937:937,"AAAAAGf+fz4=",0)</f>
        <v>0</v>
      </c>
      <c r="BL233" t="e">
        <f>AND(Bills!B937,"AAAAAGf+fz8=")</f>
        <v>#VALUE!</v>
      </c>
      <c r="BM233" t="e">
        <f>AND(Bills!#REF!,"AAAAAGf+f0A=")</f>
        <v>#REF!</v>
      </c>
      <c r="BN233" t="e">
        <f>AND(Bills!C937,"AAAAAGf+f0E=")</f>
        <v>#VALUE!</v>
      </c>
      <c r="BO233" t="e">
        <f>AND(Bills!#REF!,"AAAAAGf+f0I=")</f>
        <v>#REF!</v>
      </c>
      <c r="BP233" t="e">
        <f>AND(Bills!#REF!,"AAAAAGf+f0M=")</f>
        <v>#REF!</v>
      </c>
      <c r="BQ233" t="e">
        <f>AND(Bills!#REF!,"AAAAAGf+f0Q=")</f>
        <v>#REF!</v>
      </c>
      <c r="BR233" t="e">
        <f>AND(Bills!#REF!,"AAAAAGf+f0U=")</f>
        <v>#REF!</v>
      </c>
      <c r="BS233" t="e">
        <f>AND(Bills!#REF!,"AAAAAGf+f0Y=")</f>
        <v>#REF!</v>
      </c>
      <c r="BT233" t="e">
        <f>AND(Bills!D937,"AAAAAGf+f0c=")</f>
        <v>#VALUE!</v>
      </c>
      <c r="BU233" t="e">
        <f>AND(Bills!#REF!,"AAAAAGf+f0g=")</f>
        <v>#REF!</v>
      </c>
      <c r="BV233" t="e">
        <f>AND(Bills!E937,"AAAAAGf+f0k=")</f>
        <v>#VALUE!</v>
      </c>
      <c r="BW233" t="e">
        <f>AND(Bills!F937,"AAAAAGf+f0o=")</f>
        <v>#VALUE!</v>
      </c>
      <c r="BX233" t="e">
        <f>AND(Bills!G937,"AAAAAGf+f0s=")</f>
        <v>#VALUE!</v>
      </c>
      <c r="BY233" t="e">
        <f>AND(Bills!H937,"AAAAAGf+f0w=")</f>
        <v>#VALUE!</v>
      </c>
      <c r="BZ233" t="e">
        <f>AND(Bills!I937,"AAAAAGf+f00=")</f>
        <v>#VALUE!</v>
      </c>
      <c r="CA233" t="e">
        <f>AND(Bills!J937,"AAAAAGf+f04=")</f>
        <v>#VALUE!</v>
      </c>
      <c r="CB233" t="e">
        <f>AND(Bills!#REF!,"AAAAAGf+f08=")</f>
        <v>#REF!</v>
      </c>
      <c r="CC233" t="e">
        <f>AND(Bills!K937,"AAAAAGf+f1A=")</f>
        <v>#VALUE!</v>
      </c>
      <c r="CD233" t="e">
        <f>AND(Bills!L937,"AAAAAGf+f1E=")</f>
        <v>#VALUE!</v>
      </c>
      <c r="CE233" t="e">
        <f>AND(Bills!M937,"AAAAAGf+f1I=")</f>
        <v>#VALUE!</v>
      </c>
      <c r="CF233" t="e">
        <f>AND(Bills!N937,"AAAAAGf+f1M=")</f>
        <v>#VALUE!</v>
      </c>
      <c r="CG233" t="e">
        <f>AND(Bills!O937,"AAAAAGf+f1Q=")</f>
        <v>#VALUE!</v>
      </c>
      <c r="CH233" t="e">
        <f>AND(Bills!P937,"AAAAAGf+f1U=")</f>
        <v>#VALUE!</v>
      </c>
      <c r="CI233" t="e">
        <f>AND(Bills!Q937,"AAAAAGf+f1Y=")</f>
        <v>#VALUE!</v>
      </c>
      <c r="CJ233" t="e">
        <f>AND(Bills!R937,"AAAAAGf+f1c=")</f>
        <v>#VALUE!</v>
      </c>
      <c r="CK233" t="e">
        <f>AND(Bills!#REF!,"AAAAAGf+f1g=")</f>
        <v>#REF!</v>
      </c>
      <c r="CL233" t="e">
        <f>AND(Bills!S937,"AAAAAGf+f1k=")</f>
        <v>#VALUE!</v>
      </c>
      <c r="CM233" t="e">
        <f>AND(Bills!T937,"AAAAAGf+f1o=")</f>
        <v>#VALUE!</v>
      </c>
      <c r="CN233" t="e">
        <f>AND(Bills!U937,"AAAAAGf+f1s=")</f>
        <v>#VALUE!</v>
      </c>
      <c r="CO233" t="e">
        <f>AND(Bills!#REF!,"AAAAAGf+f1w=")</f>
        <v>#REF!</v>
      </c>
      <c r="CP233" t="e">
        <f>AND(Bills!#REF!,"AAAAAGf+f10=")</f>
        <v>#REF!</v>
      </c>
      <c r="CQ233" t="e">
        <f>AND(Bills!W937,"AAAAAGf+f14=")</f>
        <v>#VALUE!</v>
      </c>
      <c r="CR233" t="e">
        <f>AND(Bills!X937,"AAAAAGf+f18=")</f>
        <v>#VALUE!</v>
      </c>
      <c r="CS233" t="e">
        <f>AND(Bills!#REF!,"AAAAAGf+f2A=")</f>
        <v>#REF!</v>
      </c>
      <c r="CT233" t="e">
        <f>AND(Bills!#REF!,"AAAAAGf+f2E=")</f>
        <v>#REF!</v>
      </c>
      <c r="CU233" t="e">
        <f>AND(Bills!#REF!,"AAAAAGf+f2I=")</f>
        <v>#REF!</v>
      </c>
      <c r="CV233" t="e">
        <f>AND(Bills!#REF!,"AAAAAGf+f2M=")</f>
        <v>#REF!</v>
      </c>
      <c r="CW233" t="e">
        <f>AND(Bills!#REF!,"AAAAAGf+f2Q=")</f>
        <v>#REF!</v>
      </c>
      <c r="CX233" t="e">
        <f>AND(Bills!#REF!,"AAAAAGf+f2U=")</f>
        <v>#REF!</v>
      </c>
      <c r="CY233" t="e">
        <f>AND(Bills!#REF!,"AAAAAGf+f2Y=")</f>
        <v>#REF!</v>
      </c>
      <c r="CZ233" t="e">
        <f>AND(Bills!#REF!,"AAAAAGf+f2c=")</f>
        <v>#REF!</v>
      </c>
      <c r="DA233" t="e">
        <f>AND(Bills!#REF!,"AAAAAGf+f2g=")</f>
        <v>#REF!</v>
      </c>
      <c r="DB233" t="e">
        <f>AND(Bills!Y937,"AAAAAGf+f2k=")</f>
        <v>#VALUE!</v>
      </c>
      <c r="DC233" t="e">
        <f>AND(Bills!Z937,"AAAAAGf+f2o=")</f>
        <v>#VALUE!</v>
      </c>
      <c r="DD233" t="e">
        <f>AND(Bills!#REF!,"AAAAAGf+f2s=")</f>
        <v>#REF!</v>
      </c>
      <c r="DE233" t="e">
        <f>AND(Bills!#REF!,"AAAAAGf+f2w=")</f>
        <v>#REF!</v>
      </c>
      <c r="DF233" t="e">
        <f>AND(Bills!#REF!,"AAAAAGf+f20=")</f>
        <v>#REF!</v>
      </c>
      <c r="DG233" t="e">
        <f>AND(Bills!AA937,"AAAAAGf+f24=")</f>
        <v>#VALUE!</v>
      </c>
      <c r="DH233" t="e">
        <f>AND(Bills!AB937,"AAAAAGf+f28=")</f>
        <v>#VALUE!</v>
      </c>
      <c r="DI233" t="e">
        <f>AND(Bills!#REF!,"AAAAAGf+f3A=")</f>
        <v>#REF!</v>
      </c>
      <c r="DJ233">
        <f>IF(Bills!938:938,"AAAAAGf+f3E=",0)</f>
        <v>0</v>
      </c>
      <c r="DK233" t="e">
        <f>AND(Bills!B938,"AAAAAGf+f3I=")</f>
        <v>#VALUE!</v>
      </c>
      <c r="DL233" t="e">
        <f>AND(Bills!#REF!,"AAAAAGf+f3M=")</f>
        <v>#REF!</v>
      </c>
      <c r="DM233" t="e">
        <f>AND(Bills!C938,"AAAAAGf+f3Q=")</f>
        <v>#VALUE!</v>
      </c>
      <c r="DN233" t="e">
        <f>AND(Bills!#REF!,"AAAAAGf+f3U=")</f>
        <v>#REF!</v>
      </c>
      <c r="DO233" t="e">
        <f>AND(Bills!#REF!,"AAAAAGf+f3Y=")</f>
        <v>#REF!</v>
      </c>
      <c r="DP233" t="e">
        <f>AND(Bills!#REF!,"AAAAAGf+f3c=")</f>
        <v>#REF!</v>
      </c>
      <c r="DQ233" t="e">
        <f>AND(Bills!#REF!,"AAAAAGf+f3g=")</f>
        <v>#REF!</v>
      </c>
      <c r="DR233" t="e">
        <f>AND(Bills!#REF!,"AAAAAGf+f3k=")</f>
        <v>#REF!</v>
      </c>
      <c r="DS233" t="e">
        <f>AND(Bills!D938,"AAAAAGf+f3o=")</f>
        <v>#VALUE!</v>
      </c>
      <c r="DT233" t="e">
        <f>AND(Bills!#REF!,"AAAAAGf+f3s=")</f>
        <v>#REF!</v>
      </c>
      <c r="DU233" t="e">
        <f>AND(Bills!E938,"AAAAAGf+f3w=")</f>
        <v>#VALUE!</v>
      </c>
      <c r="DV233" t="e">
        <f>AND(Bills!F938,"AAAAAGf+f30=")</f>
        <v>#VALUE!</v>
      </c>
      <c r="DW233" t="e">
        <f>AND(Bills!G938,"AAAAAGf+f34=")</f>
        <v>#VALUE!</v>
      </c>
      <c r="DX233" t="e">
        <f>AND(Bills!H938,"AAAAAGf+f38=")</f>
        <v>#VALUE!</v>
      </c>
      <c r="DY233" t="e">
        <f>AND(Bills!I938,"AAAAAGf+f4A=")</f>
        <v>#VALUE!</v>
      </c>
      <c r="DZ233" t="e">
        <f>AND(Bills!J938,"AAAAAGf+f4E=")</f>
        <v>#VALUE!</v>
      </c>
      <c r="EA233" t="e">
        <f>AND(Bills!#REF!,"AAAAAGf+f4I=")</f>
        <v>#REF!</v>
      </c>
      <c r="EB233" t="e">
        <f>AND(Bills!K938,"AAAAAGf+f4M=")</f>
        <v>#VALUE!</v>
      </c>
      <c r="EC233" t="e">
        <f>AND(Bills!L938,"AAAAAGf+f4Q=")</f>
        <v>#VALUE!</v>
      </c>
      <c r="ED233" t="e">
        <f>AND(Bills!M938,"AAAAAGf+f4U=")</f>
        <v>#VALUE!</v>
      </c>
      <c r="EE233" t="e">
        <f>AND(Bills!N938,"AAAAAGf+f4Y=")</f>
        <v>#VALUE!</v>
      </c>
      <c r="EF233" t="e">
        <f>AND(Bills!O938,"AAAAAGf+f4c=")</f>
        <v>#VALUE!</v>
      </c>
      <c r="EG233" t="e">
        <f>AND(Bills!P938,"AAAAAGf+f4g=")</f>
        <v>#VALUE!</v>
      </c>
      <c r="EH233" t="e">
        <f>AND(Bills!Q938,"AAAAAGf+f4k=")</f>
        <v>#VALUE!</v>
      </c>
      <c r="EI233" t="e">
        <f>AND(Bills!R938,"AAAAAGf+f4o=")</f>
        <v>#VALUE!</v>
      </c>
      <c r="EJ233" t="e">
        <f>AND(Bills!#REF!,"AAAAAGf+f4s=")</f>
        <v>#REF!</v>
      </c>
      <c r="EK233" t="e">
        <f>AND(Bills!S938,"AAAAAGf+f4w=")</f>
        <v>#VALUE!</v>
      </c>
      <c r="EL233" t="e">
        <f>AND(Bills!T938,"AAAAAGf+f40=")</f>
        <v>#VALUE!</v>
      </c>
      <c r="EM233" t="e">
        <f>AND(Bills!U938,"AAAAAGf+f44=")</f>
        <v>#VALUE!</v>
      </c>
      <c r="EN233" t="e">
        <f>AND(Bills!#REF!,"AAAAAGf+f48=")</f>
        <v>#REF!</v>
      </c>
      <c r="EO233" t="e">
        <f>AND(Bills!#REF!,"AAAAAGf+f5A=")</f>
        <v>#REF!</v>
      </c>
      <c r="EP233" t="e">
        <f>AND(Bills!W938,"AAAAAGf+f5E=")</f>
        <v>#VALUE!</v>
      </c>
      <c r="EQ233" t="e">
        <f>AND(Bills!X938,"AAAAAGf+f5I=")</f>
        <v>#VALUE!</v>
      </c>
      <c r="ER233" t="e">
        <f>AND(Bills!#REF!,"AAAAAGf+f5M=")</f>
        <v>#REF!</v>
      </c>
      <c r="ES233" t="e">
        <f>AND(Bills!#REF!,"AAAAAGf+f5Q=")</f>
        <v>#REF!</v>
      </c>
      <c r="ET233" t="e">
        <f>AND(Bills!#REF!,"AAAAAGf+f5U=")</f>
        <v>#REF!</v>
      </c>
      <c r="EU233" t="e">
        <f>AND(Bills!#REF!,"AAAAAGf+f5Y=")</f>
        <v>#REF!</v>
      </c>
      <c r="EV233" t="e">
        <f>AND(Bills!#REF!,"AAAAAGf+f5c=")</f>
        <v>#REF!</v>
      </c>
      <c r="EW233" t="e">
        <f>AND(Bills!#REF!,"AAAAAGf+f5g=")</f>
        <v>#REF!</v>
      </c>
      <c r="EX233" t="e">
        <f>AND(Bills!#REF!,"AAAAAGf+f5k=")</f>
        <v>#REF!</v>
      </c>
      <c r="EY233" t="e">
        <f>AND(Bills!#REF!,"AAAAAGf+f5o=")</f>
        <v>#REF!</v>
      </c>
      <c r="EZ233" t="e">
        <f>AND(Bills!#REF!,"AAAAAGf+f5s=")</f>
        <v>#REF!</v>
      </c>
      <c r="FA233" t="e">
        <f>AND(Bills!Y938,"AAAAAGf+f5w=")</f>
        <v>#VALUE!</v>
      </c>
      <c r="FB233" t="e">
        <f>AND(Bills!Z938,"AAAAAGf+f50=")</f>
        <v>#VALUE!</v>
      </c>
      <c r="FC233" t="e">
        <f>AND(Bills!#REF!,"AAAAAGf+f54=")</f>
        <v>#REF!</v>
      </c>
      <c r="FD233" t="e">
        <f>AND(Bills!#REF!,"AAAAAGf+f58=")</f>
        <v>#REF!</v>
      </c>
      <c r="FE233" t="e">
        <f>AND(Bills!#REF!,"AAAAAGf+f6A=")</f>
        <v>#REF!</v>
      </c>
      <c r="FF233" t="e">
        <f>AND(Bills!AA938,"AAAAAGf+f6E=")</f>
        <v>#VALUE!</v>
      </c>
      <c r="FG233" t="e">
        <f>AND(Bills!AB938,"AAAAAGf+f6I=")</f>
        <v>#VALUE!</v>
      </c>
      <c r="FH233" t="e">
        <f>AND(Bills!#REF!,"AAAAAGf+f6M=")</f>
        <v>#REF!</v>
      </c>
      <c r="FI233">
        <f>IF(Bills!939:939,"AAAAAGf+f6Q=",0)</f>
        <v>0</v>
      </c>
      <c r="FJ233" t="e">
        <f>AND(Bills!B939,"AAAAAGf+f6U=")</f>
        <v>#VALUE!</v>
      </c>
      <c r="FK233" t="e">
        <f>AND(Bills!#REF!,"AAAAAGf+f6Y=")</f>
        <v>#REF!</v>
      </c>
      <c r="FL233" t="e">
        <f>AND(Bills!C939,"AAAAAGf+f6c=")</f>
        <v>#VALUE!</v>
      </c>
      <c r="FM233" t="e">
        <f>AND(Bills!#REF!,"AAAAAGf+f6g=")</f>
        <v>#REF!</v>
      </c>
      <c r="FN233" t="e">
        <f>AND(Bills!#REF!,"AAAAAGf+f6k=")</f>
        <v>#REF!</v>
      </c>
      <c r="FO233" t="e">
        <f>AND(Bills!#REF!,"AAAAAGf+f6o=")</f>
        <v>#REF!</v>
      </c>
      <c r="FP233" t="e">
        <f>AND(Bills!#REF!,"AAAAAGf+f6s=")</f>
        <v>#REF!</v>
      </c>
      <c r="FQ233" t="e">
        <f>AND(Bills!#REF!,"AAAAAGf+f6w=")</f>
        <v>#REF!</v>
      </c>
      <c r="FR233" t="e">
        <f>AND(Bills!D939,"AAAAAGf+f60=")</f>
        <v>#VALUE!</v>
      </c>
      <c r="FS233" t="e">
        <f>AND(Bills!#REF!,"AAAAAGf+f64=")</f>
        <v>#REF!</v>
      </c>
      <c r="FT233" t="e">
        <f>AND(Bills!E939,"AAAAAGf+f68=")</f>
        <v>#VALUE!</v>
      </c>
      <c r="FU233" t="e">
        <f>AND(Bills!F939,"AAAAAGf+f7A=")</f>
        <v>#VALUE!</v>
      </c>
      <c r="FV233" t="e">
        <f>AND(Bills!G939,"AAAAAGf+f7E=")</f>
        <v>#VALUE!</v>
      </c>
      <c r="FW233" t="e">
        <f>AND(Bills!H939,"AAAAAGf+f7I=")</f>
        <v>#VALUE!</v>
      </c>
      <c r="FX233" t="e">
        <f>AND(Bills!I939,"AAAAAGf+f7M=")</f>
        <v>#VALUE!</v>
      </c>
      <c r="FY233" t="e">
        <f>AND(Bills!J939,"AAAAAGf+f7Q=")</f>
        <v>#VALUE!</v>
      </c>
      <c r="FZ233" t="e">
        <f>AND(Bills!#REF!,"AAAAAGf+f7U=")</f>
        <v>#REF!</v>
      </c>
      <c r="GA233" t="e">
        <f>AND(Bills!K939,"AAAAAGf+f7Y=")</f>
        <v>#VALUE!</v>
      </c>
      <c r="GB233" t="e">
        <f>AND(Bills!L939,"AAAAAGf+f7c=")</f>
        <v>#VALUE!</v>
      </c>
      <c r="GC233" t="e">
        <f>AND(Bills!M939,"AAAAAGf+f7g=")</f>
        <v>#VALUE!</v>
      </c>
      <c r="GD233" t="e">
        <f>AND(Bills!N939,"AAAAAGf+f7k=")</f>
        <v>#VALUE!</v>
      </c>
      <c r="GE233" t="e">
        <f>AND(Bills!O939,"AAAAAGf+f7o=")</f>
        <v>#VALUE!</v>
      </c>
      <c r="GF233" t="e">
        <f>AND(Bills!P939,"AAAAAGf+f7s=")</f>
        <v>#VALUE!</v>
      </c>
      <c r="GG233" t="e">
        <f>AND(Bills!Q939,"AAAAAGf+f7w=")</f>
        <v>#VALUE!</v>
      </c>
      <c r="GH233" t="e">
        <f>AND(Bills!R939,"AAAAAGf+f70=")</f>
        <v>#VALUE!</v>
      </c>
      <c r="GI233" t="e">
        <f>AND(Bills!#REF!,"AAAAAGf+f74=")</f>
        <v>#REF!</v>
      </c>
      <c r="GJ233" t="e">
        <f>AND(Bills!S939,"AAAAAGf+f78=")</f>
        <v>#VALUE!</v>
      </c>
      <c r="GK233" t="e">
        <f>AND(Bills!T939,"AAAAAGf+f8A=")</f>
        <v>#VALUE!</v>
      </c>
      <c r="GL233" t="e">
        <f>AND(Bills!U939,"AAAAAGf+f8E=")</f>
        <v>#VALUE!</v>
      </c>
      <c r="GM233" t="e">
        <f>AND(Bills!#REF!,"AAAAAGf+f8I=")</f>
        <v>#REF!</v>
      </c>
      <c r="GN233" t="e">
        <f>AND(Bills!#REF!,"AAAAAGf+f8M=")</f>
        <v>#REF!</v>
      </c>
      <c r="GO233" t="e">
        <f>AND(Bills!W939,"AAAAAGf+f8Q=")</f>
        <v>#VALUE!</v>
      </c>
      <c r="GP233" t="e">
        <f>AND(Bills!X939,"AAAAAGf+f8U=")</f>
        <v>#VALUE!</v>
      </c>
      <c r="GQ233" t="e">
        <f>AND(Bills!#REF!,"AAAAAGf+f8Y=")</f>
        <v>#REF!</v>
      </c>
      <c r="GR233" t="e">
        <f>AND(Bills!#REF!,"AAAAAGf+f8c=")</f>
        <v>#REF!</v>
      </c>
      <c r="GS233" t="e">
        <f>AND(Bills!#REF!,"AAAAAGf+f8g=")</f>
        <v>#REF!</v>
      </c>
      <c r="GT233" t="e">
        <f>AND(Bills!#REF!,"AAAAAGf+f8k=")</f>
        <v>#REF!</v>
      </c>
      <c r="GU233" t="e">
        <f>AND(Bills!#REF!,"AAAAAGf+f8o=")</f>
        <v>#REF!</v>
      </c>
      <c r="GV233" t="e">
        <f>AND(Bills!#REF!,"AAAAAGf+f8s=")</f>
        <v>#REF!</v>
      </c>
      <c r="GW233" t="e">
        <f>AND(Bills!#REF!,"AAAAAGf+f8w=")</f>
        <v>#REF!</v>
      </c>
      <c r="GX233" t="e">
        <f>AND(Bills!#REF!,"AAAAAGf+f80=")</f>
        <v>#REF!</v>
      </c>
      <c r="GY233" t="e">
        <f>AND(Bills!#REF!,"AAAAAGf+f84=")</f>
        <v>#REF!</v>
      </c>
      <c r="GZ233" t="e">
        <f>AND(Bills!Y939,"AAAAAGf+f88=")</f>
        <v>#VALUE!</v>
      </c>
      <c r="HA233" t="e">
        <f>AND(Bills!Z939,"AAAAAGf+f9A=")</f>
        <v>#VALUE!</v>
      </c>
      <c r="HB233" t="e">
        <f>AND(Bills!#REF!,"AAAAAGf+f9E=")</f>
        <v>#REF!</v>
      </c>
      <c r="HC233" t="e">
        <f>AND(Bills!#REF!,"AAAAAGf+f9I=")</f>
        <v>#REF!</v>
      </c>
      <c r="HD233" t="e">
        <f>AND(Bills!#REF!,"AAAAAGf+f9M=")</f>
        <v>#REF!</v>
      </c>
      <c r="HE233" t="e">
        <f>AND(Bills!AA939,"AAAAAGf+f9Q=")</f>
        <v>#VALUE!</v>
      </c>
      <c r="HF233" t="e">
        <f>AND(Bills!AB939,"AAAAAGf+f9U=")</f>
        <v>#VALUE!</v>
      </c>
      <c r="HG233" t="e">
        <f>AND(Bills!#REF!,"AAAAAGf+f9Y=")</f>
        <v>#REF!</v>
      </c>
      <c r="HH233">
        <f>IF(Bills!940:940,"AAAAAGf+f9c=",0)</f>
        <v>0</v>
      </c>
      <c r="HI233" t="e">
        <f>AND(Bills!B940,"AAAAAGf+f9g=")</f>
        <v>#VALUE!</v>
      </c>
      <c r="HJ233" t="e">
        <f>AND(Bills!#REF!,"AAAAAGf+f9k=")</f>
        <v>#REF!</v>
      </c>
      <c r="HK233" t="e">
        <f>AND(Bills!C940,"AAAAAGf+f9o=")</f>
        <v>#VALUE!</v>
      </c>
      <c r="HL233" t="e">
        <f>AND(Bills!#REF!,"AAAAAGf+f9s=")</f>
        <v>#REF!</v>
      </c>
      <c r="HM233" t="e">
        <f>AND(Bills!#REF!,"AAAAAGf+f9w=")</f>
        <v>#REF!</v>
      </c>
      <c r="HN233" t="e">
        <f>AND(Bills!#REF!,"AAAAAGf+f90=")</f>
        <v>#REF!</v>
      </c>
      <c r="HO233" t="e">
        <f>AND(Bills!#REF!,"AAAAAGf+f94=")</f>
        <v>#REF!</v>
      </c>
      <c r="HP233" t="e">
        <f>AND(Bills!#REF!,"AAAAAGf+f98=")</f>
        <v>#REF!</v>
      </c>
      <c r="HQ233" t="e">
        <f>AND(Bills!D940,"AAAAAGf+f+A=")</f>
        <v>#VALUE!</v>
      </c>
      <c r="HR233" t="e">
        <f>AND(Bills!#REF!,"AAAAAGf+f+E=")</f>
        <v>#REF!</v>
      </c>
      <c r="HS233" t="e">
        <f>AND(Bills!E940,"AAAAAGf+f+I=")</f>
        <v>#VALUE!</v>
      </c>
      <c r="HT233" t="e">
        <f>AND(Bills!F940,"AAAAAGf+f+M=")</f>
        <v>#VALUE!</v>
      </c>
      <c r="HU233" t="e">
        <f>AND(Bills!G940,"AAAAAGf+f+Q=")</f>
        <v>#VALUE!</v>
      </c>
      <c r="HV233" t="e">
        <f>AND(Bills!H940,"AAAAAGf+f+U=")</f>
        <v>#VALUE!</v>
      </c>
      <c r="HW233" t="e">
        <f>AND(Bills!I940,"AAAAAGf+f+Y=")</f>
        <v>#VALUE!</v>
      </c>
      <c r="HX233" t="e">
        <f>AND(Bills!J940,"AAAAAGf+f+c=")</f>
        <v>#VALUE!</v>
      </c>
      <c r="HY233" t="e">
        <f>AND(Bills!#REF!,"AAAAAGf+f+g=")</f>
        <v>#REF!</v>
      </c>
      <c r="HZ233" t="e">
        <f>AND(Bills!K940,"AAAAAGf+f+k=")</f>
        <v>#VALUE!</v>
      </c>
      <c r="IA233" t="e">
        <f>AND(Bills!L940,"AAAAAGf+f+o=")</f>
        <v>#VALUE!</v>
      </c>
      <c r="IB233" t="e">
        <f>AND(Bills!M940,"AAAAAGf+f+s=")</f>
        <v>#VALUE!</v>
      </c>
      <c r="IC233" t="e">
        <f>AND(Bills!N940,"AAAAAGf+f+w=")</f>
        <v>#VALUE!</v>
      </c>
      <c r="ID233" t="e">
        <f>AND(Bills!O940,"AAAAAGf+f+0=")</f>
        <v>#VALUE!</v>
      </c>
      <c r="IE233" t="e">
        <f>AND(Bills!P940,"AAAAAGf+f+4=")</f>
        <v>#VALUE!</v>
      </c>
      <c r="IF233" t="e">
        <f>AND(Bills!Q940,"AAAAAGf+f+8=")</f>
        <v>#VALUE!</v>
      </c>
      <c r="IG233" t="e">
        <f>AND(Bills!R940,"AAAAAGf+f/A=")</f>
        <v>#VALUE!</v>
      </c>
      <c r="IH233" t="e">
        <f>AND(Bills!#REF!,"AAAAAGf+f/E=")</f>
        <v>#REF!</v>
      </c>
      <c r="II233" t="e">
        <f>AND(Bills!S940,"AAAAAGf+f/I=")</f>
        <v>#VALUE!</v>
      </c>
      <c r="IJ233" t="e">
        <f>AND(Bills!T940,"AAAAAGf+f/M=")</f>
        <v>#VALUE!</v>
      </c>
      <c r="IK233" t="e">
        <f>AND(Bills!U940,"AAAAAGf+f/Q=")</f>
        <v>#VALUE!</v>
      </c>
      <c r="IL233" t="e">
        <f>AND(Bills!#REF!,"AAAAAGf+f/U=")</f>
        <v>#REF!</v>
      </c>
      <c r="IM233" t="e">
        <f>AND(Bills!#REF!,"AAAAAGf+f/Y=")</f>
        <v>#REF!</v>
      </c>
      <c r="IN233" t="e">
        <f>AND(Bills!W940,"AAAAAGf+f/c=")</f>
        <v>#VALUE!</v>
      </c>
      <c r="IO233" t="e">
        <f>AND(Bills!X940,"AAAAAGf+f/g=")</f>
        <v>#VALUE!</v>
      </c>
      <c r="IP233" t="e">
        <f>AND(Bills!#REF!,"AAAAAGf+f/k=")</f>
        <v>#REF!</v>
      </c>
      <c r="IQ233" t="e">
        <f>AND(Bills!#REF!,"AAAAAGf+f/o=")</f>
        <v>#REF!</v>
      </c>
      <c r="IR233" t="e">
        <f>AND(Bills!#REF!,"AAAAAGf+f/s=")</f>
        <v>#REF!</v>
      </c>
      <c r="IS233" t="e">
        <f>AND(Bills!#REF!,"AAAAAGf+f/w=")</f>
        <v>#REF!</v>
      </c>
      <c r="IT233" t="e">
        <f>AND(Bills!#REF!,"AAAAAGf+f/0=")</f>
        <v>#REF!</v>
      </c>
      <c r="IU233" t="e">
        <f>AND(Bills!#REF!,"AAAAAGf+f/4=")</f>
        <v>#REF!</v>
      </c>
      <c r="IV233" t="e">
        <f>AND(Bills!#REF!,"AAAAAGf+f/8=")</f>
        <v>#REF!</v>
      </c>
    </row>
    <row r="234" spans="1:256">
      <c r="A234" t="e">
        <f>AND(Bills!#REF!,"AAAAAG/51wA=")</f>
        <v>#REF!</v>
      </c>
      <c r="B234" t="e">
        <f>AND(Bills!#REF!,"AAAAAG/51wE=")</f>
        <v>#REF!</v>
      </c>
      <c r="C234" t="e">
        <f>AND(Bills!Y940,"AAAAAG/51wI=")</f>
        <v>#VALUE!</v>
      </c>
      <c r="D234" t="e">
        <f>AND(Bills!Z940,"AAAAAG/51wM=")</f>
        <v>#VALUE!</v>
      </c>
      <c r="E234" t="e">
        <f>AND(Bills!#REF!,"AAAAAG/51wQ=")</f>
        <v>#REF!</v>
      </c>
      <c r="F234" t="e">
        <f>AND(Bills!#REF!,"AAAAAG/51wU=")</f>
        <v>#REF!</v>
      </c>
      <c r="G234" t="e">
        <f>AND(Bills!#REF!,"AAAAAG/51wY=")</f>
        <v>#REF!</v>
      </c>
      <c r="H234" t="e">
        <f>AND(Bills!AA940,"AAAAAG/51wc=")</f>
        <v>#VALUE!</v>
      </c>
      <c r="I234" t="e">
        <f>AND(Bills!AB940,"AAAAAG/51wg=")</f>
        <v>#VALUE!</v>
      </c>
      <c r="J234" t="e">
        <f>AND(Bills!#REF!,"AAAAAG/51wk=")</f>
        <v>#REF!</v>
      </c>
      <c r="K234">
        <f>IF(Bills!941:941,"AAAAAG/51wo=",0)</f>
        <v>0</v>
      </c>
      <c r="L234" t="e">
        <f>AND(Bills!B941,"AAAAAG/51ws=")</f>
        <v>#VALUE!</v>
      </c>
      <c r="M234" t="e">
        <f>AND(Bills!#REF!,"AAAAAG/51ww=")</f>
        <v>#REF!</v>
      </c>
      <c r="N234" t="e">
        <f>AND(Bills!C941,"AAAAAG/51w0=")</f>
        <v>#VALUE!</v>
      </c>
      <c r="O234" t="e">
        <f>AND(Bills!#REF!,"AAAAAG/51w4=")</f>
        <v>#REF!</v>
      </c>
      <c r="P234" t="e">
        <f>AND(Bills!#REF!,"AAAAAG/51w8=")</f>
        <v>#REF!</v>
      </c>
      <c r="Q234" t="e">
        <f>AND(Bills!#REF!,"AAAAAG/51xA=")</f>
        <v>#REF!</v>
      </c>
      <c r="R234" t="e">
        <f>AND(Bills!#REF!,"AAAAAG/51xE=")</f>
        <v>#REF!</v>
      </c>
      <c r="S234" t="e">
        <f>AND(Bills!#REF!,"AAAAAG/51xI=")</f>
        <v>#REF!</v>
      </c>
      <c r="T234" t="e">
        <f>AND(Bills!D941,"AAAAAG/51xM=")</f>
        <v>#VALUE!</v>
      </c>
      <c r="U234" t="e">
        <f>AND(Bills!#REF!,"AAAAAG/51xQ=")</f>
        <v>#REF!</v>
      </c>
      <c r="V234" t="e">
        <f>AND(Bills!E941,"AAAAAG/51xU=")</f>
        <v>#VALUE!</v>
      </c>
      <c r="W234" t="e">
        <f>AND(Bills!F941,"AAAAAG/51xY=")</f>
        <v>#VALUE!</v>
      </c>
      <c r="X234" t="e">
        <f>AND(Bills!G941,"AAAAAG/51xc=")</f>
        <v>#VALUE!</v>
      </c>
      <c r="Y234" t="e">
        <f>AND(Bills!H941,"AAAAAG/51xg=")</f>
        <v>#VALUE!</v>
      </c>
      <c r="Z234" t="e">
        <f>AND(Bills!I941,"AAAAAG/51xk=")</f>
        <v>#VALUE!</v>
      </c>
      <c r="AA234" t="e">
        <f>AND(Bills!J941,"AAAAAG/51xo=")</f>
        <v>#VALUE!</v>
      </c>
      <c r="AB234" t="e">
        <f>AND(Bills!#REF!,"AAAAAG/51xs=")</f>
        <v>#REF!</v>
      </c>
      <c r="AC234" t="e">
        <f>AND(Bills!K941,"AAAAAG/51xw=")</f>
        <v>#VALUE!</v>
      </c>
      <c r="AD234" t="e">
        <f>AND(Bills!L941,"AAAAAG/51x0=")</f>
        <v>#VALUE!</v>
      </c>
      <c r="AE234" t="e">
        <f>AND(Bills!M941,"AAAAAG/51x4=")</f>
        <v>#VALUE!</v>
      </c>
      <c r="AF234" t="e">
        <f>AND(Bills!N941,"AAAAAG/51x8=")</f>
        <v>#VALUE!</v>
      </c>
      <c r="AG234" t="e">
        <f>AND(Bills!O941,"AAAAAG/51yA=")</f>
        <v>#VALUE!</v>
      </c>
      <c r="AH234" t="e">
        <f>AND(Bills!P941,"AAAAAG/51yE=")</f>
        <v>#VALUE!</v>
      </c>
      <c r="AI234" t="e">
        <f>AND(Bills!Q941,"AAAAAG/51yI=")</f>
        <v>#VALUE!</v>
      </c>
      <c r="AJ234" t="e">
        <f>AND(Bills!R941,"AAAAAG/51yM=")</f>
        <v>#VALUE!</v>
      </c>
      <c r="AK234" t="e">
        <f>AND(Bills!#REF!,"AAAAAG/51yQ=")</f>
        <v>#REF!</v>
      </c>
      <c r="AL234" t="e">
        <f>AND(Bills!S941,"AAAAAG/51yU=")</f>
        <v>#VALUE!</v>
      </c>
      <c r="AM234" t="e">
        <f>AND(Bills!T941,"AAAAAG/51yY=")</f>
        <v>#VALUE!</v>
      </c>
      <c r="AN234" t="e">
        <f>AND(Bills!U941,"AAAAAG/51yc=")</f>
        <v>#VALUE!</v>
      </c>
      <c r="AO234" t="e">
        <f>AND(Bills!#REF!,"AAAAAG/51yg=")</f>
        <v>#REF!</v>
      </c>
      <c r="AP234" t="e">
        <f>AND(Bills!#REF!,"AAAAAG/51yk=")</f>
        <v>#REF!</v>
      </c>
      <c r="AQ234" t="e">
        <f>AND(Bills!W941,"AAAAAG/51yo=")</f>
        <v>#VALUE!</v>
      </c>
      <c r="AR234" t="e">
        <f>AND(Bills!X941,"AAAAAG/51ys=")</f>
        <v>#VALUE!</v>
      </c>
      <c r="AS234" t="e">
        <f>AND(Bills!#REF!,"AAAAAG/51yw=")</f>
        <v>#REF!</v>
      </c>
      <c r="AT234" t="e">
        <f>AND(Bills!#REF!,"AAAAAG/51y0=")</f>
        <v>#REF!</v>
      </c>
      <c r="AU234" t="e">
        <f>AND(Bills!#REF!,"AAAAAG/51y4=")</f>
        <v>#REF!</v>
      </c>
      <c r="AV234" t="e">
        <f>AND(Bills!#REF!,"AAAAAG/51y8=")</f>
        <v>#REF!</v>
      </c>
      <c r="AW234" t="e">
        <f>AND(Bills!#REF!,"AAAAAG/51zA=")</f>
        <v>#REF!</v>
      </c>
      <c r="AX234" t="e">
        <f>AND(Bills!#REF!,"AAAAAG/51zE=")</f>
        <v>#REF!</v>
      </c>
      <c r="AY234" t="e">
        <f>AND(Bills!#REF!,"AAAAAG/51zI=")</f>
        <v>#REF!</v>
      </c>
      <c r="AZ234" t="e">
        <f>AND(Bills!#REF!,"AAAAAG/51zM=")</f>
        <v>#REF!</v>
      </c>
      <c r="BA234" t="e">
        <f>AND(Bills!#REF!,"AAAAAG/51zQ=")</f>
        <v>#REF!</v>
      </c>
      <c r="BB234" t="e">
        <f>AND(Bills!Y941,"AAAAAG/51zU=")</f>
        <v>#VALUE!</v>
      </c>
      <c r="BC234" t="e">
        <f>AND(Bills!Z941,"AAAAAG/51zY=")</f>
        <v>#VALUE!</v>
      </c>
      <c r="BD234" t="e">
        <f>AND(Bills!#REF!,"AAAAAG/51zc=")</f>
        <v>#REF!</v>
      </c>
      <c r="BE234" t="e">
        <f>AND(Bills!#REF!,"AAAAAG/51zg=")</f>
        <v>#REF!</v>
      </c>
      <c r="BF234" t="e">
        <f>AND(Bills!#REF!,"AAAAAG/51zk=")</f>
        <v>#REF!</v>
      </c>
      <c r="BG234" t="e">
        <f>AND(Bills!AA941,"AAAAAG/51zo=")</f>
        <v>#VALUE!</v>
      </c>
      <c r="BH234" t="e">
        <f>AND(Bills!AB941,"AAAAAG/51zs=")</f>
        <v>#VALUE!</v>
      </c>
      <c r="BI234" t="e">
        <f>AND(Bills!#REF!,"AAAAAG/51zw=")</f>
        <v>#REF!</v>
      </c>
      <c r="BJ234">
        <f>IF(Bills!942:942,"AAAAAG/51z0=",0)</f>
        <v>0</v>
      </c>
      <c r="BK234" t="e">
        <f>AND(Bills!B942,"AAAAAG/51z4=")</f>
        <v>#VALUE!</v>
      </c>
      <c r="BL234" t="e">
        <f>AND(Bills!#REF!,"AAAAAG/51z8=")</f>
        <v>#REF!</v>
      </c>
      <c r="BM234" t="e">
        <f>AND(Bills!C942,"AAAAAG/510A=")</f>
        <v>#VALUE!</v>
      </c>
      <c r="BN234" t="e">
        <f>AND(Bills!#REF!,"AAAAAG/510E=")</f>
        <v>#REF!</v>
      </c>
      <c r="BO234" t="e">
        <f>AND(Bills!#REF!,"AAAAAG/510I=")</f>
        <v>#REF!</v>
      </c>
      <c r="BP234" t="e">
        <f>AND(Bills!#REF!,"AAAAAG/510M=")</f>
        <v>#REF!</v>
      </c>
      <c r="BQ234" t="e">
        <f>AND(Bills!#REF!,"AAAAAG/510Q=")</f>
        <v>#REF!</v>
      </c>
      <c r="BR234" t="e">
        <f>AND(Bills!#REF!,"AAAAAG/510U=")</f>
        <v>#REF!</v>
      </c>
      <c r="BS234" t="e">
        <f>AND(Bills!D942,"AAAAAG/510Y=")</f>
        <v>#VALUE!</v>
      </c>
      <c r="BT234" t="e">
        <f>AND(Bills!#REF!,"AAAAAG/510c=")</f>
        <v>#REF!</v>
      </c>
      <c r="BU234" t="e">
        <f>AND(Bills!E942,"AAAAAG/510g=")</f>
        <v>#VALUE!</v>
      </c>
      <c r="BV234" t="e">
        <f>AND(Bills!F942,"AAAAAG/510k=")</f>
        <v>#VALUE!</v>
      </c>
      <c r="BW234" t="e">
        <f>AND(Bills!G942,"AAAAAG/510o=")</f>
        <v>#VALUE!</v>
      </c>
      <c r="BX234" t="e">
        <f>AND(Bills!H942,"AAAAAG/510s=")</f>
        <v>#VALUE!</v>
      </c>
      <c r="BY234" t="e">
        <f>AND(Bills!I942,"AAAAAG/510w=")</f>
        <v>#VALUE!</v>
      </c>
      <c r="BZ234" t="e">
        <f>AND(Bills!J942,"AAAAAG/5100=")</f>
        <v>#VALUE!</v>
      </c>
      <c r="CA234" t="e">
        <f>AND(Bills!#REF!,"AAAAAG/5104=")</f>
        <v>#REF!</v>
      </c>
      <c r="CB234" t="e">
        <f>AND(Bills!K942,"AAAAAG/5108=")</f>
        <v>#VALUE!</v>
      </c>
      <c r="CC234" t="e">
        <f>AND(Bills!L942,"AAAAAG/511A=")</f>
        <v>#VALUE!</v>
      </c>
      <c r="CD234" t="e">
        <f>AND(Bills!M942,"AAAAAG/511E=")</f>
        <v>#VALUE!</v>
      </c>
      <c r="CE234" t="e">
        <f>AND(Bills!N942,"AAAAAG/511I=")</f>
        <v>#VALUE!</v>
      </c>
      <c r="CF234" t="e">
        <f>AND(Bills!O942,"AAAAAG/511M=")</f>
        <v>#VALUE!</v>
      </c>
      <c r="CG234" t="e">
        <f>AND(Bills!P942,"AAAAAG/511Q=")</f>
        <v>#VALUE!</v>
      </c>
      <c r="CH234" t="e">
        <f>AND(Bills!Q942,"AAAAAG/511U=")</f>
        <v>#VALUE!</v>
      </c>
      <c r="CI234" t="e">
        <f>AND(Bills!R942,"AAAAAG/511Y=")</f>
        <v>#VALUE!</v>
      </c>
      <c r="CJ234" t="e">
        <f>AND(Bills!#REF!,"AAAAAG/511c=")</f>
        <v>#REF!</v>
      </c>
      <c r="CK234" t="e">
        <f>AND(Bills!S942,"AAAAAG/511g=")</f>
        <v>#VALUE!</v>
      </c>
      <c r="CL234" t="e">
        <f>AND(Bills!T942,"AAAAAG/511k=")</f>
        <v>#VALUE!</v>
      </c>
      <c r="CM234" t="e">
        <f>AND(Bills!U942,"AAAAAG/511o=")</f>
        <v>#VALUE!</v>
      </c>
      <c r="CN234" t="e">
        <f>AND(Bills!#REF!,"AAAAAG/511s=")</f>
        <v>#REF!</v>
      </c>
      <c r="CO234" t="e">
        <f>AND(Bills!#REF!,"AAAAAG/511w=")</f>
        <v>#REF!</v>
      </c>
      <c r="CP234" t="e">
        <f>AND(Bills!W942,"AAAAAG/5110=")</f>
        <v>#VALUE!</v>
      </c>
      <c r="CQ234" t="e">
        <f>AND(Bills!X942,"AAAAAG/5114=")</f>
        <v>#VALUE!</v>
      </c>
      <c r="CR234" t="e">
        <f>AND(Bills!#REF!,"AAAAAG/5118=")</f>
        <v>#REF!</v>
      </c>
      <c r="CS234" t="e">
        <f>AND(Bills!#REF!,"AAAAAG/512A=")</f>
        <v>#REF!</v>
      </c>
      <c r="CT234" t="e">
        <f>AND(Bills!#REF!,"AAAAAG/512E=")</f>
        <v>#REF!</v>
      </c>
      <c r="CU234" t="e">
        <f>AND(Bills!#REF!,"AAAAAG/512I=")</f>
        <v>#REF!</v>
      </c>
      <c r="CV234" t="e">
        <f>AND(Bills!#REF!,"AAAAAG/512M=")</f>
        <v>#REF!</v>
      </c>
      <c r="CW234" t="e">
        <f>AND(Bills!#REF!,"AAAAAG/512Q=")</f>
        <v>#REF!</v>
      </c>
      <c r="CX234" t="e">
        <f>AND(Bills!#REF!,"AAAAAG/512U=")</f>
        <v>#REF!</v>
      </c>
      <c r="CY234" t="e">
        <f>AND(Bills!#REF!,"AAAAAG/512Y=")</f>
        <v>#REF!</v>
      </c>
      <c r="CZ234" t="e">
        <f>AND(Bills!#REF!,"AAAAAG/512c=")</f>
        <v>#REF!</v>
      </c>
      <c r="DA234" t="e">
        <f>AND(Bills!Y942,"AAAAAG/512g=")</f>
        <v>#VALUE!</v>
      </c>
      <c r="DB234" t="e">
        <f>AND(Bills!Z942,"AAAAAG/512k=")</f>
        <v>#VALUE!</v>
      </c>
      <c r="DC234" t="e">
        <f>AND(Bills!#REF!,"AAAAAG/512o=")</f>
        <v>#REF!</v>
      </c>
      <c r="DD234" t="e">
        <f>AND(Bills!#REF!,"AAAAAG/512s=")</f>
        <v>#REF!</v>
      </c>
      <c r="DE234" t="e">
        <f>AND(Bills!#REF!,"AAAAAG/512w=")</f>
        <v>#REF!</v>
      </c>
      <c r="DF234" t="e">
        <f>AND(Bills!AA942,"AAAAAG/5120=")</f>
        <v>#VALUE!</v>
      </c>
      <c r="DG234" t="e">
        <f>AND(Bills!AB942,"AAAAAG/5124=")</f>
        <v>#VALUE!</v>
      </c>
      <c r="DH234" t="e">
        <f>AND(Bills!#REF!,"AAAAAG/5128=")</f>
        <v>#REF!</v>
      </c>
      <c r="DI234">
        <f>IF(Bills!943:943,"AAAAAG/513A=",0)</f>
        <v>0</v>
      </c>
      <c r="DJ234" t="e">
        <f>AND(Bills!B943,"AAAAAG/513E=")</f>
        <v>#VALUE!</v>
      </c>
      <c r="DK234" t="e">
        <f>AND(Bills!#REF!,"AAAAAG/513I=")</f>
        <v>#REF!</v>
      </c>
      <c r="DL234" t="e">
        <f>AND(Bills!C943,"AAAAAG/513M=")</f>
        <v>#VALUE!</v>
      </c>
      <c r="DM234" t="e">
        <f>AND(Bills!#REF!,"AAAAAG/513Q=")</f>
        <v>#REF!</v>
      </c>
      <c r="DN234" t="e">
        <f>AND(Bills!#REF!,"AAAAAG/513U=")</f>
        <v>#REF!</v>
      </c>
      <c r="DO234" t="e">
        <f>AND(Bills!#REF!,"AAAAAG/513Y=")</f>
        <v>#REF!</v>
      </c>
      <c r="DP234" t="e">
        <f>AND(Bills!#REF!,"AAAAAG/513c=")</f>
        <v>#REF!</v>
      </c>
      <c r="DQ234" t="e">
        <f>AND(Bills!#REF!,"AAAAAG/513g=")</f>
        <v>#REF!</v>
      </c>
      <c r="DR234" t="e">
        <f>AND(Bills!D943,"AAAAAG/513k=")</f>
        <v>#VALUE!</v>
      </c>
      <c r="DS234" t="e">
        <f>AND(Bills!#REF!,"AAAAAG/513o=")</f>
        <v>#REF!</v>
      </c>
      <c r="DT234" t="e">
        <f>AND(Bills!E943,"AAAAAG/513s=")</f>
        <v>#VALUE!</v>
      </c>
      <c r="DU234" t="e">
        <f>AND(Bills!F943,"AAAAAG/513w=")</f>
        <v>#VALUE!</v>
      </c>
      <c r="DV234" t="e">
        <f>AND(Bills!G943,"AAAAAG/5130=")</f>
        <v>#VALUE!</v>
      </c>
      <c r="DW234" t="e">
        <f>AND(Bills!H943,"AAAAAG/5134=")</f>
        <v>#VALUE!</v>
      </c>
      <c r="DX234" t="e">
        <f>AND(Bills!I943,"AAAAAG/5138=")</f>
        <v>#VALUE!</v>
      </c>
      <c r="DY234" t="e">
        <f>AND(Bills!J943,"AAAAAG/514A=")</f>
        <v>#VALUE!</v>
      </c>
      <c r="DZ234" t="e">
        <f>AND(Bills!#REF!,"AAAAAG/514E=")</f>
        <v>#REF!</v>
      </c>
      <c r="EA234" t="e">
        <f>AND(Bills!K943,"AAAAAG/514I=")</f>
        <v>#VALUE!</v>
      </c>
      <c r="EB234" t="e">
        <f>AND(Bills!L943,"AAAAAG/514M=")</f>
        <v>#VALUE!</v>
      </c>
      <c r="EC234" t="e">
        <f>AND(Bills!M943,"AAAAAG/514Q=")</f>
        <v>#VALUE!</v>
      </c>
      <c r="ED234" t="e">
        <f>AND(Bills!N943,"AAAAAG/514U=")</f>
        <v>#VALUE!</v>
      </c>
      <c r="EE234" t="e">
        <f>AND(Bills!O943,"AAAAAG/514Y=")</f>
        <v>#VALUE!</v>
      </c>
      <c r="EF234" t="e">
        <f>AND(Bills!P943,"AAAAAG/514c=")</f>
        <v>#VALUE!</v>
      </c>
      <c r="EG234" t="e">
        <f>AND(Bills!Q943,"AAAAAG/514g=")</f>
        <v>#VALUE!</v>
      </c>
      <c r="EH234" t="e">
        <f>AND(Bills!R943,"AAAAAG/514k=")</f>
        <v>#VALUE!</v>
      </c>
      <c r="EI234" t="e">
        <f>AND(Bills!#REF!,"AAAAAG/514o=")</f>
        <v>#REF!</v>
      </c>
      <c r="EJ234" t="e">
        <f>AND(Bills!S943,"AAAAAG/514s=")</f>
        <v>#VALUE!</v>
      </c>
      <c r="EK234" t="e">
        <f>AND(Bills!T943,"AAAAAG/514w=")</f>
        <v>#VALUE!</v>
      </c>
      <c r="EL234" t="e">
        <f>AND(Bills!U943,"AAAAAG/5140=")</f>
        <v>#VALUE!</v>
      </c>
      <c r="EM234" t="e">
        <f>AND(Bills!#REF!,"AAAAAG/5144=")</f>
        <v>#REF!</v>
      </c>
      <c r="EN234" t="e">
        <f>AND(Bills!#REF!,"AAAAAG/5148=")</f>
        <v>#REF!</v>
      </c>
      <c r="EO234" t="e">
        <f>AND(Bills!W943,"AAAAAG/515A=")</f>
        <v>#VALUE!</v>
      </c>
      <c r="EP234" t="e">
        <f>AND(Bills!X943,"AAAAAG/515E=")</f>
        <v>#VALUE!</v>
      </c>
      <c r="EQ234" t="e">
        <f>AND(Bills!#REF!,"AAAAAG/515I=")</f>
        <v>#REF!</v>
      </c>
      <c r="ER234" t="e">
        <f>AND(Bills!#REF!,"AAAAAG/515M=")</f>
        <v>#REF!</v>
      </c>
      <c r="ES234" t="e">
        <f>AND(Bills!#REF!,"AAAAAG/515Q=")</f>
        <v>#REF!</v>
      </c>
      <c r="ET234" t="e">
        <f>AND(Bills!#REF!,"AAAAAG/515U=")</f>
        <v>#REF!</v>
      </c>
      <c r="EU234" t="e">
        <f>AND(Bills!#REF!,"AAAAAG/515Y=")</f>
        <v>#REF!</v>
      </c>
      <c r="EV234" t="e">
        <f>AND(Bills!#REF!,"AAAAAG/515c=")</f>
        <v>#REF!</v>
      </c>
      <c r="EW234" t="e">
        <f>AND(Bills!#REF!,"AAAAAG/515g=")</f>
        <v>#REF!</v>
      </c>
      <c r="EX234" t="e">
        <f>AND(Bills!#REF!,"AAAAAG/515k=")</f>
        <v>#REF!</v>
      </c>
      <c r="EY234" t="e">
        <f>AND(Bills!#REF!,"AAAAAG/515o=")</f>
        <v>#REF!</v>
      </c>
      <c r="EZ234" t="e">
        <f>AND(Bills!Y943,"AAAAAG/515s=")</f>
        <v>#VALUE!</v>
      </c>
      <c r="FA234" t="e">
        <f>AND(Bills!Z943,"AAAAAG/515w=")</f>
        <v>#VALUE!</v>
      </c>
      <c r="FB234" t="e">
        <f>AND(Bills!#REF!,"AAAAAG/5150=")</f>
        <v>#REF!</v>
      </c>
      <c r="FC234" t="e">
        <f>AND(Bills!#REF!,"AAAAAG/5154=")</f>
        <v>#REF!</v>
      </c>
      <c r="FD234" t="e">
        <f>AND(Bills!#REF!,"AAAAAG/5158=")</f>
        <v>#REF!</v>
      </c>
      <c r="FE234" t="e">
        <f>AND(Bills!AA943,"AAAAAG/516A=")</f>
        <v>#VALUE!</v>
      </c>
      <c r="FF234" t="e">
        <f>AND(Bills!AB943,"AAAAAG/516E=")</f>
        <v>#VALUE!</v>
      </c>
      <c r="FG234" t="e">
        <f>AND(Bills!#REF!,"AAAAAG/516I=")</f>
        <v>#REF!</v>
      </c>
      <c r="FH234">
        <f>IF(Bills!944:944,"AAAAAG/516M=",0)</f>
        <v>0</v>
      </c>
      <c r="FI234" t="e">
        <f>AND(Bills!B944,"AAAAAG/516Q=")</f>
        <v>#VALUE!</v>
      </c>
      <c r="FJ234" t="e">
        <f>AND(Bills!#REF!,"AAAAAG/516U=")</f>
        <v>#REF!</v>
      </c>
      <c r="FK234" t="e">
        <f>AND(Bills!C944,"AAAAAG/516Y=")</f>
        <v>#VALUE!</v>
      </c>
      <c r="FL234" t="e">
        <f>AND(Bills!#REF!,"AAAAAG/516c=")</f>
        <v>#REF!</v>
      </c>
      <c r="FM234" t="e">
        <f>AND(Bills!#REF!,"AAAAAG/516g=")</f>
        <v>#REF!</v>
      </c>
      <c r="FN234" t="e">
        <f>AND(Bills!#REF!,"AAAAAG/516k=")</f>
        <v>#REF!</v>
      </c>
      <c r="FO234" t="e">
        <f>AND(Bills!#REF!,"AAAAAG/516o=")</f>
        <v>#REF!</v>
      </c>
      <c r="FP234" t="e">
        <f>AND(Bills!#REF!,"AAAAAG/516s=")</f>
        <v>#REF!</v>
      </c>
      <c r="FQ234" t="e">
        <f>AND(Bills!D944,"AAAAAG/516w=")</f>
        <v>#VALUE!</v>
      </c>
      <c r="FR234" t="e">
        <f>AND(Bills!#REF!,"AAAAAG/5160=")</f>
        <v>#REF!</v>
      </c>
      <c r="FS234" t="e">
        <f>AND(Bills!E944,"AAAAAG/5164=")</f>
        <v>#VALUE!</v>
      </c>
      <c r="FT234" t="e">
        <f>AND(Bills!F944,"AAAAAG/5168=")</f>
        <v>#VALUE!</v>
      </c>
      <c r="FU234" t="e">
        <f>AND(Bills!G944,"AAAAAG/517A=")</f>
        <v>#VALUE!</v>
      </c>
      <c r="FV234" t="e">
        <f>AND(Bills!H944,"AAAAAG/517E=")</f>
        <v>#VALUE!</v>
      </c>
      <c r="FW234" t="e">
        <f>AND(Bills!I944,"AAAAAG/517I=")</f>
        <v>#VALUE!</v>
      </c>
      <c r="FX234" t="e">
        <f>AND(Bills!J944,"AAAAAG/517M=")</f>
        <v>#VALUE!</v>
      </c>
      <c r="FY234" t="e">
        <f>AND(Bills!#REF!,"AAAAAG/517Q=")</f>
        <v>#REF!</v>
      </c>
      <c r="FZ234" t="e">
        <f>AND(Bills!K944,"AAAAAG/517U=")</f>
        <v>#VALUE!</v>
      </c>
      <c r="GA234" t="e">
        <f>AND(Bills!L944,"AAAAAG/517Y=")</f>
        <v>#VALUE!</v>
      </c>
      <c r="GB234" t="e">
        <f>AND(Bills!M944,"AAAAAG/517c=")</f>
        <v>#VALUE!</v>
      </c>
      <c r="GC234" t="e">
        <f>AND(Bills!N944,"AAAAAG/517g=")</f>
        <v>#VALUE!</v>
      </c>
      <c r="GD234" t="e">
        <f>AND(Bills!O944,"AAAAAG/517k=")</f>
        <v>#VALUE!</v>
      </c>
      <c r="GE234" t="e">
        <f>AND(Bills!P944,"AAAAAG/517o=")</f>
        <v>#VALUE!</v>
      </c>
      <c r="GF234" t="e">
        <f>AND(Bills!Q944,"AAAAAG/517s=")</f>
        <v>#VALUE!</v>
      </c>
      <c r="GG234" t="e">
        <f>AND(Bills!R944,"AAAAAG/517w=")</f>
        <v>#VALUE!</v>
      </c>
      <c r="GH234" t="e">
        <f>AND(Bills!#REF!,"AAAAAG/5170=")</f>
        <v>#REF!</v>
      </c>
      <c r="GI234" t="e">
        <f>AND(Bills!S944,"AAAAAG/5174=")</f>
        <v>#VALUE!</v>
      </c>
      <c r="GJ234" t="e">
        <f>AND(Bills!T944,"AAAAAG/5178=")</f>
        <v>#VALUE!</v>
      </c>
      <c r="GK234" t="e">
        <f>AND(Bills!U944,"AAAAAG/518A=")</f>
        <v>#VALUE!</v>
      </c>
      <c r="GL234" t="e">
        <f>AND(Bills!#REF!,"AAAAAG/518E=")</f>
        <v>#REF!</v>
      </c>
      <c r="GM234" t="e">
        <f>AND(Bills!#REF!,"AAAAAG/518I=")</f>
        <v>#REF!</v>
      </c>
      <c r="GN234" t="e">
        <f>AND(Bills!W944,"AAAAAG/518M=")</f>
        <v>#VALUE!</v>
      </c>
      <c r="GO234" t="e">
        <f>AND(Bills!X944,"AAAAAG/518Q=")</f>
        <v>#VALUE!</v>
      </c>
      <c r="GP234" t="e">
        <f>AND(Bills!#REF!,"AAAAAG/518U=")</f>
        <v>#REF!</v>
      </c>
      <c r="GQ234" t="e">
        <f>AND(Bills!#REF!,"AAAAAG/518Y=")</f>
        <v>#REF!</v>
      </c>
      <c r="GR234" t="e">
        <f>AND(Bills!#REF!,"AAAAAG/518c=")</f>
        <v>#REF!</v>
      </c>
      <c r="GS234" t="e">
        <f>AND(Bills!#REF!,"AAAAAG/518g=")</f>
        <v>#REF!</v>
      </c>
      <c r="GT234" t="e">
        <f>AND(Bills!#REF!,"AAAAAG/518k=")</f>
        <v>#REF!</v>
      </c>
      <c r="GU234" t="e">
        <f>AND(Bills!#REF!,"AAAAAG/518o=")</f>
        <v>#REF!</v>
      </c>
      <c r="GV234" t="e">
        <f>AND(Bills!#REF!,"AAAAAG/518s=")</f>
        <v>#REF!</v>
      </c>
      <c r="GW234" t="e">
        <f>AND(Bills!#REF!,"AAAAAG/518w=")</f>
        <v>#REF!</v>
      </c>
      <c r="GX234" t="e">
        <f>AND(Bills!#REF!,"AAAAAG/5180=")</f>
        <v>#REF!</v>
      </c>
      <c r="GY234" t="e">
        <f>AND(Bills!Y944,"AAAAAG/5184=")</f>
        <v>#VALUE!</v>
      </c>
      <c r="GZ234" t="e">
        <f>AND(Bills!Z944,"AAAAAG/5188=")</f>
        <v>#VALUE!</v>
      </c>
      <c r="HA234" t="e">
        <f>AND(Bills!#REF!,"AAAAAG/519A=")</f>
        <v>#REF!</v>
      </c>
      <c r="HB234" t="e">
        <f>AND(Bills!#REF!,"AAAAAG/519E=")</f>
        <v>#REF!</v>
      </c>
      <c r="HC234" t="e">
        <f>AND(Bills!#REF!,"AAAAAG/519I=")</f>
        <v>#REF!</v>
      </c>
      <c r="HD234" t="e">
        <f>AND(Bills!AA944,"AAAAAG/519M=")</f>
        <v>#VALUE!</v>
      </c>
      <c r="HE234" t="e">
        <f>AND(Bills!AB944,"AAAAAG/519Q=")</f>
        <v>#VALUE!</v>
      </c>
      <c r="HF234" t="e">
        <f>AND(Bills!#REF!,"AAAAAG/519U=")</f>
        <v>#REF!</v>
      </c>
      <c r="HG234">
        <f>IF(Bills!945:945,"AAAAAG/519Y=",0)</f>
        <v>0</v>
      </c>
      <c r="HH234" t="e">
        <f>AND(Bills!B945,"AAAAAG/519c=")</f>
        <v>#VALUE!</v>
      </c>
      <c r="HI234" t="e">
        <f>AND(Bills!#REF!,"AAAAAG/519g=")</f>
        <v>#REF!</v>
      </c>
      <c r="HJ234" t="e">
        <f>AND(Bills!C945,"AAAAAG/519k=")</f>
        <v>#VALUE!</v>
      </c>
      <c r="HK234" t="e">
        <f>AND(Bills!#REF!,"AAAAAG/519o=")</f>
        <v>#REF!</v>
      </c>
      <c r="HL234" t="e">
        <f>AND(Bills!#REF!,"AAAAAG/519s=")</f>
        <v>#REF!</v>
      </c>
      <c r="HM234" t="e">
        <f>AND(Bills!#REF!,"AAAAAG/519w=")</f>
        <v>#REF!</v>
      </c>
      <c r="HN234" t="e">
        <f>AND(Bills!#REF!,"AAAAAG/5190=")</f>
        <v>#REF!</v>
      </c>
      <c r="HO234" t="e">
        <f>AND(Bills!#REF!,"AAAAAG/5194=")</f>
        <v>#REF!</v>
      </c>
      <c r="HP234" t="e">
        <f>AND(Bills!D945,"AAAAAG/5198=")</f>
        <v>#VALUE!</v>
      </c>
      <c r="HQ234" t="e">
        <f>AND(Bills!#REF!,"AAAAAG/51+A=")</f>
        <v>#REF!</v>
      </c>
      <c r="HR234" t="e">
        <f>AND(Bills!E945,"AAAAAG/51+E=")</f>
        <v>#VALUE!</v>
      </c>
      <c r="HS234" t="e">
        <f>AND(Bills!F945,"AAAAAG/51+I=")</f>
        <v>#VALUE!</v>
      </c>
      <c r="HT234" t="e">
        <f>AND(Bills!G945,"AAAAAG/51+M=")</f>
        <v>#VALUE!</v>
      </c>
      <c r="HU234" t="e">
        <f>AND(Bills!H945,"AAAAAG/51+Q=")</f>
        <v>#VALUE!</v>
      </c>
      <c r="HV234" t="e">
        <f>AND(Bills!I945,"AAAAAG/51+U=")</f>
        <v>#VALUE!</v>
      </c>
      <c r="HW234" t="e">
        <f>AND(Bills!J945,"AAAAAG/51+Y=")</f>
        <v>#VALUE!</v>
      </c>
      <c r="HX234" t="e">
        <f>AND(Bills!#REF!,"AAAAAG/51+c=")</f>
        <v>#REF!</v>
      </c>
      <c r="HY234" t="e">
        <f>AND(Bills!K945,"AAAAAG/51+g=")</f>
        <v>#VALUE!</v>
      </c>
      <c r="HZ234" t="e">
        <f>AND(Bills!L945,"AAAAAG/51+k=")</f>
        <v>#VALUE!</v>
      </c>
      <c r="IA234" t="e">
        <f>AND(Bills!M945,"AAAAAG/51+o=")</f>
        <v>#VALUE!</v>
      </c>
      <c r="IB234" t="e">
        <f>AND(Bills!N945,"AAAAAG/51+s=")</f>
        <v>#VALUE!</v>
      </c>
      <c r="IC234" t="e">
        <f>AND(Bills!O945,"AAAAAG/51+w=")</f>
        <v>#VALUE!</v>
      </c>
      <c r="ID234" t="e">
        <f>AND(Bills!P945,"AAAAAG/51+0=")</f>
        <v>#VALUE!</v>
      </c>
      <c r="IE234" t="e">
        <f>AND(Bills!Q945,"AAAAAG/51+4=")</f>
        <v>#VALUE!</v>
      </c>
      <c r="IF234" t="e">
        <f>AND(Bills!R945,"AAAAAG/51+8=")</f>
        <v>#VALUE!</v>
      </c>
      <c r="IG234" t="e">
        <f>AND(Bills!#REF!,"AAAAAG/51/A=")</f>
        <v>#REF!</v>
      </c>
      <c r="IH234" t="e">
        <f>AND(Bills!S945,"AAAAAG/51/E=")</f>
        <v>#VALUE!</v>
      </c>
      <c r="II234" t="e">
        <f>AND(Bills!T945,"AAAAAG/51/I=")</f>
        <v>#VALUE!</v>
      </c>
      <c r="IJ234" t="e">
        <f>AND(Bills!U945,"AAAAAG/51/M=")</f>
        <v>#VALUE!</v>
      </c>
      <c r="IK234" t="e">
        <f>AND(Bills!#REF!,"AAAAAG/51/Q=")</f>
        <v>#REF!</v>
      </c>
      <c r="IL234" t="e">
        <f>AND(Bills!#REF!,"AAAAAG/51/U=")</f>
        <v>#REF!</v>
      </c>
      <c r="IM234" t="e">
        <f>AND(Bills!W945,"AAAAAG/51/Y=")</f>
        <v>#VALUE!</v>
      </c>
      <c r="IN234" t="e">
        <f>AND(Bills!X945,"AAAAAG/51/c=")</f>
        <v>#VALUE!</v>
      </c>
      <c r="IO234" t="e">
        <f>AND(Bills!#REF!,"AAAAAG/51/g=")</f>
        <v>#REF!</v>
      </c>
      <c r="IP234" t="e">
        <f>AND(Bills!#REF!,"AAAAAG/51/k=")</f>
        <v>#REF!</v>
      </c>
      <c r="IQ234" t="e">
        <f>AND(Bills!#REF!,"AAAAAG/51/o=")</f>
        <v>#REF!</v>
      </c>
      <c r="IR234" t="e">
        <f>AND(Bills!#REF!,"AAAAAG/51/s=")</f>
        <v>#REF!</v>
      </c>
      <c r="IS234" t="e">
        <f>AND(Bills!#REF!,"AAAAAG/51/w=")</f>
        <v>#REF!</v>
      </c>
      <c r="IT234" t="e">
        <f>AND(Bills!#REF!,"AAAAAG/51/0=")</f>
        <v>#REF!</v>
      </c>
      <c r="IU234" t="e">
        <f>AND(Bills!#REF!,"AAAAAG/51/4=")</f>
        <v>#REF!</v>
      </c>
      <c r="IV234" t="e">
        <f>AND(Bills!#REF!,"AAAAAG/51/8=")</f>
        <v>#REF!</v>
      </c>
    </row>
    <row r="235" spans="1:256">
      <c r="A235" t="e">
        <f>AND(Bills!#REF!,"AAAAAH1cDgA=")</f>
        <v>#REF!</v>
      </c>
      <c r="B235" t="e">
        <f>AND(Bills!Y945,"AAAAAH1cDgE=")</f>
        <v>#VALUE!</v>
      </c>
      <c r="C235" t="e">
        <f>AND(Bills!Z945,"AAAAAH1cDgI=")</f>
        <v>#VALUE!</v>
      </c>
      <c r="D235" t="e">
        <f>AND(Bills!#REF!,"AAAAAH1cDgM=")</f>
        <v>#REF!</v>
      </c>
      <c r="E235" t="e">
        <f>AND(Bills!#REF!,"AAAAAH1cDgQ=")</f>
        <v>#REF!</v>
      </c>
      <c r="F235" t="e">
        <f>AND(Bills!#REF!,"AAAAAH1cDgU=")</f>
        <v>#REF!</v>
      </c>
      <c r="G235" t="e">
        <f>AND(Bills!AA945,"AAAAAH1cDgY=")</f>
        <v>#VALUE!</v>
      </c>
      <c r="H235" t="e">
        <f>AND(Bills!AB945,"AAAAAH1cDgc=")</f>
        <v>#VALUE!</v>
      </c>
      <c r="I235" t="e">
        <f>AND(Bills!#REF!,"AAAAAH1cDgg=")</f>
        <v>#REF!</v>
      </c>
      <c r="J235">
        <f>IF(Bills!946:946,"AAAAAH1cDgk=",0)</f>
        <v>0</v>
      </c>
      <c r="K235" t="e">
        <f>AND(Bills!B946,"AAAAAH1cDgo=")</f>
        <v>#VALUE!</v>
      </c>
      <c r="L235" t="e">
        <f>AND(Bills!#REF!,"AAAAAH1cDgs=")</f>
        <v>#REF!</v>
      </c>
      <c r="M235" t="e">
        <f>AND(Bills!C946,"AAAAAH1cDgw=")</f>
        <v>#VALUE!</v>
      </c>
      <c r="N235" t="e">
        <f>AND(Bills!#REF!,"AAAAAH1cDg0=")</f>
        <v>#REF!</v>
      </c>
      <c r="O235" t="e">
        <f>AND(Bills!#REF!,"AAAAAH1cDg4=")</f>
        <v>#REF!</v>
      </c>
      <c r="P235" t="e">
        <f>AND(Bills!#REF!,"AAAAAH1cDg8=")</f>
        <v>#REF!</v>
      </c>
      <c r="Q235" t="e">
        <f>AND(Bills!#REF!,"AAAAAH1cDhA=")</f>
        <v>#REF!</v>
      </c>
      <c r="R235" t="e">
        <f>AND(Bills!#REF!,"AAAAAH1cDhE=")</f>
        <v>#REF!</v>
      </c>
      <c r="S235" t="e">
        <f>AND(Bills!D946,"AAAAAH1cDhI=")</f>
        <v>#VALUE!</v>
      </c>
      <c r="T235" t="e">
        <f>AND(Bills!#REF!,"AAAAAH1cDhM=")</f>
        <v>#REF!</v>
      </c>
      <c r="U235" t="e">
        <f>AND(Bills!E946,"AAAAAH1cDhQ=")</f>
        <v>#VALUE!</v>
      </c>
      <c r="V235" t="e">
        <f>AND(Bills!F946,"AAAAAH1cDhU=")</f>
        <v>#VALUE!</v>
      </c>
      <c r="W235" t="e">
        <f>AND(Bills!G946,"AAAAAH1cDhY=")</f>
        <v>#VALUE!</v>
      </c>
      <c r="X235" t="e">
        <f>AND(Bills!H946,"AAAAAH1cDhc=")</f>
        <v>#VALUE!</v>
      </c>
      <c r="Y235" t="e">
        <f>AND(Bills!I946,"AAAAAH1cDhg=")</f>
        <v>#VALUE!</v>
      </c>
      <c r="Z235" t="e">
        <f>AND(Bills!J946,"AAAAAH1cDhk=")</f>
        <v>#VALUE!</v>
      </c>
      <c r="AA235" t="e">
        <f>AND(Bills!#REF!,"AAAAAH1cDho=")</f>
        <v>#REF!</v>
      </c>
      <c r="AB235" t="e">
        <f>AND(Bills!K946,"AAAAAH1cDhs=")</f>
        <v>#VALUE!</v>
      </c>
      <c r="AC235" t="e">
        <f>AND(Bills!L946,"AAAAAH1cDhw=")</f>
        <v>#VALUE!</v>
      </c>
      <c r="AD235" t="e">
        <f>AND(Bills!M946,"AAAAAH1cDh0=")</f>
        <v>#VALUE!</v>
      </c>
      <c r="AE235" t="e">
        <f>AND(Bills!N946,"AAAAAH1cDh4=")</f>
        <v>#VALUE!</v>
      </c>
      <c r="AF235" t="e">
        <f>AND(Bills!O946,"AAAAAH1cDh8=")</f>
        <v>#VALUE!</v>
      </c>
      <c r="AG235" t="e">
        <f>AND(Bills!P946,"AAAAAH1cDiA=")</f>
        <v>#VALUE!</v>
      </c>
      <c r="AH235" t="e">
        <f>AND(Bills!Q946,"AAAAAH1cDiE=")</f>
        <v>#VALUE!</v>
      </c>
      <c r="AI235" t="e">
        <f>AND(Bills!R946,"AAAAAH1cDiI=")</f>
        <v>#VALUE!</v>
      </c>
      <c r="AJ235" t="e">
        <f>AND(Bills!#REF!,"AAAAAH1cDiM=")</f>
        <v>#REF!</v>
      </c>
      <c r="AK235" t="e">
        <f>AND(Bills!S946,"AAAAAH1cDiQ=")</f>
        <v>#VALUE!</v>
      </c>
      <c r="AL235" t="e">
        <f>AND(Bills!T946,"AAAAAH1cDiU=")</f>
        <v>#VALUE!</v>
      </c>
      <c r="AM235" t="e">
        <f>AND(Bills!U946,"AAAAAH1cDiY=")</f>
        <v>#VALUE!</v>
      </c>
      <c r="AN235" t="e">
        <f>AND(Bills!#REF!,"AAAAAH1cDic=")</f>
        <v>#REF!</v>
      </c>
      <c r="AO235" t="e">
        <f>AND(Bills!#REF!,"AAAAAH1cDig=")</f>
        <v>#REF!</v>
      </c>
      <c r="AP235" t="e">
        <f>AND(Bills!W946,"AAAAAH1cDik=")</f>
        <v>#VALUE!</v>
      </c>
      <c r="AQ235" t="e">
        <f>AND(Bills!X946,"AAAAAH1cDio=")</f>
        <v>#VALUE!</v>
      </c>
      <c r="AR235" t="e">
        <f>AND(Bills!#REF!,"AAAAAH1cDis=")</f>
        <v>#REF!</v>
      </c>
      <c r="AS235" t="e">
        <f>AND(Bills!#REF!,"AAAAAH1cDiw=")</f>
        <v>#REF!</v>
      </c>
      <c r="AT235" t="e">
        <f>AND(Bills!#REF!,"AAAAAH1cDi0=")</f>
        <v>#REF!</v>
      </c>
      <c r="AU235" t="e">
        <f>AND(Bills!#REF!,"AAAAAH1cDi4=")</f>
        <v>#REF!</v>
      </c>
      <c r="AV235" t="e">
        <f>AND(Bills!#REF!,"AAAAAH1cDi8=")</f>
        <v>#REF!</v>
      </c>
      <c r="AW235" t="e">
        <f>AND(Bills!#REF!,"AAAAAH1cDjA=")</f>
        <v>#REF!</v>
      </c>
      <c r="AX235" t="e">
        <f>AND(Bills!#REF!,"AAAAAH1cDjE=")</f>
        <v>#REF!</v>
      </c>
      <c r="AY235" t="e">
        <f>AND(Bills!#REF!,"AAAAAH1cDjI=")</f>
        <v>#REF!</v>
      </c>
      <c r="AZ235" t="e">
        <f>AND(Bills!#REF!,"AAAAAH1cDjM=")</f>
        <v>#REF!</v>
      </c>
      <c r="BA235" t="e">
        <f>AND(Bills!Y946,"AAAAAH1cDjQ=")</f>
        <v>#VALUE!</v>
      </c>
      <c r="BB235" t="e">
        <f>AND(Bills!Z946,"AAAAAH1cDjU=")</f>
        <v>#VALUE!</v>
      </c>
      <c r="BC235" t="e">
        <f>AND(Bills!#REF!,"AAAAAH1cDjY=")</f>
        <v>#REF!</v>
      </c>
      <c r="BD235" t="e">
        <f>AND(Bills!#REF!,"AAAAAH1cDjc=")</f>
        <v>#REF!</v>
      </c>
      <c r="BE235" t="e">
        <f>AND(Bills!#REF!,"AAAAAH1cDjg=")</f>
        <v>#REF!</v>
      </c>
      <c r="BF235" t="e">
        <f>AND(Bills!AA946,"AAAAAH1cDjk=")</f>
        <v>#VALUE!</v>
      </c>
      <c r="BG235" t="e">
        <f>AND(Bills!AB946,"AAAAAH1cDjo=")</f>
        <v>#VALUE!</v>
      </c>
      <c r="BH235" t="e">
        <f>AND(Bills!#REF!,"AAAAAH1cDjs=")</f>
        <v>#REF!</v>
      </c>
      <c r="BI235">
        <f>IF(Bills!947:947,"AAAAAH1cDjw=",0)</f>
        <v>0</v>
      </c>
      <c r="BJ235" t="e">
        <f>AND(Bills!B947,"AAAAAH1cDj0=")</f>
        <v>#VALUE!</v>
      </c>
      <c r="BK235" t="e">
        <f>AND(Bills!#REF!,"AAAAAH1cDj4=")</f>
        <v>#REF!</v>
      </c>
      <c r="BL235" t="e">
        <f>AND(Bills!C947,"AAAAAH1cDj8=")</f>
        <v>#VALUE!</v>
      </c>
      <c r="BM235" t="e">
        <f>AND(Bills!#REF!,"AAAAAH1cDkA=")</f>
        <v>#REF!</v>
      </c>
      <c r="BN235" t="e">
        <f>AND(Bills!#REF!,"AAAAAH1cDkE=")</f>
        <v>#REF!</v>
      </c>
      <c r="BO235" t="e">
        <f>AND(Bills!#REF!,"AAAAAH1cDkI=")</f>
        <v>#REF!</v>
      </c>
      <c r="BP235" t="e">
        <f>AND(Bills!#REF!,"AAAAAH1cDkM=")</f>
        <v>#REF!</v>
      </c>
      <c r="BQ235" t="e">
        <f>AND(Bills!#REF!,"AAAAAH1cDkQ=")</f>
        <v>#REF!</v>
      </c>
      <c r="BR235" t="e">
        <f>AND(Bills!D947,"AAAAAH1cDkU=")</f>
        <v>#VALUE!</v>
      </c>
      <c r="BS235" t="e">
        <f>AND(Bills!#REF!,"AAAAAH1cDkY=")</f>
        <v>#REF!</v>
      </c>
      <c r="BT235" t="e">
        <f>AND(Bills!E947,"AAAAAH1cDkc=")</f>
        <v>#VALUE!</v>
      </c>
      <c r="BU235" t="e">
        <f>AND(Bills!F947,"AAAAAH1cDkg=")</f>
        <v>#VALUE!</v>
      </c>
      <c r="BV235" t="e">
        <f>AND(Bills!G947,"AAAAAH1cDkk=")</f>
        <v>#VALUE!</v>
      </c>
      <c r="BW235" t="e">
        <f>AND(Bills!H947,"AAAAAH1cDko=")</f>
        <v>#VALUE!</v>
      </c>
      <c r="BX235" t="e">
        <f>AND(Bills!I947,"AAAAAH1cDks=")</f>
        <v>#VALUE!</v>
      </c>
      <c r="BY235" t="e">
        <f>AND(Bills!J947,"AAAAAH1cDkw=")</f>
        <v>#VALUE!</v>
      </c>
      <c r="BZ235" t="e">
        <f>AND(Bills!#REF!,"AAAAAH1cDk0=")</f>
        <v>#REF!</v>
      </c>
      <c r="CA235" t="e">
        <f>AND(Bills!K947,"AAAAAH1cDk4=")</f>
        <v>#VALUE!</v>
      </c>
      <c r="CB235" t="e">
        <f>AND(Bills!L947,"AAAAAH1cDk8=")</f>
        <v>#VALUE!</v>
      </c>
      <c r="CC235" t="e">
        <f>AND(Bills!M947,"AAAAAH1cDlA=")</f>
        <v>#VALUE!</v>
      </c>
      <c r="CD235" t="e">
        <f>AND(Bills!N947,"AAAAAH1cDlE=")</f>
        <v>#VALUE!</v>
      </c>
      <c r="CE235" t="e">
        <f>AND(Bills!O947,"AAAAAH1cDlI=")</f>
        <v>#VALUE!</v>
      </c>
      <c r="CF235" t="e">
        <f>AND(Bills!P947,"AAAAAH1cDlM=")</f>
        <v>#VALUE!</v>
      </c>
      <c r="CG235" t="e">
        <f>AND(Bills!Q947,"AAAAAH1cDlQ=")</f>
        <v>#VALUE!</v>
      </c>
      <c r="CH235" t="e">
        <f>AND(Bills!R947,"AAAAAH1cDlU=")</f>
        <v>#VALUE!</v>
      </c>
      <c r="CI235" t="e">
        <f>AND(Bills!#REF!,"AAAAAH1cDlY=")</f>
        <v>#REF!</v>
      </c>
      <c r="CJ235" t="e">
        <f>AND(Bills!S947,"AAAAAH1cDlc=")</f>
        <v>#VALUE!</v>
      </c>
      <c r="CK235" t="e">
        <f>AND(Bills!T947,"AAAAAH1cDlg=")</f>
        <v>#VALUE!</v>
      </c>
      <c r="CL235" t="e">
        <f>AND(Bills!U947,"AAAAAH1cDlk=")</f>
        <v>#VALUE!</v>
      </c>
      <c r="CM235" t="e">
        <f>AND(Bills!#REF!,"AAAAAH1cDlo=")</f>
        <v>#REF!</v>
      </c>
      <c r="CN235" t="e">
        <f>AND(Bills!#REF!,"AAAAAH1cDls=")</f>
        <v>#REF!</v>
      </c>
      <c r="CO235" t="e">
        <f>AND(Bills!W947,"AAAAAH1cDlw=")</f>
        <v>#VALUE!</v>
      </c>
      <c r="CP235" t="e">
        <f>AND(Bills!X947,"AAAAAH1cDl0=")</f>
        <v>#VALUE!</v>
      </c>
      <c r="CQ235" t="e">
        <f>AND(Bills!#REF!,"AAAAAH1cDl4=")</f>
        <v>#REF!</v>
      </c>
      <c r="CR235" t="e">
        <f>AND(Bills!#REF!,"AAAAAH1cDl8=")</f>
        <v>#REF!</v>
      </c>
      <c r="CS235" t="e">
        <f>AND(Bills!#REF!,"AAAAAH1cDmA=")</f>
        <v>#REF!</v>
      </c>
      <c r="CT235" t="e">
        <f>AND(Bills!#REF!,"AAAAAH1cDmE=")</f>
        <v>#REF!</v>
      </c>
      <c r="CU235" t="e">
        <f>AND(Bills!#REF!,"AAAAAH1cDmI=")</f>
        <v>#REF!</v>
      </c>
      <c r="CV235" t="e">
        <f>AND(Bills!#REF!,"AAAAAH1cDmM=")</f>
        <v>#REF!</v>
      </c>
      <c r="CW235" t="e">
        <f>AND(Bills!#REF!,"AAAAAH1cDmQ=")</f>
        <v>#REF!</v>
      </c>
      <c r="CX235" t="e">
        <f>AND(Bills!#REF!,"AAAAAH1cDmU=")</f>
        <v>#REF!</v>
      </c>
      <c r="CY235" t="e">
        <f>AND(Bills!#REF!,"AAAAAH1cDmY=")</f>
        <v>#REF!</v>
      </c>
      <c r="CZ235" t="e">
        <f>AND(Bills!Y947,"AAAAAH1cDmc=")</f>
        <v>#VALUE!</v>
      </c>
      <c r="DA235" t="e">
        <f>AND(Bills!Z947,"AAAAAH1cDmg=")</f>
        <v>#VALUE!</v>
      </c>
      <c r="DB235" t="e">
        <f>AND(Bills!#REF!,"AAAAAH1cDmk=")</f>
        <v>#REF!</v>
      </c>
      <c r="DC235" t="e">
        <f>AND(Bills!#REF!,"AAAAAH1cDmo=")</f>
        <v>#REF!</v>
      </c>
      <c r="DD235" t="e">
        <f>AND(Bills!#REF!,"AAAAAH1cDms=")</f>
        <v>#REF!</v>
      </c>
      <c r="DE235" t="e">
        <f>AND(Bills!AA947,"AAAAAH1cDmw=")</f>
        <v>#VALUE!</v>
      </c>
      <c r="DF235" t="e">
        <f>AND(Bills!AB947,"AAAAAH1cDm0=")</f>
        <v>#VALUE!</v>
      </c>
      <c r="DG235" t="e">
        <f>AND(Bills!#REF!,"AAAAAH1cDm4=")</f>
        <v>#REF!</v>
      </c>
      <c r="DH235">
        <f>IF(Bills!948:948,"AAAAAH1cDm8=",0)</f>
        <v>0</v>
      </c>
      <c r="DI235" t="e">
        <f>AND(Bills!B948,"AAAAAH1cDnA=")</f>
        <v>#VALUE!</v>
      </c>
      <c r="DJ235" t="e">
        <f>AND(Bills!#REF!,"AAAAAH1cDnE=")</f>
        <v>#REF!</v>
      </c>
      <c r="DK235" t="e">
        <f>AND(Bills!C948,"AAAAAH1cDnI=")</f>
        <v>#VALUE!</v>
      </c>
      <c r="DL235" t="e">
        <f>AND(Bills!#REF!,"AAAAAH1cDnM=")</f>
        <v>#REF!</v>
      </c>
      <c r="DM235" t="e">
        <f>AND(Bills!#REF!,"AAAAAH1cDnQ=")</f>
        <v>#REF!</v>
      </c>
      <c r="DN235" t="e">
        <f>AND(Bills!#REF!,"AAAAAH1cDnU=")</f>
        <v>#REF!</v>
      </c>
      <c r="DO235" t="e">
        <f>AND(Bills!#REF!,"AAAAAH1cDnY=")</f>
        <v>#REF!</v>
      </c>
      <c r="DP235" t="e">
        <f>AND(Bills!#REF!,"AAAAAH1cDnc=")</f>
        <v>#REF!</v>
      </c>
      <c r="DQ235" t="e">
        <f>AND(Bills!D948,"AAAAAH1cDng=")</f>
        <v>#VALUE!</v>
      </c>
      <c r="DR235" t="e">
        <f>AND(Bills!#REF!,"AAAAAH1cDnk=")</f>
        <v>#REF!</v>
      </c>
      <c r="DS235" t="e">
        <f>AND(Bills!E948,"AAAAAH1cDno=")</f>
        <v>#VALUE!</v>
      </c>
      <c r="DT235" t="e">
        <f>AND(Bills!F948,"AAAAAH1cDns=")</f>
        <v>#VALUE!</v>
      </c>
      <c r="DU235" t="e">
        <f>AND(Bills!G948,"AAAAAH1cDnw=")</f>
        <v>#VALUE!</v>
      </c>
      <c r="DV235" t="e">
        <f>AND(Bills!H948,"AAAAAH1cDn0=")</f>
        <v>#VALUE!</v>
      </c>
      <c r="DW235" t="e">
        <f>AND(Bills!I948,"AAAAAH1cDn4=")</f>
        <v>#VALUE!</v>
      </c>
      <c r="DX235" t="e">
        <f>AND(Bills!J948,"AAAAAH1cDn8=")</f>
        <v>#VALUE!</v>
      </c>
      <c r="DY235" t="e">
        <f>AND(Bills!#REF!,"AAAAAH1cDoA=")</f>
        <v>#REF!</v>
      </c>
      <c r="DZ235" t="e">
        <f>AND(Bills!K948,"AAAAAH1cDoE=")</f>
        <v>#VALUE!</v>
      </c>
      <c r="EA235" t="e">
        <f>AND(Bills!L948,"AAAAAH1cDoI=")</f>
        <v>#VALUE!</v>
      </c>
      <c r="EB235" t="e">
        <f>AND(Bills!M948,"AAAAAH1cDoM=")</f>
        <v>#VALUE!</v>
      </c>
      <c r="EC235" t="e">
        <f>AND(Bills!N948,"AAAAAH1cDoQ=")</f>
        <v>#VALUE!</v>
      </c>
      <c r="ED235" t="e">
        <f>AND(Bills!O948,"AAAAAH1cDoU=")</f>
        <v>#VALUE!</v>
      </c>
      <c r="EE235" t="e">
        <f>AND(Bills!P948,"AAAAAH1cDoY=")</f>
        <v>#VALUE!</v>
      </c>
      <c r="EF235" t="e">
        <f>AND(Bills!Q948,"AAAAAH1cDoc=")</f>
        <v>#VALUE!</v>
      </c>
      <c r="EG235" t="e">
        <f>AND(Bills!R948,"AAAAAH1cDog=")</f>
        <v>#VALUE!</v>
      </c>
      <c r="EH235" t="e">
        <f>AND(Bills!#REF!,"AAAAAH1cDok=")</f>
        <v>#REF!</v>
      </c>
      <c r="EI235" t="e">
        <f>AND(Bills!S948,"AAAAAH1cDoo=")</f>
        <v>#VALUE!</v>
      </c>
      <c r="EJ235" t="e">
        <f>AND(Bills!T948,"AAAAAH1cDos=")</f>
        <v>#VALUE!</v>
      </c>
      <c r="EK235" t="e">
        <f>AND(Bills!U948,"AAAAAH1cDow=")</f>
        <v>#VALUE!</v>
      </c>
      <c r="EL235" t="e">
        <f>AND(Bills!#REF!,"AAAAAH1cDo0=")</f>
        <v>#REF!</v>
      </c>
      <c r="EM235" t="e">
        <f>AND(Bills!#REF!,"AAAAAH1cDo4=")</f>
        <v>#REF!</v>
      </c>
      <c r="EN235" t="e">
        <f>AND(Bills!W948,"AAAAAH1cDo8=")</f>
        <v>#VALUE!</v>
      </c>
      <c r="EO235" t="e">
        <f>AND(Bills!X948,"AAAAAH1cDpA=")</f>
        <v>#VALUE!</v>
      </c>
      <c r="EP235" t="e">
        <f>AND(Bills!#REF!,"AAAAAH1cDpE=")</f>
        <v>#REF!</v>
      </c>
      <c r="EQ235" t="e">
        <f>AND(Bills!#REF!,"AAAAAH1cDpI=")</f>
        <v>#REF!</v>
      </c>
      <c r="ER235" t="e">
        <f>AND(Bills!#REF!,"AAAAAH1cDpM=")</f>
        <v>#REF!</v>
      </c>
      <c r="ES235" t="e">
        <f>AND(Bills!#REF!,"AAAAAH1cDpQ=")</f>
        <v>#REF!</v>
      </c>
      <c r="ET235" t="e">
        <f>AND(Bills!#REF!,"AAAAAH1cDpU=")</f>
        <v>#REF!</v>
      </c>
      <c r="EU235" t="e">
        <f>AND(Bills!#REF!,"AAAAAH1cDpY=")</f>
        <v>#REF!</v>
      </c>
      <c r="EV235" t="e">
        <f>AND(Bills!#REF!,"AAAAAH1cDpc=")</f>
        <v>#REF!</v>
      </c>
      <c r="EW235" t="e">
        <f>AND(Bills!#REF!,"AAAAAH1cDpg=")</f>
        <v>#REF!</v>
      </c>
      <c r="EX235" t="e">
        <f>AND(Bills!#REF!,"AAAAAH1cDpk=")</f>
        <v>#REF!</v>
      </c>
      <c r="EY235" t="e">
        <f>AND(Bills!Y948,"AAAAAH1cDpo=")</f>
        <v>#VALUE!</v>
      </c>
      <c r="EZ235" t="e">
        <f>AND(Bills!Z948,"AAAAAH1cDps=")</f>
        <v>#VALUE!</v>
      </c>
      <c r="FA235" t="e">
        <f>AND(Bills!#REF!,"AAAAAH1cDpw=")</f>
        <v>#REF!</v>
      </c>
      <c r="FB235" t="e">
        <f>AND(Bills!#REF!,"AAAAAH1cDp0=")</f>
        <v>#REF!</v>
      </c>
      <c r="FC235" t="e">
        <f>AND(Bills!#REF!,"AAAAAH1cDp4=")</f>
        <v>#REF!</v>
      </c>
      <c r="FD235" t="e">
        <f>AND(Bills!AA948,"AAAAAH1cDp8=")</f>
        <v>#VALUE!</v>
      </c>
      <c r="FE235" t="e">
        <f>AND(Bills!AB948,"AAAAAH1cDqA=")</f>
        <v>#VALUE!</v>
      </c>
      <c r="FF235" t="e">
        <f>AND(Bills!#REF!,"AAAAAH1cDqE=")</f>
        <v>#REF!</v>
      </c>
      <c r="FG235">
        <f>IF(Bills!949:949,"AAAAAH1cDqI=",0)</f>
        <v>0</v>
      </c>
      <c r="FH235" t="e">
        <f>AND(Bills!B949,"AAAAAH1cDqM=")</f>
        <v>#VALUE!</v>
      </c>
      <c r="FI235" t="e">
        <f>AND(Bills!#REF!,"AAAAAH1cDqQ=")</f>
        <v>#REF!</v>
      </c>
      <c r="FJ235" t="e">
        <f>AND(Bills!C949,"AAAAAH1cDqU=")</f>
        <v>#VALUE!</v>
      </c>
      <c r="FK235" t="e">
        <f>AND(Bills!#REF!,"AAAAAH1cDqY=")</f>
        <v>#REF!</v>
      </c>
      <c r="FL235" t="e">
        <f>AND(Bills!#REF!,"AAAAAH1cDqc=")</f>
        <v>#REF!</v>
      </c>
      <c r="FM235" t="e">
        <f>AND(Bills!#REF!,"AAAAAH1cDqg=")</f>
        <v>#REF!</v>
      </c>
      <c r="FN235" t="e">
        <f>AND(Bills!#REF!,"AAAAAH1cDqk=")</f>
        <v>#REF!</v>
      </c>
      <c r="FO235" t="e">
        <f>AND(Bills!#REF!,"AAAAAH1cDqo=")</f>
        <v>#REF!</v>
      </c>
      <c r="FP235" t="e">
        <f>AND(Bills!D949,"AAAAAH1cDqs=")</f>
        <v>#VALUE!</v>
      </c>
      <c r="FQ235" t="e">
        <f>AND(Bills!#REF!,"AAAAAH1cDqw=")</f>
        <v>#REF!</v>
      </c>
      <c r="FR235" t="e">
        <f>AND(Bills!E949,"AAAAAH1cDq0=")</f>
        <v>#VALUE!</v>
      </c>
      <c r="FS235" t="e">
        <f>AND(Bills!F949,"AAAAAH1cDq4=")</f>
        <v>#VALUE!</v>
      </c>
      <c r="FT235" t="e">
        <f>AND(Bills!G949,"AAAAAH1cDq8=")</f>
        <v>#VALUE!</v>
      </c>
      <c r="FU235" t="e">
        <f>AND(Bills!H949,"AAAAAH1cDrA=")</f>
        <v>#VALUE!</v>
      </c>
      <c r="FV235" t="e">
        <f>AND(Bills!I949,"AAAAAH1cDrE=")</f>
        <v>#VALUE!</v>
      </c>
      <c r="FW235" t="e">
        <f>AND(Bills!J949,"AAAAAH1cDrI=")</f>
        <v>#VALUE!</v>
      </c>
      <c r="FX235" t="e">
        <f>AND(Bills!#REF!,"AAAAAH1cDrM=")</f>
        <v>#REF!</v>
      </c>
      <c r="FY235" t="e">
        <f>AND(Bills!K949,"AAAAAH1cDrQ=")</f>
        <v>#VALUE!</v>
      </c>
      <c r="FZ235" t="e">
        <f>AND(Bills!L949,"AAAAAH1cDrU=")</f>
        <v>#VALUE!</v>
      </c>
      <c r="GA235" t="e">
        <f>AND(Bills!M949,"AAAAAH1cDrY=")</f>
        <v>#VALUE!</v>
      </c>
      <c r="GB235" t="e">
        <f>AND(Bills!N949,"AAAAAH1cDrc=")</f>
        <v>#VALUE!</v>
      </c>
      <c r="GC235" t="e">
        <f>AND(Bills!O949,"AAAAAH1cDrg=")</f>
        <v>#VALUE!</v>
      </c>
      <c r="GD235" t="e">
        <f>AND(Bills!P949,"AAAAAH1cDrk=")</f>
        <v>#VALUE!</v>
      </c>
      <c r="GE235" t="e">
        <f>AND(Bills!Q949,"AAAAAH1cDro=")</f>
        <v>#VALUE!</v>
      </c>
      <c r="GF235" t="e">
        <f>AND(Bills!R949,"AAAAAH1cDrs=")</f>
        <v>#VALUE!</v>
      </c>
      <c r="GG235" t="e">
        <f>AND(Bills!#REF!,"AAAAAH1cDrw=")</f>
        <v>#REF!</v>
      </c>
      <c r="GH235" t="e">
        <f>AND(Bills!S949,"AAAAAH1cDr0=")</f>
        <v>#VALUE!</v>
      </c>
      <c r="GI235" t="e">
        <f>AND(Bills!T949,"AAAAAH1cDr4=")</f>
        <v>#VALUE!</v>
      </c>
      <c r="GJ235" t="e">
        <f>AND(Bills!U949,"AAAAAH1cDr8=")</f>
        <v>#VALUE!</v>
      </c>
      <c r="GK235" t="e">
        <f>AND(Bills!#REF!,"AAAAAH1cDsA=")</f>
        <v>#REF!</v>
      </c>
      <c r="GL235" t="e">
        <f>AND(Bills!#REF!,"AAAAAH1cDsE=")</f>
        <v>#REF!</v>
      </c>
      <c r="GM235" t="e">
        <f>AND(Bills!W949,"AAAAAH1cDsI=")</f>
        <v>#VALUE!</v>
      </c>
      <c r="GN235" t="e">
        <f>AND(Bills!X949,"AAAAAH1cDsM=")</f>
        <v>#VALUE!</v>
      </c>
      <c r="GO235" t="e">
        <f>AND(Bills!#REF!,"AAAAAH1cDsQ=")</f>
        <v>#REF!</v>
      </c>
      <c r="GP235" t="e">
        <f>AND(Bills!#REF!,"AAAAAH1cDsU=")</f>
        <v>#REF!</v>
      </c>
      <c r="GQ235" t="e">
        <f>AND(Bills!#REF!,"AAAAAH1cDsY=")</f>
        <v>#REF!</v>
      </c>
      <c r="GR235" t="e">
        <f>AND(Bills!#REF!,"AAAAAH1cDsc=")</f>
        <v>#REF!</v>
      </c>
      <c r="GS235" t="e">
        <f>AND(Bills!#REF!,"AAAAAH1cDsg=")</f>
        <v>#REF!</v>
      </c>
      <c r="GT235" t="e">
        <f>AND(Bills!#REF!,"AAAAAH1cDsk=")</f>
        <v>#REF!</v>
      </c>
      <c r="GU235" t="e">
        <f>AND(Bills!#REF!,"AAAAAH1cDso=")</f>
        <v>#REF!</v>
      </c>
      <c r="GV235" t="e">
        <f>AND(Bills!#REF!,"AAAAAH1cDss=")</f>
        <v>#REF!</v>
      </c>
      <c r="GW235" t="e">
        <f>AND(Bills!#REF!,"AAAAAH1cDsw=")</f>
        <v>#REF!</v>
      </c>
      <c r="GX235" t="e">
        <f>AND(Bills!Y949,"AAAAAH1cDs0=")</f>
        <v>#VALUE!</v>
      </c>
      <c r="GY235" t="e">
        <f>AND(Bills!Z949,"AAAAAH1cDs4=")</f>
        <v>#VALUE!</v>
      </c>
      <c r="GZ235" t="e">
        <f>AND(Bills!#REF!,"AAAAAH1cDs8=")</f>
        <v>#REF!</v>
      </c>
      <c r="HA235" t="e">
        <f>AND(Bills!#REF!,"AAAAAH1cDtA=")</f>
        <v>#REF!</v>
      </c>
      <c r="HB235" t="e">
        <f>AND(Bills!#REF!,"AAAAAH1cDtE=")</f>
        <v>#REF!</v>
      </c>
      <c r="HC235" t="e">
        <f>AND(Bills!AA949,"AAAAAH1cDtI=")</f>
        <v>#VALUE!</v>
      </c>
      <c r="HD235" t="e">
        <f>AND(Bills!AB949,"AAAAAH1cDtM=")</f>
        <v>#VALUE!</v>
      </c>
      <c r="HE235" t="e">
        <f>AND(Bills!#REF!,"AAAAAH1cDtQ=")</f>
        <v>#REF!</v>
      </c>
      <c r="HF235">
        <f>IF(Bills!950:950,"AAAAAH1cDtU=",0)</f>
        <v>0</v>
      </c>
      <c r="HG235" t="e">
        <f>AND(Bills!B950,"AAAAAH1cDtY=")</f>
        <v>#VALUE!</v>
      </c>
      <c r="HH235" t="e">
        <f>AND(Bills!#REF!,"AAAAAH1cDtc=")</f>
        <v>#REF!</v>
      </c>
      <c r="HI235" t="e">
        <f>AND(Bills!C950,"AAAAAH1cDtg=")</f>
        <v>#VALUE!</v>
      </c>
      <c r="HJ235" t="e">
        <f>AND(Bills!#REF!,"AAAAAH1cDtk=")</f>
        <v>#REF!</v>
      </c>
      <c r="HK235" t="e">
        <f>AND(Bills!#REF!,"AAAAAH1cDto=")</f>
        <v>#REF!</v>
      </c>
      <c r="HL235" t="e">
        <f>AND(Bills!#REF!,"AAAAAH1cDts=")</f>
        <v>#REF!</v>
      </c>
      <c r="HM235" t="e">
        <f>AND(Bills!#REF!,"AAAAAH1cDtw=")</f>
        <v>#REF!</v>
      </c>
      <c r="HN235" t="e">
        <f>AND(Bills!#REF!,"AAAAAH1cDt0=")</f>
        <v>#REF!</v>
      </c>
      <c r="HO235" t="e">
        <f>AND(Bills!D950,"AAAAAH1cDt4=")</f>
        <v>#VALUE!</v>
      </c>
      <c r="HP235" t="e">
        <f>AND(Bills!#REF!,"AAAAAH1cDt8=")</f>
        <v>#REF!</v>
      </c>
      <c r="HQ235" t="e">
        <f>AND(Bills!E950,"AAAAAH1cDuA=")</f>
        <v>#VALUE!</v>
      </c>
      <c r="HR235" t="e">
        <f>AND(Bills!F950,"AAAAAH1cDuE=")</f>
        <v>#VALUE!</v>
      </c>
      <c r="HS235" t="e">
        <f>AND(Bills!G950,"AAAAAH1cDuI=")</f>
        <v>#VALUE!</v>
      </c>
      <c r="HT235" t="e">
        <f>AND(Bills!H950,"AAAAAH1cDuM=")</f>
        <v>#VALUE!</v>
      </c>
      <c r="HU235" t="e">
        <f>AND(Bills!I950,"AAAAAH1cDuQ=")</f>
        <v>#VALUE!</v>
      </c>
      <c r="HV235" t="e">
        <f>AND(Bills!J950,"AAAAAH1cDuU=")</f>
        <v>#VALUE!</v>
      </c>
      <c r="HW235" t="e">
        <f>AND(Bills!#REF!,"AAAAAH1cDuY=")</f>
        <v>#REF!</v>
      </c>
      <c r="HX235" t="e">
        <f>AND(Bills!K950,"AAAAAH1cDuc=")</f>
        <v>#VALUE!</v>
      </c>
      <c r="HY235" t="e">
        <f>AND(Bills!L950,"AAAAAH1cDug=")</f>
        <v>#VALUE!</v>
      </c>
      <c r="HZ235" t="e">
        <f>AND(Bills!M950,"AAAAAH1cDuk=")</f>
        <v>#VALUE!</v>
      </c>
      <c r="IA235" t="e">
        <f>AND(Bills!N950,"AAAAAH1cDuo=")</f>
        <v>#VALUE!</v>
      </c>
      <c r="IB235" t="e">
        <f>AND(Bills!O950,"AAAAAH1cDus=")</f>
        <v>#VALUE!</v>
      </c>
      <c r="IC235" t="e">
        <f>AND(Bills!P950,"AAAAAH1cDuw=")</f>
        <v>#VALUE!</v>
      </c>
      <c r="ID235" t="e">
        <f>AND(Bills!Q950,"AAAAAH1cDu0=")</f>
        <v>#VALUE!</v>
      </c>
      <c r="IE235" t="e">
        <f>AND(Bills!R950,"AAAAAH1cDu4=")</f>
        <v>#VALUE!</v>
      </c>
      <c r="IF235" t="e">
        <f>AND(Bills!#REF!,"AAAAAH1cDu8=")</f>
        <v>#REF!</v>
      </c>
      <c r="IG235" t="e">
        <f>AND(Bills!S950,"AAAAAH1cDvA=")</f>
        <v>#VALUE!</v>
      </c>
      <c r="IH235" t="e">
        <f>AND(Bills!T950,"AAAAAH1cDvE=")</f>
        <v>#VALUE!</v>
      </c>
      <c r="II235" t="e">
        <f>AND(Bills!U950,"AAAAAH1cDvI=")</f>
        <v>#VALUE!</v>
      </c>
      <c r="IJ235" t="e">
        <f>AND(Bills!#REF!,"AAAAAH1cDvM=")</f>
        <v>#REF!</v>
      </c>
      <c r="IK235" t="e">
        <f>AND(Bills!#REF!,"AAAAAH1cDvQ=")</f>
        <v>#REF!</v>
      </c>
      <c r="IL235" t="e">
        <f>AND(Bills!W950,"AAAAAH1cDvU=")</f>
        <v>#VALUE!</v>
      </c>
      <c r="IM235" t="e">
        <f>AND(Bills!X950,"AAAAAH1cDvY=")</f>
        <v>#VALUE!</v>
      </c>
      <c r="IN235" t="e">
        <f>AND(Bills!#REF!,"AAAAAH1cDvc=")</f>
        <v>#REF!</v>
      </c>
      <c r="IO235" t="e">
        <f>AND(Bills!#REF!,"AAAAAH1cDvg=")</f>
        <v>#REF!</v>
      </c>
      <c r="IP235" t="e">
        <f>AND(Bills!#REF!,"AAAAAH1cDvk=")</f>
        <v>#REF!</v>
      </c>
      <c r="IQ235" t="e">
        <f>AND(Bills!#REF!,"AAAAAH1cDvo=")</f>
        <v>#REF!</v>
      </c>
      <c r="IR235" t="e">
        <f>AND(Bills!#REF!,"AAAAAH1cDvs=")</f>
        <v>#REF!</v>
      </c>
      <c r="IS235" t="e">
        <f>AND(Bills!#REF!,"AAAAAH1cDvw=")</f>
        <v>#REF!</v>
      </c>
      <c r="IT235" t="e">
        <f>AND(Bills!#REF!,"AAAAAH1cDv0=")</f>
        <v>#REF!</v>
      </c>
      <c r="IU235" t="e">
        <f>AND(Bills!#REF!,"AAAAAH1cDv4=")</f>
        <v>#REF!</v>
      </c>
      <c r="IV235" t="e">
        <f>AND(Bills!#REF!,"AAAAAH1cDv8=")</f>
        <v>#REF!</v>
      </c>
    </row>
    <row r="236" spans="1:256">
      <c r="A236" t="e">
        <f>AND(Bills!Y950,"AAAAAD3/vgA=")</f>
        <v>#VALUE!</v>
      </c>
      <c r="B236" t="e">
        <f>AND(Bills!Z950,"AAAAAD3/vgE=")</f>
        <v>#VALUE!</v>
      </c>
      <c r="C236" t="e">
        <f>AND(Bills!#REF!,"AAAAAD3/vgI=")</f>
        <v>#REF!</v>
      </c>
      <c r="D236" t="e">
        <f>AND(Bills!#REF!,"AAAAAD3/vgM=")</f>
        <v>#REF!</v>
      </c>
      <c r="E236" t="e">
        <f>AND(Bills!#REF!,"AAAAAD3/vgQ=")</f>
        <v>#REF!</v>
      </c>
      <c r="F236" t="e">
        <f>AND(Bills!AA950,"AAAAAD3/vgU=")</f>
        <v>#VALUE!</v>
      </c>
      <c r="G236" t="e">
        <f>AND(Bills!AB950,"AAAAAD3/vgY=")</f>
        <v>#VALUE!</v>
      </c>
      <c r="H236" t="e">
        <f>AND(Bills!#REF!,"AAAAAD3/vgc=")</f>
        <v>#REF!</v>
      </c>
      <c r="I236">
        <f>IF(Bills!951:951,"AAAAAD3/vgg=",0)</f>
        <v>0</v>
      </c>
      <c r="J236" t="e">
        <f>AND(Bills!B951,"AAAAAD3/vgk=")</f>
        <v>#VALUE!</v>
      </c>
      <c r="K236" t="e">
        <f>AND(Bills!#REF!,"AAAAAD3/vgo=")</f>
        <v>#REF!</v>
      </c>
      <c r="L236" t="e">
        <f>AND(Bills!C951,"AAAAAD3/vgs=")</f>
        <v>#VALUE!</v>
      </c>
      <c r="M236" t="e">
        <f>AND(Bills!#REF!,"AAAAAD3/vgw=")</f>
        <v>#REF!</v>
      </c>
      <c r="N236" t="e">
        <f>AND(Bills!#REF!,"AAAAAD3/vg0=")</f>
        <v>#REF!</v>
      </c>
      <c r="O236" t="e">
        <f>AND(Bills!#REF!,"AAAAAD3/vg4=")</f>
        <v>#REF!</v>
      </c>
      <c r="P236" t="e">
        <f>AND(Bills!#REF!,"AAAAAD3/vg8=")</f>
        <v>#REF!</v>
      </c>
      <c r="Q236" t="e">
        <f>AND(Bills!#REF!,"AAAAAD3/vhA=")</f>
        <v>#REF!</v>
      </c>
      <c r="R236" t="e">
        <f>AND(Bills!D951,"AAAAAD3/vhE=")</f>
        <v>#VALUE!</v>
      </c>
      <c r="S236" t="e">
        <f>AND(Bills!#REF!,"AAAAAD3/vhI=")</f>
        <v>#REF!</v>
      </c>
      <c r="T236" t="e">
        <f>AND(Bills!E951,"AAAAAD3/vhM=")</f>
        <v>#VALUE!</v>
      </c>
      <c r="U236" t="e">
        <f>AND(Bills!F951,"AAAAAD3/vhQ=")</f>
        <v>#VALUE!</v>
      </c>
      <c r="V236" t="e">
        <f>AND(Bills!G951,"AAAAAD3/vhU=")</f>
        <v>#VALUE!</v>
      </c>
      <c r="W236" t="e">
        <f>AND(Bills!H951,"AAAAAD3/vhY=")</f>
        <v>#VALUE!</v>
      </c>
      <c r="X236" t="e">
        <f>AND(Bills!I951,"AAAAAD3/vhc=")</f>
        <v>#VALUE!</v>
      </c>
      <c r="Y236" t="e">
        <f>AND(Bills!J951,"AAAAAD3/vhg=")</f>
        <v>#VALUE!</v>
      </c>
      <c r="Z236" t="e">
        <f>AND(Bills!#REF!,"AAAAAD3/vhk=")</f>
        <v>#REF!</v>
      </c>
      <c r="AA236" t="e">
        <f>AND(Bills!K951,"AAAAAD3/vho=")</f>
        <v>#VALUE!</v>
      </c>
      <c r="AB236" t="e">
        <f>AND(Bills!L951,"AAAAAD3/vhs=")</f>
        <v>#VALUE!</v>
      </c>
      <c r="AC236" t="e">
        <f>AND(Bills!M951,"AAAAAD3/vhw=")</f>
        <v>#VALUE!</v>
      </c>
      <c r="AD236" t="e">
        <f>AND(Bills!N951,"AAAAAD3/vh0=")</f>
        <v>#VALUE!</v>
      </c>
      <c r="AE236" t="e">
        <f>AND(Bills!O951,"AAAAAD3/vh4=")</f>
        <v>#VALUE!</v>
      </c>
      <c r="AF236" t="e">
        <f>AND(Bills!P951,"AAAAAD3/vh8=")</f>
        <v>#VALUE!</v>
      </c>
      <c r="AG236" t="e">
        <f>AND(Bills!Q951,"AAAAAD3/viA=")</f>
        <v>#VALUE!</v>
      </c>
      <c r="AH236" t="e">
        <f>AND(Bills!R951,"AAAAAD3/viE=")</f>
        <v>#VALUE!</v>
      </c>
      <c r="AI236" t="e">
        <f>AND(Bills!#REF!,"AAAAAD3/viI=")</f>
        <v>#REF!</v>
      </c>
      <c r="AJ236" t="e">
        <f>AND(Bills!S951,"AAAAAD3/viM=")</f>
        <v>#VALUE!</v>
      </c>
      <c r="AK236" t="e">
        <f>AND(Bills!T951,"AAAAAD3/viQ=")</f>
        <v>#VALUE!</v>
      </c>
      <c r="AL236" t="e">
        <f>AND(Bills!U951,"AAAAAD3/viU=")</f>
        <v>#VALUE!</v>
      </c>
      <c r="AM236" t="e">
        <f>AND(Bills!#REF!,"AAAAAD3/viY=")</f>
        <v>#REF!</v>
      </c>
      <c r="AN236" t="e">
        <f>AND(Bills!#REF!,"AAAAAD3/vic=")</f>
        <v>#REF!</v>
      </c>
      <c r="AO236" t="e">
        <f>AND(Bills!W951,"AAAAAD3/vig=")</f>
        <v>#VALUE!</v>
      </c>
      <c r="AP236" t="e">
        <f>AND(Bills!X951,"AAAAAD3/vik=")</f>
        <v>#VALUE!</v>
      </c>
      <c r="AQ236" t="e">
        <f>AND(Bills!#REF!,"AAAAAD3/vio=")</f>
        <v>#REF!</v>
      </c>
      <c r="AR236" t="e">
        <f>AND(Bills!#REF!,"AAAAAD3/vis=")</f>
        <v>#REF!</v>
      </c>
      <c r="AS236" t="e">
        <f>AND(Bills!#REF!,"AAAAAD3/viw=")</f>
        <v>#REF!</v>
      </c>
      <c r="AT236" t="e">
        <f>AND(Bills!#REF!,"AAAAAD3/vi0=")</f>
        <v>#REF!</v>
      </c>
      <c r="AU236" t="e">
        <f>AND(Bills!#REF!,"AAAAAD3/vi4=")</f>
        <v>#REF!</v>
      </c>
      <c r="AV236" t="e">
        <f>AND(Bills!#REF!,"AAAAAD3/vi8=")</f>
        <v>#REF!</v>
      </c>
      <c r="AW236" t="e">
        <f>AND(Bills!#REF!,"AAAAAD3/vjA=")</f>
        <v>#REF!</v>
      </c>
      <c r="AX236" t="e">
        <f>AND(Bills!#REF!,"AAAAAD3/vjE=")</f>
        <v>#REF!</v>
      </c>
      <c r="AY236" t="e">
        <f>AND(Bills!#REF!,"AAAAAD3/vjI=")</f>
        <v>#REF!</v>
      </c>
      <c r="AZ236" t="e">
        <f>AND(Bills!Y951,"AAAAAD3/vjM=")</f>
        <v>#VALUE!</v>
      </c>
      <c r="BA236" t="e">
        <f>AND(Bills!Z951,"AAAAAD3/vjQ=")</f>
        <v>#VALUE!</v>
      </c>
      <c r="BB236" t="e">
        <f>AND(Bills!#REF!,"AAAAAD3/vjU=")</f>
        <v>#REF!</v>
      </c>
      <c r="BC236" t="e">
        <f>AND(Bills!#REF!,"AAAAAD3/vjY=")</f>
        <v>#REF!</v>
      </c>
      <c r="BD236" t="e">
        <f>AND(Bills!#REF!,"AAAAAD3/vjc=")</f>
        <v>#REF!</v>
      </c>
      <c r="BE236" t="e">
        <f>AND(Bills!AA951,"AAAAAD3/vjg=")</f>
        <v>#VALUE!</v>
      </c>
      <c r="BF236" t="e">
        <f>AND(Bills!AB951,"AAAAAD3/vjk=")</f>
        <v>#VALUE!</v>
      </c>
      <c r="BG236" t="e">
        <f>AND(Bills!#REF!,"AAAAAD3/vjo=")</f>
        <v>#REF!</v>
      </c>
      <c r="BH236">
        <f>IF(Bills!952:952,"AAAAAD3/vjs=",0)</f>
        <v>0</v>
      </c>
      <c r="BI236" t="e">
        <f>AND(Bills!B952,"AAAAAD3/vjw=")</f>
        <v>#VALUE!</v>
      </c>
      <c r="BJ236" t="e">
        <f>AND(Bills!#REF!,"AAAAAD3/vj0=")</f>
        <v>#REF!</v>
      </c>
      <c r="BK236" t="e">
        <f>AND(Bills!C952,"AAAAAD3/vj4=")</f>
        <v>#VALUE!</v>
      </c>
      <c r="BL236" t="e">
        <f>AND(Bills!#REF!,"AAAAAD3/vj8=")</f>
        <v>#REF!</v>
      </c>
      <c r="BM236" t="e">
        <f>AND(Bills!#REF!,"AAAAAD3/vkA=")</f>
        <v>#REF!</v>
      </c>
      <c r="BN236" t="e">
        <f>AND(Bills!#REF!,"AAAAAD3/vkE=")</f>
        <v>#REF!</v>
      </c>
      <c r="BO236" t="e">
        <f>AND(Bills!#REF!,"AAAAAD3/vkI=")</f>
        <v>#REF!</v>
      </c>
      <c r="BP236" t="e">
        <f>AND(Bills!#REF!,"AAAAAD3/vkM=")</f>
        <v>#REF!</v>
      </c>
      <c r="BQ236" t="e">
        <f>AND(Bills!D952,"AAAAAD3/vkQ=")</f>
        <v>#VALUE!</v>
      </c>
      <c r="BR236" t="e">
        <f>AND(Bills!#REF!,"AAAAAD3/vkU=")</f>
        <v>#REF!</v>
      </c>
      <c r="BS236" t="e">
        <f>AND(Bills!E952,"AAAAAD3/vkY=")</f>
        <v>#VALUE!</v>
      </c>
      <c r="BT236" t="e">
        <f>AND(Bills!F952,"AAAAAD3/vkc=")</f>
        <v>#VALUE!</v>
      </c>
      <c r="BU236" t="e">
        <f>AND(Bills!G952,"AAAAAD3/vkg=")</f>
        <v>#VALUE!</v>
      </c>
      <c r="BV236" t="e">
        <f>AND(Bills!H952,"AAAAAD3/vkk=")</f>
        <v>#VALUE!</v>
      </c>
      <c r="BW236" t="e">
        <f>AND(Bills!I952,"AAAAAD3/vko=")</f>
        <v>#VALUE!</v>
      </c>
      <c r="BX236" t="e">
        <f>AND(Bills!J952,"AAAAAD3/vks=")</f>
        <v>#VALUE!</v>
      </c>
      <c r="BY236" t="e">
        <f>AND(Bills!#REF!,"AAAAAD3/vkw=")</f>
        <v>#REF!</v>
      </c>
      <c r="BZ236" t="e">
        <f>AND(Bills!K952,"AAAAAD3/vk0=")</f>
        <v>#VALUE!</v>
      </c>
      <c r="CA236" t="e">
        <f>AND(Bills!L952,"AAAAAD3/vk4=")</f>
        <v>#VALUE!</v>
      </c>
      <c r="CB236" t="e">
        <f>AND(Bills!M952,"AAAAAD3/vk8=")</f>
        <v>#VALUE!</v>
      </c>
      <c r="CC236" t="e">
        <f>AND(Bills!N952,"AAAAAD3/vlA=")</f>
        <v>#VALUE!</v>
      </c>
      <c r="CD236" t="e">
        <f>AND(Bills!O952,"AAAAAD3/vlE=")</f>
        <v>#VALUE!</v>
      </c>
      <c r="CE236" t="e">
        <f>AND(Bills!P952,"AAAAAD3/vlI=")</f>
        <v>#VALUE!</v>
      </c>
      <c r="CF236" t="e">
        <f>AND(Bills!Q952,"AAAAAD3/vlM=")</f>
        <v>#VALUE!</v>
      </c>
      <c r="CG236" t="e">
        <f>AND(Bills!R952,"AAAAAD3/vlQ=")</f>
        <v>#VALUE!</v>
      </c>
      <c r="CH236" t="e">
        <f>AND(Bills!#REF!,"AAAAAD3/vlU=")</f>
        <v>#REF!</v>
      </c>
      <c r="CI236" t="e">
        <f>AND(Bills!S952,"AAAAAD3/vlY=")</f>
        <v>#VALUE!</v>
      </c>
      <c r="CJ236" t="e">
        <f>AND(Bills!T952,"AAAAAD3/vlc=")</f>
        <v>#VALUE!</v>
      </c>
      <c r="CK236" t="e">
        <f>AND(Bills!U952,"AAAAAD3/vlg=")</f>
        <v>#VALUE!</v>
      </c>
      <c r="CL236" t="e">
        <f>AND(Bills!#REF!,"AAAAAD3/vlk=")</f>
        <v>#REF!</v>
      </c>
      <c r="CM236" t="e">
        <f>AND(Bills!#REF!,"AAAAAD3/vlo=")</f>
        <v>#REF!</v>
      </c>
      <c r="CN236" t="e">
        <f>AND(Bills!W952,"AAAAAD3/vls=")</f>
        <v>#VALUE!</v>
      </c>
      <c r="CO236" t="e">
        <f>AND(Bills!X952,"AAAAAD3/vlw=")</f>
        <v>#VALUE!</v>
      </c>
      <c r="CP236" t="e">
        <f>AND(Bills!#REF!,"AAAAAD3/vl0=")</f>
        <v>#REF!</v>
      </c>
      <c r="CQ236" t="e">
        <f>AND(Bills!#REF!,"AAAAAD3/vl4=")</f>
        <v>#REF!</v>
      </c>
      <c r="CR236" t="e">
        <f>AND(Bills!#REF!,"AAAAAD3/vl8=")</f>
        <v>#REF!</v>
      </c>
      <c r="CS236" t="e">
        <f>AND(Bills!#REF!,"AAAAAD3/vmA=")</f>
        <v>#REF!</v>
      </c>
      <c r="CT236" t="e">
        <f>AND(Bills!#REF!,"AAAAAD3/vmE=")</f>
        <v>#REF!</v>
      </c>
      <c r="CU236" t="e">
        <f>AND(Bills!#REF!,"AAAAAD3/vmI=")</f>
        <v>#REF!</v>
      </c>
      <c r="CV236" t="e">
        <f>AND(Bills!#REF!,"AAAAAD3/vmM=")</f>
        <v>#REF!</v>
      </c>
      <c r="CW236" t="e">
        <f>AND(Bills!#REF!,"AAAAAD3/vmQ=")</f>
        <v>#REF!</v>
      </c>
      <c r="CX236" t="e">
        <f>AND(Bills!#REF!,"AAAAAD3/vmU=")</f>
        <v>#REF!</v>
      </c>
      <c r="CY236" t="e">
        <f>AND(Bills!Y952,"AAAAAD3/vmY=")</f>
        <v>#VALUE!</v>
      </c>
      <c r="CZ236" t="e">
        <f>AND(Bills!Z952,"AAAAAD3/vmc=")</f>
        <v>#VALUE!</v>
      </c>
      <c r="DA236" t="e">
        <f>AND(Bills!#REF!,"AAAAAD3/vmg=")</f>
        <v>#REF!</v>
      </c>
      <c r="DB236" t="e">
        <f>AND(Bills!#REF!,"AAAAAD3/vmk=")</f>
        <v>#REF!</v>
      </c>
      <c r="DC236" t="e">
        <f>AND(Bills!#REF!,"AAAAAD3/vmo=")</f>
        <v>#REF!</v>
      </c>
      <c r="DD236" t="e">
        <f>AND(Bills!AA952,"AAAAAD3/vms=")</f>
        <v>#VALUE!</v>
      </c>
      <c r="DE236" t="e">
        <f>AND(Bills!AB952,"AAAAAD3/vmw=")</f>
        <v>#VALUE!</v>
      </c>
      <c r="DF236" t="e">
        <f>AND(Bills!#REF!,"AAAAAD3/vm0=")</f>
        <v>#REF!</v>
      </c>
      <c r="DG236">
        <f>IF(Bills!953:953,"AAAAAD3/vm4=",0)</f>
        <v>0</v>
      </c>
      <c r="DH236" t="e">
        <f>AND(Bills!B953,"AAAAAD3/vm8=")</f>
        <v>#VALUE!</v>
      </c>
      <c r="DI236" t="e">
        <f>AND(Bills!#REF!,"AAAAAD3/vnA=")</f>
        <v>#REF!</v>
      </c>
      <c r="DJ236" t="e">
        <f>AND(Bills!C953,"AAAAAD3/vnE=")</f>
        <v>#VALUE!</v>
      </c>
      <c r="DK236" t="e">
        <f>AND(Bills!#REF!,"AAAAAD3/vnI=")</f>
        <v>#REF!</v>
      </c>
      <c r="DL236" t="e">
        <f>AND(Bills!#REF!,"AAAAAD3/vnM=")</f>
        <v>#REF!</v>
      </c>
      <c r="DM236" t="e">
        <f>AND(Bills!#REF!,"AAAAAD3/vnQ=")</f>
        <v>#REF!</v>
      </c>
      <c r="DN236" t="e">
        <f>AND(Bills!#REF!,"AAAAAD3/vnU=")</f>
        <v>#REF!</v>
      </c>
      <c r="DO236" t="e">
        <f>AND(Bills!#REF!,"AAAAAD3/vnY=")</f>
        <v>#REF!</v>
      </c>
      <c r="DP236" t="e">
        <f>AND(Bills!D953,"AAAAAD3/vnc=")</f>
        <v>#VALUE!</v>
      </c>
      <c r="DQ236" t="e">
        <f>AND(Bills!#REF!,"AAAAAD3/vng=")</f>
        <v>#REF!</v>
      </c>
      <c r="DR236" t="e">
        <f>AND(Bills!E953,"AAAAAD3/vnk=")</f>
        <v>#VALUE!</v>
      </c>
      <c r="DS236" t="e">
        <f>AND(Bills!F953,"AAAAAD3/vno=")</f>
        <v>#VALUE!</v>
      </c>
      <c r="DT236" t="e">
        <f>AND(Bills!G953,"AAAAAD3/vns=")</f>
        <v>#VALUE!</v>
      </c>
      <c r="DU236" t="e">
        <f>AND(Bills!H953,"AAAAAD3/vnw=")</f>
        <v>#VALUE!</v>
      </c>
      <c r="DV236" t="e">
        <f>AND(Bills!I953,"AAAAAD3/vn0=")</f>
        <v>#VALUE!</v>
      </c>
      <c r="DW236" t="e">
        <f>AND(Bills!J953,"AAAAAD3/vn4=")</f>
        <v>#VALUE!</v>
      </c>
      <c r="DX236" t="e">
        <f>AND(Bills!#REF!,"AAAAAD3/vn8=")</f>
        <v>#REF!</v>
      </c>
      <c r="DY236" t="e">
        <f>AND(Bills!K953,"AAAAAD3/voA=")</f>
        <v>#VALUE!</v>
      </c>
      <c r="DZ236" t="e">
        <f>AND(Bills!L953,"AAAAAD3/voE=")</f>
        <v>#VALUE!</v>
      </c>
      <c r="EA236" t="e">
        <f>AND(Bills!M953,"AAAAAD3/voI=")</f>
        <v>#VALUE!</v>
      </c>
      <c r="EB236" t="e">
        <f>AND(Bills!N953,"AAAAAD3/voM=")</f>
        <v>#VALUE!</v>
      </c>
      <c r="EC236" t="e">
        <f>AND(Bills!O953,"AAAAAD3/voQ=")</f>
        <v>#VALUE!</v>
      </c>
      <c r="ED236" t="e">
        <f>AND(Bills!P953,"AAAAAD3/voU=")</f>
        <v>#VALUE!</v>
      </c>
      <c r="EE236" t="e">
        <f>AND(Bills!Q953,"AAAAAD3/voY=")</f>
        <v>#VALUE!</v>
      </c>
      <c r="EF236" t="e">
        <f>AND(Bills!R953,"AAAAAD3/voc=")</f>
        <v>#VALUE!</v>
      </c>
      <c r="EG236" t="e">
        <f>AND(Bills!#REF!,"AAAAAD3/vog=")</f>
        <v>#REF!</v>
      </c>
      <c r="EH236" t="e">
        <f>AND(Bills!S953,"AAAAAD3/vok=")</f>
        <v>#VALUE!</v>
      </c>
      <c r="EI236" t="e">
        <f>AND(Bills!T953,"AAAAAD3/voo=")</f>
        <v>#VALUE!</v>
      </c>
      <c r="EJ236" t="e">
        <f>AND(Bills!U953,"AAAAAD3/vos=")</f>
        <v>#VALUE!</v>
      </c>
      <c r="EK236" t="e">
        <f>AND(Bills!#REF!,"AAAAAD3/vow=")</f>
        <v>#REF!</v>
      </c>
      <c r="EL236" t="e">
        <f>AND(Bills!#REF!,"AAAAAD3/vo0=")</f>
        <v>#REF!</v>
      </c>
      <c r="EM236" t="e">
        <f>AND(Bills!W953,"AAAAAD3/vo4=")</f>
        <v>#VALUE!</v>
      </c>
      <c r="EN236" t="e">
        <f>AND(Bills!X953,"AAAAAD3/vo8=")</f>
        <v>#VALUE!</v>
      </c>
      <c r="EO236" t="e">
        <f>AND(Bills!#REF!,"AAAAAD3/vpA=")</f>
        <v>#REF!</v>
      </c>
      <c r="EP236" t="e">
        <f>AND(Bills!#REF!,"AAAAAD3/vpE=")</f>
        <v>#REF!</v>
      </c>
      <c r="EQ236" t="e">
        <f>AND(Bills!#REF!,"AAAAAD3/vpI=")</f>
        <v>#REF!</v>
      </c>
      <c r="ER236" t="e">
        <f>AND(Bills!#REF!,"AAAAAD3/vpM=")</f>
        <v>#REF!</v>
      </c>
      <c r="ES236" t="e">
        <f>AND(Bills!#REF!,"AAAAAD3/vpQ=")</f>
        <v>#REF!</v>
      </c>
      <c r="ET236" t="e">
        <f>AND(Bills!#REF!,"AAAAAD3/vpU=")</f>
        <v>#REF!</v>
      </c>
      <c r="EU236" t="e">
        <f>AND(Bills!#REF!,"AAAAAD3/vpY=")</f>
        <v>#REF!</v>
      </c>
      <c r="EV236" t="e">
        <f>AND(Bills!#REF!,"AAAAAD3/vpc=")</f>
        <v>#REF!</v>
      </c>
      <c r="EW236" t="e">
        <f>AND(Bills!#REF!,"AAAAAD3/vpg=")</f>
        <v>#REF!</v>
      </c>
      <c r="EX236" t="e">
        <f>AND(Bills!Y953,"AAAAAD3/vpk=")</f>
        <v>#VALUE!</v>
      </c>
      <c r="EY236" t="e">
        <f>AND(Bills!Z953,"AAAAAD3/vpo=")</f>
        <v>#VALUE!</v>
      </c>
      <c r="EZ236" t="e">
        <f>AND(Bills!#REF!,"AAAAAD3/vps=")</f>
        <v>#REF!</v>
      </c>
      <c r="FA236" t="e">
        <f>AND(Bills!#REF!,"AAAAAD3/vpw=")</f>
        <v>#REF!</v>
      </c>
      <c r="FB236" t="e">
        <f>AND(Bills!#REF!,"AAAAAD3/vp0=")</f>
        <v>#REF!</v>
      </c>
      <c r="FC236" t="e">
        <f>AND(Bills!AA953,"AAAAAD3/vp4=")</f>
        <v>#VALUE!</v>
      </c>
      <c r="FD236" t="e">
        <f>AND(Bills!AB953,"AAAAAD3/vp8=")</f>
        <v>#VALUE!</v>
      </c>
      <c r="FE236" t="e">
        <f>AND(Bills!#REF!,"AAAAAD3/vqA=")</f>
        <v>#REF!</v>
      </c>
      <c r="FF236">
        <f>IF(Bills!954:954,"AAAAAD3/vqE=",0)</f>
        <v>0</v>
      </c>
      <c r="FG236" t="e">
        <f>AND(Bills!B954,"AAAAAD3/vqI=")</f>
        <v>#VALUE!</v>
      </c>
      <c r="FH236" t="e">
        <f>AND(Bills!#REF!,"AAAAAD3/vqM=")</f>
        <v>#REF!</v>
      </c>
      <c r="FI236" t="e">
        <f>AND(Bills!C954,"AAAAAD3/vqQ=")</f>
        <v>#VALUE!</v>
      </c>
      <c r="FJ236" t="e">
        <f>AND(Bills!#REF!,"AAAAAD3/vqU=")</f>
        <v>#REF!</v>
      </c>
      <c r="FK236" t="e">
        <f>AND(Bills!#REF!,"AAAAAD3/vqY=")</f>
        <v>#REF!</v>
      </c>
      <c r="FL236" t="e">
        <f>AND(Bills!#REF!,"AAAAAD3/vqc=")</f>
        <v>#REF!</v>
      </c>
      <c r="FM236" t="e">
        <f>AND(Bills!#REF!,"AAAAAD3/vqg=")</f>
        <v>#REF!</v>
      </c>
      <c r="FN236" t="e">
        <f>AND(Bills!#REF!,"AAAAAD3/vqk=")</f>
        <v>#REF!</v>
      </c>
      <c r="FO236" t="e">
        <f>AND(Bills!D954,"AAAAAD3/vqo=")</f>
        <v>#VALUE!</v>
      </c>
      <c r="FP236" t="e">
        <f>AND(Bills!#REF!,"AAAAAD3/vqs=")</f>
        <v>#REF!</v>
      </c>
      <c r="FQ236" t="e">
        <f>AND(Bills!E954,"AAAAAD3/vqw=")</f>
        <v>#VALUE!</v>
      </c>
      <c r="FR236" t="e">
        <f>AND(Bills!F954,"AAAAAD3/vq0=")</f>
        <v>#VALUE!</v>
      </c>
      <c r="FS236" t="e">
        <f>AND(Bills!G954,"AAAAAD3/vq4=")</f>
        <v>#VALUE!</v>
      </c>
      <c r="FT236" t="e">
        <f>AND(Bills!H954,"AAAAAD3/vq8=")</f>
        <v>#VALUE!</v>
      </c>
      <c r="FU236" t="e">
        <f>AND(Bills!I954,"AAAAAD3/vrA=")</f>
        <v>#VALUE!</v>
      </c>
      <c r="FV236" t="e">
        <f>AND(Bills!J954,"AAAAAD3/vrE=")</f>
        <v>#VALUE!</v>
      </c>
      <c r="FW236" t="e">
        <f>AND(Bills!#REF!,"AAAAAD3/vrI=")</f>
        <v>#REF!</v>
      </c>
      <c r="FX236" t="e">
        <f>AND(Bills!K954,"AAAAAD3/vrM=")</f>
        <v>#VALUE!</v>
      </c>
      <c r="FY236" t="e">
        <f>AND(Bills!L954,"AAAAAD3/vrQ=")</f>
        <v>#VALUE!</v>
      </c>
      <c r="FZ236" t="e">
        <f>AND(Bills!M954,"AAAAAD3/vrU=")</f>
        <v>#VALUE!</v>
      </c>
      <c r="GA236" t="e">
        <f>AND(Bills!N954,"AAAAAD3/vrY=")</f>
        <v>#VALUE!</v>
      </c>
      <c r="GB236" t="e">
        <f>AND(Bills!O954,"AAAAAD3/vrc=")</f>
        <v>#VALUE!</v>
      </c>
      <c r="GC236" t="e">
        <f>AND(Bills!P954,"AAAAAD3/vrg=")</f>
        <v>#VALUE!</v>
      </c>
      <c r="GD236" t="e">
        <f>AND(Bills!Q954,"AAAAAD3/vrk=")</f>
        <v>#VALUE!</v>
      </c>
      <c r="GE236" t="e">
        <f>AND(Bills!R954,"AAAAAD3/vro=")</f>
        <v>#VALUE!</v>
      </c>
      <c r="GF236" t="e">
        <f>AND(Bills!#REF!,"AAAAAD3/vrs=")</f>
        <v>#REF!</v>
      </c>
      <c r="GG236" t="e">
        <f>AND(Bills!S954,"AAAAAD3/vrw=")</f>
        <v>#VALUE!</v>
      </c>
      <c r="GH236" t="e">
        <f>AND(Bills!T954,"AAAAAD3/vr0=")</f>
        <v>#VALUE!</v>
      </c>
      <c r="GI236" t="e">
        <f>AND(Bills!U954,"AAAAAD3/vr4=")</f>
        <v>#VALUE!</v>
      </c>
      <c r="GJ236" t="e">
        <f>AND(Bills!#REF!,"AAAAAD3/vr8=")</f>
        <v>#REF!</v>
      </c>
      <c r="GK236" t="e">
        <f>AND(Bills!#REF!,"AAAAAD3/vsA=")</f>
        <v>#REF!</v>
      </c>
      <c r="GL236" t="e">
        <f>AND(Bills!W954,"AAAAAD3/vsE=")</f>
        <v>#VALUE!</v>
      </c>
      <c r="GM236" t="e">
        <f>AND(Bills!X954,"AAAAAD3/vsI=")</f>
        <v>#VALUE!</v>
      </c>
      <c r="GN236" t="e">
        <f>AND(Bills!#REF!,"AAAAAD3/vsM=")</f>
        <v>#REF!</v>
      </c>
      <c r="GO236" t="e">
        <f>AND(Bills!#REF!,"AAAAAD3/vsQ=")</f>
        <v>#REF!</v>
      </c>
      <c r="GP236" t="e">
        <f>AND(Bills!#REF!,"AAAAAD3/vsU=")</f>
        <v>#REF!</v>
      </c>
      <c r="GQ236" t="e">
        <f>AND(Bills!#REF!,"AAAAAD3/vsY=")</f>
        <v>#REF!</v>
      </c>
      <c r="GR236" t="e">
        <f>AND(Bills!#REF!,"AAAAAD3/vsc=")</f>
        <v>#REF!</v>
      </c>
      <c r="GS236" t="e">
        <f>AND(Bills!#REF!,"AAAAAD3/vsg=")</f>
        <v>#REF!</v>
      </c>
      <c r="GT236" t="e">
        <f>AND(Bills!#REF!,"AAAAAD3/vsk=")</f>
        <v>#REF!</v>
      </c>
      <c r="GU236" t="e">
        <f>AND(Bills!#REF!,"AAAAAD3/vso=")</f>
        <v>#REF!</v>
      </c>
      <c r="GV236" t="e">
        <f>AND(Bills!#REF!,"AAAAAD3/vss=")</f>
        <v>#REF!</v>
      </c>
      <c r="GW236" t="e">
        <f>AND(Bills!Y954,"AAAAAD3/vsw=")</f>
        <v>#VALUE!</v>
      </c>
      <c r="GX236" t="e">
        <f>AND(Bills!Z954,"AAAAAD3/vs0=")</f>
        <v>#VALUE!</v>
      </c>
      <c r="GY236" t="e">
        <f>AND(Bills!#REF!,"AAAAAD3/vs4=")</f>
        <v>#REF!</v>
      </c>
      <c r="GZ236" t="e">
        <f>AND(Bills!#REF!,"AAAAAD3/vs8=")</f>
        <v>#REF!</v>
      </c>
      <c r="HA236" t="e">
        <f>AND(Bills!#REF!,"AAAAAD3/vtA=")</f>
        <v>#REF!</v>
      </c>
      <c r="HB236" t="e">
        <f>AND(Bills!AA954,"AAAAAD3/vtE=")</f>
        <v>#VALUE!</v>
      </c>
      <c r="HC236" t="e">
        <f>AND(Bills!AB954,"AAAAAD3/vtI=")</f>
        <v>#VALUE!</v>
      </c>
      <c r="HD236" t="e">
        <f>AND(Bills!#REF!,"AAAAAD3/vtM=")</f>
        <v>#REF!</v>
      </c>
      <c r="HE236">
        <f>IF(Bills!955:955,"AAAAAD3/vtQ=",0)</f>
        <v>0</v>
      </c>
      <c r="HF236" t="e">
        <f>AND(Bills!B955,"AAAAAD3/vtU=")</f>
        <v>#VALUE!</v>
      </c>
      <c r="HG236" t="e">
        <f>AND(Bills!#REF!,"AAAAAD3/vtY=")</f>
        <v>#REF!</v>
      </c>
      <c r="HH236" t="e">
        <f>AND(Bills!C955,"AAAAAD3/vtc=")</f>
        <v>#VALUE!</v>
      </c>
      <c r="HI236" t="e">
        <f>AND(Bills!#REF!,"AAAAAD3/vtg=")</f>
        <v>#REF!</v>
      </c>
      <c r="HJ236" t="e">
        <f>AND(Bills!#REF!,"AAAAAD3/vtk=")</f>
        <v>#REF!</v>
      </c>
      <c r="HK236" t="e">
        <f>AND(Bills!#REF!,"AAAAAD3/vto=")</f>
        <v>#REF!</v>
      </c>
      <c r="HL236" t="e">
        <f>AND(Bills!#REF!,"AAAAAD3/vts=")</f>
        <v>#REF!</v>
      </c>
      <c r="HM236" t="e">
        <f>AND(Bills!#REF!,"AAAAAD3/vtw=")</f>
        <v>#REF!</v>
      </c>
      <c r="HN236" t="e">
        <f>AND(Bills!D955,"AAAAAD3/vt0=")</f>
        <v>#VALUE!</v>
      </c>
      <c r="HO236" t="e">
        <f>AND(Bills!#REF!,"AAAAAD3/vt4=")</f>
        <v>#REF!</v>
      </c>
      <c r="HP236" t="e">
        <f>AND(Bills!E955,"AAAAAD3/vt8=")</f>
        <v>#VALUE!</v>
      </c>
      <c r="HQ236" t="e">
        <f>AND(Bills!F955,"AAAAAD3/vuA=")</f>
        <v>#VALUE!</v>
      </c>
      <c r="HR236" t="e">
        <f>AND(Bills!G955,"AAAAAD3/vuE=")</f>
        <v>#VALUE!</v>
      </c>
      <c r="HS236" t="e">
        <f>AND(Bills!H955,"AAAAAD3/vuI=")</f>
        <v>#VALUE!</v>
      </c>
      <c r="HT236" t="e">
        <f>AND(Bills!I955,"AAAAAD3/vuM=")</f>
        <v>#VALUE!</v>
      </c>
      <c r="HU236" t="e">
        <f>AND(Bills!J955,"AAAAAD3/vuQ=")</f>
        <v>#VALUE!</v>
      </c>
      <c r="HV236" t="e">
        <f>AND(Bills!#REF!,"AAAAAD3/vuU=")</f>
        <v>#REF!</v>
      </c>
      <c r="HW236" t="e">
        <f>AND(Bills!K955,"AAAAAD3/vuY=")</f>
        <v>#VALUE!</v>
      </c>
      <c r="HX236" t="e">
        <f>AND(Bills!L955,"AAAAAD3/vuc=")</f>
        <v>#VALUE!</v>
      </c>
      <c r="HY236" t="e">
        <f>AND(Bills!M955,"AAAAAD3/vug=")</f>
        <v>#VALUE!</v>
      </c>
      <c r="HZ236" t="e">
        <f>AND(Bills!N955,"AAAAAD3/vuk=")</f>
        <v>#VALUE!</v>
      </c>
      <c r="IA236" t="e">
        <f>AND(Bills!O955,"AAAAAD3/vuo=")</f>
        <v>#VALUE!</v>
      </c>
      <c r="IB236" t="e">
        <f>AND(Bills!P955,"AAAAAD3/vus=")</f>
        <v>#VALUE!</v>
      </c>
      <c r="IC236" t="e">
        <f>AND(Bills!Q955,"AAAAAD3/vuw=")</f>
        <v>#VALUE!</v>
      </c>
      <c r="ID236" t="e">
        <f>AND(Bills!R955,"AAAAAD3/vu0=")</f>
        <v>#VALUE!</v>
      </c>
      <c r="IE236" t="e">
        <f>AND(Bills!#REF!,"AAAAAD3/vu4=")</f>
        <v>#REF!</v>
      </c>
      <c r="IF236" t="e">
        <f>AND(Bills!S955,"AAAAAD3/vu8=")</f>
        <v>#VALUE!</v>
      </c>
      <c r="IG236" t="e">
        <f>AND(Bills!T955,"AAAAAD3/vvA=")</f>
        <v>#VALUE!</v>
      </c>
      <c r="IH236" t="e">
        <f>AND(Bills!U955,"AAAAAD3/vvE=")</f>
        <v>#VALUE!</v>
      </c>
      <c r="II236" t="e">
        <f>AND(Bills!#REF!,"AAAAAD3/vvI=")</f>
        <v>#REF!</v>
      </c>
      <c r="IJ236" t="e">
        <f>AND(Bills!#REF!,"AAAAAD3/vvM=")</f>
        <v>#REF!</v>
      </c>
      <c r="IK236" t="e">
        <f>AND(Bills!W955,"AAAAAD3/vvQ=")</f>
        <v>#VALUE!</v>
      </c>
      <c r="IL236" t="e">
        <f>AND(Bills!X955,"AAAAAD3/vvU=")</f>
        <v>#VALUE!</v>
      </c>
      <c r="IM236" t="e">
        <f>AND(Bills!#REF!,"AAAAAD3/vvY=")</f>
        <v>#REF!</v>
      </c>
      <c r="IN236" t="e">
        <f>AND(Bills!#REF!,"AAAAAD3/vvc=")</f>
        <v>#REF!</v>
      </c>
      <c r="IO236" t="e">
        <f>AND(Bills!#REF!,"AAAAAD3/vvg=")</f>
        <v>#REF!</v>
      </c>
      <c r="IP236" t="e">
        <f>AND(Bills!#REF!,"AAAAAD3/vvk=")</f>
        <v>#REF!</v>
      </c>
      <c r="IQ236" t="e">
        <f>AND(Bills!#REF!,"AAAAAD3/vvo=")</f>
        <v>#REF!</v>
      </c>
      <c r="IR236" t="e">
        <f>AND(Bills!#REF!,"AAAAAD3/vvs=")</f>
        <v>#REF!</v>
      </c>
      <c r="IS236" t="e">
        <f>AND(Bills!#REF!,"AAAAAD3/vvw=")</f>
        <v>#REF!</v>
      </c>
      <c r="IT236" t="e">
        <f>AND(Bills!#REF!,"AAAAAD3/vv0=")</f>
        <v>#REF!</v>
      </c>
      <c r="IU236" t="e">
        <f>AND(Bills!#REF!,"AAAAAD3/vv4=")</f>
        <v>#REF!</v>
      </c>
      <c r="IV236" t="e">
        <f>AND(Bills!Y955,"AAAAAD3/vv8=")</f>
        <v>#VALUE!</v>
      </c>
    </row>
    <row r="237" spans="1:256">
      <c r="A237" t="e">
        <f>AND(Bills!Z955,"AAAAAG7P/QA=")</f>
        <v>#VALUE!</v>
      </c>
      <c r="B237" t="e">
        <f>AND(Bills!#REF!,"AAAAAG7P/QE=")</f>
        <v>#REF!</v>
      </c>
      <c r="C237" t="e">
        <f>AND(Bills!#REF!,"AAAAAG7P/QI=")</f>
        <v>#REF!</v>
      </c>
      <c r="D237" t="e">
        <f>AND(Bills!#REF!,"AAAAAG7P/QM=")</f>
        <v>#REF!</v>
      </c>
      <c r="E237" t="e">
        <f>AND(Bills!AA955,"AAAAAG7P/QQ=")</f>
        <v>#VALUE!</v>
      </c>
      <c r="F237" t="e">
        <f>AND(Bills!AB955,"AAAAAG7P/QU=")</f>
        <v>#VALUE!</v>
      </c>
      <c r="G237" t="e">
        <f>AND(Bills!#REF!,"AAAAAG7P/QY=")</f>
        <v>#REF!</v>
      </c>
      <c r="H237">
        <f>IF(Bills!956:956,"AAAAAG7P/Qc=",0)</f>
        <v>0</v>
      </c>
      <c r="I237" t="e">
        <f>AND(Bills!B956,"AAAAAG7P/Qg=")</f>
        <v>#VALUE!</v>
      </c>
      <c r="J237" t="e">
        <f>AND(Bills!#REF!,"AAAAAG7P/Qk=")</f>
        <v>#REF!</v>
      </c>
      <c r="K237" t="e">
        <f>AND(Bills!C956,"AAAAAG7P/Qo=")</f>
        <v>#VALUE!</v>
      </c>
      <c r="L237" t="e">
        <f>AND(Bills!#REF!,"AAAAAG7P/Qs=")</f>
        <v>#REF!</v>
      </c>
      <c r="M237" t="e">
        <f>AND(Bills!#REF!,"AAAAAG7P/Qw=")</f>
        <v>#REF!</v>
      </c>
      <c r="N237" t="e">
        <f>AND(Bills!#REF!,"AAAAAG7P/Q0=")</f>
        <v>#REF!</v>
      </c>
      <c r="O237" t="e">
        <f>AND(Bills!#REF!,"AAAAAG7P/Q4=")</f>
        <v>#REF!</v>
      </c>
      <c r="P237" t="e">
        <f>AND(Bills!#REF!,"AAAAAG7P/Q8=")</f>
        <v>#REF!</v>
      </c>
      <c r="Q237" t="e">
        <f>AND(Bills!D956,"AAAAAG7P/RA=")</f>
        <v>#VALUE!</v>
      </c>
      <c r="R237" t="e">
        <f>AND(Bills!#REF!,"AAAAAG7P/RE=")</f>
        <v>#REF!</v>
      </c>
      <c r="S237" t="e">
        <f>AND(Bills!E956,"AAAAAG7P/RI=")</f>
        <v>#VALUE!</v>
      </c>
      <c r="T237" t="e">
        <f>AND(Bills!F956,"AAAAAG7P/RM=")</f>
        <v>#VALUE!</v>
      </c>
      <c r="U237" t="e">
        <f>AND(Bills!G956,"AAAAAG7P/RQ=")</f>
        <v>#VALUE!</v>
      </c>
      <c r="V237" t="e">
        <f>AND(Bills!H956,"AAAAAG7P/RU=")</f>
        <v>#VALUE!</v>
      </c>
      <c r="W237" t="e">
        <f>AND(Bills!I956,"AAAAAG7P/RY=")</f>
        <v>#VALUE!</v>
      </c>
      <c r="X237" t="e">
        <f>AND(Bills!J956,"AAAAAG7P/Rc=")</f>
        <v>#VALUE!</v>
      </c>
      <c r="Y237" t="e">
        <f>AND(Bills!#REF!,"AAAAAG7P/Rg=")</f>
        <v>#REF!</v>
      </c>
      <c r="Z237" t="e">
        <f>AND(Bills!K956,"AAAAAG7P/Rk=")</f>
        <v>#VALUE!</v>
      </c>
      <c r="AA237" t="e">
        <f>AND(Bills!L956,"AAAAAG7P/Ro=")</f>
        <v>#VALUE!</v>
      </c>
      <c r="AB237" t="e">
        <f>AND(Bills!M956,"AAAAAG7P/Rs=")</f>
        <v>#VALUE!</v>
      </c>
      <c r="AC237" t="e">
        <f>AND(Bills!N956,"AAAAAG7P/Rw=")</f>
        <v>#VALUE!</v>
      </c>
      <c r="AD237" t="e">
        <f>AND(Bills!O956,"AAAAAG7P/R0=")</f>
        <v>#VALUE!</v>
      </c>
      <c r="AE237" t="e">
        <f>AND(Bills!P956,"AAAAAG7P/R4=")</f>
        <v>#VALUE!</v>
      </c>
      <c r="AF237" t="e">
        <f>AND(Bills!Q956,"AAAAAG7P/R8=")</f>
        <v>#VALUE!</v>
      </c>
      <c r="AG237" t="e">
        <f>AND(Bills!R956,"AAAAAG7P/SA=")</f>
        <v>#VALUE!</v>
      </c>
      <c r="AH237" t="e">
        <f>AND(Bills!#REF!,"AAAAAG7P/SE=")</f>
        <v>#REF!</v>
      </c>
      <c r="AI237" t="e">
        <f>AND(Bills!S956,"AAAAAG7P/SI=")</f>
        <v>#VALUE!</v>
      </c>
      <c r="AJ237" t="e">
        <f>AND(Bills!T956,"AAAAAG7P/SM=")</f>
        <v>#VALUE!</v>
      </c>
      <c r="AK237" t="e">
        <f>AND(Bills!U956,"AAAAAG7P/SQ=")</f>
        <v>#VALUE!</v>
      </c>
      <c r="AL237" t="e">
        <f>AND(Bills!#REF!,"AAAAAG7P/SU=")</f>
        <v>#REF!</v>
      </c>
      <c r="AM237" t="e">
        <f>AND(Bills!#REF!,"AAAAAG7P/SY=")</f>
        <v>#REF!</v>
      </c>
      <c r="AN237" t="e">
        <f>AND(Bills!W956,"AAAAAG7P/Sc=")</f>
        <v>#VALUE!</v>
      </c>
      <c r="AO237" t="e">
        <f>AND(Bills!X956,"AAAAAG7P/Sg=")</f>
        <v>#VALUE!</v>
      </c>
      <c r="AP237" t="e">
        <f>AND(Bills!#REF!,"AAAAAG7P/Sk=")</f>
        <v>#REF!</v>
      </c>
      <c r="AQ237" t="e">
        <f>AND(Bills!#REF!,"AAAAAG7P/So=")</f>
        <v>#REF!</v>
      </c>
      <c r="AR237" t="e">
        <f>AND(Bills!#REF!,"AAAAAG7P/Ss=")</f>
        <v>#REF!</v>
      </c>
      <c r="AS237" t="e">
        <f>AND(Bills!#REF!,"AAAAAG7P/Sw=")</f>
        <v>#REF!</v>
      </c>
      <c r="AT237" t="e">
        <f>AND(Bills!#REF!,"AAAAAG7P/S0=")</f>
        <v>#REF!</v>
      </c>
      <c r="AU237" t="e">
        <f>AND(Bills!#REF!,"AAAAAG7P/S4=")</f>
        <v>#REF!</v>
      </c>
      <c r="AV237" t="e">
        <f>AND(Bills!#REF!,"AAAAAG7P/S8=")</f>
        <v>#REF!</v>
      </c>
      <c r="AW237" t="e">
        <f>AND(Bills!#REF!,"AAAAAG7P/TA=")</f>
        <v>#REF!</v>
      </c>
      <c r="AX237" t="e">
        <f>AND(Bills!#REF!,"AAAAAG7P/TE=")</f>
        <v>#REF!</v>
      </c>
      <c r="AY237" t="e">
        <f>AND(Bills!Y956,"AAAAAG7P/TI=")</f>
        <v>#VALUE!</v>
      </c>
      <c r="AZ237" t="e">
        <f>AND(Bills!Z956,"AAAAAG7P/TM=")</f>
        <v>#VALUE!</v>
      </c>
      <c r="BA237" t="e">
        <f>AND(Bills!#REF!,"AAAAAG7P/TQ=")</f>
        <v>#REF!</v>
      </c>
      <c r="BB237" t="e">
        <f>AND(Bills!#REF!,"AAAAAG7P/TU=")</f>
        <v>#REF!</v>
      </c>
      <c r="BC237" t="e">
        <f>AND(Bills!#REF!,"AAAAAG7P/TY=")</f>
        <v>#REF!</v>
      </c>
      <c r="BD237" t="e">
        <f>AND(Bills!AA956,"AAAAAG7P/Tc=")</f>
        <v>#VALUE!</v>
      </c>
      <c r="BE237" t="e">
        <f>AND(Bills!AB956,"AAAAAG7P/Tg=")</f>
        <v>#VALUE!</v>
      </c>
      <c r="BF237" t="e">
        <f>AND(Bills!#REF!,"AAAAAG7P/Tk=")</f>
        <v>#REF!</v>
      </c>
      <c r="BG237">
        <f>IF(Bills!957:957,"AAAAAG7P/To=",0)</f>
        <v>0</v>
      </c>
      <c r="BH237" t="e">
        <f>AND(Bills!B957,"AAAAAG7P/Ts=")</f>
        <v>#VALUE!</v>
      </c>
      <c r="BI237" t="e">
        <f>AND(Bills!#REF!,"AAAAAG7P/Tw=")</f>
        <v>#REF!</v>
      </c>
      <c r="BJ237" t="e">
        <f>AND(Bills!C957,"AAAAAG7P/T0=")</f>
        <v>#VALUE!</v>
      </c>
      <c r="BK237" t="e">
        <f>AND(Bills!#REF!,"AAAAAG7P/T4=")</f>
        <v>#REF!</v>
      </c>
      <c r="BL237" t="e">
        <f>AND(Bills!#REF!,"AAAAAG7P/T8=")</f>
        <v>#REF!</v>
      </c>
      <c r="BM237" t="e">
        <f>AND(Bills!#REF!,"AAAAAG7P/UA=")</f>
        <v>#REF!</v>
      </c>
      <c r="BN237" t="e">
        <f>AND(Bills!#REF!,"AAAAAG7P/UE=")</f>
        <v>#REF!</v>
      </c>
      <c r="BO237" t="e">
        <f>AND(Bills!#REF!,"AAAAAG7P/UI=")</f>
        <v>#REF!</v>
      </c>
      <c r="BP237" t="e">
        <f>AND(Bills!D957,"AAAAAG7P/UM=")</f>
        <v>#VALUE!</v>
      </c>
      <c r="BQ237" t="e">
        <f>AND(Bills!#REF!,"AAAAAG7P/UQ=")</f>
        <v>#REF!</v>
      </c>
      <c r="BR237" t="e">
        <f>AND(Bills!E957,"AAAAAG7P/UU=")</f>
        <v>#VALUE!</v>
      </c>
      <c r="BS237" t="e">
        <f>AND(Bills!F957,"AAAAAG7P/UY=")</f>
        <v>#VALUE!</v>
      </c>
      <c r="BT237" t="e">
        <f>AND(Bills!G957,"AAAAAG7P/Uc=")</f>
        <v>#VALUE!</v>
      </c>
      <c r="BU237" t="e">
        <f>AND(Bills!H957,"AAAAAG7P/Ug=")</f>
        <v>#VALUE!</v>
      </c>
      <c r="BV237" t="e">
        <f>AND(Bills!I957,"AAAAAG7P/Uk=")</f>
        <v>#VALUE!</v>
      </c>
      <c r="BW237" t="e">
        <f>AND(Bills!J957,"AAAAAG7P/Uo=")</f>
        <v>#VALUE!</v>
      </c>
      <c r="BX237" t="e">
        <f>AND(Bills!#REF!,"AAAAAG7P/Us=")</f>
        <v>#REF!</v>
      </c>
      <c r="BY237" t="e">
        <f>AND(Bills!K957,"AAAAAG7P/Uw=")</f>
        <v>#VALUE!</v>
      </c>
      <c r="BZ237" t="e">
        <f>AND(Bills!L957,"AAAAAG7P/U0=")</f>
        <v>#VALUE!</v>
      </c>
      <c r="CA237" t="e">
        <f>AND(Bills!M957,"AAAAAG7P/U4=")</f>
        <v>#VALUE!</v>
      </c>
      <c r="CB237" t="e">
        <f>AND(Bills!N957,"AAAAAG7P/U8=")</f>
        <v>#VALUE!</v>
      </c>
      <c r="CC237" t="e">
        <f>AND(Bills!O957,"AAAAAG7P/VA=")</f>
        <v>#VALUE!</v>
      </c>
      <c r="CD237" t="e">
        <f>AND(Bills!P957,"AAAAAG7P/VE=")</f>
        <v>#VALUE!</v>
      </c>
      <c r="CE237" t="e">
        <f>AND(Bills!Q957,"AAAAAG7P/VI=")</f>
        <v>#VALUE!</v>
      </c>
      <c r="CF237" t="e">
        <f>AND(Bills!R957,"AAAAAG7P/VM=")</f>
        <v>#VALUE!</v>
      </c>
      <c r="CG237" t="e">
        <f>AND(Bills!#REF!,"AAAAAG7P/VQ=")</f>
        <v>#REF!</v>
      </c>
      <c r="CH237" t="e">
        <f>AND(Bills!S957,"AAAAAG7P/VU=")</f>
        <v>#VALUE!</v>
      </c>
      <c r="CI237" t="e">
        <f>AND(Bills!T957,"AAAAAG7P/VY=")</f>
        <v>#VALUE!</v>
      </c>
      <c r="CJ237" t="e">
        <f>AND(Bills!U957,"AAAAAG7P/Vc=")</f>
        <v>#VALUE!</v>
      </c>
      <c r="CK237" t="e">
        <f>AND(Bills!#REF!,"AAAAAG7P/Vg=")</f>
        <v>#REF!</v>
      </c>
      <c r="CL237" t="e">
        <f>AND(Bills!#REF!,"AAAAAG7P/Vk=")</f>
        <v>#REF!</v>
      </c>
      <c r="CM237" t="e">
        <f>AND(Bills!W957,"AAAAAG7P/Vo=")</f>
        <v>#VALUE!</v>
      </c>
      <c r="CN237" t="e">
        <f>AND(Bills!X957,"AAAAAG7P/Vs=")</f>
        <v>#VALUE!</v>
      </c>
      <c r="CO237" t="e">
        <f>AND(Bills!#REF!,"AAAAAG7P/Vw=")</f>
        <v>#REF!</v>
      </c>
      <c r="CP237" t="e">
        <f>AND(Bills!#REF!,"AAAAAG7P/V0=")</f>
        <v>#REF!</v>
      </c>
      <c r="CQ237" t="e">
        <f>AND(Bills!#REF!,"AAAAAG7P/V4=")</f>
        <v>#REF!</v>
      </c>
      <c r="CR237" t="e">
        <f>AND(Bills!#REF!,"AAAAAG7P/V8=")</f>
        <v>#REF!</v>
      </c>
      <c r="CS237" t="e">
        <f>AND(Bills!#REF!,"AAAAAG7P/WA=")</f>
        <v>#REF!</v>
      </c>
      <c r="CT237" t="e">
        <f>AND(Bills!#REF!,"AAAAAG7P/WE=")</f>
        <v>#REF!</v>
      </c>
      <c r="CU237" t="e">
        <f>AND(Bills!#REF!,"AAAAAG7P/WI=")</f>
        <v>#REF!</v>
      </c>
      <c r="CV237" t="e">
        <f>AND(Bills!#REF!,"AAAAAG7P/WM=")</f>
        <v>#REF!</v>
      </c>
      <c r="CW237" t="e">
        <f>AND(Bills!#REF!,"AAAAAG7P/WQ=")</f>
        <v>#REF!</v>
      </c>
      <c r="CX237" t="e">
        <f>AND(Bills!Y957,"AAAAAG7P/WU=")</f>
        <v>#VALUE!</v>
      </c>
      <c r="CY237" t="e">
        <f>AND(Bills!Z957,"AAAAAG7P/WY=")</f>
        <v>#VALUE!</v>
      </c>
      <c r="CZ237" t="e">
        <f>AND(Bills!#REF!,"AAAAAG7P/Wc=")</f>
        <v>#REF!</v>
      </c>
      <c r="DA237" t="e">
        <f>AND(Bills!#REF!,"AAAAAG7P/Wg=")</f>
        <v>#REF!</v>
      </c>
      <c r="DB237" t="e">
        <f>AND(Bills!#REF!,"AAAAAG7P/Wk=")</f>
        <v>#REF!</v>
      </c>
      <c r="DC237" t="e">
        <f>AND(Bills!AA957,"AAAAAG7P/Wo=")</f>
        <v>#VALUE!</v>
      </c>
      <c r="DD237" t="e">
        <f>AND(Bills!AB957,"AAAAAG7P/Ws=")</f>
        <v>#VALUE!</v>
      </c>
      <c r="DE237" t="e">
        <f>AND(Bills!#REF!,"AAAAAG7P/Ww=")</f>
        <v>#REF!</v>
      </c>
      <c r="DF237">
        <f>IF(Bills!958:958,"AAAAAG7P/W0=",0)</f>
        <v>0</v>
      </c>
      <c r="DG237" t="e">
        <f>AND(Bills!B958,"AAAAAG7P/W4=")</f>
        <v>#VALUE!</v>
      </c>
      <c r="DH237" t="e">
        <f>AND(Bills!#REF!,"AAAAAG7P/W8=")</f>
        <v>#REF!</v>
      </c>
      <c r="DI237" t="e">
        <f>AND(Bills!C958,"AAAAAG7P/XA=")</f>
        <v>#VALUE!</v>
      </c>
      <c r="DJ237" t="e">
        <f>AND(Bills!#REF!,"AAAAAG7P/XE=")</f>
        <v>#REF!</v>
      </c>
      <c r="DK237" t="e">
        <f>AND(Bills!#REF!,"AAAAAG7P/XI=")</f>
        <v>#REF!</v>
      </c>
      <c r="DL237" t="e">
        <f>AND(Bills!#REF!,"AAAAAG7P/XM=")</f>
        <v>#REF!</v>
      </c>
      <c r="DM237" t="e">
        <f>AND(Bills!#REF!,"AAAAAG7P/XQ=")</f>
        <v>#REF!</v>
      </c>
      <c r="DN237" t="e">
        <f>AND(Bills!#REF!,"AAAAAG7P/XU=")</f>
        <v>#REF!</v>
      </c>
      <c r="DO237" t="e">
        <f>AND(Bills!D958,"AAAAAG7P/XY=")</f>
        <v>#VALUE!</v>
      </c>
      <c r="DP237" t="e">
        <f>AND(Bills!#REF!,"AAAAAG7P/Xc=")</f>
        <v>#REF!</v>
      </c>
      <c r="DQ237" t="e">
        <f>AND(Bills!E958,"AAAAAG7P/Xg=")</f>
        <v>#VALUE!</v>
      </c>
      <c r="DR237" t="e">
        <f>AND(Bills!F958,"AAAAAG7P/Xk=")</f>
        <v>#VALUE!</v>
      </c>
      <c r="DS237" t="e">
        <f>AND(Bills!G958,"AAAAAG7P/Xo=")</f>
        <v>#VALUE!</v>
      </c>
      <c r="DT237" t="e">
        <f>AND(Bills!H958,"AAAAAG7P/Xs=")</f>
        <v>#VALUE!</v>
      </c>
      <c r="DU237" t="e">
        <f>AND(Bills!I958,"AAAAAG7P/Xw=")</f>
        <v>#VALUE!</v>
      </c>
      <c r="DV237" t="e">
        <f>AND(Bills!J958,"AAAAAG7P/X0=")</f>
        <v>#VALUE!</v>
      </c>
      <c r="DW237" t="e">
        <f>AND(Bills!#REF!,"AAAAAG7P/X4=")</f>
        <v>#REF!</v>
      </c>
      <c r="DX237" t="e">
        <f>AND(Bills!K958,"AAAAAG7P/X8=")</f>
        <v>#VALUE!</v>
      </c>
      <c r="DY237" t="e">
        <f>AND(Bills!L958,"AAAAAG7P/YA=")</f>
        <v>#VALUE!</v>
      </c>
      <c r="DZ237" t="e">
        <f>AND(Bills!M958,"AAAAAG7P/YE=")</f>
        <v>#VALUE!</v>
      </c>
      <c r="EA237" t="e">
        <f>AND(Bills!N958,"AAAAAG7P/YI=")</f>
        <v>#VALUE!</v>
      </c>
      <c r="EB237" t="e">
        <f>AND(Bills!O958,"AAAAAG7P/YM=")</f>
        <v>#VALUE!</v>
      </c>
      <c r="EC237" t="e">
        <f>AND(Bills!P958,"AAAAAG7P/YQ=")</f>
        <v>#VALUE!</v>
      </c>
      <c r="ED237" t="e">
        <f>AND(Bills!Q958,"AAAAAG7P/YU=")</f>
        <v>#VALUE!</v>
      </c>
      <c r="EE237" t="e">
        <f>AND(Bills!R958,"AAAAAG7P/YY=")</f>
        <v>#VALUE!</v>
      </c>
      <c r="EF237" t="e">
        <f>AND(Bills!#REF!,"AAAAAG7P/Yc=")</f>
        <v>#REF!</v>
      </c>
      <c r="EG237" t="e">
        <f>AND(Bills!S958,"AAAAAG7P/Yg=")</f>
        <v>#VALUE!</v>
      </c>
      <c r="EH237" t="e">
        <f>AND(Bills!T958,"AAAAAG7P/Yk=")</f>
        <v>#VALUE!</v>
      </c>
      <c r="EI237" t="e">
        <f>AND(Bills!U958,"AAAAAG7P/Yo=")</f>
        <v>#VALUE!</v>
      </c>
      <c r="EJ237" t="e">
        <f>AND(Bills!#REF!,"AAAAAG7P/Ys=")</f>
        <v>#REF!</v>
      </c>
      <c r="EK237" t="e">
        <f>AND(Bills!#REF!,"AAAAAG7P/Yw=")</f>
        <v>#REF!</v>
      </c>
      <c r="EL237" t="e">
        <f>AND(Bills!W958,"AAAAAG7P/Y0=")</f>
        <v>#VALUE!</v>
      </c>
      <c r="EM237" t="e">
        <f>AND(Bills!X958,"AAAAAG7P/Y4=")</f>
        <v>#VALUE!</v>
      </c>
      <c r="EN237" t="e">
        <f>AND(Bills!#REF!,"AAAAAG7P/Y8=")</f>
        <v>#REF!</v>
      </c>
      <c r="EO237" t="e">
        <f>AND(Bills!#REF!,"AAAAAG7P/ZA=")</f>
        <v>#REF!</v>
      </c>
      <c r="EP237" t="e">
        <f>AND(Bills!#REF!,"AAAAAG7P/ZE=")</f>
        <v>#REF!</v>
      </c>
      <c r="EQ237" t="e">
        <f>AND(Bills!#REF!,"AAAAAG7P/ZI=")</f>
        <v>#REF!</v>
      </c>
      <c r="ER237" t="e">
        <f>AND(Bills!#REF!,"AAAAAG7P/ZM=")</f>
        <v>#REF!</v>
      </c>
      <c r="ES237" t="e">
        <f>AND(Bills!#REF!,"AAAAAG7P/ZQ=")</f>
        <v>#REF!</v>
      </c>
      <c r="ET237" t="e">
        <f>AND(Bills!#REF!,"AAAAAG7P/ZU=")</f>
        <v>#REF!</v>
      </c>
      <c r="EU237" t="e">
        <f>AND(Bills!#REF!,"AAAAAG7P/ZY=")</f>
        <v>#REF!</v>
      </c>
      <c r="EV237" t="e">
        <f>AND(Bills!#REF!,"AAAAAG7P/Zc=")</f>
        <v>#REF!</v>
      </c>
      <c r="EW237" t="e">
        <f>AND(Bills!Y958,"AAAAAG7P/Zg=")</f>
        <v>#VALUE!</v>
      </c>
      <c r="EX237" t="e">
        <f>AND(Bills!Z958,"AAAAAG7P/Zk=")</f>
        <v>#VALUE!</v>
      </c>
      <c r="EY237" t="e">
        <f>AND(Bills!#REF!,"AAAAAG7P/Zo=")</f>
        <v>#REF!</v>
      </c>
      <c r="EZ237" t="e">
        <f>AND(Bills!#REF!,"AAAAAG7P/Zs=")</f>
        <v>#REF!</v>
      </c>
      <c r="FA237" t="e">
        <f>AND(Bills!#REF!,"AAAAAG7P/Zw=")</f>
        <v>#REF!</v>
      </c>
      <c r="FB237" t="e">
        <f>AND(Bills!AA958,"AAAAAG7P/Z0=")</f>
        <v>#VALUE!</v>
      </c>
      <c r="FC237" t="e">
        <f>AND(Bills!AB958,"AAAAAG7P/Z4=")</f>
        <v>#VALUE!</v>
      </c>
      <c r="FD237" t="e">
        <f>AND(Bills!#REF!,"AAAAAG7P/Z8=")</f>
        <v>#REF!</v>
      </c>
      <c r="FE237">
        <f>IF(Bills!959:959,"AAAAAG7P/aA=",0)</f>
        <v>0</v>
      </c>
      <c r="FF237" t="e">
        <f>AND(Bills!B959,"AAAAAG7P/aE=")</f>
        <v>#VALUE!</v>
      </c>
      <c r="FG237" t="e">
        <f>AND(Bills!#REF!,"AAAAAG7P/aI=")</f>
        <v>#REF!</v>
      </c>
      <c r="FH237" t="e">
        <f>AND(Bills!C959,"AAAAAG7P/aM=")</f>
        <v>#VALUE!</v>
      </c>
      <c r="FI237" t="e">
        <f>AND(Bills!#REF!,"AAAAAG7P/aQ=")</f>
        <v>#REF!</v>
      </c>
      <c r="FJ237" t="e">
        <f>AND(Bills!#REF!,"AAAAAG7P/aU=")</f>
        <v>#REF!</v>
      </c>
      <c r="FK237" t="e">
        <f>AND(Bills!#REF!,"AAAAAG7P/aY=")</f>
        <v>#REF!</v>
      </c>
      <c r="FL237" t="e">
        <f>AND(Bills!#REF!,"AAAAAG7P/ac=")</f>
        <v>#REF!</v>
      </c>
      <c r="FM237" t="e">
        <f>AND(Bills!#REF!,"AAAAAG7P/ag=")</f>
        <v>#REF!</v>
      </c>
      <c r="FN237" t="e">
        <f>AND(Bills!D959,"AAAAAG7P/ak=")</f>
        <v>#VALUE!</v>
      </c>
      <c r="FO237" t="e">
        <f>AND(Bills!#REF!,"AAAAAG7P/ao=")</f>
        <v>#REF!</v>
      </c>
      <c r="FP237" t="e">
        <f>AND(Bills!E959,"AAAAAG7P/as=")</f>
        <v>#VALUE!</v>
      </c>
      <c r="FQ237" t="e">
        <f>AND(Bills!F959,"AAAAAG7P/aw=")</f>
        <v>#VALUE!</v>
      </c>
      <c r="FR237" t="e">
        <f>AND(Bills!G959,"AAAAAG7P/a0=")</f>
        <v>#VALUE!</v>
      </c>
      <c r="FS237" t="e">
        <f>AND(Bills!H959,"AAAAAG7P/a4=")</f>
        <v>#VALUE!</v>
      </c>
      <c r="FT237" t="e">
        <f>AND(Bills!I959,"AAAAAG7P/a8=")</f>
        <v>#VALUE!</v>
      </c>
      <c r="FU237" t="e">
        <f>AND(Bills!J959,"AAAAAG7P/bA=")</f>
        <v>#VALUE!</v>
      </c>
      <c r="FV237" t="e">
        <f>AND(Bills!#REF!,"AAAAAG7P/bE=")</f>
        <v>#REF!</v>
      </c>
      <c r="FW237" t="e">
        <f>AND(Bills!K959,"AAAAAG7P/bI=")</f>
        <v>#VALUE!</v>
      </c>
      <c r="FX237" t="e">
        <f>AND(Bills!L959,"AAAAAG7P/bM=")</f>
        <v>#VALUE!</v>
      </c>
      <c r="FY237" t="e">
        <f>AND(Bills!M959,"AAAAAG7P/bQ=")</f>
        <v>#VALUE!</v>
      </c>
      <c r="FZ237" t="e">
        <f>AND(Bills!N959,"AAAAAG7P/bU=")</f>
        <v>#VALUE!</v>
      </c>
      <c r="GA237" t="e">
        <f>AND(Bills!O959,"AAAAAG7P/bY=")</f>
        <v>#VALUE!</v>
      </c>
      <c r="GB237" t="e">
        <f>AND(Bills!P959,"AAAAAG7P/bc=")</f>
        <v>#VALUE!</v>
      </c>
      <c r="GC237" t="e">
        <f>AND(Bills!Q959,"AAAAAG7P/bg=")</f>
        <v>#VALUE!</v>
      </c>
      <c r="GD237" t="e">
        <f>AND(Bills!R959,"AAAAAG7P/bk=")</f>
        <v>#VALUE!</v>
      </c>
      <c r="GE237" t="e">
        <f>AND(Bills!#REF!,"AAAAAG7P/bo=")</f>
        <v>#REF!</v>
      </c>
      <c r="GF237" t="e">
        <f>AND(Bills!S959,"AAAAAG7P/bs=")</f>
        <v>#VALUE!</v>
      </c>
      <c r="GG237" t="e">
        <f>AND(Bills!T959,"AAAAAG7P/bw=")</f>
        <v>#VALUE!</v>
      </c>
      <c r="GH237" t="e">
        <f>AND(Bills!U959,"AAAAAG7P/b0=")</f>
        <v>#VALUE!</v>
      </c>
      <c r="GI237" t="e">
        <f>AND(Bills!#REF!,"AAAAAG7P/b4=")</f>
        <v>#REF!</v>
      </c>
      <c r="GJ237" t="e">
        <f>AND(Bills!#REF!,"AAAAAG7P/b8=")</f>
        <v>#REF!</v>
      </c>
      <c r="GK237" t="e">
        <f>AND(Bills!W959,"AAAAAG7P/cA=")</f>
        <v>#VALUE!</v>
      </c>
      <c r="GL237" t="e">
        <f>AND(Bills!X959,"AAAAAG7P/cE=")</f>
        <v>#VALUE!</v>
      </c>
      <c r="GM237" t="e">
        <f>AND(Bills!#REF!,"AAAAAG7P/cI=")</f>
        <v>#REF!</v>
      </c>
      <c r="GN237" t="e">
        <f>AND(Bills!#REF!,"AAAAAG7P/cM=")</f>
        <v>#REF!</v>
      </c>
      <c r="GO237" t="e">
        <f>AND(Bills!#REF!,"AAAAAG7P/cQ=")</f>
        <v>#REF!</v>
      </c>
      <c r="GP237" t="e">
        <f>AND(Bills!#REF!,"AAAAAG7P/cU=")</f>
        <v>#REF!</v>
      </c>
      <c r="GQ237" t="e">
        <f>AND(Bills!#REF!,"AAAAAG7P/cY=")</f>
        <v>#REF!</v>
      </c>
      <c r="GR237" t="e">
        <f>AND(Bills!#REF!,"AAAAAG7P/cc=")</f>
        <v>#REF!</v>
      </c>
      <c r="GS237" t="e">
        <f>AND(Bills!#REF!,"AAAAAG7P/cg=")</f>
        <v>#REF!</v>
      </c>
      <c r="GT237" t="e">
        <f>AND(Bills!#REF!,"AAAAAG7P/ck=")</f>
        <v>#REF!</v>
      </c>
      <c r="GU237" t="e">
        <f>AND(Bills!#REF!,"AAAAAG7P/co=")</f>
        <v>#REF!</v>
      </c>
      <c r="GV237" t="e">
        <f>AND(Bills!Y959,"AAAAAG7P/cs=")</f>
        <v>#VALUE!</v>
      </c>
      <c r="GW237" t="e">
        <f>AND(Bills!Z959,"AAAAAG7P/cw=")</f>
        <v>#VALUE!</v>
      </c>
      <c r="GX237" t="e">
        <f>AND(Bills!#REF!,"AAAAAG7P/c0=")</f>
        <v>#REF!</v>
      </c>
      <c r="GY237" t="e">
        <f>AND(Bills!#REF!,"AAAAAG7P/c4=")</f>
        <v>#REF!</v>
      </c>
      <c r="GZ237" t="e">
        <f>AND(Bills!#REF!,"AAAAAG7P/c8=")</f>
        <v>#REF!</v>
      </c>
      <c r="HA237" t="e">
        <f>AND(Bills!AA959,"AAAAAG7P/dA=")</f>
        <v>#VALUE!</v>
      </c>
      <c r="HB237" t="e">
        <f>AND(Bills!AB959,"AAAAAG7P/dE=")</f>
        <v>#VALUE!</v>
      </c>
      <c r="HC237" t="e">
        <f>AND(Bills!#REF!,"AAAAAG7P/dI=")</f>
        <v>#REF!</v>
      </c>
      <c r="HD237">
        <f>IF(Bills!960:960,"AAAAAG7P/dM=",0)</f>
        <v>0</v>
      </c>
      <c r="HE237" t="e">
        <f>AND(Bills!B960,"AAAAAG7P/dQ=")</f>
        <v>#VALUE!</v>
      </c>
      <c r="HF237" t="e">
        <f>AND(Bills!#REF!,"AAAAAG7P/dU=")</f>
        <v>#REF!</v>
      </c>
      <c r="HG237" t="e">
        <f>AND(Bills!C960,"AAAAAG7P/dY=")</f>
        <v>#VALUE!</v>
      </c>
      <c r="HH237" t="e">
        <f>AND(Bills!#REF!,"AAAAAG7P/dc=")</f>
        <v>#REF!</v>
      </c>
      <c r="HI237" t="e">
        <f>AND(Bills!#REF!,"AAAAAG7P/dg=")</f>
        <v>#REF!</v>
      </c>
      <c r="HJ237" t="e">
        <f>AND(Bills!#REF!,"AAAAAG7P/dk=")</f>
        <v>#REF!</v>
      </c>
      <c r="HK237" t="e">
        <f>AND(Bills!#REF!,"AAAAAG7P/do=")</f>
        <v>#REF!</v>
      </c>
      <c r="HL237" t="e">
        <f>AND(Bills!#REF!,"AAAAAG7P/ds=")</f>
        <v>#REF!</v>
      </c>
      <c r="HM237" t="e">
        <f>AND(Bills!D960,"AAAAAG7P/dw=")</f>
        <v>#VALUE!</v>
      </c>
      <c r="HN237" t="e">
        <f>AND(Bills!#REF!,"AAAAAG7P/d0=")</f>
        <v>#REF!</v>
      </c>
      <c r="HO237" t="e">
        <f>AND(Bills!E960,"AAAAAG7P/d4=")</f>
        <v>#VALUE!</v>
      </c>
      <c r="HP237" t="e">
        <f>AND(Bills!F960,"AAAAAG7P/d8=")</f>
        <v>#VALUE!</v>
      </c>
      <c r="HQ237" t="e">
        <f>AND(Bills!G960,"AAAAAG7P/eA=")</f>
        <v>#VALUE!</v>
      </c>
      <c r="HR237" t="e">
        <f>AND(Bills!H960,"AAAAAG7P/eE=")</f>
        <v>#VALUE!</v>
      </c>
      <c r="HS237" t="e">
        <f>AND(Bills!I960,"AAAAAG7P/eI=")</f>
        <v>#VALUE!</v>
      </c>
      <c r="HT237" t="e">
        <f>AND(Bills!J960,"AAAAAG7P/eM=")</f>
        <v>#VALUE!</v>
      </c>
      <c r="HU237" t="e">
        <f>AND(Bills!#REF!,"AAAAAG7P/eQ=")</f>
        <v>#REF!</v>
      </c>
      <c r="HV237" t="e">
        <f>AND(Bills!K960,"AAAAAG7P/eU=")</f>
        <v>#VALUE!</v>
      </c>
      <c r="HW237" t="e">
        <f>AND(Bills!L960,"AAAAAG7P/eY=")</f>
        <v>#VALUE!</v>
      </c>
      <c r="HX237" t="e">
        <f>AND(Bills!M960,"AAAAAG7P/ec=")</f>
        <v>#VALUE!</v>
      </c>
      <c r="HY237" t="e">
        <f>AND(Bills!N960,"AAAAAG7P/eg=")</f>
        <v>#VALUE!</v>
      </c>
      <c r="HZ237" t="e">
        <f>AND(Bills!O960,"AAAAAG7P/ek=")</f>
        <v>#VALUE!</v>
      </c>
      <c r="IA237" t="e">
        <f>AND(Bills!P960,"AAAAAG7P/eo=")</f>
        <v>#VALUE!</v>
      </c>
      <c r="IB237" t="e">
        <f>AND(Bills!Q960,"AAAAAG7P/es=")</f>
        <v>#VALUE!</v>
      </c>
      <c r="IC237" t="e">
        <f>AND(Bills!R960,"AAAAAG7P/ew=")</f>
        <v>#VALUE!</v>
      </c>
      <c r="ID237" t="e">
        <f>AND(Bills!#REF!,"AAAAAG7P/e0=")</f>
        <v>#REF!</v>
      </c>
      <c r="IE237" t="e">
        <f>AND(Bills!S960,"AAAAAG7P/e4=")</f>
        <v>#VALUE!</v>
      </c>
      <c r="IF237" t="e">
        <f>AND(Bills!T960,"AAAAAG7P/e8=")</f>
        <v>#VALUE!</v>
      </c>
      <c r="IG237" t="e">
        <f>AND(Bills!U960,"AAAAAG7P/fA=")</f>
        <v>#VALUE!</v>
      </c>
      <c r="IH237" t="e">
        <f>AND(Bills!#REF!,"AAAAAG7P/fE=")</f>
        <v>#REF!</v>
      </c>
      <c r="II237" t="e">
        <f>AND(Bills!#REF!,"AAAAAG7P/fI=")</f>
        <v>#REF!</v>
      </c>
      <c r="IJ237" t="e">
        <f>AND(Bills!W960,"AAAAAG7P/fM=")</f>
        <v>#VALUE!</v>
      </c>
      <c r="IK237" t="e">
        <f>AND(Bills!X960,"AAAAAG7P/fQ=")</f>
        <v>#VALUE!</v>
      </c>
      <c r="IL237" t="e">
        <f>AND(Bills!#REF!,"AAAAAG7P/fU=")</f>
        <v>#REF!</v>
      </c>
      <c r="IM237" t="e">
        <f>AND(Bills!#REF!,"AAAAAG7P/fY=")</f>
        <v>#REF!</v>
      </c>
      <c r="IN237" t="e">
        <f>AND(Bills!#REF!,"AAAAAG7P/fc=")</f>
        <v>#REF!</v>
      </c>
      <c r="IO237" t="e">
        <f>AND(Bills!#REF!,"AAAAAG7P/fg=")</f>
        <v>#REF!</v>
      </c>
      <c r="IP237" t="e">
        <f>AND(Bills!#REF!,"AAAAAG7P/fk=")</f>
        <v>#REF!</v>
      </c>
      <c r="IQ237" t="e">
        <f>AND(Bills!#REF!,"AAAAAG7P/fo=")</f>
        <v>#REF!</v>
      </c>
      <c r="IR237" t="e">
        <f>AND(Bills!#REF!,"AAAAAG7P/fs=")</f>
        <v>#REF!</v>
      </c>
      <c r="IS237" t="e">
        <f>AND(Bills!#REF!,"AAAAAG7P/fw=")</f>
        <v>#REF!</v>
      </c>
      <c r="IT237" t="e">
        <f>AND(Bills!#REF!,"AAAAAG7P/f0=")</f>
        <v>#REF!</v>
      </c>
      <c r="IU237" t="e">
        <f>AND(Bills!Y960,"AAAAAG7P/f4=")</f>
        <v>#VALUE!</v>
      </c>
      <c r="IV237" t="e">
        <f>AND(Bills!Z960,"AAAAAG7P/f8=")</f>
        <v>#VALUE!</v>
      </c>
    </row>
    <row r="238" spans="1:256">
      <c r="A238" t="e">
        <f>AND(Bills!#REF!,"AAAAABa7PgA=")</f>
        <v>#REF!</v>
      </c>
      <c r="B238" t="e">
        <f>AND(Bills!#REF!,"AAAAABa7PgE=")</f>
        <v>#REF!</v>
      </c>
      <c r="C238" t="e">
        <f>AND(Bills!#REF!,"AAAAABa7PgI=")</f>
        <v>#REF!</v>
      </c>
      <c r="D238" t="e">
        <f>AND(Bills!AA960,"AAAAABa7PgM=")</f>
        <v>#VALUE!</v>
      </c>
      <c r="E238" t="e">
        <f>AND(Bills!AB960,"AAAAABa7PgQ=")</f>
        <v>#VALUE!</v>
      </c>
      <c r="F238" t="e">
        <f>AND(Bills!#REF!,"AAAAABa7PgU=")</f>
        <v>#REF!</v>
      </c>
      <c r="G238">
        <f>IF(Bills!961:961,"AAAAABa7PgY=",0)</f>
        <v>0</v>
      </c>
      <c r="H238" t="e">
        <f>AND(Bills!B961,"AAAAABa7Pgc=")</f>
        <v>#VALUE!</v>
      </c>
      <c r="I238" t="e">
        <f>AND(Bills!#REF!,"AAAAABa7Pgg=")</f>
        <v>#REF!</v>
      </c>
      <c r="J238" t="e">
        <f>AND(Bills!C961,"AAAAABa7Pgk=")</f>
        <v>#VALUE!</v>
      </c>
      <c r="K238" t="e">
        <f>AND(Bills!#REF!,"AAAAABa7Pgo=")</f>
        <v>#REF!</v>
      </c>
      <c r="L238" t="e">
        <f>AND(Bills!#REF!,"AAAAABa7Pgs=")</f>
        <v>#REF!</v>
      </c>
      <c r="M238" t="e">
        <f>AND(Bills!#REF!,"AAAAABa7Pgw=")</f>
        <v>#REF!</v>
      </c>
      <c r="N238" t="e">
        <f>AND(Bills!#REF!,"AAAAABa7Pg0=")</f>
        <v>#REF!</v>
      </c>
      <c r="O238" t="e">
        <f>AND(Bills!#REF!,"AAAAABa7Pg4=")</f>
        <v>#REF!</v>
      </c>
      <c r="P238" t="e">
        <f>AND(Bills!D961,"AAAAABa7Pg8=")</f>
        <v>#VALUE!</v>
      </c>
      <c r="Q238" t="e">
        <f>AND(Bills!#REF!,"AAAAABa7PhA=")</f>
        <v>#REF!</v>
      </c>
      <c r="R238" t="e">
        <f>AND(Bills!E961,"AAAAABa7PhE=")</f>
        <v>#VALUE!</v>
      </c>
      <c r="S238" t="e">
        <f>AND(Bills!F961,"AAAAABa7PhI=")</f>
        <v>#VALUE!</v>
      </c>
      <c r="T238" t="e">
        <f>AND(Bills!G961,"AAAAABa7PhM=")</f>
        <v>#VALUE!</v>
      </c>
      <c r="U238" t="e">
        <f>AND(Bills!H961,"AAAAABa7PhQ=")</f>
        <v>#VALUE!</v>
      </c>
      <c r="V238" t="e">
        <f>AND(Bills!I961,"AAAAABa7PhU=")</f>
        <v>#VALUE!</v>
      </c>
      <c r="W238" t="e">
        <f>AND(Bills!J961,"AAAAABa7PhY=")</f>
        <v>#VALUE!</v>
      </c>
      <c r="X238" t="e">
        <f>AND(Bills!#REF!,"AAAAABa7Phc=")</f>
        <v>#REF!</v>
      </c>
      <c r="Y238" t="e">
        <f>AND(Bills!K961,"AAAAABa7Phg=")</f>
        <v>#VALUE!</v>
      </c>
      <c r="Z238" t="e">
        <f>AND(Bills!L961,"AAAAABa7Phk=")</f>
        <v>#VALUE!</v>
      </c>
      <c r="AA238" t="e">
        <f>AND(Bills!M961,"AAAAABa7Pho=")</f>
        <v>#VALUE!</v>
      </c>
      <c r="AB238" t="e">
        <f>AND(Bills!N961,"AAAAABa7Phs=")</f>
        <v>#VALUE!</v>
      </c>
      <c r="AC238" t="e">
        <f>AND(Bills!O961,"AAAAABa7Phw=")</f>
        <v>#VALUE!</v>
      </c>
      <c r="AD238" t="e">
        <f>AND(Bills!P961,"AAAAABa7Ph0=")</f>
        <v>#VALUE!</v>
      </c>
      <c r="AE238" t="e">
        <f>AND(Bills!Q961,"AAAAABa7Ph4=")</f>
        <v>#VALUE!</v>
      </c>
      <c r="AF238" t="e">
        <f>AND(Bills!R961,"AAAAABa7Ph8=")</f>
        <v>#VALUE!</v>
      </c>
      <c r="AG238" t="e">
        <f>AND(Bills!#REF!,"AAAAABa7PiA=")</f>
        <v>#REF!</v>
      </c>
      <c r="AH238" t="e">
        <f>AND(Bills!S961,"AAAAABa7PiE=")</f>
        <v>#VALUE!</v>
      </c>
      <c r="AI238" t="e">
        <f>AND(Bills!T961,"AAAAABa7PiI=")</f>
        <v>#VALUE!</v>
      </c>
      <c r="AJ238" t="e">
        <f>AND(Bills!U961,"AAAAABa7PiM=")</f>
        <v>#VALUE!</v>
      </c>
      <c r="AK238" t="e">
        <f>AND(Bills!#REF!,"AAAAABa7PiQ=")</f>
        <v>#REF!</v>
      </c>
      <c r="AL238" t="e">
        <f>AND(Bills!#REF!,"AAAAABa7PiU=")</f>
        <v>#REF!</v>
      </c>
      <c r="AM238" t="e">
        <f>AND(Bills!W961,"AAAAABa7PiY=")</f>
        <v>#VALUE!</v>
      </c>
      <c r="AN238" t="e">
        <f>AND(Bills!X961,"AAAAABa7Pic=")</f>
        <v>#VALUE!</v>
      </c>
      <c r="AO238" t="e">
        <f>AND(Bills!#REF!,"AAAAABa7Pig=")</f>
        <v>#REF!</v>
      </c>
      <c r="AP238" t="e">
        <f>AND(Bills!#REF!,"AAAAABa7Pik=")</f>
        <v>#REF!</v>
      </c>
      <c r="AQ238" t="e">
        <f>AND(Bills!#REF!,"AAAAABa7Pio=")</f>
        <v>#REF!</v>
      </c>
      <c r="AR238" t="e">
        <f>AND(Bills!#REF!,"AAAAABa7Pis=")</f>
        <v>#REF!</v>
      </c>
      <c r="AS238" t="e">
        <f>AND(Bills!#REF!,"AAAAABa7Piw=")</f>
        <v>#REF!</v>
      </c>
      <c r="AT238" t="e">
        <f>AND(Bills!#REF!,"AAAAABa7Pi0=")</f>
        <v>#REF!</v>
      </c>
      <c r="AU238" t="e">
        <f>AND(Bills!#REF!,"AAAAABa7Pi4=")</f>
        <v>#REF!</v>
      </c>
      <c r="AV238" t="e">
        <f>AND(Bills!#REF!,"AAAAABa7Pi8=")</f>
        <v>#REF!</v>
      </c>
      <c r="AW238" t="e">
        <f>AND(Bills!#REF!,"AAAAABa7PjA=")</f>
        <v>#REF!</v>
      </c>
      <c r="AX238" t="e">
        <f>AND(Bills!Y961,"AAAAABa7PjE=")</f>
        <v>#VALUE!</v>
      </c>
      <c r="AY238" t="e">
        <f>AND(Bills!Z961,"AAAAABa7PjI=")</f>
        <v>#VALUE!</v>
      </c>
      <c r="AZ238" t="e">
        <f>AND(Bills!#REF!,"AAAAABa7PjM=")</f>
        <v>#REF!</v>
      </c>
      <c r="BA238" t="e">
        <f>AND(Bills!#REF!,"AAAAABa7PjQ=")</f>
        <v>#REF!</v>
      </c>
      <c r="BB238" t="e">
        <f>AND(Bills!#REF!,"AAAAABa7PjU=")</f>
        <v>#REF!</v>
      </c>
      <c r="BC238" t="e">
        <f>AND(Bills!AA961,"AAAAABa7PjY=")</f>
        <v>#VALUE!</v>
      </c>
      <c r="BD238" t="e">
        <f>AND(Bills!AB961,"AAAAABa7Pjc=")</f>
        <v>#VALUE!</v>
      </c>
      <c r="BE238" t="e">
        <f>AND(Bills!#REF!,"AAAAABa7Pjg=")</f>
        <v>#REF!</v>
      </c>
      <c r="BF238">
        <f>IF(Bills!962:962,"AAAAABa7Pjk=",0)</f>
        <v>0</v>
      </c>
      <c r="BG238" t="e">
        <f>AND(Bills!B962,"AAAAABa7Pjo=")</f>
        <v>#VALUE!</v>
      </c>
      <c r="BH238" t="e">
        <f>AND(Bills!#REF!,"AAAAABa7Pjs=")</f>
        <v>#REF!</v>
      </c>
      <c r="BI238" t="e">
        <f>AND(Bills!C962,"AAAAABa7Pjw=")</f>
        <v>#VALUE!</v>
      </c>
      <c r="BJ238" t="e">
        <f>AND(Bills!#REF!,"AAAAABa7Pj0=")</f>
        <v>#REF!</v>
      </c>
      <c r="BK238" t="e">
        <f>AND(Bills!#REF!,"AAAAABa7Pj4=")</f>
        <v>#REF!</v>
      </c>
      <c r="BL238" t="e">
        <f>AND(Bills!#REF!,"AAAAABa7Pj8=")</f>
        <v>#REF!</v>
      </c>
      <c r="BM238" t="e">
        <f>AND(Bills!#REF!,"AAAAABa7PkA=")</f>
        <v>#REF!</v>
      </c>
      <c r="BN238" t="e">
        <f>AND(Bills!#REF!,"AAAAABa7PkE=")</f>
        <v>#REF!</v>
      </c>
      <c r="BO238" t="e">
        <f>AND(Bills!D962,"AAAAABa7PkI=")</f>
        <v>#VALUE!</v>
      </c>
      <c r="BP238" t="e">
        <f>AND(Bills!#REF!,"AAAAABa7PkM=")</f>
        <v>#REF!</v>
      </c>
      <c r="BQ238" t="e">
        <f>AND(Bills!E962,"AAAAABa7PkQ=")</f>
        <v>#VALUE!</v>
      </c>
      <c r="BR238" t="e">
        <f>AND(Bills!F962,"AAAAABa7PkU=")</f>
        <v>#VALUE!</v>
      </c>
      <c r="BS238" t="e">
        <f>AND(Bills!G962,"AAAAABa7PkY=")</f>
        <v>#VALUE!</v>
      </c>
      <c r="BT238" t="e">
        <f>AND(Bills!H962,"AAAAABa7Pkc=")</f>
        <v>#VALUE!</v>
      </c>
      <c r="BU238" t="e">
        <f>AND(Bills!I962,"AAAAABa7Pkg=")</f>
        <v>#VALUE!</v>
      </c>
      <c r="BV238" t="e">
        <f>AND(Bills!J962,"AAAAABa7Pkk=")</f>
        <v>#VALUE!</v>
      </c>
      <c r="BW238" t="e">
        <f>AND(Bills!#REF!,"AAAAABa7Pko=")</f>
        <v>#REF!</v>
      </c>
      <c r="BX238" t="e">
        <f>AND(Bills!K962,"AAAAABa7Pks=")</f>
        <v>#VALUE!</v>
      </c>
      <c r="BY238" t="e">
        <f>AND(Bills!L962,"AAAAABa7Pkw=")</f>
        <v>#VALUE!</v>
      </c>
      <c r="BZ238" t="e">
        <f>AND(Bills!M962,"AAAAABa7Pk0=")</f>
        <v>#VALUE!</v>
      </c>
      <c r="CA238" t="e">
        <f>AND(Bills!N962,"AAAAABa7Pk4=")</f>
        <v>#VALUE!</v>
      </c>
      <c r="CB238" t="e">
        <f>AND(Bills!O962,"AAAAABa7Pk8=")</f>
        <v>#VALUE!</v>
      </c>
      <c r="CC238" t="e">
        <f>AND(Bills!P962,"AAAAABa7PlA=")</f>
        <v>#VALUE!</v>
      </c>
      <c r="CD238" t="e">
        <f>AND(Bills!Q962,"AAAAABa7PlE=")</f>
        <v>#VALUE!</v>
      </c>
      <c r="CE238" t="e">
        <f>AND(Bills!R962,"AAAAABa7PlI=")</f>
        <v>#VALUE!</v>
      </c>
      <c r="CF238" t="e">
        <f>AND(Bills!#REF!,"AAAAABa7PlM=")</f>
        <v>#REF!</v>
      </c>
      <c r="CG238" t="e">
        <f>AND(Bills!S962,"AAAAABa7PlQ=")</f>
        <v>#VALUE!</v>
      </c>
      <c r="CH238" t="e">
        <f>AND(Bills!T962,"AAAAABa7PlU=")</f>
        <v>#VALUE!</v>
      </c>
      <c r="CI238" t="e">
        <f>AND(Bills!U962,"AAAAABa7PlY=")</f>
        <v>#VALUE!</v>
      </c>
      <c r="CJ238" t="e">
        <f>AND(Bills!#REF!,"AAAAABa7Plc=")</f>
        <v>#REF!</v>
      </c>
      <c r="CK238" t="e">
        <f>AND(Bills!#REF!,"AAAAABa7Plg=")</f>
        <v>#REF!</v>
      </c>
      <c r="CL238" t="e">
        <f>AND(Bills!W962,"AAAAABa7Plk=")</f>
        <v>#VALUE!</v>
      </c>
      <c r="CM238" t="e">
        <f>AND(Bills!X962,"AAAAABa7Plo=")</f>
        <v>#VALUE!</v>
      </c>
      <c r="CN238" t="e">
        <f>AND(Bills!#REF!,"AAAAABa7Pls=")</f>
        <v>#REF!</v>
      </c>
      <c r="CO238" t="e">
        <f>AND(Bills!#REF!,"AAAAABa7Plw=")</f>
        <v>#REF!</v>
      </c>
      <c r="CP238" t="e">
        <f>AND(Bills!#REF!,"AAAAABa7Pl0=")</f>
        <v>#REF!</v>
      </c>
      <c r="CQ238" t="e">
        <f>AND(Bills!#REF!,"AAAAABa7Pl4=")</f>
        <v>#REF!</v>
      </c>
      <c r="CR238" t="e">
        <f>AND(Bills!#REF!,"AAAAABa7Pl8=")</f>
        <v>#REF!</v>
      </c>
      <c r="CS238" t="e">
        <f>AND(Bills!#REF!,"AAAAABa7PmA=")</f>
        <v>#REF!</v>
      </c>
      <c r="CT238" t="e">
        <f>AND(Bills!#REF!,"AAAAABa7PmE=")</f>
        <v>#REF!</v>
      </c>
      <c r="CU238" t="e">
        <f>AND(Bills!#REF!,"AAAAABa7PmI=")</f>
        <v>#REF!</v>
      </c>
      <c r="CV238" t="e">
        <f>AND(Bills!#REF!,"AAAAABa7PmM=")</f>
        <v>#REF!</v>
      </c>
      <c r="CW238" t="e">
        <f>AND(Bills!Y962,"AAAAABa7PmQ=")</f>
        <v>#VALUE!</v>
      </c>
      <c r="CX238" t="e">
        <f>AND(Bills!Z962,"AAAAABa7PmU=")</f>
        <v>#VALUE!</v>
      </c>
      <c r="CY238" t="e">
        <f>AND(Bills!#REF!,"AAAAABa7PmY=")</f>
        <v>#REF!</v>
      </c>
      <c r="CZ238" t="e">
        <f>AND(Bills!#REF!,"AAAAABa7Pmc=")</f>
        <v>#REF!</v>
      </c>
      <c r="DA238" t="e">
        <f>AND(Bills!#REF!,"AAAAABa7Pmg=")</f>
        <v>#REF!</v>
      </c>
      <c r="DB238" t="e">
        <f>AND(Bills!AA962,"AAAAABa7Pmk=")</f>
        <v>#VALUE!</v>
      </c>
      <c r="DC238" t="e">
        <f>AND(Bills!AB962,"AAAAABa7Pmo=")</f>
        <v>#VALUE!</v>
      </c>
      <c r="DD238" t="e">
        <f>AND(Bills!#REF!,"AAAAABa7Pms=")</f>
        <v>#REF!</v>
      </c>
      <c r="DE238">
        <f>IF(Bills!963:963,"AAAAABa7Pmw=",0)</f>
        <v>0</v>
      </c>
      <c r="DF238" t="e">
        <f>AND(Bills!B963,"AAAAABa7Pm0=")</f>
        <v>#VALUE!</v>
      </c>
      <c r="DG238" t="e">
        <f>AND(Bills!#REF!,"AAAAABa7Pm4=")</f>
        <v>#REF!</v>
      </c>
      <c r="DH238" t="e">
        <f>AND(Bills!C963,"AAAAABa7Pm8=")</f>
        <v>#VALUE!</v>
      </c>
      <c r="DI238" t="e">
        <f>AND(Bills!#REF!,"AAAAABa7PnA=")</f>
        <v>#REF!</v>
      </c>
      <c r="DJ238" t="e">
        <f>AND(Bills!#REF!,"AAAAABa7PnE=")</f>
        <v>#REF!</v>
      </c>
      <c r="DK238" t="e">
        <f>AND(Bills!#REF!,"AAAAABa7PnI=")</f>
        <v>#REF!</v>
      </c>
      <c r="DL238" t="e">
        <f>AND(Bills!#REF!,"AAAAABa7PnM=")</f>
        <v>#REF!</v>
      </c>
      <c r="DM238" t="e">
        <f>AND(Bills!#REF!,"AAAAABa7PnQ=")</f>
        <v>#REF!</v>
      </c>
      <c r="DN238" t="e">
        <f>AND(Bills!D963,"AAAAABa7PnU=")</f>
        <v>#VALUE!</v>
      </c>
      <c r="DO238" t="e">
        <f>AND(Bills!#REF!,"AAAAABa7PnY=")</f>
        <v>#REF!</v>
      </c>
      <c r="DP238" t="e">
        <f>AND(Bills!E963,"AAAAABa7Pnc=")</f>
        <v>#VALUE!</v>
      </c>
      <c r="DQ238" t="e">
        <f>AND(Bills!F963,"AAAAABa7Png=")</f>
        <v>#VALUE!</v>
      </c>
      <c r="DR238" t="e">
        <f>AND(Bills!G963,"AAAAABa7Pnk=")</f>
        <v>#VALUE!</v>
      </c>
      <c r="DS238" t="e">
        <f>AND(Bills!H963,"AAAAABa7Pno=")</f>
        <v>#VALUE!</v>
      </c>
      <c r="DT238" t="e">
        <f>AND(Bills!I963,"AAAAABa7Pns=")</f>
        <v>#VALUE!</v>
      </c>
      <c r="DU238" t="e">
        <f>AND(Bills!J963,"AAAAABa7Pnw=")</f>
        <v>#VALUE!</v>
      </c>
      <c r="DV238" t="e">
        <f>AND(Bills!#REF!,"AAAAABa7Pn0=")</f>
        <v>#REF!</v>
      </c>
      <c r="DW238" t="e">
        <f>AND(Bills!K963,"AAAAABa7Pn4=")</f>
        <v>#VALUE!</v>
      </c>
      <c r="DX238" t="e">
        <f>AND(Bills!L963,"AAAAABa7Pn8=")</f>
        <v>#VALUE!</v>
      </c>
      <c r="DY238" t="e">
        <f>AND(Bills!M963,"AAAAABa7PoA=")</f>
        <v>#VALUE!</v>
      </c>
      <c r="DZ238" t="e">
        <f>AND(Bills!N963,"AAAAABa7PoE=")</f>
        <v>#VALUE!</v>
      </c>
      <c r="EA238" t="e">
        <f>AND(Bills!O963,"AAAAABa7PoI=")</f>
        <v>#VALUE!</v>
      </c>
      <c r="EB238" t="e">
        <f>AND(Bills!P963,"AAAAABa7PoM=")</f>
        <v>#VALUE!</v>
      </c>
      <c r="EC238" t="e">
        <f>AND(Bills!Q963,"AAAAABa7PoQ=")</f>
        <v>#VALUE!</v>
      </c>
      <c r="ED238" t="e">
        <f>AND(Bills!R963,"AAAAABa7PoU=")</f>
        <v>#VALUE!</v>
      </c>
      <c r="EE238" t="e">
        <f>AND(Bills!#REF!,"AAAAABa7PoY=")</f>
        <v>#REF!</v>
      </c>
      <c r="EF238" t="e">
        <f>AND(Bills!S963,"AAAAABa7Poc=")</f>
        <v>#VALUE!</v>
      </c>
      <c r="EG238" t="e">
        <f>AND(Bills!T963,"AAAAABa7Pog=")</f>
        <v>#VALUE!</v>
      </c>
      <c r="EH238" t="e">
        <f>AND(Bills!U963,"AAAAABa7Pok=")</f>
        <v>#VALUE!</v>
      </c>
      <c r="EI238" t="e">
        <f>AND(Bills!#REF!,"AAAAABa7Poo=")</f>
        <v>#REF!</v>
      </c>
      <c r="EJ238" t="e">
        <f>AND(Bills!#REF!,"AAAAABa7Pos=")</f>
        <v>#REF!</v>
      </c>
      <c r="EK238" t="e">
        <f>AND(Bills!W963,"AAAAABa7Pow=")</f>
        <v>#VALUE!</v>
      </c>
      <c r="EL238" t="e">
        <f>AND(Bills!X963,"AAAAABa7Po0=")</f>
        <v>#VALUE!</v>
      </c>
      <c r="EM238" t="e">
        <f>AND(Bills!#REF!,"AAAAABa7Po4=")</f>
        <v>#REF!</v>
      </c>
      <c r="EN238" t="e">
        <f>AND(Bills!#REF!,"AAAAABa7Po8=")</f>
        <v>#REF!</v>
      </c>
      <c r="EO238" t="e">
        <f>AND(Bills!#REF!,"AAAAABa7PpA=")</f>
        <v>#REF!</v>
      </c>
      <c r="EP238" t="e">
        <f>AND(Bills!#REF!,"AAAAABa7PpE=")</f>
        <v>#REF!</v>
      </c>
      <c r="EQ238" t="e">
        <f>AND(Bills!#REF!,"AAAAABa7PpI=")</f>
        <v>#REF!</v>
      </c>
      <c r="ER238" t="e">
        <f>AND(Bills!#REF!,"AAAAABa7PpM=")</f>
        <v>#REF!</v>
      </c>
      <c r="ES238" t="e">
        <f>AND(Bills!#REF!,"AAAAABa7PpQ=")</f>
        <v>#REF!</v>
      </c>
      <c r="ET238" t="e">
        <f>AND(Bills!#REF!,"AAAAABa7PpU=")</f>
        <v>#REF!</v>
      </c>
      <c r="EU238" t="e">
        <f>AND(Bills!#REF!,"AAAAABa7PpY=")</f>
        <v>#REF!</v>
      </c>
      <c r="EV238" t="e">
        <f>AND(Bills!Y963,"AAAAABa7Ppc=")</f>
        <v>#VALUE!</v>
      </c>
      <c r="EW238" t="e">
        <f>AND(Bills!Z963,"AAAAABa7Ppg=")</f>
        <v>#VALUE!</v>
      </c>
      <c r="EX238" t="e">
        <f>AND(Bills!#REF!,"AAAAABa7Ppk=")</f>
        <v>#REF!</v>
      </c>
      <c r="EY238" t="e">
        <f>AND(Bills!#REF!,"AAAAABa7Ppo=")</f>
        <v>#REF!</v>
      </c>
      <c r="EZ238" t="e">
        <f>AND(Bills!#REF!,"AAAAABa7Pps=")</f>
        <v>#REF!</v>
      </c>
      <c r="FA238" t="e">
        <f>AND(Bills!AA963,"AAAAABa7Ppw=")</f>
        <v>#VALUE!</v>
      </c>
      <c r="FB238" t="e">
        <f>AND(Bills!AB963,"AAAAABa7Pp0=")</f>
        <v>#VALUE!</v>
      </c>
      <c r="FC238" t="e">
        <f>AND(Bills!#REF!,"AAAAABa7Pp4=")</f>
        <v>#REF!</v>
      </c>
      <c r="FD238">
        <f>IF(Bills!964:964,"AAAAABa7Pp8=",0)</f>
        <v>0</v>
      </c>
      <c r="FE238" t="e">
        <f>AND(Bills!B964,"AAAAABa7PqA=")</f>
        <v>#VALUE!</v>
      </c>
      <c r="FF238" t="e">
        <f>AND(Bills!#REF!,"AAAAABa7PqE=")</f>
        <v>#REF!</v>
      </c>
      <c r="FG238" t="e">
        <f>AND(Bills!C964,"AAAAABa7PqI=")</f>
        <v>#VALUE!</v>
      </c>
      <c r="FH238" t="e">
        <f>AND(Bills!#REF!,"AAAAABa7PqM=")</f>
        <v>#REF!</v>
      </c>
      <c r="FI238" t="e">
        <f>AND(Bills!#REF!,"AAAAABa7PqQ=")</f>
        <v>#REF!</v>
      </c>
      <c r="FJ238" t="e">
        <f>AND(Bills!#REF!,"AAAAABa7PqU=")</f>
        <v>#REF!</v>
      </c>
      <c r="FK238" t="e">
        <f>AND(Bills!#REF!,"AAAAABa7PqY=")</f>
        <v>#REF!</v>
      </c>
      <c r="FL238" t="e">
        <f>AND(Bills!#REF!,"AAAAABa7Pqc=")</f>
        <v>#REF!</v>
      </c>
      <c r="FM238" t="e">
        <f>AND(Bills!D964,"AAAAABa7Pqg=")</f>
        <v>#VALUE!</v>
      </c>
      <c r="FN238" t="e">
        <f>AND(Bills!#REF!,"AAAAABa7Pqk=")</f>
        <v>#REF!</v>
      </c>
      <c r="FO238" t="e">
        <f>AND(Bills!E964,"AAAAABa7Pqo=")</f>
        <v>#VALUE!</v>
      </c>
      <c r="FP238" t="e">
        <f>AND(Bills!F964,"AAAAABa7Pqs=")</f>
        <v>#VALUE!</v>
      </c>
      <c r="FQ238" t="e">
        <f>AND(Bills!G964,"AAAAABa7Pqw=")</f>
        <v>#VALUE!</v>
      </c>
      <c r="FR238" t="e">
        <f>AND(Bills!H964,"AAAAABa7Pq0=")</f>
        <v>#VALUE!</v>
      </c>
      <c r="FS238" t="e">
        <f>AND(Bills!I964,"AAAAABa7Pq4=")</f>
        <v>#VALUE!</v>
      </c>
      <c r="FT238" t="e">
        <f>AND(Bills!J964,"AAAAABa7Pq8=")</f>
        <v>#VALUE!</v>
      </c>
      <c r="FU238" t="e">
        <f>AND(Bills!#REF!,"AAAAABa7PrA=")</f>
        <v>#REF!</v>
      </c>
      <c r="FV238" t="e">
        <f>AND(Bills!K964,"AAAAABa7PrE=")</f>
        <v>#VALUE!</v>
      </c>
      <c r="FW238" t="e">
        <f>AND(Bills!L964,"AAAAABa7PrI=")</f>
        <v>#VALUE!</v>
      </c>
      <c r="FX238" t="e">
        <f>AND(Bills!M964,"AAAAABa7PrM=")</f>
        <v>#VALUE!</v>
      </c>
      <c r="FY238" t="e">
        <f>AND(Bills!N964,"AAAAABa7PrQ=")</f>
        <v>#VALUE!</v>
      </c>
      <c r="FZ238" t="e">
        <f>AND(Bills!O964,"AAAAABa7PrU=")</f>
        <v>#VALUE!</v>
      </c>
      <c r="GA238" t="e">
        <f>AND(Bills!P964,"AAAAABa7PrY=")</f>
        <v>#VALUE!</v>
      </c>
      <c r="GB238" t="e">
        <f>AND(Bills!Q964,"AAAAABa7Prc=")</f>
        <v>#VALUE!</v>
      </c>
      <c r="GC238" t="e">
        <f>AND(Bills!R964,"AAAAABa7Prg=")</f>
        <v>#VALUE!</v>
      </c>
      <c r="GD238" t="e">
        <f>AND(Bills!#REF!,"AAAAABa7Prk=")</f>
        <v>#REF!</v>
      </c>
      <c r="GE238" t="e">
        <f>AND(Bills!S964,"AAAAABa7Pro=")</f>
        <v>#VALUE!</v>
      </c>
      <c r="GF238" t="e">
        <f>AND(Bills!T964,"AAAAABa7Prs=")</f>
        <v>#VALUE!</v>
      </c>
      <c r="GG238" t="e">
        <f>AND(Bills!U964,"AAAAABa7Prw=")</f>
        <v>#VALUE!</v>
      </c>
      <c r="GH238" t="e">
        <f>AND(Bills!#REF!,"AAAAABa7Pr0=")</f>
        <v>#REF!</v>
      </c>
      <c r="GI238" t="e">
        <f>AND(Bills!#REF!,"AAAAABa7Pr4=")</f>
        <v>#REF!</v>
      </c>
      <c r="GJ238" t="e">
        <f>AND(Bills!W964,"AAAAABa7Pr8=")</f>
        <v>#VALUE!</v>
      </c>
      <c r="GK238" t="e">
        <f>AND(Bills!X964,"AAAAABa7PsA=")</f>
        <v>#VALUE!</v>
      </c>
      <c r="GL238" t="e">
        <f>AND(Bills!#REF!,"AAAAABa7PsE=")</f>
        <v>#REF!</v>
      </c>
      <c r="GM238" t="e">
        <f>AND(Bills!#REF!,"AAAAABa7PsI=")</f>
        <v>#REF!</v>
      </c>
      <c r="GN238" t="e">
        <f>AND(Bills!#REF!,"AAAAABa7PsM=")</f>
        <v>#REF!</v>
      </c>
      <c r="GO238" t="e">
        <f>AND(Bills!#REF!,"AAAAABa7PsQ=")</f>
        <v>#REF!</v>
      </c>
      <c r="GP238" t="e">
        <f>AND(Bills!#REF!,"AAAAABa7PsU=")</f>
        <v>#REF!</v>
      </c>
      <c r="GQ238" t="e">
        <f>AND(Bills!#REF!,"AAAAABa7PsY=")</f>
        <v>#REF!</v>
      </c>
      <c r="GR238" t="e">
        <f>AND(Bills!#REF!,"AAAAABa7Psc=")</f>
        <v>#REF!</v>
      </c>
      <c r="GS238" t="e">
        <f>AND(Bills!#REF!,"AAAAABa7Psg=")</f>
        <v>#REF!</v>
      </c>
      <c r="GT238" t="e">
        <f>AND(Bills!#REF!,"AAAAABa7Psk=")</f>
        <v>#REF!</v>
      </c>
      <c r="GU238" t="e">
        <f>AND(Bills!Y964,"AAAAABa7Pso=")</f>
        <v>#VALUE!</v>
      </c>
      <c r="GV238" t="e">
        <f>AND(Bills!Z964,"AAAAABa7Pss=")</f>
        <v>#VALUE!</v>
      </c>
      <c r="GW238" t="e">
        <f>AND(Bills!#REF!,"AAAAABa7Psw=")</f>
        <v>#REF!</v>
      </c>
      <c r="GX238" t="e">
        <f>AND(Bills!#REF!,"AAAAABa7Ps0=")</f>
        <v>#REF!</v>
      </c>
      <c r="GY238" t="e">
        <f>AND(Bills!#REF!,"AAAAABa7Ps4=")</f>
        <v>#REF!</v>
      </c>
      <c r="GZ238" t="e">
        <f>AND(Bills!AA964,"AAAAABa7Ps8=")</f>
        <v>#VALUE!</v>
      </c>
      <c r="HA238" t="e">
        <f>AND(Bills!AB964,"AAAAABa7PtA=")</f>
        <v>#VALUE!</v>
      </c>
      <c r="HB238" t="e">
        <f>AND(Bills!#REF!,"AAAAABa7PtE=")</f>
        <v>#REF!</v>
      </c>
      <c r="HC238">
        <f>IF(Bills!965:965,"AAAAABa7PtI=",0)</f>
        <v>0</v>
      </c>
      <c r="HD238" t="e">
        <f>AND(Bills!B965,"AAAAABa7PtM=")</f>
        <v>#VALUE!</v>
      </c>
      <c r="HE238" t="e">
        <f>AND(Bills!#REF!,"AAAAABa7PtQ=")</f>
        <v>#REF!</v>
      </c>
      <c r="HF238" t="e">
        <f>AND(Bills!C965,"AAAAABa7PtU=")</f>
        <v>#VALUE!</v>
      </c>
      <c r="HG238" t="e">
        <f>AND(Bills!#REF!,"AAAAABa7PtY=")</f>
        <v>#REF!</v>
      </c>
      <c r="HH238" t="e">
        <f>AND(Bills!#REF!,"AAAAABa7Ptc=")</f>
        <v>#REF!</v>
      </c>
      <c r="HI238" t="e">
        <f>AND(Bills!#REF!,"AAAAABa7Ptg=")</f>
        <v>#REF!</v>
      </c>
      <c r="HJ238" t="e">
        <f>AND(Bills!#REF!,"AAAAABa7Ptk=")</f>
        <v>#REF!</v>
      </c>
      <c r="HK238" t="e">
        <f>AND(Bills!#REF!,"AAAAABa7Pto=")</f>
        <v>#REF!</v>
      </c>
      <c r="HL238" t="e">
        <f>AND(Bills!D965,"AAAAABa7Pts=")</f>
        <v>#VALUE!</v>
      </c>
      <c r="HM238" t="e">
        <f>AND(Bills!#REF!,"AAAAABa7Ptw=")</f>
        <v>#REF!</v>
      </c>
      <c r="HN238" t="e">
        <f>AND(Bills!E965,"AAAAABa7Pt0=")</f>
        <v>#VALUE!</v>
      </c>
      <c r="HO238" t="e">
        <f>AND(Bills!F965,"AAAAABa7Pt4=")</f>
        <v>#VALUE!</v>
      </c>
      <c r="HP238" t="e">
        <f>AND(Bills!G965,"AAAAABa7Pt8=")</f>
        <v>#VALUE!</v>
      </c>
      <c r="HQ238" t="e">
        <f>AND(Bills!H965,"AAAAABa7PuA=")</f>
        <v>#VALUE!</v>
      </c>
      <c r="HR238" t="e">
        <f>AND(Bills!I965,"AAAAABa7PuE=")</f>
        <v>#VALUE!</v>
      </c>
      <c r="HS238" t="e">
        <f>AND(Bills!J965,"AAAAABa7PuI=")</f>
        <v>#VALUE!</v>
      </c>
      <c r="HT238" t="e">
        <f>AND(Bills!#REF!,"AAAAABa7PuM=")</f>
        <v>#REF!</v>
      </c>
      <c r="HU238" t="e">
        <f>AND(Bills!K965,"AAAAABa7PuQ=")</f>
        <v>#VALUE!</v>
      </c>
      <c r="HV238" t="e">
        <f>AND(Bills!L965,"AAAAABa7PuU=")</f>
        <v>#VALUE!</v>
      </c>
      <c r="HW238" t="e">
        <f>AND(Bills!M965,"AAAAABa7PuY=")</f>
        <v>#VALUE!</v>
      </c>
      <c r="HX238" t="e">
        <f>AND(Bills!N965,"AAAAABa7Puc=")</f>
        <v>#VALUE!</v>
      </c>
      <c r="HY238" t="e">
        <f>AND(Bills!O965,"AAAAABa7Pug=")</f>
        <v>#VALUE!</v>
      </c>
      <c r="HZ238" t="e">
        <f>AND(Bills!P965,"AAAAABa7Puk=")</f>
        <v>#VALUE!</v>
      </c>
      <c r="IA238" t="e">
        <f>AND(Bills!Q965,"AAAAABa7Puo=")</f>
        <v>#VALUE!</v>
      </c>
      <c r="IB238" t="e">
        <f>AND(Bills!R965,"AAAAABa7Pus=")</f>
        <v>#VALUE!</v>
      </c>
      <c r="IC238" t="e">
        <f>AND(Bills!#REF!,"AAAAABa7Puw=")</f>
        <v>#REF!</v>
      </c>
      <c r="ID238" t="e">
        <f>AND(Bills!S965,"AAAAABa7Pu0=")</f>
        <v>#VALUE!</v>
      </c>
      <c r="IE238" t="e">
        <f>AND(Bills!T965,"AAAAABa7Pu4=")</f>
        <v>#VALUE!</v>
      </c>
      <c r="IF238" t="e">
        <f>AND(Bills!U965,"AAAAABa7Pu8=")</f>
        <v>#VALUE!</v>
      </c>
      <c r="IG238" t="e">
        <f>AND(Bills!#REF!,"AAAAABa7PvA=")</f>
        <v>#REF!</v>
      </c>
      <c r="IH238" t="e">
        <f>AND(Bills!#REF!,"AAAAABa7PvE=")</f>
        <v>#REF!</v>
      </c>
      <c r="II238" t="e">
        <f>AND(Bills!W965,"AAAAABa7PvI=")</f>
        <v>#VALUE!</v>
      </c>
      <c r="IJ238" t="e">
        <f>AND(Bills!X965,"AAAAABa7PvM=")</f>
        <v>#VALUE!</v>
      </c>
      <c r="IK238" t="e">
        <f>AND(Bills!#REF!,"AAAAABa7PvQ=")</f>
        <v>#REF!</v>
      </c>
      <c r="IL238" t="e">
        <f>AND(Bills!#REF!,"AAAAABa7PvU=")</f>
        <v>#REF!</v>
      </c>
      <c r="IM238" t="e">
        <f>AND(Bills!#REF!,"AAAAABa7PvY=")</f>
        <v>#REF!</v>
      </c>
      <c r="IN238" t="e">
        <f>AND(Bills!#REF!,"AAAAABa7Pvc=")</f>
        <v>#REF!</v>
      </c>
      <c r="IO238" t="e">
        <f>AND(Bills!#REF!,"AAAAABa7Pvg=")</f>
        <v>#REF!</v>
      </c>
      <c r="IP238" t="e">
        <f>AND(Bills!#REF!,"AAAAABa7Pvk=")</f>
        <v>#REF!</v>
      </c>
      <c r="IQ238" t="e">
        <f>AND(Bills!#REF!,"AAAAABa7Pvo=")</f>
        <v>#REF!</v>
      </c>
      <c r="IR238" t="e">
        <f>AND(Bills!#REF!,"AAAAABa7Pvs=")</f>
        <v>#REF!</v>
      </c>
      <c r="IS238" t="e">
        <f>AND(Bills!#REF!,"AAAAABa7Pvw=")</f>
        <v>#REF!</v>
      </c>
      <c r="IT238" t="e">
        <f>AND(Bills!Y965,"AAAAABa7Pv0=")</f>
        <v>#VALUE!</v>
      </c>
      <c r="IU238" t="e">
        <f>AND(Bills!Z965,"AAAAABa7Pv4=")</f>
        <v>#VALUE!</v>
      </c>
      <c r="IV238" t="e">
        <f>AND(Bills!#REF!,"AAAAABa7Pv8=")</f>
        <v>#REF!</v>
      </c>
    </row>
    <row r="239" spans="1:256">
      <c r="A239" t="e">
        <f>AND(Bills!#REF!,"AAAAAHe3cQA=")</f>
        <v>#REF!</v>
      </c>
      <c r="B239" t="e">
        <f>AND(Bills!#REF!,"AAAAAHe3cQE=")</f>
        <v>#REF!</v>
      </c>
      <c r="C239" t="e">
        <f>AND(Bills!AA965,"AAAAAHe3cQI=")</f>
        <v>#VALUE!</v>
      </c>
      <c r="D239" t="e">
        <f>AND(Bills!AB965,"AAAAAHe3cQM=")</f>
        <v>#VALUE!</v>
      </c>
      <c r="E239" t="e">
        <f>AND(Bills!#REF!,"AAAAAHe3cQQ=")</f>
        <v>#REF!</v>
      </c>
      <c r="F239">
        <f>IF(Bills!966:966,"AAAAAHe3cQU=",0)</f>
        <v>0</v>
      </c>
      <c r="G239" t="e">
        <f>AND(Bills!B966,"AAAAAHe3cQY=")</f>
        <v>#VALUE!</v>
      </c>
      <c r="H239" t="e">
        <f>AND(Bills!#REF!,"AAAAAHe3cQc=")</f>
        <v>#REF!</v>
      </c>
      <c r="I239" t="e">
        <f>AND(Bills!C966,"AAAAAHe3cQg=")</f>
        <v>#VALUE!</v>
      </c>
      <c r="J239" t="e">
        <f>AND(Bills!#REF!,"AAAAAHe3cQk=")</f>
        <v>#REF!</v>
      </c>
      <c r="K239" t="e">
        <f>AND(Bills!#REF!,"AAAAAHe3cQo=")</f>
        <v>#REF!</v>
      </c>
      <c r="L239" t="e">
        <f>AND(Bills!#REF!,"AAAAAHe3cQs=")</f>
        <v>#REF!</v>
      </c>
      <c r="M239" t="e">
        <f>AND(Bills!#REF!,"AAAAAHe3cQw=")</f>
        <v>#REF!</v>
      </c>
      <c r="N239" t="e">
        <f>AND(Bills!#REF!,"AAAAAHe3cQ0=")</f>
        <v>#REF!</v>
      </c>
      <c r="O239" t="e">
        <f>AND(Bills!D966,"AAAAAHe3cQ4=")</f>
        <v>#VALUE!</v>
      </c>
      <c r="P239" t="e">
        <f>AND(Bills!#REF!,"AAAAAHe3cQ8=")</f>
        <v>#REF!</v>
      </c>
      <c r="Q239" t="e">
        <f>AND(Bills!E966,"AAAAAHe3cRA=")</f>
        <v>#VALUE!</v>
      </c>
      <c r="R239" t="e">
        <f>AND(Bills!F966,"AAAAAHe3cRE=")</f>
        <v>#VALUE!</v>
      </c>
      <c r="S239" t="e">
        <f>AND(Bills!G966,"AAAAAHe3cRI=")</f>
        <v>#VALUE!</v>
      </c>
      <c r="T239" t="e">
        <f>AND(Bills!H966,"AAAAAHe3cRM=")</f>
        <v>#VALUE!</v>
      </c>
      <c r="U239" t="e">
        <f>AND(Bills!I966,"AAAAAHe3cRQ=")</f>
        <v>#VALUE!</v>
      </c>
      <c r="V239" t="e">
        <f>AND(Bills!J966,"AAAAAHe3cRU=")</f>
        <v>#VALUE!</v>
      </c>
      <c r="W239" t="e">
        <f>AND(Bills!#REF!,"AAAAAHe3cRY=")</f>
        <v>#REF!</v>
      </c>
      <c r="X239" t="e">
        <f>AND(Bills!K966,"AAAAAHe3cRc=")</f>
        <v>#VALUE!</v>
      </c>
      <c r="Y239" t="e">
        <f>AND(Bills!L966,"AAAAAHe3cRg=")</f>
        <v>#VALUE!</v>
      </c>
      <c r="Z239" t="e">
        <f>AND(Bills!M966,"AAAAAHe3cRk=")</f>
        <v>#VALUE!</v>
      </c>
      <c r="AA239" t="e">
        <f>AND(Bills!N966,"AAAAAHe3cRo=")</f>
        <v>#VALUE!</v>
      </c>
      <c r="AB239" t="e">
        <f>AND(Bills!O966,"AAAAAHe3cRs=")</f>
        <v>#VALUE!</v>
      </c>
      <c r="AC239" t="e">
        <f>AND(Bills!P966,"AAAAAHe3cRw=")</f>
        <v>#VALUE!</v>
      </c>
      <c r="AD239" t="e">
        <f>AND(Bills!Q966,"AAAAAHe3cR0=")</f>
        <v>#VALUE!</v>
      </c>
      <c r="AE239" t="e">
        <f>AND(Bills!R966,"AAAAAHe3cR4=")</f>
        <v>#VALUE!</v>
      </c>
      <c r="AF239" t="e">
        <f>AND(Bills!#REF!,"AAAAAHe3cR8=")</f>
        <v>#REF!</v>
      </c>
      <c r="AG239" t="e">
        <f>AND(Bills!S966,"AAAAAHe3cSA=")</f>
        <v>#VALUE!</v>
      </c>
      <c r="AH239" t="e">
        <f>AND(Bills!T966,"AAAAAHe3cSE=")</f>
        <v>#VALUE!</v>
      </c>
      <c r="AI239" t="e">
        <f>AND(Bills!U966,"AAAAAHe3cSI=")</f>
        <v>#VALUE!</v>
      </c>
      <c r="AJ239" t="e">
        <f>AND(Bills!#REF!,"AAAAAHe3cSM=")</f>
        <v>#REF!</v>
      </c>
      <c r="AK239" t="e">
        <f>AND(Bills!#REF!,"AAAAAHe3cSQ=")</f>
        <v>#REF!</v>
      </c>
      <c r="AL239" t="e">
        <f>AND(Bills!W966,"AAAAAHe3cSU=")</f>
        <v>#VALUE!</v>
      </c>
      <c r="AM239" t="e">
        <f>AND(Bills!X966,"AAAAAHe3cSY=")</f>
        <v>#VALUE!</v>
      </c>
      <c r="AN239" t="e">
        <f>AND(Bills!#REF!,"AAAAAHe3cSc=")</f>
        <v>#REF!</v>
      </c>
      <c r="AO239" t="e">
        <f>AND(Bills!#REF!,"AAAAAHe3cSg=")</f>
        <v>#REF!</v>
      </c>
      <c r="AP239" t="e">
        <f>AND(Bills!#REF!,"AAAAAHe3cSk=")</f>
        <v>#REF!</v>
      </c>
      <c r="AQ239" t="e">
        <f>AND(Bills!#REF!,"AAAAAHe3cSo=")</f>
        <v>#REF!</v>
      </c>
      <c r="AR239" t="e">
        <f>AND(Bills!#REF!,"AAAAAHe3cSs=")</f>
        <v>#REF!</v>
      </c>
      <c r="AS239" t="e">
        <f>AND(Bills!#REF!,"AAAAAHe3cSw=")</f>
        <v>#REF!</v>
      </c>
      <c r="AT239" t="e">
        <f>AND(Bills!#REF!,"AAAAAHe3cS0=")</f>
        <v>#REF!</v>
      </c>
      <c r="AU239" t="e">
        <f>AND(Bills!#REF!,"AAAAAHe3cS4=")</f>
        <v>#REF!</v>
      </c>
      <c r="AV239" t="e">
        <f>AND(Bills!#REF!,"AAAAAHe3cS8=")</f>
        <v>#REF!</v>
      </c>
      <c r="AW239" t="e">
        <f>AND(Bills!Y966,"AAAAAHe3cTA=")</f>
        <v>#VALUE!</v>
      </c>
      <c r="AX239" t="e">
        <f>AND(Bills!Z966,"AAAAAHe3cTE=")</f>
        <v>#VALUE!</v>
      </c>
      <c r="AY239" t="e">
        <f>AND(Bills!#REF!,"AAAAAHe3cTI=")</f>
        <v>#REF!</v>
      </c>
      <c r="AZ239" t="e">
        <f>AND(Bills!#REF!,"AAAAAHe3cTM=")</f>
        <v>#REF!</v>
      </c>
      <c r="BA239" t="e">
        <f>AND(Bills!#REF!,"AAAAAHe3cTQ=")</f>
        <v>#REF!</v>
      </c>
      <c r="BB239" t="e">
        <f>AND(Bills!AA966,"AAAAAHe3cTU=")</f>
        <v>#VALUE!</v>
      </c>
      <c r="BC239" t="e">
        <f>AND(Bills!AB966,"AAAAAHe3cTY=")</f>
        <v>#VALUE!</v>
      </c>
      <c r="BD239" t="e">
        <f>AND(Bills!#REF!,"AAAAAHe3cTc=")</f>
        <v>#REF!</v>
      </c>
      <c r="BE239">
        <f>IF(Bills!967:967,"AAAAAHe3cTg=",0)</f>
        <v>0</v>
      </c>
      <c r="BF239" t="e">
        <f>AND(Bills!B967,"AAAAAHe3cTk=")</f>
        <v>#VALUE!</v>
      </c>
      <c r="BG239" t="e">
        <f>AND(Bills!#REF!,"AAAAAHe3cTo=")</f>
        <v>#REF!</v>
      </c>
      <c r="BH239" t="e">
        <f>AND(Bills!C967,"AAAAAHe3cTs=")</f>
        <v>#VALUE!</v>
      </c>
      <c r="BI239" t="e">
        <f>AND(Bills!#REF!,"AAAAAHe3cTw=")</f>
        <v>#REF!</v>
      </c>
      <c r="BJ239" t="e">
        <f>AND(Bills!#REF!,"AAAAAHe3cT0=")</f>
        <v>#REF!</v>
      </c>
      <c r="BK239" t="e">
        <f>AND(Bills!#REF!,"AAAAAHe3cT4=")</f>
        <v>#REF!</v>
      </c>
      <c r="BL239" t="e">
        <f>AND(Bills!#REF!,"AAAAAHe3cT8=")</f>
        <v>#REF!</v>
      </c>
      <c r="BM239" t="e">
        <f>AND(Bills!#REF!,"AAAAAHe3cUA=")</f>
        <v>#REF!</v>
      </c>
      <c r="BN239" t="e">
        <f>AND(Bills!D967,"AAAAAHe3cUE=")</f>
        <v>#VALUE!</v>
      </c>
      <c r="BO239" t="e">
        <f>AND(Bills!#REF!,"AAAAAHe3cUI=")</f>
        <v>#REF!</v>
      </c>
      <c r="BP239" t="e">
        <f>AND(Bills!E967,"AAAAAHe3cUM=")</f>
        <v>#VALUE!</v>
      </c>
      <c r="BQ239" t="e">
        <f>AND(Bills!F967,"AAAAAHe3cUQ=")</f>
        <v>#VALUE!</v>
      </c>
      <c r="BR239" t="e">
        <f>AND(Bills!G967,"AAAAAHe3cUU=")</f>
        <v>#VALUE!</v>
      </c>
      <c r="BS239" t="e">
        <f>AND(Bills!H967,"AAAAAHe3cUY=")</f>
        <v>#VALUE!</v>
      </c>
      <c r="BT239" t="e">
        <f>AND(Bills!I967,"AAAAAHe3cUc=")</f>
        <v>#VALUE!</v>
      </c>
      <c r="BU239" t="e">
        <f>AND(Bills!J967,"AAAAAHe3cUg=")</f>
        <v>#VALUE!</v>
      </c>
      <c r="BV239" t="e">
        <f>AND(Bills!#REF!,"AAAAAHe3cUk=")</f>
        <v>#REF!</v>
      </c>
      <c r="BW239" t="e">
        <f>AND(Bills!K967,"AAAAAHe3cUo=")</f>
        <v>#VALUE!</v>
      </c>
      <c r="BX239" t="e">
        <f>AND(Bills!L967,"AAAAAHe3cUs=")</f>
        <v>#VALUE!</v>
      </c>
      <c r="BY239" t="e">
        <f>AND(Bills!M967,"AAAAAHe3cUw=")</f>
        <v>#VALUE!</v>
      </c>
      <c r="BZ239" t="e">
        <f>AND(Bills!N967,"AAAAAHe3cU0=")</f>
        <v>#VALUE!</v>
      </c>
      <c r="CA239" t="e">
        <f>AND(Bills!O967,"AAAAAHe3cU4=")</f>
        <v>#VALUE!</v>
      </c>
      <c r="CB239" t="e">
        <f>AND(Bills!P967,"AAAAAHe3cU8=")</f>
        <v>#VALUE!</v>
      </c>
      <c r="CC239" t="e">
        <f>AND(Bills!Q967,"AAAAAHe3cVA=")</f>
        <v>#VALUE!</v>
      </c>
      <c r="CD239" t="e">
        <f>AND(Bills!R967,"AAAAAHe3cVE=")</f>
        <v>#VALUE!</v>
      </c>
      <c r="CE239" t="e">
        <f>AND(Bills!#REF!,"AAAAAHe3cVI=")</f>
        <v>#REF!</v>
      </c>
      <c r="CF239" t="e">
        <f>AND(Bills!S967,"AAAAAHe3cVM=")</f>
        <v>#VALUE!</v>
      </c>
      <c r="CG239" t="e">
        <f>AND(Bills!T967,"AAAAAHe3cVQ=")</f>
        <v>#VALUE!</v>
      </c>
      <c r="CH239" t="e">
        <f>AND(Bills!U967,"AAAAAHe3cVU=")</f>
        <v>#VALUE!</v>
      </c>
      <c r="CI239" t="e">
        <f>AND(Bills!#REF!,"AAAAAHe3cVY=")</f>
        <v>#REF!</v>
      </c>
      <c r="CJ239" t="e">
        <f>AND(Bills!#REF!,"AAAAAHe3cVc=")</f>
        <v>#REF!</v>
      </c>
      <c r="CK239" t="e">
        <f>AND(Bills!W967,"AAAAAHe3cVg=")</f>
        <v>#VALUE!</v>
      </c>
      <c r="CL239" t="e">
        <f>AND(Bills!X967,"AAAAAHe3cVk=")</f>
        <v>#VALUE!</v>
      </c>
      <c r="CM239" t="e">
        <f>AND(Bills!#REF!,"AAAAAHe3cVo=")</f>
        <v>#REF!</v>
      </c>
      <c r="CN239" t="e">
        <f>AND(Bills!#REF!,"AAAAAHe3cVs=")</f>
        <v>#REF!</v>
      </c>
      <c r="CO239" t="e">
        <f>AND(Bills!#REF!,"AAAAAHe3cVw=")</f>
        <v>#REF!</v>
      </c>
      <c r="CP239" t="e">
        <f>AND(Bills!#REF!,"AAAAAHe3cV0=")</f>
        <v>#REF!</v>
      </c>
      <c r="CQ239" t="e">
        <f>AND(Bills!#REF!,"AAAAAHe3cV4=")</f>
        <v>#REF!</v>
      </c>
      <c r="CR239" t="e">
        <f>AND(Bills!#REF!,"AAAAAHe3cV8=")</f>
        <v>#REF!</v>
      </c>
      <c r="CS239" t="e">
        <f>AND(Bills!#REF!,"AAAAAHe3cWA=")</f>
        <v>#REF!</v>
      </c>
      <c r="CT239" t="e">
        <f>AND(Bills!#REF!,"AAAAAHe3cWE=")</f>
        <v>#REF!</v>
      </c>
      <c r="CU239" t="e">
        <f>AND(Bills!#REF!,"AAAAAHe3cWI=")</f>
        <v>#REF!</v>
      </c>
      <c r="CV239" t="e">
        <f>AND(Bills!Y967,"AAAAAHe3cWM=")</f>
        <v>#VALUE!</v>
      </c>
      <c r="CW239" t="e">
        <f>AND(Bills!Z967,"AAAAAHe3cWQ=")</f>
        <v>#VALUE!</v>
      </c>
      <c r="CX239" t="e">
        <f>AND(Bills!#REF!,"AAAAAHe3cWU=")</f>
        <v>#REF!</v>
      </c>
      <c r="CY239" t="e">
        <f>AND(Bills!#REF!,"AAAAAHe3cWY=")</f>
        <v>#REF!</v>
      </c>
      <c r="CZ239" t="e">
        <f>AND(Bills!#REF!,"AAAAAHe3cWc=")</f>
        <v>#REF!</v>
      </c>
      <c r="DA239" t="e">
        <f>AND(Bills!AA967,"AAAAAHe3cWg=")</f>
        <v>#VALUE!</v>
      </c>
      <c r="DB239" t="e">
        <f>AND(Bills!AB967,"AAAAAHe3cWk=")</f>
        <v>#VALUE!</v>
      </c>
      <c r="DC239" t="e">
        <f>AND(Bills!#REF!,"AAAAAHe3cWo=")</f>
        <v>#REF!</v>
      </c>
      <c r="DD239">
        <f>IF(Bills!968:968,"AAAAAHe3cWs=",0)</f>
        <v>0</v>
      </c>
      <c r="DE239">
        <f>IF(Bills!969:969,"AAAAAHe3cWw=",0)</f>
        <v>0</v>
      </c>
      <c r="DF239">
        <f>IF(Bills!970:970,"AAAAAHe3cW0=",0)</f>
        <v>0</v>
      </c>
      <c r="DG239">
        <f>IF(Bills!971:971,"AAAAAHe3cW4=",0)</f>
        <v>0</v>
      </c>
      <c r="DH239">
        <f>IF(Bills!972:972,"AAAAAHe3cW8=",0)</f>
        <v>0</v>
      </c>
      <c r="DI239">
        <f>IF(Bills!973:973,"AAAAAHe3cXA=",0)</f>
        <v>0</v>
      </c>
      <c r="DJ239">
        <f>IF(Bills!974:974,"AAAAAHe3cXE=",0)</f>
        <v>0</v>
      </c>
      <c r="DK239">
        <f>IF(Bills!975:975,"AAAAAHe3cXI=",0)</f>
        <v>0</v>
      </c>
      <c r="DL239">
        <f>IF(Bills!976:976,"AAAAAHe3cXM=",0)</f>
        <v>0</v>
      </c>
      <c r="DM239">
        <f>IF(Bills!977:977,"AAAAAHe3cXQ=",0)</f>
        <v>0</v>
      </c>
      <c r="DN239">
        <f>IF(Bills!978:978,"AAAAAHe3cXU=",0)</f>
        <v>0</v>
      </c>
      <c r="DO239">
        <f>IF(Bills!979:979,"AAAAAHe3cXY=",0)</f>
        <v>0</v>
      </c>
      <c r="DP239">
        <f>IF(Bills!980:980,"AAAAAHe3cXc=",0)</f>
        <v>0</v>
      </c>
      <c r="DQ239">
        <f>IF(Bills!981:981,"AAAAAHe3cXg=",0)</f>
        <v>0</v>
      </c>
      <c r="DR239">
        <f>IF(Bills!982:982,"AAAAAHe3cXk=",0)</f>
        <v>0</v>
      </c>
      <c r="DS239">
        <f>IF(Bills!983:983,"AAAAAHe3cXo=",0)</f>
        <v>0</v>
      </c>
      <c r="DT239">
        <f>IF(Bills!984:984,"AAAAAHe3cXs=",0)</f>
        <v>0</v>
      </c>
      <c r="DU239">
        <f>IF(Bills!985:985,"AAAAAHe3cXw=",0)</f>
        <v>0</v>
      </c>
      <c r="DV239">
        <f>IF(Bills!986:986,"AAAAAHe3cX0=",0)</f>
        <v>0</v>
      </c>
      <c r="DW239">
        <f>IF(Bills!987:987,"AAAAAHe3cX4=",0)</f>
        <v>0</v>
      </c>
      <c r="DX239">
        <f>IF(Bills!988:988,"AAAAAHe3cX8=",0)</f>
        <v>0</v>
      </c>
      <c r="DY239">
        <f>IF(Bills!989:989,"AAAAAHe3cYA=",0)</f>
        <v>0</v>
      </c>
      <c r="DZ239">
        <f>IF(Bills!990:990,"AAAAAHe3cYE=",0)</f>
        <v>0</v>
      </c>
      <c r="EA239">
        <f>IF(Bills!991:991,"AAAAAHe3cYI=",0)</f>
        <v>0</v>
      </c>
      <c r="EB239">
        <f>IF(Bills!992:992,"AAAAAHe3cYM=",0)</f>
        <v>0</v>
      </c>
      <c r="EC239">
        <f>IF(Bills!993:993,"AAAAAHe3cYQ=",0)</f>
        <v>0</v>
      </c>
      <c r="ED239">
        <f>IF(Bills!994:994,"AAAAAHe3cYU=",0)</f>
        <v>0</v>
      </c>
      <c r="EE239">
        <f>IF(Bills!995:995,"AAAAAHe3cYY=",0)</f>
        <v>0</v>
      </c>
      <c r="EF239">
        <f>IF(Bills!996:996,"AAAAAHe3cYc=",0)</f>
        <v>0</v>
      </c>
      <c r="EG239">
        <f>IF(Bills!997:997,"AAAAAHe3cYg=",0)</f>
        <v>0</v>
      </c>
      <c r="EH239">
        <f>IF(Bills!998:998,"AAAAAHe3cYk=",0)</f>
        <v>0</v>
      </c>
      <c r="EI239">
        <f>IF(Bills!999:999,"AAAAAHe3cYo=",0)</f>
        <v>0</v>
      </c>
      <c r="EJ239">
        <f>IF(Bills!1000:1000,"AAAAAHe3cYs=",0)</f>
        <v>0</v>
      </c>
      <c r="EK239">
        <f>IF(Bills!1001:1001,"AAAAAHe3cYw=",0)</f>
        <v>0</v>
      </c>
      <c r="EL239">
        <f>IF(Bills!1002:1002,"AAAAAHe3cY0=",0)</f>
        <v>0</v>
      </c>
      <c r="EM239">
        <f>IF(Bills!1003:1003,"AAAAAHe3cY4=",0)</f>
        <v>0</v>
      </c>
      <c r="EN239">
        <f>IF(Bills!1004:1004,"AAAAAHe3cY8=",0)</f>
        <v>0</v>
      </c>
      <c r="EO239">
        <f>IF(Bills!1005:1005,"AAAAAHe3cZA=",0)</f>
        <v>0</v>
      </c>
      <c r="EP239">
        <f>IF(Bills!1006:1006,"AAAAAHe3cZE=",0)</f>
        <v>0</v>
      </c>
      <c r="EQ239">
        <f>IF(Bills!1007:1007,"AAAAAHe3cZI=",0)</f>
        <v>0</v>
      </c>
      <c r="ER239">
        <f>IF(Bills!1008:1008,"AAAAAHe3cZM=",0)</f>
        <v>0</v>
      </c>
      <c r="ES239">
        <f>IF(Bills!1009:1009,"AAAAAHe3cZQ=",0)</f>
        <v>0</v>
      </c>
      <c r="ET239">
        <f>IF(Bills!1010:1010,"AAAAAHe3cZU=",0)</f>
        <v>0</v>
      </c>
      <c r="EU239">
        <f>IF(Bills!1011:1011,"AAAAAHe3cZY=",0)</f>
        <v>0</v>
      </c>
      <c r="EV239">
        <f>IF(Bills!1012:1012,"AAAAAHe3cZc=",0)</f>
        <v>0</v>
      </c>
      <c r="EW239">
        <f>IF(Bills!1013:1013,"AAAAAHe3cZg=",0)</f>
        <v>0</v>
      </c>
      <c r="EX239">
        <f>IF(Bills!1014:1014,"AAAAAHe3cZk=",0)</f>
        <v>0</v>
      </c>
      <c r="EY239">
        <f>IF(Bills!1015:1015,"AAAAAHe3cZo=",0)</f>
        <v>0</v>
      </c>
      <c r="EZ239">
        <f>IF(Bills!1016:1016,"AAAAAHe3cZs=",0)</f>
        <v>0</v>
      </c>
      <c r="FA239">
        <f>IF(Bills!1017:1017,"AAAAAHe3cZw=",0)</f>
        <v>0</v>
      </c>
      <c r="FB239">
        <f>IF(Bills!1018:1018,"AAAAAHe3cZ0=",0)</f>
        <v>0</v>
      </c>
      <c r="FC239">
        <f>IF(Bills!1019:1019,"AAAAAHe3cZ4=",0)</f>
        <v>0</v>
      </c>
      <c r="FD239">
        <f>IF(Bills!1020:1020,"AAAAAHe3cZ8=",0)</f>
        <v>0</v>
      </c>
      <c r="FE239">
        <f>IF(Bills!1021:1021,"AAAAAHe3caA=",0)</f>
        <v>0</v>
      </c>
      <c r="FF239">
        <f>IF(Bills!1022:1022,"AAAAAHe3caE=",0)</f>
        <v>0</v>
      </c>
      <c r="FG239">
        <f>IF(Bills!1023:1023,"AAAAAHe3caI=",0)</f>
        <v>0</v>
      </c>
      <c r="FH239">
        <f>IF(Bills!1024:1024,"AAAAAHe3caM=",0)</f>
        <v>0</v>
      </c>
      <c r="FI239">
        <f>IF(Bills!1025:1025,"AAAAAHe3caQ=",0)</f>
        <v>0</v>
      </c>
      <c r="FJ239">
        <f>IF(Bills!1026:1026,"AAAAAHe3caU=",0)</f>
        <v>0</v>
      </c>
      <c r="FK239">
        <f>IF(Bills!1027:1027,"AAAAAHe3caY=",0)</f>
        <v>0</v>
      </c>
      <c r="FL239">
        <f>IF(Bills!1028:1028,"AAAAAHe3cac=",0)</f>
        <v>0</v>
      </c>
      <c r="FM239">
        <f>IF(Bills!1029:1029,"AAAAAHe3cag=",0)</f>
        <v>0</v>
      </c>
      <c r="FN239">
        <f>IF(Bills!1030:1030,"AAAAAHe3cak=",0)</f>
        <v>0</v>
      </c>
      <c r="FO239">
        <f>IF(Bills!1031:1031,"AAAAAHe3cao=",0)</f>
        <v>0</v>
      </c>
      <c r="FP239">
        <f>IF(Bills!1032:1032,"AAAAAHe3cas=",0)</f>
        <v>0</v>
      </c>
      <c r="FQ239">
        <f>IF(Bills!1033:1033,"AAAAAHe3caw=",0)</f>
        <v>0</v>
      </c>
      <c r="FR239">
        <f>IF(Bills!1034:1034,"AAAAAHe3ca0=",0)</f>
        <v>0</v>
      </c>
      <c r="FS239">
        <f>IF(Bills!1035:1035,"AAAAAHe3ca4=",0)</f>
        <v>0</v>
      </c>
      <c r="FT239">
        <f>IF(Bills!1036:1036,"AAAAAHe3ca8=",0)</f>
        <v>0</v>
      </c>
      <c r="FU239">
        <f>IF(Bills!1037:1037,"AAAAAHe3cbA=",0)</f>
        <v>0</v>
      </c>
      <c r="FV239">
        <f>IF(Bills!1038:1038,"AAAAAHe3cbE=",0)</f>
        <v>0</v>
      </c>
      <c r="FW239">
        <f>IF(Bills!1039:1039,"AAAAAHe3cbI=",0)</f>
        <v>0</v>
      </c>
      <c r="FX239">
        <f>IF(Bills!1040:1040,"AAAAAHe3cbM=",0)</f>
        <v>0</v>
      </c>
      <c r="FY239">
        <f>IF(Bills!1041:1041,"AAAAAHe3cbQ=",0)</f>
        <v>0</v>
      </c>
      <c r="FZ239">
        <f>IF(Bills!1042:1042,"AAAAAHe3cbU=",0)</f>
        <v>0</v>
      </c>
      <c r="GA239">
        <f>IF(Bills!1043:1043,"AAAAAHe3cbY=",0)</f>
        <v>0</v>
      </c>
      <c r="GB239">
        <f>IF(Bills!1044:1044,"AAAAAHe3cbc=",0)</f>
        <v>0</v>
      </c>
      <c r="GC239">
        <f>IF(Bills!1045:1045,"AAAAAHe3cbg=",0)</f>
        <v>0</v>
      </c>
      <c r="GD239">
        <f>IF(Bills!1046:1046,"AAAAAHe3cbk=",0)</f>
        <v>0</v>
      </c>
      <c r="GE239">
        <f>IF(Bills!1047:1047,"AAAAAHe3cbo=",0)</f>
        <v>0</v>
      </c>
      <c r="GF239">
        <f>IF(Bills!1048:1048,"AAAAAHe3cbs=",0)</f>
        <v>0</v>
      </c>
      <c r="GG239">
        <f>IF(Bills!1049:1049,"AAAAAHe3cbw=",0)</f>
        <v>0</v>
      </c>
      <c r="GH239">
        <f>IF(Bills!1050:1050,"AAAAAHe3cb0=",0)</f>
        <v>0</v>
      </c>
      <c r="GI239">
        <f>IF(Bills!1051:1051,"AAAAAHe3cb4=",0)</f>
        <v>0</v>
      </c>
      <c r="GJ239">
        <f>IF(Bills!1052:1052,"AAAAAHe3cb8=",0)</f>
        <v>0</v>
      </c>
      <c r="GK239">
        <f>IF(Bills!1053:1053,"AAAAAHe3ccA=",0)</f>
        <v>0</v>
      </c>
      <c r="GL239">
        <f>IF(Bills!1054:1054,"AAAAAHe3ccE=",0)</f>
        <v>0</v>
      </c>
      <c r="GM239">
        <f>IF(Bills!1055:1055,"AAAAAHe3ccI=",0)</f>
        <v>0</v>
      </c>
      <c r="GN239">
        <f>IF(Bills!1056:1056,"AAAAAHe3ccM=",0)</f>
        <v>0</v>
      </c>
      <c r="GO239">
        <f>IF(Bills!1057:1057,"AAAAAHe3ccQ=",0)</f>
        <v>0</v>
      </c>
      <c r="GP239">
        <f>IF(Bills!1058:1058,"AAAAAHe3ccU=",0)</f>
        <v>0</v>
      </c>
      <c r="GQ239">
        <f>IF(Bills!1059:1059,"AAAAAHe3ccY=",0)</f>
        <v>0</v>
      </c>
      <c r="GR239">
        <f>IF(Bills!1060:1060,"AAAAAHe3ccc=",0)</f>
        <v>0</v>
      </c>
      <c r="GS239">
        <f>IF(Bills!1061:1061,"AAAAAHe3ccg=",0)</f>
        <v>0</v>
      </c>
      <c r="GT239">
        <f>IF(Bills!1062:1062,"AAAAAHe3cck=",0)</f>
        <v>0</v>
      </c>
      <c r="GU239">
        <f>IF(Bills!1063:1063,"AAAAAHe3cco=",0)</f>
        <v>0</v>
      </c>
      <c r="GV239">
        <f>IF(Bills!1064:1064,"AAAAAHe3ccs=",0)</f>
        <v>0</v>
      </c>
      <c r="GW239">
        <f>IF(Bills!1065:1065,"AAAAAHe3ccw=",0)</f>
        <v>0</v>
      </c>
      <c r="GX239">
        <f>IF(Bills!1066:1066,"AAAAAHe3cc0=",0)</f>
        <v>0</v>
      </c>
      <c r="GY239">
        <f>IF(Bills!B:B,"AAAAAHe3cc4=",0)</f>
        <v>0</v>
      </c>
      <c r="GZ239" t="e">
        <f>IF(Bills!#REF!,"AAAAAHe3cc8=",0)</f>
        <v>#REF!</v>
      </c>
      <c r="HA239">
        <f>IF(Bills!C:C,"AAAAAHe3cdA=",0)</f>
        <v>0</v>
      </c>
      <c r="HB239" t="e">
        <f>IF(Bills!#REF!,"AAAAAHe3cdE=",0)</f>
        <v>#REF!</v>
      </c>
      <c r="HC239" t="e">
        <f>IF(Bills!#REF!,"AAAAAHe3cdI=",0)</f>
        <v>#REF!</v>
      </c>
      <c r="HD239" t="e">
        <f>IF(Bills!#REF!,"AAAAAHe3cdM=",0)</f>
        <v>#REF!</v>
      </c>
      <c r="HE239" t="e">
        <f>IF(Bills!#REF!,"AAAAAHe3cdQ=",0)</f>
        <v>#REF!</v>
      </c>
      <c r="HF239" t="e">
        <f>IF(Bills!#REF!,"AAAAAHe3cdU=",0)</f>
        <v>#REF!</v>
      </c>
      <c r="HG239">
        <f>IF(Bills!D:D,"AAAAAHe3cdY=",0)</f>
        <v>0</v>
      </c>
      <c r="HH239" t="e">
        <f>IF(Bills!#REF!,"AAAAAHe3cdc=",0)</f>
        <v>#REF!</v>
      </c>
      <c r="HI239">
        <f>IF(Bills!E:E,"AAAAAHe3cdg=",0)</f>
        <v>0</v>
      </c>
      <c r="HJ239">
        <f>IF(Bills!F:F,"AAAAAHe3cdk=",0)</f>
        <v>0</v>
      </c>
      <c r="HK239">
        <f>IF(Bills!G:G,"AAAAAHe3cdo=",0)</f>
        <v>0</v>
      </c>
      <c r="HL239">
        <f>IF(Bills!H:H,"AAAAAHe3cds=",0)</f>
        <v>0</v>
      </c>
      <c r="HM239">
        <f>IF(Bills!I:I,"AAAAAHe3cdw=",0)</f>
        <v>0</v>
      </c>
      <c r="HN239">
        <f>IF(Bills!J:J,"AAAAAHe3cd0=",0)</f>
        <v>0</v>
      </c>
      <c r="HO239" t="e">
        <f>IF(Bills!#REF!,"AAAAAHe3cd4=",0)</f>
        <v>#REF!</v>
      </c>
      <c r="HP239">
        <f>IF(Bills!K:K,"AAAAAHe3cd8=",0)</f>
        <v>0</v>
      </c>
      <c r="HQ239">
        <f>IF(Bills!L:L,"AAAAAHe3ceA=",0)</f>
        <v>0</v>
      </c>
      <c r="HR239">
        <f>IF(Bills!M:M,"AAAAAHe3ceE=",0)</f>
        <v>0</v>
      </c>
      <c r="HS239">
        <f>IF(Bills!N:N,"AAAAAHe3ceI=",0)</f>
        <v>0</v>
      </c>
      <c r="HT239">
        <f>IF(Bills!O:O,"AAAAAHe3ceM=",0)</f>
        <v>0</v>
      </c>
      <c r="HU239">
        <f>IF(Bills!P:P,"AAAAAHe3ceQ=",0)</f>
        <v>0</v>
      </c>
      <c r="HV239">
        <f>IF(Bills!Q:Q,"AAAAAHe3ceU=",0)</f>
        <v>0</v>
      </c>
      <c r="HW239">
        <f>IF(Bills!R:R,"AAAAAHe3ceY=",0)</f>
        <v>0</v>
      </c>
      <c r="HX239" t="e">
        <f>IF(Bills!#REF!,"AAAAAHe3cec=",0)</f>
        <v>#REF!</v>
      </c>
      <c r="HY239">
        <f>IF(Bills!S:S,"AAAAAHe3ceg=",0)</f>
        <v>0</v>
      </c>
      <c r="HZ239">
        <f>IF(Bills!T:T,"AAAAAHe3cek=",0)</f>
        <v>0</v>
      </c>
      <c r="IA239">
        <f>IF(Bills!U:U,"AAAAAHe3ceo=",0)</f>
        <v>0</v>
      </c>
      <c r="IB239" t="e">
        <f>IF(Bills!#REF!,"AAAAAHe3ces=",0)</f>
        <v>#REF!</v>
      </c>
      <c r="IC239" t="e">
        <f>IF(Bills!#REF!,"AAAAAHe3cew=",0)</f>
        <v>#REF!</v>
      </c>
      <c r="ID239">
        <f>IF(Bills!W:W,"AAAAAHe3ce0=",0)</f>
        <v>0</v>
      </c>
      <c r="IE239">
        <f>IF(Bills!X:X,"AAAAAHe3ce4=",0)</f>
        <v>0</v>
      </c>
      <c r="IF239" t="e">
        <f>IF(Bills!#REF!,"AAAAAHe3ce8=",0)</f>
        <v>#REF!</v>
      </c>
      <c r="IG239" t="e">
        <f>IF(Bills!#REF!,"AAAAAHe3cfA=",0)</f>
        <v>#REF!</v>
      </c>
      <c r="IH239" t="e">
        <f>IF(Bills!#REF!,"AAAAAHe3cfE=",0)</f>
        <v>#REF!</v>
      </c>
      <c r="II239" t="e">
        <f>IF(Bills!#REF!,"AAAAAHe3cfI=",0)</f>
        <v>#REF!</v>
      </c>
      <c r="IJ239" t="e">
        <f>IF(Bills!#REF!,"AAAAAHe3cfM=",0)</f>
        <v>#REF!</v>
      </c>
      <c r="IK239" t="e">
        <f>IF(Bills!#REF!,"AAAAAHe3cfQ=",0)</f>
        <v>#REF!</v>
      </c>
      <c r="IL239" t="e">
        <f>IF(Bills!#REF!,"AAAAAHe3cfU=",0)</f>
        <v>#REF!</v>
      </c>
      <c r="IM239" t="e">
        <f>IF(Bills!#REF!,"AAAAAHe3cfY=",0)</f>
        <v>#REF!</v>
      </c>
      <c r="IN239" t="e">
        <f>IF(Bills!#REF!,"AAAAAHe3cfc=",0)</f>
        <v>#REF!</v>
      </c>
      <c r="IO239">
        <f>IF(Bills!Y:Y,"AAAAAHe3cfg=",0)</f>
        <v>0</v>
      </c>
      <c r="IP239">
        <f>IF(Bills!Z:Z,"AAAAAHe3cfk=",0)</f>
        <v>0</v>
      </c>
      <c r="IQ239" t="e">
        <f>IF(Bills!#REF!,"AAAAAHe3cfo=",0)</f>
        <v>#REF!</v>
      </c>
      <c r="IR239" t="e">
        <f>IF(Bills!#REF!,"AAAAAHe3cfs=",0)</f>
        <v>#REF!</v>
      </c>
      <c r="IS239" t="e">
        <f>IF(Bills!#REF!,"AAAAAHe3cfw=",0)</f>
        <v>#REF!</v>
      </c>
      <c r="IT239">
        <f>IF(Bills!AA:AA,"AAAAAHe3cf0=",0)</f>
        <v>0</v>
      </c>
      <c r="IU239">
        <f>IF(Bills!AB:AB,"AAAAAHe3cf4=",0)</f>
        <v>0</v>
      </c>
      <c r="IV239" t="e">
        <f>IF(Bills!#REF!,"AAAAAHe3cf8=",0)</f>
        <v>#REF!</v>
      </c>
    </row>
    <row r="240" spans="1:256">
      <c r="A240" t="e">
        <f>IF('GA55 Summry'!#REF!,"AAAAAGff3wA=",0)</f>
        <v>#REF!</v>
      </c>
      <c r="B240" t="e">
        <f>AND('GA55 Summry'!#REF!,"AAAAAGff3wE=")</f>
        <v>#REF!</v>
      </c>
      <c r="C240" t="e">
        <f>AND('GA55 Summry'!#REF!,"AAAAAGff3wI=")</f>
        <v>#REF!</v>
      </c>
      <c r="D240" t="e">
        <f>AND('GA55 Summry'!#REF!,"AAAAAGff3wM=")</f>
        <v>#REF!</v>
      </c>
      <c r="E240" t="e">
        <f>AND('GA55 Summry'!#REF!,"AAAAAGff3wQ=")</f>
        <v>#REF!</v>
      </c>
      <c r="F240" t="e">
        <f>AND('GA55 Summry'!#REF!,"AAAAAGff3wU=")</f>
        <v>#REF!</v>
      </c>
      <c r="G240" t="e">
        <f>AND('GA55 Summry'!#REF!,"AAAAAGff3wY=")</f>
        <v>#REF!</v>
      </c>
      <c r="H240" t="e">
        <f>AND('GA55 Summry'!#REF!,"AAAAAGff3wc=")</f>
        <v>#REF!</v>
      </c>
      <c r="I240" t="e">
        <f>AND('GA55 Summry'!#REF!,"AAAAAGff3wg=")</f>
        <v>#REF!</v>
      </c>
      <c r="J240" t="e">
        <f>AND('GA55 Summry'!#REF!,"AAAAAGff3wk=")</f>
        <v>#REF!</v>
      </c>
      <c r="K240" t="e">
        <f>AND('GA55 Summry'!#REF!,"AAAAAGff3wo=")</f>
        <v>#REF!</v>
      </c>
      <c r="L240" t="e">
        <f>AND('GA55 Summry'!#REF!,"AAAAAGff3ws=")</f>
        <v>#REF!</v>
      </c>
      <c r="M240" t="e">
        <f>AND('GA55 Summry'!#REF!,"AAAAAGff3ww=")</f>
        <v>#REF!</v>
      </c>
      <c r="N240" t="e">
        <f>AND('GA55 Summry'!#REF!,"AAAAAGff3w0=")</f>
        <v>#REF!</v>
      </c>
      <c r="O240" t="e">
        <f>AND('GA55 Summry'!#REF!,"AAAAAGff3w4=")</f>
        <v>#REF!</v>
      </c>
      <c r="P240" t="e">
        <f>AND('GA55 Summry'!#REF!,"AAAAAGff3w8=")</f>
        <v>#REF!</v>
      </c>
      <c r="Q240" t="e">
        <f>AND('GA55 Summry'!#REF!,"AAAAAGff3xA=")</f>
        <v>#REF!</v>
      </c>
      <c r="R240" t="e">
        <f>AND('GA55 Summry'!#REF!,"AAAAAGff3xE=")</f>
        <v>#REF!</v>
      </c>
      <c r="S240" t="e">
        <f>AND('GA55 Summry'!#REF!,"AAAAAGff3xI=")</f>
        <v>#REF!</v>
      </c>
      <c r="T240" t="e">
        <f>AND('GA55 Summry'!#REF!,"AAAAAGff3xM=")</f>
        <v>#REF!</v>
      </c>
      <c r="U240" t="e">
        <f>AND('GA55 Summry'!#REF!,"AAAAAGff3xQ=")</f>
        <v>#REF!</v>
      </c>
      <c r="V240" t="e">
        <f>AND('GA55 Summry'!#REF!,"AAAAAGff3xU=")</f>
        <v>#REF!</v>
      </c>
      <c r="W240" t="e">
        <f>AND('GA55 Summry'!#REF!,"AAAAAGff3xY=")</f>
        <v>#REF!</v>
      </c>
      <c r="X240" t="e">
        <f>AND('GA55 Summry'!#REF!,"AAAAAGff3xc=")</f>
        <v>#REF!</v>
      </c>
      <c r="Y240" t="e">
        <f>AND('GA55 Summry'!#REF!,"AAAAAGff3xg=")</f>
        <v>#REF!</v>
      </c>
      <c r="Z240" t="e">
        <f>AND('GA55 Summry'!#REF!,"AAAAAGff3xk=")</f>
        <v>#REF!</v>
      </c>
      <c r="AA240" t="e">
        <f>AND('GA55 Summry'!#REF!,"AAAAAGff3xo=")</f>
        <v>#REF!</v>
      </c>
      <c r="AB240" t="e">
        <f>AND('GA55 Summry'!#REF!,"AAAAAGff3xs=")</f>
        <v>#REF!</v>
      </c>
      <c r="AC240" t="e">
        <f>AND('GA55 Summry'!#REF!,"AAAAAGff3xw=")</f>
        <v>#REF!</v>
      </c>
      <c r="AD240" t="e">
        <f>AND('GA55 Summry'!#REF!,"AAAAAGff3x0=")</f>
        <v>#REF!</v>
      </c>
      <c r="AE240" t="e">
        <f>AND('GA55 Summry'!#REF!,"AAAAAGff3x4=")</f>
        <v>#REF!</v>
      </c>
      <c r="AF240" t="e">
        <f>AND('GA55 Summry'!#REF!,"AAAAAGff3x8=")</f>
        <v>#REF!</v>
      </c>
      <c r="AG240" t="e">
        <f>AND('GA55 Summry'!#REF!,"AAAAAGff3yA=")</f>
        <v>#REF!</v>
      </c>
      <c r="AH240" t="e">
        <f>AND('GA55 Summry'!#REF!,"AAAAAGff3yE=")</f>
        <v>#REF!</v>
      </c>
      <c r="AI240" t="e">
        <f>AND('GA55 Summry'!#REF!,"AAAAAGff3yI=")</f>
        <v>#REF!</v>
      </c>
      <c r="AJ240" t="e">
        <f>AND('GA55 Summry'!#REF!,"AAAAAGff3yM=")</f>
        <v>#REF!</v>
      </c>
      <c r="AK240" t="e">
        <f>AND('GA55 Summry'!#REF!,"AAAAAGff3yQ=")</f>
        <v>#REF!</v>
      </c>
      <c r="AL240" t="e">
        <f>AND('GA55 Summry'!#REF!,"AAAAAGff3yU=")</f>
        <v>#REF!</v>
      </c>
      <c r="AM240" t="e">
        <f>AND('GA55 Summry'!#REF!,"AAAAAGff3yY=")</f>
        <v>#REF!</v>
      </c>
      <c r="AN240" t="e">
        <f>AND('GA55 Summry'!#REF!,"AAAAAGff3yc=")</f>
        <v>#REF!</v>
      </c>
      <c r="AO240" t="e">
        <f>AND('GA55 Summry'!#REF!,"AAAAAGff3yg=")</f>
        <v>#REF!</v>
      </c>
      <c r="AP240" t="e">
        <f>AND('GA55 Summry'!#REF!,"AAAAAGff3yk=")</f>
        <v>#REF!</v>
      </c>
      <c r="AQ240" t="e">
        <f>AND('GA55 Summry'!#REF!,"AAAAAGff3yo=")</f>
        <v>#REF!</v>
      </c>
      <c r="AR240" t="e">
        <f>AND('GA55 Summry'!#REF!,"AAAAAGff3ys=")</f>
        <v>#REF!</v>
      </c>
      <c r="AS240" t="e">
        <f>AND('GA55 Summry'!#REF!,"AAAAAGff3yw=")</f>
        <v>#REF!</v>
      </c>
      <c r="AT240" t="e">
        <f>AND('GA55 Summry'!#REF!,"AAAAAGff3y0=")</f>
        <v>#REF!</v>
      </c>
      <c r="AU240" t="e">
        <f>AND('GA55 Summry'!#REF!,"AAAAAGff3y4=")</f>
        <v>#REF!</v>
      </c>
      <c r="AV240" t="e">
        <f>AND('GA55 Summry'!#REF!,"AAAAAGff3y8=")</f>
        <v>#REF!</v>
      </c>
      <c r="AW240" t="e">
        <f>AND('GA55 Summry'!#REF!,"AAAAAGff3zA=")</f>
        <v>#REF!</v>
      </c>
      <c r="AX240" t="e">
        <f>AND('GA55 Summry'!#REF!,"AAAAAGff3zE=")</f>
        <v>#REF!</v>
      </c>
      <c r="AY240" t="e">
        <f>AND('GA55 Summry'!#REF!,"AAAAAGff3zI=")</f>
        <v>#REF!</v>
      </c>
      <c r="AZ240" t="e">
        <f>AND('GA55 Summry'!#REF!,"AAAAAGff3zM=")</f>
        <v>#REF!</v>
      </c>
      <c r="BA240" t="e">
        <f>AND('GA55 Summry'!#REF!,"AAAAAGff3zQ=")</f>
        <v>#REF!</v>
      </c>
      <c r="BB240" t="e">
        <f>AND('GA55 Summry'!#REF!,"AAAAAGff3zU=")</f>
        <v>#REF!</v>
      </c>
      <c r="BC240" t="e">
        <f>AND('GA55 Summry'!#REF!,"AAAAAGff3zY=")</f>
        <v>#REF!</v>
      </c>
      <c r="BD240" t="e">
        <f>AND('GA55 Summry'!#REF!,"AAAAAGff3zc=")</f>
        <v>#REF!</v>
      </c>
      <c r="BE240" t="e">
        <f>AND('GA55 Summry'!#REF!,"AAAAAGff3zg=")</f>
        <v>#REF!</v>
      </c>
      <c r="BF240" t="e">
        <f>AND('GA55 Summry'!#REF!,"AAAAAGff3zk=")</f>
        <v>#REF!</v>
      </c>
      <c r="BG240" t="e">
        <f>AND('GA55 Summry'!#REF!,"AAAAAGff3zo=")</f>
        <v>#REF!</v>
      </c>
      <c r="BH240" t="e">
        <f>AND('GA55 Summry'!#REF!,"AAAAAGff3zs=")</f>
        <v>#REF!</v>
      </c>
      <c r="BI240" t="e">
        <f>AND('GA55 Summry'!#REF!,"AAAAAGff3zw=")</f>
        <v>#REF!</v>
      </c>
      <c r="BJ240" t="e">
        <f>AND('GA55 Summry'!#REF!,"AAAAAGff3z0=")</f>
        <v>#REF!</v>
      </c>
      <c r="BK240" t="e">
        <f>AND('GA55 Summry'!#REF!,"AAAAAGff3z4=")</f>
        <v>#REF!</v>
      </c>
      <c r="BL240" t="e">
        <f>AND('GA55 Summry'!#REF!,"AAAAAGff3z8=")</f>
        <v>#REF!</v>
      </c>
      <c r="BM240" t="e">
        <f>AND('GA55 Summry'!#REF!,"AAAAAGff30A=")</f>
        <v>#REF!</v>
      </c>
      <c r="BN240" t="e">
        <f>AND('GA55 Summry'!#REF!,"AAAAAGff30E=")</f>
        <v>#REF!</v>
      </c>
      <c r="BO240" t="e">
        <f>AND('GA55 Summry'!#REF!,"AAAAAGff30I=")</f>
        <v>#REF!</v>
      </c>
      <c r="BP240" t="e">
        <f>AND('GA55 Summry'!#REF!,"AAAAAGff30M=")</f>
        <v>#REF!</v>
      </c>
      <c r="BQ240" t="e">
        <f>AND('GA55 Summry'!#REF!,"AAAAAGff30Q=")</f>
        <v>#REF!</v>
      </c>
      <c r="BR240" t="e">
        <f>AND('GA55 Summry'!#REF!,"AAAAAGff30U=")</f>
        <v>#REF!</v>
      </c>
      <c r="BS240" t="e">
        <f>AND('GA55 Summry'!#REF!,"AAAAAGff30Y=")</f>
        <v>#REF!</v>
      </c>
      <c r="BT240" t="e">
        <f>AND('GA55 Summry'!#REF!,"AAAAAGff30c=")</f>
        <v>#REF!</v>
      </c>
      <c r="BU240" t="e">
        <f>AND('GA55 Summry'!#REF!,"AAAAAGff30g=")</f>
        <v>#REF!</v>
      </c>
      <c r="BV240" t="e">
        <f>AND('GA55 Summry'!#REF!,"AAAAAGff30k=")</f>
        <v>#REF!</v>
      </c>
      <c r="BW240" t="e">
        <f>AND('GA55 Summry'!#REF!,"AAAAAGff30o=")</f>
        <v>#REF!</v>
      </c>
      <c r="BX240" t="e">
        <f>IF('GA55 Summry'!#REF!,"AAAAAGff30s=",0)</f>
        <v>#REF!</v>
      </c>
      <c r="BY240" t="e">
        <f>AND('GA55 Summry'!#REF!,"AAAAAGff30w=")</f>
        <v>#REF!</v>
      </c>
      <c r="BZ240" t="e">
        <f>AND('GA55 Summry'!#REF!,"AAAAAGff300=")</f>
        <v>#REF!</v>
      </c>
      <c r="CA240" t="e">
        <f>AND('GA55 Summry'!#REF!,"AAAAAGff304=")</f>
        <v>#REF!</v>
      </c>
      <c r="CB240" t="e">
        <f>AND('GA55 Summry'!#REF!,"AAAAAGff308=")</f>
        <v>#REF!</v>
      </c>
      <c r="CC240" t="e">
        <f>AND('GA55 Summry'!#REF!,"AAAAAGff31A=")</f>
        <v>#REF!</v>
      </c>
      <c r="CD240" t="e">
        <f>AND('GA55 Summry'!#REF!,"AAAAAGff31E=")</f>
        <v>#REF!</v>
      </c>
      <c r="CE240" t="e">
        <f>AND('GA55 Summry'!#REF!,"AAAAAGff31I=")</f>
        <v>#REF!</v>
      </c>
      <c r="CF240" t="e">
        <f>AND('GA55 Summry'!#REF!,"AAAAAGff31M=")</f>
        <v>#REF!</v>
      </c>
      <c r="CG240" t="e">
        <f>AND('GA55 Summry'!#REF!,"AAAAAGff31Q=")</f>
        <v>#REF!</v>
      </c>
      <c r="CH240" t="e">
        <f>AND('GA55 Summry'!#REF!,"AAAAAGff31U=")</f>
        <v>#REF!</v>
      </c>
      <c r="CI240" t="e">
        <f>AND('GA55 Summry'!#REF!,"AAAAAGff31Y=")</f>
        <v>#REF!</v>
      </c>
      <c r="CJ240" t="e">
        <f>AND('GA55 Summry'!#REF!,"AAAAAGff31c=")</f>
        <v>#REF!</v>
      </c>
      <c r="CK240" t="e">
        <f>AND('GA55 Summry'!#REF!,"AAAAAGff31g=")</f>
        <v>#REF!</v>
      </c>
      <c r="CL240" t="e">
        <f>AND('GA55 Summry'!#REF!,"AAAAAGff31k=")</f>
        <v>#REF!</v>
      </c>
      <c r="CM240" t="e">
        <f>AND('GA55 Summry'!#REF!,"AAAAAGff31o=")</f>
        <v>#REF!</v>
      </c>
      <c r="CN240" t="e">
        <f>AND('GA55 Summry'!#REF!,"AAAAAGff31s=")</f>
        <v>#REF!</v>
      </c>
      <c r="CO240" t="e">
        <f>AND('GA55 Summry'!#REF!,"AAAAAGff31w=")</f>
        <v>#REF!</v>
      </c>
      <c r="CP240" t="e">
        <f>AND('GA55 Summry'!#REF!,"AAAAAGff310=")</f>
        <v>#REF!</v>
      </c>
      <c r="CQ240" t="e">
        <f>AND('GA55 Summry'!#REF!,"AAAAAGff314=")</f>
        <v>#REF!</v>
      </c>
      <c r="CR240" t="e">
        <f>AND('GA55 Summry'!#REF!,"AAAAAGff318=")</f>
        <v>#REF!</v>
      </c>
      <c r="CS240" t="e">
        <f>AND('GA55 Summry'!#REF!,"AAAAAGff32A=")</f>
        <v>#REF!</v>
      </c>
      <c r="CT240" t="e">
        <f>AND('GA55 Summry'!#REF!,"AAAAAGff32E=")</f>
        <v>#REF!</v>
      </c>
      <c r="CU240" t="e">
        <f>AND('GA55 Summry'!#REF!,"AAAAAGff32I=")</f>
        <v>#REF!</v>
      </c>
      <c r="CV240" t="e">
        <f>AND('GA55 Summry'!#REF!,"AAAAAGff32M=")</f>
        <v>#REF!</v>
      </c>
      <c r="CW240" t="e">
        <f>AND('GA55 Summry'!#REF!,"AAAAAGff32Q=")</f>
        <v>#REF!</v>
      </c>
      <c r="CX240" t="e">
        <f>AND('GA55 Summry'!#REF!,"AAAAAGff32U=")</f>
        <v>#REF!</v>
      </c>
      <c r="CY240" t="e">
        <f>AND('GA55 Summry'!#REF!,"AAAAAGff32Y=")</f>
        <v>#REF!</v>
      </c>
      <c r="CZ240" t="e">
        <f>AND('GA55 Summry'!#REF!,"AAAAAGff32c=")</f>
        <v>#REF!</v>
      </c>
      <c r="DA240" t="e">
        <f>AND('GA55 Summry'!#REF!,"AAAAAGff32g=")</f>
        <v>#REF!</v>
      </c>
      <c r="DB240" t="e">
        <f>AND('GA55 Summry'!#REF!,"AAAAAGff32k=")</f>
        <v>#REF!</v>
      </c>
      <c r="DC240" t="e">
        <f>AND('GA55 Summry'!#REF!,"AAAAAGff32o=")</f>
        <v>#REF!</v>
      </c>
      <c r="DD240" t="e">
        <f>AND('GA55 Summry'!#REF!,"AAAAAGff32s=")</f>
        <v>#REF!</v>
      </c>
      <c r="DE240" t="e">
        <f>AND('GA55 Summry'!#REF!,"AAAAAGff32w=")</f>
        <v>#REF!</v>
      </c>
      <c r="DF240" t="e">
        <f>AND('GA55 Summry'!#REF!,"AAAAAGff320=")</f>
        <v>#REF!</v>
      </c>
      <c r="DG240" t="e">
        <f>AND('GA55 Summry'!#REF!,"AAAAAGff324=")</f>
        <v>#REF!</v>
      </c>
      <c r="DH240" t="e">
        <f>AND('GA55 Summry'!#REF!,"AAAAAGff328=")</f>
        <v>#REF!</v>
      </c>
      <c r="DI240" t="e">
        <f>AND('GA55 Summry'!#REF!,"AAAAAGff33A=")</f>
        <v>#REF!</v>
      </c>
      <c r="DJ240" t="e">
        <f>AND('GA55 Summry'!#REF!,"AAAAAGff33E=")</f>
        <v>#REF!</v>
      </c>
      <c r="DK240" t="e">
        <f>AND('GA55 Summry'!#REF!,"AAAAAGff33I=")</f>
        <v>#REF!</v>
      </c>
      <c r="DL240" t="e">
        <f>AND('GA55 Summry'!#REF!,"AAAAAGff33M=")</f>
        <v>#REF!</v>
      </c>
      <c r="DM240" t="e">
        <f>AND('GA55 Summry'!#REF!,"AAAAAGff33Q=")</f>
        <v>#REF!</v>
      </c>
      <c r="DN240" t="e">
        <f>AND('GA55 Summry'!#REF!,"AAAAAGff33U=")</f>
        <v>#REF!</v>
      </c>
      <c r="DO240" t="e">
        <f>AND('GA55 Summry'!#REF!,"AAAAAGff33Y=")</f>
        <v>#REF!</v>
      </c>
      <c r="DP240" t="e">
        <f>AND('GA55 Summry'!#REF!,"AAAAAGff33c=")</f>
        <v>#REF!</v>
      </c>
      <c r="DQ240" t="e">
        <f>AND('GA55 Summry'!#REF!,"AAAAAGff33g=")</f>
        <v>#REF!</v>
      </c>
      <c r="DR240" t="e">
        <f>AND('GA55 Summry'!#REF!,"AAAAAGff33k=")</f>
        <v>#REF!</v>
      </c>
      <c r="DS240" t="e">
        <f>AND('GA55 Summry'!#REF!,"AAAAAGff33o=")</f>
        <v>#REF!</v>
      </c>
      <c r="DT240" t="e">
        <f>AND('GA55 Summry'!#REF!,"AAAAAGff33s=")</f>
        <v>#REF!</v>
      </c>
      <c r="DU240" t="e">
        <f>AND('GA55 Summry'!#REF!,"AAAAAGff33w=")</f>
        <v>#REF!</v>
      </c>
      <c r="DV240" t="e">
        <f>AND('GA55 Summry'!#REF!,"AAAAAGff330=")</f>
        <v>#REF!</v>
      </c>
      <c r="DW240" t="e">
        <f>AND('GA55 Summry'!#REF!,"AAAAAGff334=")</f>
        <v>#REF!</v>
      </c>
      <c r="DX240" t="e">
        <f>AND('GA55 Summry'!#REF!,"AAAAAGff338=")</f>
        <v>#REF!</v>
      </c>
      <c r="DY240" t="e">
        <f>AND('GA55 Summry'!#REF!,"AAAAAGff34A=")</f>
        <v>#REF!</v>
      </c>
      <c r="DZ240" t="e">
        <f>AND('GA55 Summry'!#REF!,"AAAAAGff34E=")</f>
        <v>#REF!</v>
      </c>
      <c r="EA240" t="e">
        <f>AND('GA55 Summry'!#REF!,"AAAAAGff34I=")</f>
        <v>#REF!</v>
      </c>
      <c r="EB240" t="e">
        <f>AND('GA55 Summry'!#REF!,"AAAAAGff34M=")</f>
        <v>#REF!</v>
      </c>
      <c r="EC240" t="e">
        <f>AND('GA55 Summry'!#REF!,"AAAAAGff34Q=")</f>
        <v>#REF!</v>
      </c>
      <c r="ED240" t="e">
        <f>AND('GA55 Summry'!#REF!,"AAAAAGff34U=")</f>
        <v>#REF!</v>
      </c>
      <c r="EE240" t="e">
        <f>AND('GA55 Summry'!#REF!,"AAAAAGff34Y=")</f>
        <v>#REF!</v>
      </c>
      <c r="EF240" t="e">
        <f>AND('GA55 Summry'!#REF!,"AAAAAGff34c=")</f>
        <v>#REF!</v>
      </c>
      <c r="EG240" t="e">
        <f>AND('GA55 Summry'!#REF!,"AAAAAGff34g=")</f>
        <v>#REF!</v>
      </c>
      <c r="EH240" t="e">
        <f>AND('GA55 Summry'!#REF!,"AAAAAGff34k=")</f>
        <v>#REF!</v>
      </c>
      <c r="EI240" t="e">
        <f>AND('GA55 Summry'!#REF!,"AAAAAGff34o=")</f>
        <v>#REF!</v>
      </c>
      <c r="EJ240" t="e">
        <f>AND('GA55 Summry'!#REF!,"AAAAAGff34s=")</f>
        <v>#REF!</v>
      </c>
      <c r="EK240" t="e">
        <f>AND('GA55 Summry'!#REF!,"AAAAAGff34w=")</f>
        <v>#REF!</v>
      </c>
      <c r="EL240" t="e">
        <f>AND('GA55 Summry'!#REF!,"AAAAAGff340=")</f>
        <v>#REF!</v>
      </c>
      <c r="EM240" t="e">
        <f>AND('GA55 Summry'!#REF!,"AAAAAGff344=")</f>
        <v>#REF!</v>
      </c>
      <c r="EN240" t="e">
        <f>AND('GA55 Summry'!#REF!,"AAAAAGff348=")</f>
        <v>#REF!</v>
      </c>
      <c r="EO240" t="e">
        <f>AND('GA55 Summry'!#REF!,"AAAAAGff35A=")</f>
        <v>#REF!</v>
      </c>
      <c r="EP240" t="e">
        <f>AND('GA55 Summry'!#REF!,"AAAAAGff35E=")</f>
        <v>#REF!</v>
      </c>
      <c r="EQ240" t="e">
        <f>AND('GA55 Summry'!#REF!,"AAAAAGff35I=")</f>
        <v>#REF!</v>
      </c>
      <c r="ER240" t="e">
        <f>AND('GA55 Summry'!#REF!,"AAAAAGff35M=")</f>
        <v>#REF!</v>
      </c>
      <c r="ES240" t="e">
        <f>AND('GA55 Summry'!#REF!,"AAAAAGff35Q=")</f>
        <v>#REF!</v>
      </c>
      <c r="ET240" t="e">
        <f>AND('GA55 Summry'!#REF!,"AAAAAGff35U=")</f>
        <v>#REF!</v>
      </c>
      <c r="EU240" t="e">
        <f>IF('GA55 Summry'!#REF!,"AAAAAGff35Y=",0)</f>
        <v>#REF!</v>
      </c>
      <c r="EV240" t="e">
        <f>AND('GA55 Summry'!#REF!,"AAAAAGff35c=")</f>
        <v>#REF!</v>
      </c>
      <c r="EW240" t="e">
        <f>AND('GA55 Summry'!#REF!,"AAAAAGff35g=")</f>
        <v>#REF!</v>
      </c>
      <c r="EX240" t="e">
        <f>AND('GA55 Summry'!#REF!,"AAAAAGff35k=")</f>
        <v>#REF!</v>
      </c>
      <c r="EY240" t="e">
        <f>AND('GA55 Summry'!#REF!,"AAAAAGff35o=")</f>
        <v>#REF!</v>
      </c>
      <c r="EZ240" t="e">
        <f>AND('GA55 Summry'!#REF!,"AAAAAGff35s=")</f>
        <v>#REF!</v>
      </c>
      <c r="FA240" t="e">
        <f>AND('GA55 Summry'!#REF!,"AAAAAGff35w=")</f>
        <v>#REF!</v>
      </c>
      <c r="FB240" t="e">
        <f>AND('GA55 Summry'!#REF!,"AAAAAGff350=")</f>
        <v>#REF!</v>
      </c>
      <c r="FC240" t="e">
        <f>AND('GA55 Summry'!#REF!,"AAAAAGff354=")</f>
        <v>#REF!</v>
      </c>
      <c r="FD240" t="e">
        <f>AND('GA55 Summry'!#REF!,"AAAAAGff358=")</f>
        <v>#REF!</v>
      </c>
      <c r="FE240" t="e">
        <f>AND('GA55 Summry'!#REF!,"AAAAAGff36A=")</f>
        <v>#REF!</v>
      </c>
      <c r="FF240" t="e">
        <f>AND('GA55 Summry'!#REF!,"AAAAAGff36E=")</f>
        <v>#REF!</v>
      </c>
      <c r="FG240" t="e">
        <f>AND('GA55 Summry'!#REF!,"AAAAAGff36I=")</f>
        <v>#REF!</v>
      </c>
      <c r="FH240" t="e">
        <f>AND('GA55 Summry'!#REF!,"AAAAAGff36M=")</f>
        <v>#REF!</v>
      </c>
      <c r="FI240" t="e">
        <f>AND('GA55 Summry'!#REF!,"AAAAAGff36Q=")</f>
        <v>#REF!</v>
      </c>
      <c r="FJ240" t="e">
        <f>AND('GA55 Summry'!#REF!,"AAAAAGff36U=")</f>
        <v>#REF!</v>
      </c>
      <c r="FK240" t="e">
        <f>AND('GA55 Summry'!#REF!,"AAAAAGff36Y=")</f>
        <v>#REF!</v>
      </c>
      <c r="FL240" t="e">
        <f>AND('GA55 Summry'!#REF!,"AAAAAGff36c=")</f>
        <v>#REF!</v>
      </c>
      <c r="FM240" t="e">
        <f>AND('GA55 Summry'!#REF!,"AAAAAGff36g=")</f>
        <v>#REF!</v>
      </c>
      <c r="FN240" t="e">
        <f>AND('GA55 Summry'!#REF!,"AAAAAGff36k=")</f>
        <v>#REF!</v>
      </c>
      <c r="FO240" t="e">
        <f>AND('GA55 Summry'!#REF!,"AAAAAGff36o=")</f>
        <v>#REF!</v>
      </c>
      <c r="FP240" t="e">
        <f>AND('GA55 Summry'!#REF!,"AAAAAGff36s=")</f>
        <v>#REF!</v>
      </c>
      <c r="FQ240" t="e">
        <f>AND('GA55 Summry'!#REF!,"AAAAAGff36w=")</f>
        <v>#REF!</v>
      </c>
      <c r="FR240" t="e">
        <f>AND('GA55 Summry'!#REF!,"AAAAAGff360=")</f>
        <v>#REF!</v>
      </c>
      <c r="FS240" t="e">
        <f>AND('GA55 Summry'!#REF!,"AAAAAGff364=")</f>
        <v>#REF!</v>
      </c>
      <c r="FT240" t="e">
        <f>AND('GA55 Summry'!#REF!,"AAAAAGff368=")</f>
        <v>#REF!</v>
      </c>
      <c r="FU240" t="e">
        <f>AND('GA55 Summry'!#REF!,"AAAAAGff37A=")</f>
        <v>#REF!</v>
      </c>
      <c r="FV240" t="e">
        <f>AND('GA55 Summry'!#REF!,"AAAAAGff37E=")</f>
        <v>#REF!</v>
      </c>
      <c r="FW240" t="e">
        <f>AND('GA55 Summry'!#REF!,"AAAAAGff37I=")</f>
        <v>#REF!</v>
      </c>
      <c r="FX240" t="e">
        <f>AND('GA55 Summry'!#REF!,"AAAAAGff37M=")</f>
        <v>#REF!</v>
      </c>
      <c r="FY240" t="e">
        <f>AND('GA55 Summry'!#REF!,"AAAAAGff37Q=")</f>
        <v>#REF!</v>
      </c>
      <c r="FZ240" t="e">
        <f>AND('GA55 Summry'!#REF!,"AAAAAGff37U=")</f>
        <v>#REF!</v>
      </c>
      <c r="GA240" t="e">
        <f>AND('GA55 Summry'!#REF!,"AAAAAGff37Y=")</f>
        <v>#REF!</v>
      </c>
      <c r="GB240" t="e">
        <f>AND('GA55 Summry'!#REF!,"AAAAAGff37c=")</f>
        <v>#REF!</v>
      </c>
      <c r="GC240" t="e">
        <f>AND('GA55 Summry'!#REF!,"AAAAAGff37g=")</f>
        <v>#REF!</v>
      </c>
      <c r="GD240" t="e">
        <f>AND('GA55 Summry'!#REF!,"AAAAAGff37k=")</f>
        <v>#REF!</v>
      </c>
      <c r="GE240" t="e">
        <f>AND('GA55 Summry'!#REF!,"AAAAAGff37o=")</f>
        <v>#REF!</v>
      </c>
      <c r="GF240" t="e">
        <f>AND('GA55 Summry'!#REF!,"AAAAAGff37s=")</f>
        <v>#REF!</v>
      </c>
      <c r="GG240" t="e">
        <f>AND('GA55 Summry'!#REF!,"AAAAAGff37w=")</f>
        <v>#REF!</v>
      </c>
      <c r="GH240" t="e">
        <f>AND('GA55 Summry'!#REF!,"AAAAAGff370=")</f>
        <v>#REF!</v>
      </c>
      <c r="GI240" t="e">
        <f>AND('GA55 Summry'!#REF!,"AAAAAGff374=")</f>
        <v>#REF!</v>
      </c>
      <c r="GJ240" t="e">
        <f>AND('GA55 Summry'!#REF!,"AAAAAGff378=")</f>
        <v>#REF!</v>
      </c>
      <c r="GK240" t="e">
        <f>AND('GA55 Summry'!#REF!,"AAAAAGff38A=")</f>
        <v>#REF!</v>
      </c>
      <c r="GL240" t="e">
        <f>AND('GA55 Summry'!#REF!,"AAAAAGff38E=")</f>
        <v>#REF!</v>
      </c>
      <c r="GM240" t="e">
        <f>AND('GA55 Summry'!#REF!,"AAAAAGff38I=")</f>
        <v>#REF!</v>
      </c>
      <c r="GN240" t="e">
        <f>AND('GA55 Summry'!#REF!,"AAAAAGff38M=")</f>
        <v>#REF!</v>
      </c>
      <c r="GO240" t="e">
        <f>AND('GA55 Summry'!#REF!,"AAAAAGff38Q=")</f>
        <v>#REF!</v>
      </c>
      <c r="GP240" t="e">
        <f>AND('GA55 Summry'!#REF!,"AAAAAGff38U=")</f>
        <v>#REF!</v>
      </c>
      <c r="GQ240" t="e">
        <f>AND('GA55 Summry'!#REF!,"AAAAAGff38Y=")</f>
        <v>#REF!</v>
      </c>
      <c r="GR240" t="e">
        <f>AND('GA55 Summry'!#REF!,"AAAAAGff38c=")</f>
        <v>#REF!</v>
      </c>
      <c r="GS240" t="e">
        <f>AND('GA55 Summry'!#REF!,"AAAAAGff38g=")</f>
        <v>#REF!</v>
      </c>
      <c r="GT240" t="e">
        <f>AND('GA55 Summry'!#REF!,"AAAAAGff38k=")</f>
        <v>#REF!</v>
      </c>
      <c r="GU240" t="e">
        <f>AND('GA55 Summry'!#REF!,"AAAAAGff38o=")</f>
        <v>#REF!</v>
      </c>
      <c r="GV240" t="e">
        <f>AND('GA55 Summry'!#REF!,"AAAAAGff38s=")</f>
        <v>#REF!</v>
      </c>
      <c r="GW240" t="e">
        <f>AND('GA55 Summry'!#REF!,"AAAAAGff38w=")</f>
        <v>#REF!</v>
      </c>
      <c r="GX240" t="e">
        <f>AND('GA55 Summry'!#REF!,"AAAAAGff380=")</f>
        <v>#REF!</v>
      </c>
      <c r="GY240" t="e">
        <f>AND('GA55 Summry'!#REF!,"AAAAAGff384=")</f>
        <v>#REF!</v>
      </c>
      <c r="GZ240" t="e">
        <f>AND('GA55 Summry'!#REF!,"AAAAAGff388=")</f>
        <v>#REF!</v>
      </c>
      <c r="HA240" t="e">
        <f>AND('GA55 Summry'!#REF!,"AAAAAGff39A=")</f>
        <v>#REF!</v>
      </c>
      <c r="HB240" t="e">
        <f>AND('GA55 Summry'!#REF!,"AAAAAGff39E=")</f>
        <v>#REF!</v>
      </c>
      <c r="HC240" t="e">
        <f>AND('GA55 Summry'!#REF!,"AAAAAGff39I=")</f>
        <v>#REF!</v>
      </c>
      <c r="HD240" t="e">
        <f>AND('GA55 Summry'!#REF!,"AAAAAGff39M=")</f>
        <v>#REF!</v>
      </c>
      <c r="HE240" t="e">
        <f>AND('GA55 Summry'!#REF!,"AAAAAGff39Q=")</f>
        <v>#REF!</v>
      </c>
      <c r="HF240" t="e">
        <f>AND('GA55 Summry'!#REF!,"AAAAAGff39U=")</f>
        <v>#REF!</v>
      </c>
      <c r="HG240" t="e">
        <f>AND('GA55 Summry'!#REF!,"AAAAAGff39Y=")</f>
        <v>#REF!</v>
      </c>
      <c r="HH240" t="e">
        <f>AND('GA55 Summry'!#REF!,"AAAAAGff39c=")</f>
        <v>#REF!</v>
      </c>
      <c r="HI240" t="e">
        <f>AND('GA55 Summry'!#REF!,"AAAAAGff39g=")</f>
        <v>#REF!</v>
      </c>
      <c r="HJ240" t="e">
        <f>AND('GA55 Summry'!#REF!,"AAAAAGff39k=")</f>
        <v>#REF!</v>
      </c>
      <c r="HK240" t="e">
        <f>AND('GA55 Summry'!#REF!,"AAAAAGff39o=")</f>
        <v>#REF!</v>
      </c>
      <c r="HL240" t="e">
        <f>AND('GA55 Summry'!#REF!,"AAAAAGff39s=")</f>
        <v>#REF!</v>
      </c>
      <c r="HM240" t="e">
        <f>AND('GA55 Summry'!#REF!,"AAAAAGff39w=")</f>
        <v>#REF!</v>
      </c>
      <c r="HN240" t="e">
        <f>AND('GA55 Summry'!#REF!,"AAAAAGff390=")</f>
        <v>#REF!</v>
      </c>
      <c r="HO240" t="e">
        <f>AND('GA55 Summry'!#REF!,"AAAAAGff394=")</f>
        <v>#REF!</v>
      </c>
      <c r="HP240" t="e">
        <f>AND('GA55 Summry'!#REF!,"AAAAAGff398=")</f>
        <v>#REF!</v>
      </c>
      <c r="HQ240" t="e">
        <f>AND('GA55 Summry'!#REF!,"AAAAAGff3+A=")</f>
        <v>#REF!</v>
      </c>
      <c r="HR240" t="e">
        <f>IF('GA55 Summry'!#REF!,"AAAAAGff3+E=",0)</f>
        <v>#REF!</v>
      </c>
      <c r="HS240" t="e">
        <f>AND('GA55 Summry'!#REF!,"AAAAAGff3+I=")</f>
        <v>#REF!</v>
      </c>
      <c r="HT240" t="e">
        <f>AND('GA55 Summry'!#REF!,"AAAAAGff3+M=")</f>
        <v>#REF!</v>
      </c>
      <c r="HU240" t="e">
        <f>AND('GA55 Summry'!#REF!,"AAAAAGff3+Q=")</f>
        <v>#REF!</v>
      </c>
      <c r="HV240" t="e">
        <f>AND('GA55 Summry'!#REF!,"AAAAAGff3+U=")</f>
        <v>#REF!</v>
      </c>
      <c r="HW240" t="e">
        <f>AND('GA55 Summry'!#REF!,"AAAAAGff3+Y=")</f>
        <v>#REF!</v>
      </c>
      <c r="HX240" t="e">
        <f>AND('GA55 Summry'!#REF!,"AAAAAGff3+c=")</f>
        <v>#REF!</v>
      </c>
      <c r="HY240" t="e">
        <f>AND('GA55 Summry'!#REF!,"AAAAAGff3+g=")</f>
        <v>#REF!</v>
      </c>
      <c r="HZ240" t="e">
        <f>AND('GA55 Summry'!#REF!,"AAAAAGff3+k=")</f>
        <v>#REF!</v>
      </c>
      <c r="IA240" t="e">
        <f>AND('GA55 Summry'!#REF!,"AAAAAGff3+o=")</f>
        <v>#REF!</v>
      </c>
      <c r="IB240" t="e">
        <f>AND('GA55 Summry'!#REF!,"AAAAAGff3+s=")</f>
        <v>#REF!</v>
      </c>
      <c r="IC240" t="e">
        <f>AND('GA55 Summry'!#REF!,"AAAAAGff3+w=")</f>
        <v>#REF!</v>
      </c>
      <c r="ID240" t="e">
        <f>AND('GA55 Summry'!#REF!,"AAAAAGff3+0=")</f>
        <v>#REF!</v>
      </c>
      <c r="IE240" t="e">
        <f>AND('GA55 Summry'!#REF!,"AAAAAGff3+4=")</f>
        <v>#REF!</v>
      </c>
      <c r="IF240" t="e">
        <f>AND('GA55 Summry'!#REF!,"AAAAAGff3+8=")</f>
        <v>#REF!</v>
      </c>
      <c r="IG240" t="e">
        <f>AND('GA55 Summry'!#REF!,"AAAAAGff3/A=")</f>
        <v>#REF!</v>
      </c>
      <c r="IH240" t="e">
        <f>AND('GA55 Summry'!#REF!,"AAAAAGff3/E=")</f>
        <v>#REF!</v>
      </c>
      <c r="II240" t="e">
        <f>AND('GA55 Summry'!#REF!,"AAAAAGff3/I=")</f>
        <v>#REF!</v>
      </c>
      <c r="IJ240" t="e">
        <f>AND('GA55 Summry'!#REF!,"AAAAAGff3/M=")</f>
        <v>#REF!</v>
      </c>
      <c r="IK240" t="e">
        <f>AND('GA55 Summry'!#REF!,"AAAAAGff3/Q=")</f>
        <v>#REF!</v>
      </c>
      <c r="IL240" t="e">
        <f>AND('GA55 Summry'!#REF!,"AAAAAGff3/U=")</f>
        <v>#REF!</v>
      </c>
      <c r="IM240" t="e">
        <f>AND('GA55 Summry'!#REF!,"AAAAAGff3/Y=")</f>
        <v>#REF!</v>
      </c>
      <c r="IN240" t="e">
        <f>AND('GA55 Summry'!#REF!,"AAAAAGff3/c=")</f>
        <v>#REF!</v>
      </c>
      <c r="IO240" t="e">
        <f>AND('GA55 Summry'!#REF!,"AAAAAGff3/g=")</f>
        <v>#REF!</v>
      </c>
      <c r="IP240" t="e">
        <f>AND('GA55 Summry'!#REF!,"AAAAAGff3/k=")</f>
        <v>#REF!</v>
      </c>
      <c r="IQ240" t="e">
        <f>AND('GA55 Summry'!#REF!,"AAAAAGff3/o=")</f>
        <v>#REF!</v>
      </c>
      <c r="IR240" t="e">
        <f>AND('GA55 Summry'!#REF!,"AAAAAGff3/s=")</f>
        <v>#REF!</v>
      </c>
      <c r="IS240" t="e">
        <f>AND('GA55 Summry'!#REF!,"AAAAAGff3/w=")</f>
        <v>#REF!</v>
      </c>
      <c r="IT240" t="e">
        <f>AND('GA55 Summry'!#REF!,"AAAAAGff3/0=")</f>
        <v>#REF!</v>
      </c>
      <c r="IU240" t="e">
        <f>AND('GA55 Summry'!#REF!,"AAAAAGff3/4=")</f>
        <v>#REF!</v>
      </c>
      <c r="IV240" t="e">
        <f>AND('GA55 Summry'!#REF!,"AAAAAGff3/8=")</f>
        <v>#REF!</v>
      </c>
    </row>
    <row r="241" spans="1:256">
      <c r="A241" t="e">
        <f>AND('GA55 Summry'!#REF!,"AAAAAH1OUwA=")</f>
        <v>#REF!</v>
      </c>
      <c r="B241" t="e">
        <f>AND('GA55 Summry'!#REF!,"AAAAAH1OUwE=")</f>
        <v>#REF!</v>
      </c>
      <c r="C241" t="e">
        <f>AND('GA55 Summry'!#REF!,"AAAAAH1OUwI=")</f>
        <v>#REF!</v>
      </c>
      <c r="D241" t="e">
        <f>AND('GA55 Summry'!#REF!,"AAAAAH1OUwM=")</f>
        <v>#REF!</v>
      </c>
      <c r="E241" t="e">
        <f>AND('GA55 Summry'!#REF!,"AAAAAH1OUwQ=")</f>
        <v>#REF!</v>
      </c>
      <c r="F241" t="e">
        <f>AND('GA55 Summry'!#REF!,"AAAAAH1OUwU=")</f>
        <v>#REF!</v>
      </c>
      <c r="G241" t="e">
        <f>AND('GA55 Summry'!#REF!,"AAAAAH1OUwY=")</f>
        <v>#REF!</v>
      </c>
      <c r="H241" t="e">
        <f>AND('GA55 Summry'!#REF!,"AAAAAH1OUwc=")</f>
        <v>#REF!</v>
      </c>
      <c r="I241" t="e">
        <f>AND('GA55 Summry'!#REF!,"AAAAAH1OUwg=")</f>
        <v>#REF!</v>
      </c>
      <c r="J241" t="e">
        <f>AND('GA55 Summry'!#REF!,"AAAAAH1OUwk=")</f>
        <v>#REF!</v>
      </c>
      <c r="K241" t="e">
        <f>AND('GA55 Summry'!#REF!,"AAAAAH1OUwo=")</f>
        <v>#REF!</v>
      </c>
      <c r="L241" t="e">
        <f>AND('GA55 Summry'!#REF!,"AAAAAH1OUws=")</f>
        <v>#REF!</v>
      </c>
      <c r="M241" t="e">
        <f>AND('GA55 Summry'!#REF!,"AAAAAH1OUww=")</f>
        <v>#REF!</v>
      </c>
      <c r="N241" t="e">
        <f>AND('GA55 Summry'!#REF!,"AAAAAH1OUw0=")</f>
        <v>#REF!</v>
      </c>
      <c r="O241" t="e">
        <f>AND('GA55 Summry'!#REF!,"AAAAAH1OUw4=")</f>
        <v>#REF!</v>
      </c>
      <c r="P241" t="e">
        <f>AND('GA55 Summry'!#REF!,"AAAAAH1OUw8=")</f>
        <v>#REF!</v>
      </c>
      <c r="Q241" t="e">
        <f>AND('GA55 Summry'!#REF!,"AAAAAH1OUxA=")</f>
        <v>#REF!</v>
      </c>
      <c r="R241" t="e">
        <f>AND('GA55 Summry'!#REF!,"AAAAAH1OUxE=")</f>
        <v>#REF!</v>
      </c>
      <c r="S241" t="e">
        <f>AND('GA55 Summry'!#REF!,"AAAAAH1OUxI=")</f>
        <v>#REF!</v>
      </c>
      <c r="T241" t="e">
        <f>AND('GA55 Summry'!#REF!,"AAAAAH1OUxM=")</f>
        <v>#REF!</v>
      </c>
      <c r="U241" t="e">
        <f>AND('GA55 Summry'!#REF!,"AAAAAH1OUxQ=")</f>
        <v>#REF!</v>
      </c>
      <c r="V241" t="e">
        <f>AND('GA55 Summry'!#REF!,"AAAAAH1OUxU=")</f>
        <v>#REF!</v>
      </c>
      <c r="W241" t="e">
        <f>AND('GA55 Summry'!#REF!,"AAAAAH1OUxY=")</f>
        <v>#REF!</v>
      </c>
      <c r="X241" t="e">
        <f>AND('GA55 Summry'!#REF!,"AAAAAH1OUxc=")</f>
        <v>#REF!</v>
      </c>
      <c r="Y241" t="e">
        <f>AND('GA55 Summry'!#REF!,"AAAAAH1OUxg=")</f>
        <v>#REF!</v>
      </c>
      <c r="Z241" t="e">
        <f>AND('GA55 Summry'!#REF!,"AAAAAH1OUxk=")</f>
        <v>#REF!</v>
      </c>
      <c r="AA241" t="e">
        <f>AND('GA55 Summry'!#REF!,"AAAAAH1OUxo=")</f>
        <v>#REF!</v>
      </c>
      <c r="AB241" t="e">
        <f>AND('GA55 Summry'!#REF!,"AAAAAH1OUxs=")</f>
        <v>#REF!</v>
      </c>
      <c r="AC241" t="e">
        <f>AND('GA55 Summry'!#REF!,"AAAAAH1OUxw=")</f>
        <v>#REF!</v>
      </c>
      <c r="AD241" t="e">
        <f>AND('GA55 Summry'!#REF!,"AAAAAH1OUx0=")</f>
        <v>#REF!</v>
      </c>
      <c r="AE241" t="e">
        <f>AND('GA55 Summry'!#REF!,"AAAAAH1OUx4=")</f>
        <v>#REF!</v>
      </c>
      <c r="AF241" t="e">
        <f>AND('GA55 Summry'!#REF!,"AAAAAH1OUx8=")</f>
        <v>#REF!</v>
      </c>
      <c r="AG241" t="e">
        <f>AND('GA55 Summry'!#REF!,"AAAAAH1OUyA=")</f>
        <v>#REF!</v>
      </c>
      <c r="AH241" t="e">
        <f>AND('GA55 Summry'!#REF!,"AAAAAH1OUyE=")</f>
        <v>#REF!</v>
      </c>
      <c r="AI241" t="e">
        <f>AND('GA55 Summry'!#REF!,"AAAAAH1OUyI=")</f>
        <v>#REF!</v>
      </c>
      <c r="AJ241" t="e">
        <f>AND('GA55 Summry'!#REF!,"AAAAAH1OUyM=")</f>
        <v>#REF!</v>
      </c>
      <c r="AK241" t="e">
        <f>AND('GA55 Summry'!#REF!,"AAAAAH1OUyQ=")</f>
        <v>#REF!</v>
      </c>
      <c r="AL241" t="e">
        <f>AND('GA55 Summry'!#REF!,"AAAAAH1OUyU=")</f>
        <v>#REF!</v>
      </c>
      <c r="AM241" t="e">
        <f>AND('GA55 Summry'!#REF!,"AAAAAH1OUyY=")</f>
        <v>#REF!</v>
      </c>
      <c r="AN241" t="e">
        <f>AND('GA55 Summry'!#REF!,"AAAAAH1OUyc=")</f>
        <v>#REF!</v>
      </c>
      <c r="AO241" t="e">
        <f>AND('GA55 Summry'!#REF!,"AAAAAH1OUyg=")</f>
        <v>#REF!</v>
      </c>
      <c r="AP241" t="e">
        <f>AND('GA55 Summry'!#REF!,"AAAAAH1OUyk=")</f>
        <v>#REF!</v>
      </c>
      <c r="AQ241" t="e">
        <f>AND('GA55 Summry'!#REF!,"AAAAAH1OUyo=")</f>
        <v>#REF!</v>
      </c>
      <c r="AR241" t="e">
        <f>AND('GA55 Summry'!#REF!,"AAAAAH1OUys=")</f>
        <v>#REF!</v>
      </c>
      <c r="AS241" t="e">
        <f>IF('GA55 Summry'!#REF!,"AAAAAH1OUyw=",0)</f>
        <v>#REF!</v>
      </c>
      <c r="AT241" t="e">
        <f>AND('GA55 Summry'!#REF!,"AAAAAH1OUy0=")</f>
        <v>#REF!</v>
      </c>
      <c r="AU241" t="e">
        <f>AND('GA55 Summry'!#REF!,"AAAAAH1OUy4=")</f>
        <v>#REF!</v>
      </c>
      <c r="AV241" t="e">
        <f>AND('GA55 Summry'!#REF!,"AAAAAH1OUy8=")</f>
        <v>#REF!</v>
      </c>
      <c r="AW241" t="e">
        <f>AND('GA55 Summry'!#REF!,"AAAAAH1OUzA=")</f>
        <v>#REF!</v>
      </c>
      <c r="AX241" t="e">
        <f>AND('GA55 Summry'!#REF!,"AAAAAH1OUzE=")</f>
        <v>#REF!</v>
      </c>
      <c r="AY241" t="e">
        <f>AND('GA55 Summry'!#REF!,"AAAAAH1OUzI=")</f>
        <v>#REF!</v>
      </c>
      <c r="AZ241" t="e">
        <f>AND('GA55 Summry'!#REF!,"AAAAAH1OUzM=")</f>
        <v>#REF!</v>
      </c>
      <c r="BA241" t="e">
        <f>AND('GA55 Summry'!#REF!,"AAAAAH1OUzQ=")</f>
        <v>#REF!</v>
      </c>
      <c r="BB241" t="e">
        <f>AND('GA55 Summry'!#REF!,"AAAAAH1OUzU=")</f>
        <v>#REF!</v>
      </c>
      <c r="BC241" t="e">
        <f>AND('GA55 Summry'!#REF!,"AAAAAH1OUzY=")</f>
        <v>#REF!</v>
      </c>
      <c r="BD241" t="e">
        <f>AND('GA55 Summry'!#REF!,"AAAAAH1OUzc=")</f>
        <v>#REF!</v>
      </c>
      <c r="BE241" t="e">
        <f>AND('GA55 Summry'!#REF!,"AAAAAH1OUzg=")</f>
        <v>#REF!</v>
      </c>
      <c r="BF241" t="e">
        <f>AND('GA55 Summry'!#REF!,"AAAAAH1OUzk=")</f>
        <v>#REF!</v>
      </c>
      <c r="BG241" t="e">
        <f>AND('GA55 Summry'!#REF!,"AAAAAH1OUzo=")</f>
        <v>#REF!</v>
      </c>
      <c r="BH241" t="e">
        <f>AND('GA55 Summry'!#REF!,"AAAAAH1OUzs=")</f>
        <v>#REF!</v>
      </c>
      <c r="BI241" t="e">
        <f>AND('GA55 Summry'!#REF!,"AAAAAH1OUzw=")</f>
        <v>#REF!</v>
      </c>
      <c r="BJ241" t="e">
        <f>AND('GA55 Summry'!#REF!,"AAAAAH1OUz0=")</f>
        <v>#REF!</v>
      </c>
      <c r="BK241" t="e">
        <f>AND('GA55 Summry'!#REF!,"AAAAAH1OUz4=")</f>
        <v>#REF!</v>
      </c>
      <c r="BL241" t="e">
        <f>AND('GA55 Summry'!#REF!,"AAAAAH1OUz8=")</f>
        <v>#REF!</v>
      </c>
      <c r="BM241" t="e">
        <f>AND('GA55 Summry'!#REF!,"AAAAAH1OU0A=")</f>
        <v>#REF!</v>
      </c>
      <c r="BN241" t="e">
        <f>AND('GA55 Summry'!#REF!,"AAAAAH1OU0E=")</f>
        <v>#REF!</v>
      </c>
      <c r="BO241" t="e">
        <f>AND('GA55 Summry'!#REF!,"AAAAAH1OU0I=")</f>
        <v>#REF!</v>
      </c>
      <c r="BP241" t="e">
        <f>AND('GA55 Summry'!#REF!,"AAAAAH1OU0M=")</f>
        <v>#REF!</v>
      </c>
      <c r="BQ241" t="e">
        <f>AND('GA55 Summry'!#REF!,"AAAAAH1OU0Q=")</f>
        <v>#REF!</v>
      </c>
      <c r="BR241" t="e">
        <f>AND('GA55 Summry'!#REF!,"AAAAAH1OU0U=")</f>
        <v>#REF!</v>
      </c>
      <c r="BS241" t="e">
        <f>AND('GA55 Summry'!#REF!,"AAAAAH1OU0Y=")</f>
        <v>#REF!</v>
      </c>
      <c r="BT241" t="e">
        <f>AND('GA55 Summry'!#REF!,"AAAAAH1OU0c=")</f>
        <v>#REF!</v>
      </c>
      <c r="BU241" t="e">
        <f>AND('GA55 Summry'!#REF!,"AAAAAH1OU0g=")</f>
        <v>#REF!</v>
      </c>
      <c r="BV241" t="e">
        <f>AND('GA55 Summry'!#REF!,"AAAAAH1OU0k=")</f>
        <v>#REF!</v>
      </c>
      <c r="BW241" t="e">
        <f>AND('GA55 Summry'!#REF!,"AAAAAH1OU0o=")</f>
        <v>#REF!</v>
      </c>
      <c r="BX241" t="e">
        <f>AND('GA55 Summry'!#REF!,"AAAAAH1OU0s=")</f>
        <v>#REF!</v>
      </c>
      <c r="BY241" t="e">
        <f>AND('GA55 Summry'!#REF!,"AAAAAH1OU0w=")</f>
        <v>#REF!</v>
      </c>
      <c r="BZ241" t="e">
        <f>AND('GA55 Summry'!#REF!,"AAAAAH1OU00=")</f>
        <v>#REF!</v>
      </c>
      <c r="CA241" t="e">
        <f>AND('GA55 Summry'!#REF!,"AAAAAH1OU04=")</f>
        <v>#REF!</v>
      </c>
      <c r="CB241" t="e">
        <f>AND('GA55 Summry'!#REF!,"AAAAAH1OU08=")</f>
        <v>#REF!</v>
      </c>
      <c r="CC241" t="e">
        <f>AND('GA55 Summry'!#REF!,"AAAAAH1OU1A=")</f>
        <v>#REF!</v>
      </c>
      <c r="CD241" t="e">
        <f>AND('GA55 Summry'!#REF!,"AAAAAH1OU1E=")</f>
        <v>#REF!</v>
      </c>
      <c r="CE241" t="e">
        <f>AND('GA55 Summry'!#REF!,"AAAAAH1OU1I=")</f>
        <v>#REF!</v>
      </c>
      <c r="CF241" t="e">
        <f>AND('GA55 Summry'!#REF!,"AAAAAH1OU1M=")</f>
        <v>#REF!</v>
      </c>
      <c r="CG241" t="e">
        <f>AND('GA55 Summry'!#REF!,"AAAAAH1OU1Q=")</f>
        <v>#REF!</v>
      </c>
      <c r="CH241" t="e">
        <f>AND('GA55 Summry'!#REF!,"AAAAAH1OU1U=")</f>
        <v>#REF!</v>
      </c>
      <c r="CI241" t="e">
        <f>AND('GA55 Summry'!#REF!,"AAAAAH1OU1Y=")</f>
        <v>#REF!</v>
      </c>
      <c r="CJ241" t="e">
        <f>AND('GA55 Summry'!#REF!,"AAAAAH1OU1c=")</f>
        <v>#REF!</v>
      </c>
      <c r="CK241" t="e">
        <f>AND('GA55 Summry'!#REF!,"AAAAAH1OU1g=")</f>
        <v>#REF!</v>
      </c>
      <c r="CL241" t="e">
        <f>AND('GA55 Summry'!#REF!,"AAAAAH1OU1k=")</f>
        <v>#REF!</v>
      </c>
      <c r="CM241" t="e">
        <f>AND('GA55 Summry'!#REF!,"AAAAAH1OU1o=")</f>
        <v>#REF!</v>
      </c>
      <c r="CN241" t="e">
        <f>AND('GA55 Summry'!#REF!,"AAAAAH1OU1s=")</f>
        <v>#REF!</v>
      </c>
      <c r="CO241" t="e">
        <f>AND('GA55 Summry'!#REF!,"AAAAAH1OU1w=")</f>
        <v>#REF!</v>
      </c>
      <c r="CP241" t="e">
        <f>AND('GA55 Summry'!#REF!,"AAAAAH1OU10=")</f>
        <v>#REF!</v>
      </c>
      <c r="CQ241" t="e">
        <f>AND('GA55 Summry'!#REF!,"AAAAAH1OU14=")</f>
        <v>#REF!</v>
      </c>
      <c r="CR241" t="e">
        <f>AND('GA55 Summry'!#REF!,"AAAAAH1OU18=")</f>
        <v>#REF!</v>
      </c>
      <c r="CS241" t="e">
        <f>AND('GA55 Summry'!#REF!,"AAAAAH1OU2A=")</f>
        <v>#REF!</v>
      </c>
      <c r="CT241" t="e">
        <f>AND('GA55 Summry'!#REF!,"AAAAAH1OU2E=")</f>
        <v>#REF!</v>
      </c>
      <c r="CU241" t="e">
        <f>AND('GA55 Summry'!#REF!,"AAAAAH1OU2I=")</f>
        <v>#REF!</v>
      </c>
      <c r="CV241" t="e">
        <f>AND('GA55 Summry'!#REF!,"AAAAAH1OU2M=")</f>
        <v>#REF!</v>
      </c>
      <c r="CW241" t="e">
        <f>AND('GA55 Summry'!#REF!,"AAAAAH1OU2Q=")</f>
        <v>#REF!</v>
      </c>
      <c r="CX241" t="e">
        <f>AND('GA55 Summry'!#REF!,"AAAAAH1OU2U=")</f>
        <v>#REF!</v>
      </c>
      <c r="CY241" t="e">
        <f>AND('GA55 Summry'!#REF!,"AAAAAH1OU2Y=")</f>
        <v>#REF!</v>
      </c>
      <c r="CZ241" t="e">
        <f>AND('GA55 Summry'!#REF!,"AAAAAH1OU2c=")</f>
        <v>#REF!</v>
      </c>
      <c r="DA241" t="e">
        <f>AND('GA55 Summry'!#REF!,"AAAAAH1OU2g=")</f>
        <v>#REF!</v>
      </c>
      <c r="DB241" t="e">
        <f>AND('GA55 Summry'!#REF!,"AAAAAH1OU2k=")</f>
        <v>#REF!</v>
      </c>
      <c r="DC241" t="e">
        <f>AND('GA55 Summry'!#REF!,"AAAAAH1OU2o=")</f>
        <v>#REF!</v>
      </c>
      <c r="DD241" t="e">
        <f>AND('GA55 Summry'!#REF!,"AAAAAH1OU2s=")</f>
        <v>#REF!</v>
      </c>
      <c r="DE241" t="e">
        <f>AND('GA55 Summry'!#REF!,"AAAAAH1OU2w=")</f>
        <v>#REF!</v>
      </c>
      <c r="DF241" t="e">
        <f>AND('GA55 Summry'!#REF!,"AAAAAH1OU20=")</f>
        <v>#REF!</v>
      </c>
      <c r="DG241" t="e">
        <f>AND('GA55 Summry'!#REF!,"AAAAAH1OU24=")</f>
        <v>#REF!</v>
      </c>
      <c r="DH241" t="e">
        <f>AND('GA55 Summry'!#REF!,"AAAAAH1OU28=")</f>
        <v>#REF!</v>
      </c>
      <c r="DI241" t="e">
        <f>AND('GA55 Summry'!#REF!,"AAAAAH1OU3A=")</f>
        <v>#REF!</v>
      </c>
      <c r="DJ241" t="e">
        <f>AND('GA55 Summry'!#REF!,"AAAAAH1OU3E=")</f>
        <v>#REF!</v>
      </c>
      <c r="DK241" t="e">
        <f>AND('GA55 Summry'!#REF!,"AAAAAH1OU3I=")</f>
        <v>#REF!</v>
      </c>
      <c r="DL241" t="e">
        <f>AND('GA55 Summry'!#REF!,"AAAAAH1OU3M=")</f>
        <v>#REF!</v>
      </c>
      <c r="DM241" t="e">
        <f>AND('GA55 Summry'!#REF!,"AAAAAH1OU3Q=")</f>
        <v>#REF!</v>
      </c>
      <c r="DN241" t="e">
        <f>AND('GA55 Summry'!#REF!,"AAAAAH1OU3U=")</f>
        <v>#REF!</v>
      </c>
      <c r="DO241" t="e">
        <f>AND('GA55 Summry'!#REF!,"AAAAAH1OU3Y=")</f>
        <v>#REF!</v>
      </c>
      <c r="DP241" t="e">
        <f>IF('GA55 Summry'!#REF!,"AAAAAH1OU3c=",0)</f>
        <v>#REF!</v>
      </c>
      <c r="DQ241" t="e">
        <f>AND('GA55 Summry'!#REF!,"AAAAAH1OU3g=")</f>
        <v>#REF!</v>
      </c>
      <c r="DR241" t="e">
        <f>AND('GA55 Summry'!#REF!,"AAAAAH1OU3k=")</f>
        <v>#REF!</v>
      </c>
      <c r="DS241" t="e">
        <f>AND('GA55 Summry'!#REF!,"AAAAAH1OU3o=")</f>
        <v>#REF!</v>
      </c>
      <c r="DT241" t="e">
        <f>AND('GA55 Summry'!#REF!,"AAAAAH1OU3s=")</f>
        <v>#REF!</v>
      </c>
      <c r="DU241" t="e">
        <f>AND('GA55 Summry'!#REF!,"AAAAAH1OU3w=")</f>
        <v>#REF!</v>
      </c>
      <c r="DV241" t="e">
        <f>AND('GA55 Summry'!#REF!,"AAAAAH1OU30=")</f>
        <v>#REF!</v>
      </c>
      <c r="DW241" t="e">
        <f>AND('GA55 Summry'!#REF!,"AAAAAH1OU34=")</f>
        <v>#REF!</v>
      </c>
      <c r="DX241" t="e">
        <f>AND('GA55 Summry'!#REF!,"AAAAAH1OU38=")</f>
        <v>#REF!</v>
      </c>
      <c r="DY241" t="e">
        <f>AND('GA55 Summry'!#REF!,"AAAAAH1OU4A=")</f>
        <v>#REF!</v>
      </c>
      <c r="DZ241" t="e">
        <f>AND('GA55 Summry'!#REF!,"AAAAAH1OU4E=")</f>
        <v>#REF!</v>
      </c>
      <c r="EA241" t="e">
        <f>AND('GA55 Summry'!#REF!,"AAAAAH1OU4I=")</f>
        <v>#REF!</v>
      </c>
      <c r="EB241" t="e">
        <f>AND('GA55 Summry'!#REF!,"AAAAAH1OU4M=")</f>
        <v>#REF!</v>
      </c>
      <c r="EC241" t="e">
        <f>AND('GA55 Summry'!#REF!,"AAAAAH1OU4Q=")</f>
        <v>#REF!</v>
      </c>
      <c r="ED241" t="e">
        <f>AND('GA55 Summry'!#REF!,"AAAAAH1OU4U=")</f>
        <v>#REF!</v>
      </c>
      <c r="EE241" t="e">
        <f>AND('GA55 Summry'!#REF!,"AAAAAH1OU4Y=")</f>
        <v>#REF!</v>
      </c>
      <c r="EF241" t="e">
        <f>AND('GA55 Summry'!#REF!,"AAAAAH1OU4c=")</f>
        <v>#REF!</v>
      </c>
      <c r="EG241" t="e">
        <f>AND('GA55 Summry'!#REF!,"AAAAAH1OU4g=")</f>
        <v>#REF!</v>
      </c>
      <c r="EH241" t="e">
        <f>AND('GA55 Summry'!#REF!,"AAAAAH1OU4k=")</f>
        <v>#REF!</v>
      </c>
      <c r="EI241" t="e">
        <f>AND('GA55 Summry'!#REF!,"AAAAAH1OU4o=")</f>
        <v>#REF!</v>
      </c>
      <c r="EJ241" t="e">
        <f>AND('GA55 Summry'!#REF!,"AAAAAH1OU4s=")</f>
        <v>#REF!</v>
      </c>
      <c r="EK241" t="e">
        <f>AND('GA55 Summry'!#REF!,"AAAAAH1OU4w=")</f>
        <v>#REF!</v>
      </c>
      <c r="EL241" t="e">
        <f>AND('GA55 Summry'!#REF!,"AAAAAH1OU40=")</f>
        <v>#REF!</v>
      </c>
      <c r="EM241" t="e">
        <f>AND('GA55 Summry'!#REF!,"AAAAAH1OU44=")</f>
        <v>#REF!</v>
      </c>
      <c r="EN241" t="e">
        <f>AND('GA55 Summry'!#REF!,"AAAAAH1OU48=")</f>
        <v>#REF!</v>
      </c>
      <c r="EO241" t="e">
        <f>AND('GA55 Summry'!#REF!,"AAAAAH1OU5A=")</f>
        <v>#REF!</v>
      </c>
      <c r="EP241" t="e">
        <f>AND('GA55 Summry'!#REF!,"AAAAAH1OU5E=")</f>
        <v>#REF!</v>
      </c>
      <c r="EQ241" t="e">
        <f>AND('GA55 Summry'!#REF!,"AAAAAH1OU5I=")</f>
        <v>#REF!</v>
      </c>
      <c r="ER241" t="e">
        <f>AND('GA55 Summry'!#REF!,"AAAAAH1OU5M=")</f>
        <v>#REF!</v>
      </c>
      <c r="ES241" t="e">
        <f>AND('GA55 Summry'!#REF!,"AAAAAH1OU5Q=")</f>
        <v>#REF!</v>
      </c>
      <c r="ET241" t="e">
        <f>AND('GA55 Summry'!#REF!,"AAAAAH1OU5U=")</f>
        <v>#REF!</v>
      </c>
      <c r="EU241" t="e">
        <f>AND('GA55 Summry'!#REF!,"AAAAAH1OU5Y=")</f>
        <v>#REF!</v>
      </c>
      <c r="EV241" t="e">
        <f>AND('GA55 Summry'!#REF!,"AAAAAH1OU5c=")</f>
        <v>#REF!</v>
      </c>
      <c r="EW241" t="e">
        <f>AND('GA55 Summry'!#REF!,"AAAAAH1OU5g=")</f>
        <v>#REF!</v>
      </c>
      <c r="EX241" t="e">
        <f>AND('GA55 Summry'!#REF!,"AAAAAH1OU5k=")</f>
        <v>#REF!</v>
      </c>
      <c r="EY241" t="e">
        <f>AND('GA55 Summry'!#REF!,"AAAAAH1OU5o=")</f>
        <v>#REF!</v>
      </c>
      <c r="EZ241" t="e">
        <f>AND('GA55 Summry'!#REF!,"AAAAAH1OU5s=")</f>
        <v>#REF!</v>
      </c>
      <c r="FA241" t="e">
        <f>AND('GA55 Summry'!#REF!,"AAAAAH1OU5w=")</f>
        <v>#REF!</v>
      </c>
      <c r="FB241" t="e">
        <f>AND('GA55 Summry'!#REF!,"AAAAAH1OU50=")</f>
        <v>#REF!</v>
      </c>
      <c r="FC241" t="e">
        <f>AND('GA55 Summry'!#REF!,"AAAAAH1OU54=")</f>
        <v>#REF!</v>
      </c>
      <c r="FD241" t="e">
        <f>AND('GA55 Summry'!#REF!,"AAAAAH1OU58=")</f>
        <v>#REF!</v>
      </c>
      <c r="FE241" t="e">
        <f>AND('GA55 Summry'!#REF!,"AAAAAH1OU6A=")</f>
        <v>#REF!</v>
      </c>
      <c r="FF241" t="e">
        <f>AND('GA55 Summry'!#REF!,"AAAAAH1OU6E=")</f>
        <v>#REF!</v>
      </c>
      <c r="FG241" t="e">
        <f>AND('GA55 Summry'!#REF!,"AAAAAH1OU6I=")</f>
        <v>#REF!</v>
      </c>
      <c r="FH241" t="e">
        <f>AND('GA55 Summry'!#REF!,"AAAAAH1OU6M=")</f>
        <v>#REF!</v>
      </c>
      <c r="FI241" t="e">
        <f>AND('GA55 Summry'!#REF!,"AAAAAH1OU6Q=")</f>
        <v>#REF!</v>
      </c>
      <c r="FJ241" t="e">
        <f>AND('GA55 Summry'!#REF!,"AAAAAH1OU6U=")</f>
        <v>#REF!</v>
      </c>
      <c r="FK241" t="e">
        <f>AND('GA55 Summry'!#REF!,"AAAAAH1OU6Y=")</f>
        <v>#REF!</v>
      </c>
      <c r="FL241" t="e">
        <f>AND('GA55 Summry'!#REF!,"AAAAAH1OU6c=")</f>
        <v>#REF!</v>
      </c>
      <c r="FM241" t="e">
        <f>AND('GA55 Summry'!#REF!,"AAAAAH1OU6g=")</f>
        <v>#REF!</v>
      </c>
      <c r="FN241" t="e">
        <f>AND('GA55 Summry'!#REF!,"AAAAAH1OU6k=")</f>
        <v>#REF!</v>
      </c>
      <c r="FO241" t="e">
        <f>AND('GA55 Summry'!#REF!,"AAAAAH1OU6o=")</f>
        <v>#REF!</v>
      </c>
      <c r="FP241" t="e">
        <f>AND('GA55 Summry'!#REF!,"AAAAAH1OU6s=")</f>
        <v>#REF!</v>
      </c>
      <c r="FQ241" t="e">
        <f>AND('GA55 Summry'!#REF!,"AAAAAH1OU6w=")</f>
        <v>#REF!</v>
      </c>
      <c r="FR241" t="e">
        <f>AND('GA55 Summry'!#REF!,"AAAAAH1OU60=")</f>
        <v>#REF!</v>
      </c>
      <c r="FS241" t="e">
        <f>AND('GA55 Summry'!#REF!,"AAAAAH1OU64=")</f>
        <v>#REF!</v>
      </c>
      <c r="FT241" t="e">
        <f>AND('GA55 Summry'!#REF!,"AAAAAH1OU68=")</f>
        <v>#REF!</v>
      </c>
      <c r="FU241" t="e">
        <f>AND('GA55 Summry'!#REF!,"AAAAAH1OU7A=")</f>
        <v>#REF!</v>
      </c>
      <c r="FV241" t="e">
        <f>AND('GA55 Summry'!#REF!,"AAAAAH1OU7E=")</f>
        <v>#REF!</v>
      </c>
      <c r="FW241" t="e">
        <f>AND('GA55 Summry'!#REF!,"AAAAAH1OU7I=")</f>
        <v>#REF!</v>
      </c>
      <c r="FX241" t="e">
        <f>AND('GA55 Summry'!#REF!,"AAAAAH1OU7M=")</f>
        <v>#REF!</v>
      </c>
      <c r="FY241" t="e">
        <f>AND('GA55 Summry'!#REF!,"AAAAAH1OU7Q=")</f>
        <v>#REF!</v>
      </c>
      <c r="FZ241" t="e">
        <f>AND('GA55 Summry'!#REF!,"AAAAAH1OU7U=")</f>
        <v>#REF!</v>
      </c>
      <c r="GA241" t="e">
        <f>AND('GA55 Summry'!#REF!,"AAAAAH1OU7Y=")</f>
        <v>#REF!</v>
      </c>
      <c r="GB241" t="e">
        <f>AND('GA55 Summry'!#REF!,"AAAAAH1OU7c=")</f>
        <v>#REF!</v>
      </c>
      <c r="GC241" t="e">
        <f>AND('GA55 Summry'!#REF!,"AAAAAH1OU7g=")</f>
        <v>#REF!</v>
      </c>
      <c r="GD241" t="e">
        <f>AND('GA55 Summry'!#REF!,"AAAAAH1OU7k=")</f>
        <v>#REF!</v>
      </c>
      <c r="GE241" t="e">
        <f>AND('GA55 Summry'!#REF!,"AAAAAH1OU7o=")</f>
        <v>#REF!</v>
      </c>
      <c r="GF241" t="e">
        <f>AND('GA55 Summry'!#REF!,"AAAAAH1OU7s=")</f>
        <v>#REF!</v>
      </c>
      <c r="GG241" t="e">
        <f>AND('GA55 Summry'!#REF!,"AAAAAH1OU7w=")</f>
        <v>#REF!</v>
      </c>
      <c r="GH241" t="e">
        <f>AND('GA55 Summry'!#REF!,"AAAAAH1OU70=")</f>
        <v>#REF!</v>
      </c>
      <c r="GI241" t="e">
        <f>AND('GA55 Summry'!#REF!,"AAAAAH1OU74=")</f>
        <v>#REF!</v>
      </c>
      <c r="GJ241" t="e">
        <f>AND('GA55 Summry'!#REF!,"AAAAAH1OU78=")</f>
        <v>#REF!</v>
      </c>
      <c r="GK241" t="e">
        <f>AND('GA55 Summry'!#REF!,"AAAAAH1OU8A=")</f>
        <v>#REF!</v>
      </c>
      <c r="GL241" t="e">
        <f>AND('GA55 Summry'!#REF!,"AAAAAH1OU8E=")</f>
        <v>#REF!</v>
      </c>
      <c r="GM241" t="e">
        <f>IF('GA55 Summry'!#REF!,"AAAAAH1OU8I=",0)</f>
        <v>#REF!</v>
      </c>
      <c r="GN241" t="e">
        <f>AND('GA55 Summry'!#REF!,"AAAAAH1OU8M=")</f>
        <v>#REF!</v>
      </c>
      <c r="GO241" t="e">
        <f>AND('GA55 Summry'!#REF!,"AAAAAH1OU8Q=")</f>
        <v>#REF!</v>
      </c>
      <c r="GP241" t="e">
        <f>AND('GA55 Summry'!#REF!,"AAAAAH1OU8U=")</f>
        <v>#REF!</v>
      </c>
      <c r="GQ241" t="e">
        <f>AND('GA55 Summry'!#REF!,"AAAAAH1OU8Y=")</f>
        <v>#REF!</v>
      </c>
      <c r="GR241" t="e">
        <f>AND('GA55 Summry'!#REF!,"AAAAAH1OU8c=")</f>
        <v>#REF!</v>
      </c>
      <c r="GS241" t="e">
        <f>AND('GA55 Summry'!#REF!,"AAAAAH1OU8g=")</f>
        <v>#REF!</v>
      </c>
      <c r="GT241" t="e">
        <f>AND('GA55 Summry'!#REF!,"AAAAAH1OU8k=")</f>
        <v>#REF!</v>
      </c>
      <c r="GU241" t="e">
        <f>AND('GA55 Summry'!#REF!,"AAAAAH1OU8o=")</f>
        <v>#REF!</v>
      </c>
      <c r="GV241" t="e">
        <f>AND('GA55 Summry'!#REF!,"AAAAAH1OU8s=")</f>
        <v>#REF!</v>
      </c>
      <c r="GW241" t="e">
        <f>AND('GA55 Summry'!#REF!,"AAAAAH1OU8w=")</f>
        <v>#REF!</v>
      </c>
      <c r="GX241" t="e">
        <f>AND('GA55 Summry'!#REF!,"AAAAAH1OU80=")</f>
        <v>#REF!</v>
      </c>
      <c r="GY241" t="e">
        <f>AND('GA55 Summry'!#REF!,"AAAAAH1OU84=")</f>
        <v>#REF!</v>
      </c>
      <c r="GZ241" t="e">
        <f>AND('GA55 Summry'!#REF!,"AAAAAH1OU88=")</f>
        <v>#REF!</v>
      </c>
      <c r="HA241" t="e">
        <f>AND('GA55 Summry'!#REF!,"AAAAAH1OU9A=")</f>
        <v>#REF!</v>
      </c>
      <c r="HB241" t="e">
        <f>AND('GA55 Summry'!#REF!,"AAAAAH1OU9E=")</f>
        <v>#REF!</v>
      </c>
      <c r="HC241" t="e">
        <f>AND('GA55 Summry'!#REF!,"AAAAAH1OU9I=")</f>
        <v>#REF!</v>
      </c>
      <c r="HD241" t="e">
        <f>AND('GA55 Summry'!#REF!,"AAAAAH1OU9M=")</f>
        <v>#REF!</v>
      </c>
      <c r="HE241" t="e">
        <f>AND('GA55 Summry'!#REF!,"AAAAAH1OU9Q=")</f>
        <v>#REF!</v>
      </c>
      <c r="HF241" t="e">
        <f>AND('GA55 Summry'!#REF!,"AAAAAH1OU9U=")</f>
        <v>#REF!</v>
      </c>
      <c r="HG241" t="e">
        <f>AND('GA55 Summry'!#REF!,"AAAAAH1OU9Y=")</f>
        <v>#REF!</v>
      </c>
      <c r="HH241" t="e">
        <f>AND('GA55 Summry'!#REF!,"AAAAAH1OU9c=")</f>
        <v>#REF!</v>
      </c>
      <c r="HI241" t="e">
        <f>AND('GA55 Summry'!#REF!,"AAAAAH1OU9g=")</f>
        <v>#REF!</v>
      </c>
      <c r="HJ241" t="e">
        <f>AND('GA55 Summry'!#REF!,"AAAAAH1OU9k=")</f>
        <v>#REF!</v>
      </c>
      <c r="HK241" t="e">
        <f>AND('GA55 Summry'!#REF!,"AAAAAH1OU9o=")</f>
        <v>#REF!</v>
      </c>
      <c r="HL241" t="e">
        <f>AND('GA55 Summry'!#REF!,"AAAAAH1OU9s=")</f>
        <v>#REF!</v>
      </c>
      <c r="HM241" t="e">
        <f>AND('GA55 Summry'!#REF!,"AAAAAH1OU9w=")</f>
        <v>#REF!</v>
      </c>
      <c r="HN241" t="e">
        <f>AND('GA55 Summry'!#REF!,"AAAAAH1OU90=")</f>
        <v>#REF!</v>
      </c>
      <c r="HO241" t="e">
        <f>AND('GA55 Summry'!#REF!,"AAAAAH1OU94=")</f>
        <v>#REF!</v>
      </c>
      <c r="HP241" t="e">
        <f>AND('GA55 Summry'!#REF!,"AAAAAH1OU98=")</f>
        <v>#REF!</v>
      </c>
      <c r="HQ241" t="e">
        <f>AND('GA55 Summry'!#REF!,"AAAAAH1OU+A=")</f>
        <v>#REF!</v>
      </c>
      <c r="HR241" t="e">
        <f>AND('GA55 Summry'!#REF!,"AAAAAH1OU+E=")</f>
        <v>#REF!</v>
      </c>
      <c r="HS241" t="e">
        <f>AND('GA55 Summry'!#REF!,"AAAAAH1OU+I=")</f>
        <v>#REF!</v>
      </c>
      <c r="HT241" t="e">
        <f>AND('GA55 Summry'!#REF!,"AAAAAH1OU+M=")</f>
        <v>#REF!</v>
      </c>
      <c r="HU241" t="e">
        <f>AND('GA55 Summry'!#REF!,"AAAAAH1OU+Q=")</f>
        <v>#REF!</v>
      </c>
      <c r="HV241" t="e">
        <f>AND('GA55 Summry'!#REF!,"AAAAAH1OU+U=")</f>
        <v>#REF!</v>
      </c>
      <c r="HW241" t="e">
        <f>AND('GA55 Summry'!#REF!,"AAAAAH1OU+Y=")</f>
        <v>#REF!</v>
      </c>
      <c r="HX241" t="e">
        <f>AND('GA55 Summry'!#REF!,"AAAAAH1OU+c=")</f>
        <v>#REF!</v>
      </c>
      <c r="HY241" t="e">
        <f>AND('GA55 Summry'!#REF!,"AAAAAH1OU+g=")</f>
        <v>#REF!</v>
      </c>
      <c r="HZ241" t="e">
        <f>AND('GA55 Summry'!#REF!,"AAAAAH1OU+k=")</f>
        <v>#REF!</v>
      </c>
      <c r="IA241" t="e">
        <f>AND('GA55 Summry'!#REF!,"AAAAAH1OU+o=")</f>
        <v>#REF!</v>
      </c>
      <c r="IB241" t="e">
        <f>AND('GA55 Summry'!#REF!,"AAAAAH1OU+s=")</f>
        <v>#REF!</v>
      </c>
      <c r="IC241" t="e">
        <f>AND('GA55 Summry'!#REF!,"AAAAAH1OU+w=")</f>
        <v>#REF!</v>
      </c>
      <c r="ID241" t="e">
        <f>AND('GA55 Summry'!#REF!,"AAAAAH1OU+0=")</f>
        <v>#REF!</v>
      </c>
      <c r="IE241" t="e">
        <f>AND('GA55 Summry'!#REF!,"AAAAAH1OU+4=")</f>
        <v>#REF!</v>
      </c>
      <c r="IF241" t="e">
        <f>AND('GA55 Summry'!#REF!,"AAAAAH1OU+8=")</f>
        <v>#REF!</v>
      </c>
      <c r="IG241" t="e">
        <f>AND('GA55 Summry'!#REF!,"AAAAAH1OU/A=")</f>
        <v>#REF!</v>
      </c>
      <c r="IH241" t="e">
        <f>AND('GA55 Summry'!#REF!,"AAAAAH1OU/E=")</f>
        <v>#REF!</v>
      </c>
      <c r="II241" t="e">
        <f>AND('GA55 Summry'!#REF!,"AAAAAH1OU/I=")</f>
        <v>#REF!</v>
      </c>
      <c r="IJ241" t="e">
        <f>AND('GA55 Summry'!#REF!,"AAAAAH1OU/M=")</f>
        <v>#REF!</v>
      </c>
      <c r="IK241" t="e">
        <f>AND('GA55 Summry'!#REF!,"AAAAAH1OU/Q=")</f>
        <v>#REF!</v>
      </c>
      <c r="IL241" t="e">
        <f>AND('GA55 Summry'!#REF!,"AAAAAH1OU/U=")</f>
        <v>#REF!</v>
      </c>
      <c r="IM241" t="e">
        <f>AND('GA55 Summry'!#REF!,"AAAAAH1OU/Y=")</f>
        <v>#REF!</v>
      </c>
      <c r="IN241" t="e">
        <f>AND('GA55 Summry'!#REF!,"AAAAAH1OU/c=")</f>
        <v>#REF!</v>
      </c>
      <c r="IO241" t="e">
        <f>AND('GA55 Summry'!#REF!,"AAAAAH1OU/g=")</f>
        <v>#REF!</v>
      </c>
      <c r="IP241" t="e">
        <f>AND('GA55 Summry'!#REF!,"AAAAAH1OU/k=")</f>
        <v>#REF!</v>
      </c>
      <c r="IQ241" t="e">
        <f>AND('GA55 Summry'!#REF!,"AAAAAH1OU/o=")</f>
        <v>#REF!</v>
      </c>
      <c r="IR241" t="e">
        <f>AND('GA55 Summry'!#REF!,"AAAAAH1OU/s=")</f>
        <v>#REF!</v>
      </c>
      <c r="IS241" t="e">
        <f>AND('GA55 Summry'!#REF!,"AAAAAH1OU/w=")</f>
        <v>#REF!</v>
      </c>
      <c r="IT241" t="e">
        <f>AND('GA55 Summry'!#REF!,"AAAAAH1OU/0=")</f>
        <v>#REF!</v>
      </c>
      <c r="IU241" t="e">
        <f>AND('GA55 Summry'!#REF!,"AAAAAH1OU/4=")</f>
        <v>#REF!</v>
      </c>
      <c r="IV241" t="e">
        <f>AND('GA55 Summry'!#REF!,"AAAAAH1OU/8=")</f>
        <v>#REF!</v>
      </c>
    </row>
    <row r="242" spans="1:256">
      <c r="A242" t="e">
        <f>AND('GA55 Summry'!#REF!,"AAAAABn77gA=")</f>
        <v>#REF!</v>
      </c>
      <c r="B242" t="e">
        <f>AND('GA55 Summry'!#REF!,"AAAAABn77gE=")</f>
        <v>#REF!</v>
      </c>
      <c r="C242" t="e">
        <f>AND('GA55 Summry'!#REF!,"AAAAABn77gI=")</f>
        <v>#REF!</v>
      </c>
      <c r="D242" t="e">
        <f>AND('GA55 Summry'!#REF!,"AAAAABn77gM=")</f>
        <v>#REF!</v>
      </c>
      <c r="E242" t="e">
        <f>AND('GA55 Summry'!#REF!,"AAAAABn77gQ=")</f>
        <v>#REF!</v>
      </c>
      <c r="F242" t="e">
        <f>AND('GA55 Summry'!#REF!,"AAAAABn77gU=")</f>
        <v>#REF!</v>
      </c>
      <c r="G242" t="e">
        <f>AND('GA55 Summry'!#REF!,"AAAAABn77gY=")</f>
        <v>#REF!</v>
      </c>
      <c r="H242" t="e">
        <f>AND('GA55 Summry'!#REF!,"AAAAABn77gc=")</f>
        <v>#REF!</v>
      </c>
      <c r="I242" t="e">
        <f>AND('GA55 Summry'!#REF!,"AAAAABn77gg=")</f>
        <v>#REF!</v>
      </c>
      <c r="J242" t="e">
        <f>AND('GA55 Summry'!#REF!,"AAAAABn77gk=")</f>
        <v>#REF!</v>
      </c>
      <c r="K242" t="e">
        <f>AND('GA55 Summry'!#REF!,"AAAAABn77go=")</f>
        <v>#REF!</v>
      </c>
      <c r="L242" t="e">
        <f>AND('GA55 Summry'!#REF!,"AAAAABn77gs=")</f>
        <v>#REF!</v>
      </c>
      <c r="M242" t="e">
        <f>AND('GA55 Summry'!#REF!,"AAAAABn77gw=")</f>
        <v>#REF!</v>
      </c>
      <c r="N242" t="e">
        <f>IF('GA55 Summry'!#REF!,"AAAAABn77g0=",0)</f>
        <v>#REF!</v>
      </c>
      <c r="O242" t="e">
        <f>AND('GA55 Summry'!#REF!,"AAAAABn77g4=")</f>
        <v>#REF!</v>
      </c>
      <c r="P242" t="e">
        <f>AND('GA55 Summry'!#REF!,"AAAAABn77g8=")</f>
        <v>#REF!</v>
      </c>
      <c r="Q242" t="e">
        <f>AND('GA55 Summry'!#REF!,"AAAAABn77hA=")</f>
        <v>#REF!</v>
      </c>
      <c r="R242" t="e">
        <f>AND('GA55 Summry'!#REF!,"AAAAABn77hE=")</f>
        <v>#REF!</v>
      </c>
      <c r="S242" t="e">
        <f>AND('GA55 Summry'!#REF!,"AAAAABn77hI=")</f>
        <v>#REF!</v>
      </c>
      <c r="T242" t="e">
        <f>AND('GA55 Summry'!#REF!,"AAAAABn77hM=")</f>
        <v>#REF!</v>
      </c>
      <c r="U242" t="e">
        <f>AND('GA55 Summry'!#REF!,"AAAAABn77hQ=")</f>
        <v>#REF!</v>
      </c>
      <c r="V242" t="e">
        <f>AND('GA55 Summry'!#REF!,"AAAAABn77hU=")</f>
        <v>#REF!</v>
      </c>
      <c r="W242" t="e">
        <f>AND('GA55 Summry'!#REF!,"AAAAABn77hY=")</f>
        <v>#REF!</v>
      </c>
      <c r="X242" t="e">
        <f>AND('GA55 Summry'!#REF!,"AAAAABn77hc=")</f>
        <v>#REF!</v>
      </c>
      <c r="Y242" t="e">
        <f>AND('GA55 Summry'!#REF!,"AAAAABn77hg=")</f>
        <v>#REF!</v>
      </c>
      <c r="Z242" t="e">
        <f>AND('GA55 Summry'!#REF!,"AAAAABn77hk=")</f>
        <v>#REF!</v>
      </c>
      <c r="AA242" t="e">
        <f>AND('GA55 Summry'!#REF!,"AAAAABn77ho=")</f>
        <v>#REF!</v>
      </c>
      <c r="AB242" t="e">
        <f>AND('GA55 Summry'!#REF!,"AAAAABn77hs=")</f>
        <v>#REF!</v>
      </c>
      <c r="AC242" t="e">
        <f>AND('GA55 Summry'!#REF!,"AAAAABn77hw=")</f>
        <v>#REF!</v>
      </c>
      <c r="AD242" t="e">
        <f>AND('GA55 Summry'!#REF!,"AAAAABn77h0=")</f>
        <v>#REF!</v>
      </c>
      <c r="AE242" t="e">
        <f>AND('GA55 Summry'!#REF!,"AAAAABn77h4=")</f>
        <v>#REF!</v>
      </c>
      <c r="AF242" t="e">
        <f>AND('GA55 Summry'!#REF!,"AAAAABn77h8=")</f>
        <v>#REF!</v>
      </c>
      <c r="AG242" t="e">
        <f>AND('GA55 Summry'!#REF!,"AAAAABn77iA=")</f>
        <v>#REF!</v>
      </c>
      <c r="AH242" t="e">
        <f>AND('GA55 Summry'!#REF!,"AAAAABn77iE=")</f>
        <v>#REF!</v>
      </c>
      <c r="AI242" t="e">
        <f>AND('GA55 Summry'!#REF!,"AAAAABn77iI=")</f>
        <v>#REF!</v>
      </c>
      <c r="AJ242" t="e">
        <f>AND('GA55 Summry'!#REF!,"AAAAABn77iM=")</f>
        <v>#REF!</v>
      </c>
      <c r="AK242" t="e">
        <f>AND('GA55 Summry'!#REF!,"AAAAABn77iQ=")</f>
        <v>#REF!</v>
      </c>
      <c r="AL242" t="e">
        <f>AND('GA55 Summry'!#REF!,"AAAAABn77iU=")</f>
        <v>#REF!</v>
      </c>
      <c r="AM242" t="e">
        <f>AND('GA55 Summry'!#REF!,"AAAAABn77iY=")</f>
        <v>#REF!</v>
      </c>
      <c r="AN242" t="e">
        <f>AND('GA55 Summry'!#REF!,"AAAAABn77ic=")</f>
        <v>#REF!</v>
      </c>
      <c r="AO242" t="e">
        <f>AND('GA55 Summry'!#REF!,"AAAAABn77ig=")</f>
        <v>#REF!</v>
      </c>
      <c r="AP242" t="e">
        <f>AND('GA55 Summry'!#REF!,"AAAAABn77ik=")</f>
        <v>#REF!</v>
      </c>
      <c r="AQ242" t="e">
        <f>AND('GA55 Summry'!#REF!,"AAAAABn77io=")</f>
        <v>#REF!</v>
      </c>
      <c r="AR242" t="e">
        <f>AND('GA55 Summry'!#REF!,"AAAAABn77is=")</f>
        <v>#REF!</v>
      </c>
      <c r="AS242" t="e">
        <f>AND('GA55 Summry'!#REF!,"AAAAABn77iw=")</f>
        <v>#REF!</v>
      </c>
      <c r="AT242" t="e">
        <f>AND('GA55 Summry'!#REF!,"AAAAABn77i0=")</f>
        <v>#REF!</v>
      </c>
      <c r="AU242" t="e">
        <f>AND('GA55 Summry'!#REF!,"AAAAABn77i4=")</f>
        <v>#REF!</v>
      </c>
      <c r="AV242" t="e">
        <f>AND('GA55 Summry'!#REF!,"AAAAABn77i8=")</f>
        <v>#REF!</v>
      </c>
      <c r="AW242" t="e">
        <f>AND('GA55 Summry'!#REF!,"AAAAABn77jA=")</f>
        <v>#REF!</v>
      </c>
      <c r="AX242" t="e">
        <f>AND('GA55 Summry'!#REF!,"AAAAABn77jE=")</f>
        <v>#REF!</v>
      </c>
      <c r="AY242" t="e">
        <f>AND('GA55 Summry'!#REF!,"AAAAABn77jI=")</f>
        <v>#REF!</v>
      </c>
      <c r="AZ242" t="e">
        <f>AND('GA55 Summry'!#REF!,"AAAAABn77jM=")</f>
        <v>#REF!</v>
      </c>
      <c r="BA242" t="e">
        <f>AND('GA55 Summry'!#REF!,"AAAAABn77jQ=")</f>
        <v>#REF!</v>
      </c>
      <c r="BB242" t="e">
        <f>AND('GA55 Summry'!#REF!,"AAAAABn77jU=")</f>
        <v>#REF!</v>
      </c>
      <c r="BC242" t="e">
        <f>AND('GA55 Summry'!#REF!,"AAAAABn77jY=")</f>
        <v>#REF!</v>
      </c>
      <c r="BD242" t="e">
        <f>AND('GA55 Summry'!#REF!,"AAAAABn77jc=")</f>
        <v>#REF!</v>
      </c>
      <c r="BE242" t="e">
        <f>AND('GA55 Summry'!#REF!,"AAAAABn77jg=")</f>
        <v>#REF!</v>
      </c>
      <c r="BF242" t="e">
        <f>AND('GA55 Summry'!#REF!,"AAAAABn77jk=")</f>
        <v>#REF!</v>
      </c>
      <c r="BG242" t="e">
        <f>AND('GA55 Summry'!#REF!,"AAAAABn77jo=")</f>
        <v>#REF!</v>
      </c>
      <c r="BH242" t="e">
        <f>AND('GA55 Summry'!#REF!,"AAAAABn77js=")</f>
        <v>#REF!</v>
      </c>
      <c r="BI242" t="e">
        <f>AND('GA55 Summry'!#REF!,"AAAAABn77jw=")</f>
        <v>#REF!</v>
      </c>
      <c r="BJ242" t="e">
        <f>AND('GA55 Summry'!#REF!,"AAAAABn77j0=")</f>
        <v>#REF!</v>
      </c>
      <c r="BK242" t="e">
        <f>AND('GA55 Summry'!#REF!,"AAAAABn77j4=")</f>
        <v>#REF!</v>
      </c>
      <c r="BL242" t="e">
        <f>AND('GA55 Summry'!#REF!,"AAAAABn77j8=")</f>
        <v>#REF!</v>
      </c>
      <c r="BM242" t="e">
        <f>AND('GA55 Summry'!#REF!,"AAAAABn77kA=")</f>
        <v>#REF!</v>
      </c>
      <c r="BN242" t="e">
        <f>AND('GA55 Summry'!#REF!,"AAAAABn77kE=")</f>
        <v>#REF!</v>
      </c>
      <c r="BO242" t="e">
        <f>AND('GA55 Summry'!#REF!,"AAAAABn77kI=")</f>
        <v>#REF!</v>
      </c>
      <c r="BP242" t="e">
        <f>AND('GA55 Summry'!#REF!,"AAAAABn77kM=")</f>
        <v>#REF!</v>
      </c>
      <c r="BQ242" t="e">
        <f>AND('GA55 Summry'!#REF!,"AAAAABn77kQ=")</f>
        <v>#REF!</v>
      </c>
      <c r="BR242" t="e">
        <f>AND('GA55 Summry'!#REF!,"AAAAABn77kU=")</f>
        <v>#REF!</v>
      </c>
      <c r="BS242" t="e">
        <f>AND('GA55 Summry'!#REF!,"AAAAABn77kY=")</f>
        <v>#REF!</v>
      </c>
      <c r="BT242" t="e">
        <f>AND('GA55 Summry'!#REF!,"AAAAABn77kc=")</f>
        <v>#REF!</v>
      </c>
      <c r="BU242" t="e">
        <f>AND('GA55 Summry'!#REF!,"AAAAABn77kg=")</f>
        <v>#REF!</v>
      </c>
      <c r="BV242" t="e">
        <f>AND('GA55 Summry'!#REF!,"AAAAABn77kk=")</f>
        <v>#REF!</v>
      </c>
      <c r="BW242" t="e">
        <f>AND('GA55 Summry'!#REF!,"AAAAABn77ko=")</f>
        <v>#REF!</v>
      </c>
      <c r="BX242" t="e">
        <f>AND('GA55 Summry'!#REF!,"AAAAABn77ks=")</f>
        <v>#REF!</v>
      </c>
      <c r="BY242" t="e">
        <f>AND('GA55 Summry'!#REF!,"AAAAABn77kw=")</f>
        <v>#REF!</v>
      </c>
      <c r="BZ242" t="e">
        <f>AND('GA55 Summry'!#REF!,"AAAAABn77k0=")</f>
        <v>#REF!</v>
      </c>
      <c r="CA242" t="e">
        <f>AND('GA55 Summry'!#REF!,"AAAAABn77k4=")</f>
        <v>#REF!</v>
      </c>
      <c r="CB242" t="e">
        <f>AND('GA55 Summry'!#REF!,"AAAAABn77k8=")</f>
        <v>#REF!</v>
      </c>
      <c r="CC242" t="e">
        <f>AND('GA55 Summry'!#REF!,"AAAAABn77lA=")</f>
        <v>#REF!</v>
      </c>
      <c r="CD242" t="e">
        <f>AND('GA55 Summry'!#REF!,"AAAAABn77lE=")</f>
        <v>#REF!</v>
      </c>
      <c r="CE242" t="e">
        <f>AND('GA55 Summry'!#REF!,"AAAAABn77lI=")</f>
        <v>#REF!</v>
      </c>
      <c r="CF242" t="e">
        <f>AND('GA55 Summry'!#REF!,"AAAAABn77lM=")</f>
        <v>#REF!</v>
      </c>
      <c r="CG242" t="e">
        <f>AND('GA55 Summry'!#REF!,"AAAAABn77lQ=")</f>
        <v>#REF!</v>
      </c>
      <c r="CH242" t="e">
        <f>AND('GA55 Summry'!#REF!,"AAAAABn77lU=")</f>
        <v>#REF!</v>
      </c>
      <c r="CI242" t="e">
        <f>AND('GA55 Summry'!#REF!,"AAAAABn77lY=")</f>
        <v>#REF!</v>
      </c>
      <c r="CJ242" t="e">
        <f>AND('GA55 Summry'!#REF!,"AAAAABn77lc=")</f>
        <v>#REF!</v>
      </c>
      <c r="CK242" t="e">
        <f>IF('GA55 Summry'!#REF!,"AAAAABn77lg=",0)</f>
        <v>#REF!</v>
      </c>
      <c r="CL242" t="e">
        <f>AND('GA55 Summry'!#REF!,"AAAAABn77lk=")</f>
        <v>#REF!</v>
      </c>
      <c r="CM242" t="e">
        <f>AND('GA55 Summry'!#REF!,"AAAAABn77lo=")</f>
        <v>#REF!</v>
      </c>
      <c r="CN242" t="e">
        <f>AND('GA55 Summry'!#REF!,"AAAAABn77ls=")</f>
        <v>#REF!</v>
      </c>
      <c r="CO242" t="e">
        <f>AND('GA55 Summry'!#REF!,"AAAAABn77lw=")</f>
        <v>#REF!</v>
      </c>
      <c r="CP242" t="e">
        <f>AND('GA55 Summry'!#REF!,"AAAAABn77l0=")</f>
        <v>#REF!</v>
      </c>
      <c r="CQ242" t="e">
        <f>AND('GA55 Summry'!#REF!,"AAAAABn77l4=")</f>
        <v>#REF!</v>
      </c>
      <c r="CR242" t="e">
        <f>AND('GA55 Summry'!#REF!,"AAAAABn77l8=")</f>
        <v>#REF!</v>
      </c>
      <c r="CS242" t="e">
        <f>AND('GA55 Summry'!#REF!,"AAAAABn77mA=")</f>
        <v>#REF!</v>
      </c>
      <c r="CT242" t="e">
        <f>AND('GA55 Summry'!#REF!,"AAAAABn77mE=")</f>
        <v>#REF!</v>
      </c>
      <c r="CU242" t="e">
        <f>AND('GA55 Summry'!#REF!,"AAAAABn77mI=")</f>
        <v>#REF!</v>
      </c>
      <c r="CV242" t="e">
        <f>AND('GA55 Summry'!#REF!,"AAAAABn77mM=")</f>
        <v>#REF!</v>
      </c>
      <c r="CW242" t="e">
        <f>AND('GA55 Summry'!#REF!,"AAAAABn77mQ=")</f>
        <v>#REF!</v>
      </c>
      <c r="CX242" t="e">
        <f>AND('GA55 Summry'!#REF!,"AAAAABn77mU=")</f>
        <v>#REF!</v>
      </c>
      <c r="CY242" t="e">
        <f>AND('GA55 Summry'!#REF!,"AAAAABn77mY=")</f>
        <v>#REF!</v>
      </c>
      <c r="CZ242" t="e">
        <f>AND('GA55 Summry'!#REF!,"AAAAABn77mc=")</f>
        <v>#REF!</v>
      </c>
      <c r="DA242" t="e">
        <f>AND('GA55 Summry'!#REF!,"AAAAABn77mg=")</f>
        <v>#REF!</v>
      </c>
      <c r="DB242" t="e">
        <f>AND('GA55 Summry'!#REF!,"AAAAABn77mk=")</f>
        <v>#REF!</v>
      </c>
      <c r="DC242" t="e">
        <f>AND('GA55 Summry'!#REF!,"AAAAABn77mo=")</f>
        <v>#REF!</v>
      </c>
      <c r="DD242" t="e">
        <f>AND('GA55 Summry'!#REF!,"AAAAABn77ms=")</f>
        <v>#REF!</v>
      </c>
      <c r="DE242" t="e">
        <f>AND('GA55 Summry'!#REF!,"AAAAABn77mw=")</f>
        <v>#REF!</v>
      </c>
      <c r="DF242" t="e">
        <f>AND('GA55 Summry'!#REF!,"AAAAABn77m0=")</f>
        <v>#REF!</v>
      </c>
      <c r="DG242" t="e">
        <f>AND('GA55 Summry'!#REF!,"AAAAABn77m4=")</f>
        <v>#REF!</v>
      </c>
      <c r="DH242" t="e">
        <f>AND('GA55 Summry'!#REF!,"AAAAABn77m8=")</f>
        <v>#REF!</v>
      </c>
      <c r="DI242" t="e">
        <f>AND('GA55 Summry'!#REF!,"AAAAABn77nA=")</f>
        <v>#REF!</v>
      </c>
      <c r="DJ242" t="e">
        <f>AND('GA55 Summry'!#REF!,"AAAAABn77nE=")</f>
        <v>#REF!</v>
      </c>
      <c r="DK242" t="e">
        <f>AND('GA55 Summry'!#REF!,"AAAAABn77nI=")</f>
        <v>#REF!</v>
      </c>
      <c r="DL242" t="e">
        <f>AND('GA55 Summry'!#REF!,"AAAAABn77nM=")</f>
        <v>#REF!</v>
      </c>
      <c r="DM242" t="e">
        <f>AND('GA55 Summry'!#REF!,"AAAAABn77nQ=")</f>
        <v>#REF!</v>
      </c>
      <c r="DN242" t="e">
        <f>AND('GA55 Summry'!#REF!,"AAAAABn77nU=")</f>
        <v>#REF!</v>
      </c>
      <c r="DO242" t="e">
        <f>AND('GA55 Summry'!#REF!,"AAAAABn77nY=")</f>
        <v>#REF!</v>
      </c>
      <c r="DP242" t="e">
        <f>AND('GA55 Summry'!#REF!,"AAAAABn77nc=")</f>
        <v>#REF!</v>
      </c>
      <c r="DQ242" t="e">
        <f>AND('GA55 Summry'!#REF!,"AAAAABn77ng=")</f>
        <v>#REF!</v>
      </c>
      <c r="DR242" t="e">
        <f>AND('GA55 Summry'!#REF!,"AAAAABn77nk=")</f>
        <v>#REF!</v>
      </c>
      <c r="DS242" t="e">
        <f>AND('GA55 Summry'!#REF!,"AAAAABn77no=")</f>
        <v>#REF!</v>
      </c>
      <c r="DT242" t="e">
        <f>AND('GA55 Summry'!#REF!,"AAAAABn77ns=")</f>
        <v>#REF!</v>
      </c>
      <c r="DU242" t="e">
        <f>AND('GA55 Summry'!#REF!,"AAAAABn77nw=")</f>
        <v>#REF!</v>
      </c>
      <c r="DV242" t="e">
        <f>AND('GA55 Summry'!#REF!,"AAAAABn77n0=")</f>
        <v>#REF!</v>
      </c>
      <c r="DW242" t="e">
        <f>AND('GA55 Summry'!#REF!,"AAAAABn77n4=")</f>
        <v>#REF!</v>
      </c>
      <c r="DX242" t="e">
        <f>AND('GA55 Summry'!#REF!,"AAAAABn77n8=")</f>
        <v>#REF!</v>
      </c>
      <c r="DY242" t="e">
        <f>AND('GA55 Summry'!#REF!,"AAAAABn77oA=")</f>
        <v>#REF!</v>
      </c>
      <c r="DZ242" t="e">
        <f>AND('GA55 Summry'!#REF!,"AAAAABn77oE=")</f>
        <v>#REF!</v>
      </c>
      <c r="EA242" t="e">
        <f>AND('GA55 Summry'!#REF!,"AAAAABn77oI=")</f>
        <v>#REF!</v>
      </c>
      <c r="EB242" t="e">
        <f>AND('GA55 Summry'!#REF!,"AAAAABn77oM=")</f>
        <v>#REF!</v>
      </c>
      <c r="EC242" t="e">
        <f>AND('GA55 Summry'!#REF!,"AAAAABn77oQ=")</f>
        <v>#REF!</v>
      </c>
      <c r="ED242" t="e">
        <f>AND('GA55 Summry'!#REF!,"AAAAABn77oU=")</f>
        <v>#REF!</v>
      </c>
      <c r="EE242" t="e">
        <f>AND('GA55 Summry'!#REF!,"AAAAABn77oY=")</f>
        <v>#REF!</v>
      </c>
      <c r="EF242" t="e">
        <f>AND('GA55 Summry'!#REF!,"AAAAABn77oc=")</f>
        <v>#REF!</v>
      </c>
      <c r="EG242" t="e">
        <f>AND('GA55 Summry'!#REF!,"AAAAABn77og=")</f>
        <v>#REF!</v>
      </c>
      <c r="EH242" t="e">
        <f>AND('GA55 Summry'!#REF!,"AAAAABn77ok=")</f>
        <v>#REF!</v>
      </c>
      <c r="EI242" t="e">
        <f>AND('GA55 Summry'!#REF!,"AAAAABn77oo=")</f>
        <v>#REF!</v>
      </c>
      <c r="EJ242" t="e">
        <f>AND('GA55 Summry'!#REF!,"AAAAABn77os=")</f>
        <v>#REF!</v>
      </c>
      <c r="EK242" t="e">
        <f>AND('GA55 Summry'!#REF!,"AAAAABn77ow=")</f>
        <v>#REF!</v>
      </c>
      <c r="EL242" t="e">
        <f>AND('GA55 Summry'!#REF!,"AAAAABn77o0=")</f>
        <v>#REF!</v>
      </c>
      <c r="EM242" t="e">
        <f>AND('GA55 Summry'!#REF!,"AAAAABn77o4=")</f>
        <v>#REF!</v>
      </c>
      <c r="EN242" t="e">
        <f>AND('GA55 Summry'!#REF!,"AAAAABn77o8=")</f>
        <v>#REF!</v>
      </c>
      <c r="EO242" t="e">
        <f>AND('GA55 Summry'!#REF!,"AAAAABn77pA=")</f>
        <v>#REF!</v>
      </c>
      <c r="EP242" t="e">
        <f>AND('GA55 Summry'!#REF!,"AAAAABn77pE=")</f>
        <v>#REF!</v>
      </c>
      <c r="EQ242" t="e">
        <f>AND('GA55 Summry'!#REF!,"AAAAABn77pI=")</f>
        <v>#REF!</v>
      </c>
      <c r="ER242" t="e">
        <f>AND('GA55 Summry'!#REF!,"AAAAABn77pM=")</f>
        <v>#REF!</v>
      </c>
      <c r="ES242" t="e">
        <f>AND('GA55 Summry'!#REF!,"AAAAABn77pQ=")</f>
        <v>#REF!</v>
      </c>
      <c r="ET242" t="e">
        <f>AND('GA55 Summry'!#REF!,"AAAAABn77pU=")</f>
        <v>#REF!</v>
      </c>
      <c r="EU242" t="e">
        <f>AND('GA55 Summry'!#REF!,"AAAAABn77pY=")</f>
        <v>#REF!</v>
      </c>
      <c r="EV242" t="e">
        <f>AND('GA55 Summry'!#REF!,"AAAAABn77pc=")</f>
        <v>#REF!</v>
      </c>
      <c r="EW242" t="e">
        <f>AND('GA55 Summry'!#REF!,"AAAAABn77pg=")</f>
        <v>#REF!</v>
      </c>
      <c r="EX242" t="e">
        <f>AND('GA55 Summry'!#REF!,"AAAAABn77pk=")</f>
        <v>#REF!</v>
      </c>
      <c r="EY242" t="e">
        <f>AND('GA55 Summry'!#REF!,"AAAAABn77po=")</f>
        <v>#REF!</v>
      </c>
      <c r="EZ242" t="e">
        <f>AND('GA55 Summry'!#REF!,"AAAAABn77ps=")</f>
        <v>#REF!</v>
      </c>
      <c r="FA242" t="e">
        <f>AND('GA55 Summry'!#REF!,"AAAAABn77pw=")</f>
        <v>#REF!</v>
      </c>
      <c r="FB242" t="e">
        <f>AND('GA55 Summry'!#REF!,"AAAAABn77p0=")</f>
        <v>#REF!</v>
      </c>
      <c r="FC242" t="e">
        <f>AND('GA55 Summry'!#REF!,"AAAAABn77p4=")</f>
        <v>#REF!</v>
      </c>
      <c r="FD242" t="e">
        <f>AND('GA55 Summry'!#REF!,"AAAAABn77p8=")</f>
        <v>#REF!</v>
      </c>
      <c r="FE242" t="e">
        <f>AND('GA55 Summry'!#REF!,"AAAAABn77qA=")</f>
        <v>#REF!</v>
      </c>
      <c r="FF242" t="e">
        <f>AND('GA55 Summry'!#REF!,"AAAAABn77qE=")</f>
        <v>#REF!</v>
      </c>
      <c r="FG242" t="e">
        <f>AND('GA55 Summry'!#REF!,"AAAAABn77qI=")</f>
        <v>#REF!</v>
      </c>
      <c r="FH242" t="e">
        <f>IF('GA55 Summry'!#REF!,"AAAAABn77qM=",0)</f>
        <v>#REF!</v>
      </c>
      <c r="FI242" t="e">
        <f>AND('GA55 Summry'!#REF!,"AAAAABn77qQ=")</f>
        <v>#REF!</v>
      </c>
      <c r="FJ242" t="e">
        <f>AND('GA55 Summry'!#REF!,"AAAAABn77qU=")</f>
        <v>#REF!</v>
      </c>
      <c r="FK242" t="e">
        <f>AND('GA55 Summry'!#REF!,"AAAAABn77qY=")</f>
        <v>#REF!</v>
      </c>
      <c r="FL242" t="e">
        <f>AND('GA55 Summry'!#REF!,"AAAAABn77qc=")</f>
        <v>#REF!</v>
      </c>
      <c r="FM242" t="e">
        <f>AND('GA55 Summry'!#REF!,"AAAAABn77qg=")</f>
        <v>#REF!</v>
      </c>
      <c r="FN242" t="e">
        <f>AND('GA55 Summry'!#REF!,"AAAAABn77qk=")</f>
        <v>#REF!</v>
      </c>
      <c r="FO242" t="e">
        <f>AND('GA55 Summry'!#REF!,"AAAAABn77qo=")</f>
        <v>#REF!</v>
      </c>
      <c r="FP242" t="e">
        <f>AND('GA55 Summry'!#REF!,"AAAAABn77qs=")</f>
        <v>#REF!</v>
      </c>
      <c r="FQ242" t="e">
        <f>AND('GA55 Summry'!#REF!,"AAAAABn77qw=")</f>
        <v>#REF!</v>
      </c>
      <c r="FR242" t="e">
        <f>AND('GA55 Summry'!#REF!,"AAAAABn77q0=")</f>
        <v>#REF!</v>
      </c>
      <c r="FS242" t="e">
        <f>AND('GA55 Summry'!#REF!,"AAAAABn77q4=")</f>
        <v>#REF!</v>
      </c>
      <c r="FT242" t="e">
        <f>AND('GA55 Summry'!#REF!,"AAAAABn77q8=")</f>
        <v>#REF!</v>
      </c>
      <c r="FU242" t="e">
        <f>AND('GA55 Summry'!#REF!,"AAAAABn77rA=")</f>
        <v>#REF!</v>
      </c>
      <c r="FV242" t="e">
        <f>AND('GA55 Summry'!#REF!,"AAAAABn77rE=")</f>
        <v>#REF!</v>
      </c>
      <c r="FW242" t="e">
        <f>AND('GA55 Summry'!#REF!,"AAAAABn77rI=")</f>
        <v>#REF!</v>
      </c>
      <c r="FX242" t="e">
        <f>AND('GA55 Summry'!#REF!,"AAAAABn77rM=")</f>
        <v>#REF!</v>
      </c>
      <c r="FY242" t="e">
        <f>AND('GA55 Summry'!#REF!,"AAAAABn77rQ=")</f>
        <v>#REF!</v>
      </c>
      <c r="FZ242" t="e">
        <f>AND('GA55 Summry'!#REF!,"AAAAABn77rU=")</f>
        <v>#REF!</v>
      </c>
      <c r="GA242" t="e">
        <f>AND('GA55 Summry'!#REF!,"AAAAABn77rY=")</f>
        <v>#REF!</v>
      </c>
      <c r="GB242" t="e">
        <f>AND('GA55 Summry'!#REF!,"AAAAABn77rc=")</f>
        <v>#REF!</v>
      </c>
      <c r="GC242" t="e">
        <f>AND('GA55 Summry'!#REF!,"AAAAABn77rg=")</f>
        <v>#REF!</v>
      </c>
      <c r="GD242" t="e">
        <f>AND('GA55 Summry'!#REF!,"AAAAABn77rk=")</f>
        <v>#REF!</v>
      </c>
      <c r="GE242" t="e">
        <f>AND('GA55 Summry'!#REF!,"AAAAABn77ro=")</f>
        <v>#REF!</v>
      </c>
      <c r="GF242" t="e">
        <f>AND('GA55 Summry'!#REF!,"AAAAABn77rs=")</f>
        <v>#REF!</v>
      </c>
      <c r="GG242" t="e">
        <f>AND('GA55 Summry'!#REF!,"AAAAABn77rw=")</f>
        <v>#REF!</v>
      </c>
      <c r="GH242" t="e">
        <f>AND('GA55 Summry'!#REF!,"AAAAABn77r0=")</f>
        <v>#REF!</v>
      </c>
      <c r="GI242" t="e">
        <f>AND('GA55 Summry'!#REF!,"AAAAABn77r4=")</f>
        <v>#REF!</v>
      </c>
      <c r="GJ242" t="e">
        <f>AND('GA55 Summry'!#REF!,"AAAAABn77r8=")</f>
        <v>#REF!</v>
      </c>
      <c r="GK242" t="e">
        <f>AND('GA55 Summry'!#REF!,"AAAAABn77sA=")</f>
        <v>#REF!</v>
      </c>
      <c r="GL242" t="e">
        <f>AND('GA55 Summry'!#REF!,"AAAAABn77sE=")</f>
        <v>#REF!</v>
      </c>
      <c r="GM242" t="e">
        <f>AND('GA55 Summry'!#REF!,"AAAAABn77sI=")</f>
        <v>#REF!</v>
      </c>
      <c r="GN242" t="e">
        <f>AND('GA55 Summry'!#REF!,"AAAAABn77sM=")</f>
        <v>#REF!</v>
      </c>
      <c r="GO242" t="e">
        <f>AND('GA55 Summry'!#REF!,"AAAAABn77sQ=")</f>
        <v>#REF!</v>
      </c>
      <c r="GP242" t="e">
        <f>AND('GA55 Summry'!#REF!,"AAAAABn77sU=")</f>
        <v>#REF!</v>
      </c>
      <c r="GQ242" t="e">
        <f>AND('GA55 Summry'!#REF!,"AAAAABn77sY=")</f>
        <v>#REF!</v>
      </c>
      <c r="GR242" t="e">
        <f>AND('GA55 Summry'!#REF!,"AAAAABn77sc=")</f>
        <v>#REF!</v>
      </c>
      <c r="GS242" t="e">
        <f>AND('GA55 Summry'!#REF!,"AAAAABn77sg=")</f>
        <v>#REF!</v>
      </c>
      <c r="GT242" t="e">
        <f>AND('GA55 Summry'!#REF!,"AAAAABn77sk=")</f>
        <v>#REF!</v>
      </c>
      <c r="GU242" t="e">
        <f>AND('GA55 Summry'!#REF!,"AAAAABn77so=")</f>
        <v>#REF!</v>
      </c>
      <c r="GV242" t="e">
        <f>AND('GA55 Summry'!#REF!,"AAAAABn77ss=")</f>
        <v>#REF!</v>
      </c>
      <c r="GW242" t="e">
        <f>AND('GA55 Summry'!#REF!,"AAAAABn77sw=")</f>
        <v>#REF!</v>
      </c>
      <c r="GX242" t="e">
        <f>AND('GA55 Summry'!#REF!,"AAAAABn77s0=")</f>
        <v>#REF!</v>
      </c>
      <c r="GY242" t="e">
        <f>AND('GA55 Summry'!#REF!,"AAAAABn77s4=")</f>
        <v>#REF!</v>
      </c>
      <c r="GZ242" t="e">
        <f>AND('GA55 Summry'!#REF!,"AAAAABn77s8=")</f>
        <v>#REF!</v>
      </c>
      <c r="HA242" t="e">
        <f>AND('GA55 Summry'!#REF!,"AAAAABn77tA=")</f>
        <v>#REF!</v>
      </c>
      <c r="HB242" t="e">
        <f>AND('GA55 Summry'!#REF!,"AAAAABn77tE=")</f>
        <v>#REF!</v>
      </c>
      <c r="HC242" t="e">
        <f>AND('GA55 Summry'!#REF!,"AAAAABn77tI=")</f>
        <v>#REF!</v>
      </c>
      <c r="HD242" t="e">
        <f>AND('GA55 Summry'!#REF!,"AAAAABn77tM=")</f>
        <v>#REF!</v>
      </c>
      <c r="HE242" t="e">
        <f>AND('GA55 Summry'!#REF!,"AAAAABn77tQ=")</f>
        <v>#REF!</v>
      </c>
      <c r="HF242" t="e">
        <f>AND('GA55 Summry'!#REF!,"AAAAABn77tU=")</f>
        <v>#REF!</v>
      </c>
      <c r="HG242" t="e">
        <f>AND('GA55 Summry'!#REF!,"AAAAABn77tY=")</f>
        <v>#REF!</v>
      </c>
      <c r="HH242" t="e">
        <f>AND('GA55 Summry'!#REF!,"AAAAABn77tc=")</f>
        <v>#REF!</v>
      </c>
      <c r="HI242" t="e">
        <f>AND('GA55 Summry'!#REF!,"AAAAABn77tg=")</f>
        <v>#REF!</v>
      </c>
      <c r="HJ242" t="e">
        <f>AND('GA55 Summry'!#REF!,"AAAAABn77tk=")</f>
        <v>#REF!</v>
      </c>
      <c r="HK242" t="e">
        <f>AND('GA55 Summry'!#REF!,"AAAAABn77to=")</f>
        <v>#REF!</v>
      </c>
      <c r="HL242" t="e">
        <f>AND('GA55 Summry'!#REF!,"AAAAABn77ts=")</f>
        <v>#REF!</v>
      </c>
      <c r="HM242" t="e">
        <f>AND('GA55 Summry'!#REF!,"AAAAABn77tw=")</f>
        <v>#REF!</v>
      </c>
      <c r="HN242" t="e">
        <f>AND('GA55 Summry'!#REF!,"AAAAABn77t0=")</f>
        <v>#REF!</v>
      </c>
      <c r="HO242" t="e">
        <f>AND('GA55 Summry'!#REF!,"AAAAABn77t4=")</f>
        <v>#REF!</v>
      </c>
      <c r="HP242" t="e">
        <f>AND('GA55 Summry'!#REF!,"AAAAABn77t8=")</f>
        <v>#REF!</v>
      </c>
      <c r="HQ242" t="e">
        <f>AND('GA55 Summry'!#REF!,"AAAAABn77uA=")</f>
        <v>#REF!</v>
      </c>
      <c r="HR242" t="e">
        <f>AND('GA55 Summry'!#REF!,"AAAAABn77uE=")</f>
        <v>#REF!</v>
      </c>
      <c r="HS242" t="e">
        <f>AND('GA55 Summry'!#REF!,"AAAAABn77uI=")</f>
        <v>#REF!</v>
      </c>
      <c r="HT242" t="e">
        <f>AND('GA55 Summry'!#REF!,"AAAAABn77uM=")</f>
        <v>#REF!</v>
      </c>
      <c r="HU242" t="e">
        <f>AND('GA55 Summry'!#REF!,"AAAAABn77uQ=")</f>
        <v>#REF!</v>
      </c>
      <c r="HV242" t="e">
        <f>AND('GA55 Summry'!#REF!,"AAAAABn77uU=")</f>
        <v>#REF!</v>
      </c>
      <c r="HW242" t="e">
        <f>AND('GA55 Summry'!#REF!,"AAAAABn77uY=")</f>
        <v>#REF!</v>
      </c>
      <c r="HX242" t="e">
        <f>AND('GA55 Summry'!#REF!,"AAAAABn77uc=")</f>
        <v>#REF!</v>
      </c>
      <c r="HY242" t="e">
        <f>AND('GA55 Summry'!#REF!,"AAAAABn77ug=")</f>
        <v>#REF!</v>
      </c>
      <c r="HZ242" t="e">
        <f>AND('GA55 Summry'!#REF!,"AAAAABn77uk=")</f>
        <v>#REF!</v>
      </c>
      <c r="IA242" t="e">
        <f>AND('GA55 Summry'!#REF!,"AAAAABn77uo=")</f>
        <v>#REF!</v>
      </c>
      <c r="IB242" t="e">
        <f>AND('GA55 Summry'!#REF!,"AAAAABn77us=")</f>
        <v>#REF!</v>
      </c>
      <c r="IC242" t="e">
        <f>AND('GA55 Summry'!#REF!,"AAAAABn77uw=")</f>
        <v>#REF!</v>
      </c>
      <c r="ID242" t="e">
        <f>AND('GA55 Summry'!#REF!,"AAAAABn77u0=")</f>
        <v>#REF!</v>
      </c>
      <c r="IE242" t="e">
        <f>IF('GA55 Summry'!#REF!,"AAAAABn77u4=",0)</f>
        <v>#REF!</v>
      </c>
      <c r="IF242" t="e">
        <f>AND('GA55 Summry'!#REF!,"AAAAABn77u8=")</f>
        <v>#REF!</v>
      </c>
      <c r="IG242" t="e">
        <f>AND('GA55 Summry'!#REF!,"AAAAABn77vA=")</f>
        <v>#REF!</v>
      </c>
      <c r="IH242" t="e">
        <f>AND('GA55 Summry'!#REF!,"AAAAABn77vE=")</f>
        <v>#REF!</v>
      </c>
      <c r="II242" t="e">
        <f>AND('GA55 Summry'!#REF!,"AAAAABn77vI=")</f>
        <v>#REF!</v>
      </c>
      <c r="IJ242" t="e">
        <f>AND('GA55 Summry'!#REF!,"AAAAABn77vM=")</f>
        <v>#REF!</v>
      </c>
      <c r="IK242" t="e">
        <f>AND('GA55 Summry'!#REF!,"AAAAABn77vQ=")</f>
        <v>#REF!</v>
      </c>
      <c r="IL242" t="e">
        <f>AND('GA55 Summry'!#REF!,"AAAAABn77vU=")</f>
        <v>#REF!</v>
      </c>
      <c r="IM242" t="e">
        <f>AND('GA55 Summry'!#REF!,"AAAAABn77vY=")</f>
        <v>#REF!</v>
      </c>
      <c r="IN242" t="e">
        <f>AND('GA55 Summry'!#REF!,"AAAAABn77vc=")</f>
        <v>#REF!</v>
      </c>
      <c r="IO242" t="e">
        <f>AND('GA55 Summry'!#REF!,"AAAAABn77vg=")</f>
        <v>#REF!</v>
      </c>
      <c r="IP242" t="e">
        <f>AND('GA55 Summry'!#REF!,"AAAAABn77vk=")</f>
        <v>#REF!</v>
      </c>
      <c r="IQ242" t="e">
        <f>AND('GA55 Summry'!#REF!,"AAAAABn77vo=")</f>
        <v>#REF!</v>
      </c>
      <c r="IR242" t="e">
        <f>AND('GA55 Summry'!#REF!,"AAAAABn77vs=")</f>
        <v>#REF!</v>
      </c>
      <c r="IS242" t="e">
        <f>AND('GA55 Summry'!#REF!,"AAAAABn77vw=")</f>
        <v>#REF!</v>
      </c>
      <c r="IT242" t="e">
        <f>AND('GA55 Summry'!#REF!,"AAAAABn77v0=")</f>
        <v>#REF!</v>
      </c>
      <c r="IU242" t="e">
        <f>AND('GA55 Summry'!#REF!,"AAAAABn77v4=")</f>
        <v>#REF!</v>
      </c>
      <c r="IV242" t="e">
        <f>AND('GA55 Summry'!#REF!,"AAAAABn77v8=")</f>
        <v>#REF!</v>
      </c>
    </row>
    <row r="243" spans="1:256">
      <c r="A243" t="e">
        <f>AND('GA55 Summry'!#REF!,"AAAAAH7rrgA=")</f>
        <v>#REF!</v>
      </c>
      <c r="B243" t="e">
        <f>AND('GA55 Summry'!#REF!,"AAAAAH7rrgE=")</f>
        <v>#REF!</v>
      </c>
      <c r="C243" t="e">
        <f>AND('GA55 Summry'!#REF!,"AAAAAH7rrgI=")</f>
        <v>#REF!</v>
      </c>
      <c r="D243" t="e">
        <f>AND('GA55 Summry'!#REF!,"AAAAAH7rrgM=")</f>
        <v>#REF!</v>
      </c>
      <c r="E243" t="e">
        <f>AND('GA55 Summry'!#REF!,"AAAAAH7rrgQ=")</f>
        <v>#REF!</v>
      </c>
      <c r="F243" t="e">
        <f>AND('GA55 Summry'!#REF!,"AAAAAH7rrgU=")</f>
        <v>#REF!</v>
      </c>
      <c r="G243" t="e">
        <f>AND('GA55 Summry'!#REF!,"AAAAAH7rrgY=")</f>
        <v>#REF!</v>
      </c>
      <c r="H243" t="e">
        <f>AND('GA55 Summry'!#REF!,"AAAAAH7rrgc=")</f>
        <v>#REF!</v>
      </c>
      <c r="I243" t="e">
        <f>AND('GA55 Summry'!#REF!,"AAAAAH7rrgg=")</f>
        <v>#REF!</v>
      </c>
      <c r="J243" t="e">
        <f>AND('GA55 Summry'!#REF!,"AAAAAH7rrgk=")</f>
        <v>#REF!</v>
      </c>
      <c r="K243" t="e">
        <f>AND('GA55 Summry'!#REF!,"AAAAAH7rrgo=")</f>
        <v>#REF!</v>
      </c>
      <c r="L243" t="e">
        <f>AND('GA55 Summry'!#REF!,"AAAAAH7rrgs=")</f>
        <v>#REF!</v>
      </c>
      <c r="M243" t="e">
        <f>AND('GA55 Summry'!#REF!,"AAAAAH7rrgw=")</f>
        <v>#REF!</v>
      </c>
      <c r="N243" t="e">
        <f>AND('GA55 Summry'!#REF!,"AAAAAH7rrg0=")</f>
        <v>#REF!</v>
      </c>
      <c r="O243" t="e">
        <f>AND('GA55 Summry'!#REF!,"AAAAAH7rrg4=")</f>
        <v>#REF!</v>
      </c>
      <c r="P243" t="e">
        <f>AND('GA55 Summry'!#REF!,"AAAAAH7rrg8=")</f>
        <v>#REF!</v>
      </c>
      <c r="Q243" t="e">
        <f>AND('GA55 Summry'!#REF!,"AAAAAH7rrhA=")</f>
        <v>#REF!</v>
      </c>
      <c r="R243" t="e">
        <f>AND('GA55 Summry'!#REF!,"AAAAAH7rrhE=")</f>
        <v>#REF!</v>
      </c>
      <c r="S243" t="e">
        <f>AND('GA55 Summry'!#REF!,"AAAAAH7rrhI=")</f>
        <v>#REF!</v>
      </c>
      <c r="T243" t="e">
        <f>AND('GA55 Summry'!#REF!,"AAAAAH7rrhM=")</f>
        <v>#REF!</v>
      </c>
      <c r="U243" t="e">
        <f>AND('GA55 Summry'!#REF!,"AAAAAH7rrhQ=")</f>
        <v>#REF!</v>
      </c>
      <c r="V243" t="e">
        <f>AND('GA55 Summry'!#REF!,"AAAAAH7rrhU=")</f>
        <v>#REF!</v>
      </c>
      <c r="W243" t="e">
        <f>AND('GA55 Summry'!#REF!,"AAAAAH7rrhY=")</f>
        <v>#REF!</v>
      </c>
      <c r="X243" t="e">
        <f>AND('GA55 Summry'!#REF!,"AAAAAH7rrhc=")</f>
        <v>#REF!</v>
      </c>
      <c r="Y243" t="e">
        <f>AND('GA55 Summry'!#REF!,"AAAAAH7rrhg=")</f>
        <v>#REF!</v>
      </c>
      <c r="Z243" t="e">
        <f>AND('GA55 Summry'!#REF!,"AAAAAH7rrhk=")</f>
        <v>#REF!</v>
      </c>
      <c r="AA243" t="e">
        <f>AND('GA55 Summry'!#REF!,"AAAAAH7rrho=")</f>
        <v>#REF!</v>
      </c>
      <c r="AB243" t="e">
        <f>AND('GA55 Summry'!#REF!,"AAAAAH7rrhs=")</f>
        <v>#REF!</v>
      </c>
      <c r="AC243" t="e">
        <f>AND('GA55 Summry'!#REF!,"AAAAAH7rrhw=")</f>
        <v>#REF!</v>
      </c>
      <c r="AD243" t="e">
        <f>AND('GA55 Summry'!#REF!,"AAAAAH7rrh0=")</f>
        <v>#REF!</v>
      </c>
      <c r="AE243" t="e">
        <f>AND('GA55 Summry'!#REF!,"AAAAAH7rrh4=")</f>
        <v>#REF!</v>
      </c>
      <c r="AF243" t="e">
        <f>AND('GA55 Summry'!#REF!,"AAAAAH7rrh8=")</f>
        <v>#REF!</v>
      </c>
      <c r="AG243" t="e">
        <f>AND('GA55 Summry'!#REF!,"AAAAAH7rriA=")</f>
        <v>#REF!</v>
      </c>
      <c r="AH243" t="e">
        <f>AND('GA55 Summry'!#REF!,"AAAAAH7rriE=")</f>
        <v>#REF!</v>
      </c>
      <c r="AI243" t="e">
        <f>AND('GA55 Summry'!#REF!,"AAAAAH7rriI=")</f>
        <v>#REF!</v>
      </c>
      <c r="AJ243" t="e">
        <f>AND('GA55 Summry'!#REF!,"AAAAAH7rriM=")</f>
        <v>#REF!</v>
      </c>
      <c r="AK243" t="e">
        <f>AND('GA55 Summry'!#REF!,"AAAAAH7rriQ=")</f>
        <v>#REF!</v>
      </c>
      <c r="AL243" t="e">
        <f>AND('GA55 Summry'!#REF!,"AAAAAH7rriU=")</f>
        <v>#REF!</v>
      </c>
      <c r="AM243" t="e">
        <f>AND('GA55 Summry'!#REF!,"AAAAAH7rriY=")</f>
        <v>#REF!</v>
      </c>
      <c r="AN243" t="e">
        <f>AND('GA55 Summry'!#REF!,"AAAAAH7rric=")</f>
        <v>#REF!</v>
      </c>
      <c r="AO243" t="e">
        <f>AND('GA55 Summry'!#REF!,"AAAAAH7rrig=")</f>
        <v>#REF!</v>
      </c>
      <c r="AP243" t="e">
        <f>AND('GA55 Summry'!#REF!,"AAAAAH7rrik=")</f>
        <v>#REF!</v>
      </c>
      <c r="AQ243" t="e">
        <f>AND('GA55 Summry'!#REF!,"AAAAAH7rrio=")</f>
        <v>#REF!</v>
      </c>
      <c r="AR243" t="e">
        <f>AND('GA55 Summry'!#REF!,"AAAAAH7rris=")</f>
        <v>#REF!</v>
      </c>
      <c r="AS243" t="e">
        <f>AND('GA55 Summry'!#REF!,"AAAAAH7rriw=")</f>
        <v>#REF!</v>
      </c>
      <c r="AT243" t="e">
        <f>AND('GA55 Summry'!#REF!,"AAAAAH7rri0=")</f>
        <v>#REF!</v>
      </c>
      <c r="AU243" t="e">
        <f>AND('GA55 Summry'!#REF!,"AAAAAH7rri4=")</f>
        <v>#REF!</v>
      </c>
      <c r="AV243" t="e">
        <f>AND('GA55 Summry'!#REF!,"AAAAAH7rri8=")</f>
        <v>#REF!</v>
      </c>
      <c r="AW243" t="e">
        <f>AND('GA55 Summry'!#REF!,"AAAAAH7rrjA=")</f>
        <v>#REF!</v>
      </c>
      <c r="AX243" t="e">
        <f>AND('GA55 Summry'!#REF!,"AAAAAH7rrjE=")</f>
        <v>#REF!</v>
      </c>
      <c r="AY243" t="e">
        <f>AND('GA55 Summry'!#REF!,"AAAAAH7rrjI=")</f>
        <v>#REF!</v>
      </c>
      <c r="AZ243" t="e">
        <f>AND('GA55 Summry'!#REF!,"AAAAAH7rrjM=")</f>
        <v>#REF!</v>
      </c>
      <c r="BA243" t="e">
        <f>AND('GA55 Summry'!#REF!,"AAAAAH7rrjQ=")</f>
        <v>#REF!</v>
      </c>
      <c r="BB243" t="e">
        <f>AND('GA55 Summry'!#REF!,"AAAAAH7rrjU=")</f>
        <v>#REF!</v>
      </c>
      <c r="BC243" t="e">
        <f>AND('GA55 Summry'!#REF!,"AAAAAH7rrjY=")</f>
        <v>#REF!</v>
      </c>
      <c r="BD243" t="e">
        <f>AND('GA55 Summry'!#REF!,"AAAAAH7rrjc=")</f>
        <v>#REF!</v>
      </c>
      <c r="BE243" t="e">
        <f>AND('GA55 Summry'!#REF!,"AAAAAH7rrjg=")</f>
        <v>#REF!</v>
      </c>
      <c r="BF243" t="e">
        <f>IF('GA55 Summry'!#REF!,"AAAAAH7rrjk=",0)</f>
        <v>#REF!</v>
      </c>
      <c r="BG243" t="e">
        <f>AND('GA55 Summry'!#REF!,"AAAAAH7rrjo=")</f>
        <v>#REF!</v>
      </c>
      <c r="BH243" t="e">
        <f>AND('GA55 Summry'!#REF!,"AAAAAH7rrjs=")</f>
        <v>#REF!</v>
      </c>
      <c r="BI243" t="e">
        <f>AND('GA55 Summry'!#REF!,"AAAAAH7rrjw=")</f>
        <v>#REF!</v>
      </c>
      <c r="BJ243" t="e">
        <f>AND('GA55 Summry'!#REF!,"AAAAAH7rrj0=")</f>
        <v>#REF!</v>
      </c>
      <c r="BK243" t="e">
        <f>AND('GA55 Summry'!#REF!,"AAAAAH7rrj4=")</f>
        <v>#REF!</v>
      </c>
      <c r="BL243" t="e">
        <f>AND('GA55 Summry'!#REF!,"AAAAAH7rrj8=")</f>
        <v>#REF!</v>
      </c>
      <c r="BM243" t="e">
        <f>AND('GA55 Summry'!#REF!,"AAAAAH7rrkA=")</f>
        <v>#REF!</v>
      </c>
      <c r="BN243" t="e">
        <f>AND('GA55 Summry'!#REF!,"AAAAAH7rrkE=")</f>
        <v>#REF!</v>
      </c>
      <c r="BO243" t="e">
        <f>AND('GA55 Summry'!#REF!,"AAAAAH7rrkI=")</f>
        <v>#REF!</v>
      </c>
      <c r="BP243" t="e">
        <f>AND('GA55 Summry'!#REF!,"AAAAAH7rrkM=")</f>
        <v>#REF!</v>
      </c>
      <c r="BQ243" t="e">
        <f>AND('GA55 Summry'!#REF!,"AAAAAH7rrkQ=")</f>
        <v>#REF!</v>
      </c>
      <c r="BR243" t="e">
        <f>AND('GA55 Summry'!#REF!,"AAAAAH7rrkU=")</f>
        <v>#REF!</v>
      </c>
      <c r="BS243" t="e">
        <f>AND('GA55 Summry'!#REF!,"AAAAAH7rrkY=")</f>
        <v>#REF!</v>
      </c>
      <c r="BT243" t="e">
        <f>AND('GA55 Summry'!#REF!,"AAAAAH7rrkc=")</f>
        <v>#REF!</v>
      </c>
      <c r="BU243" t="e">
        <f>AND('GA55 Summry'!#REF!,"AAAAAH7rrkg=")</f>
        <v>#REF!</v>
      </c>
      <c r="BV243" t="e">
        <f>AND('GA55 Summry'!#REF!,"AAAAAH7rrkk=")</f>
        <v>#REF!</v>
      </c>
      <c r="BW243" t="e">
        <f>AND('GA55 Summry'!#REF!,"AAAAAH7rrko=")</f>
        <v>#REF!</v>
      </c>
      <c r="BX243" t="e">
        <f>AND('GA55 Summry'!#REF!,"AAAAAH7rrks=")</f>
        <v>#REF!</v>
      </c>
      <c r="BY243" t="e">
        <f>AND('GA55 Summry'!#REF!,"AAAAAH7rrkw=")</f>
        <v>#REF!</v>
      </c>
      <c r="BZ243" t="e">
        <f>AND('GA55 Summry'!#REF!,"AAAAAH7rrk0=")</f>
        <v>#REF!</v>
      </c>
      <c r="CA243" t="e">
        <f>AND('GA55 Summry'!#REF!,"AAAAAH7rrk4=")</f>
        <v>#REF!</v>
      </c>
      <c r="CB243" t="e">
        <f>AND('GA55 Summry'!#REF!,"AAAAAH7rrk8=")</f>
        <v>#REF!</v>
      </c>
      <c r="CC243" t="e">
        <f>AND('GA55 Summry'!#REF!,"AAAAAH7rrlA=")</f>
        <v>#REF!</v>
      </c>
      <c r="CD243" t="e">
        <f>AND('GA55 Summry'!#REF!,"AAAAAH7rrlE=")</f>
        <v>#REF!</v>
      </c>
      <c r="CE243" t="e">
        <f>AND('GA55 Summry'!#REF!,"AAAAAH7rrlI=")</f>
        <v>#REF!</v>
      </c>
      <c r="CF243" t="e">
        <f>AND('GA55 Summry'!#REF!,"AAAAAH7rrlM=")</f>
        <v>#REF!</v>
      </c>
      <c r="CG243" t="e">
        <f>AND('GA55 Summry'!#REF!,"AAAAAH7rrlQ=")</f>
        <v>#REF!</v>
      </c>
      <c r="CH243" t="e">
        <f>AND('GA55 Summry'!#REF!,"AAAAAH7rrlU=")</f>
        <v>#REF!</v>
      </c>
      <c r="CI243" t="e">
        <f>AND('GA55 Summry'!#REF!,"AAAAAH7rrlY=")</f>
        <v>#REF!</v>
      </c>
      <c r="CJ243" t="e">
        <f>AND('GA55 Summry'!#REF!,"AAAAAH7rrlc=")</f>
        <v>#REF!</v>
      </c>
      <c r="CK243" t="e">
        <f>AND('GA55 Summry'!#REF!,"AAAAAH7rrlg=")</f>
        <v>#REF!</v>
      </c>
      <c r="CL243" t="e">
        <f>AND('GA55 Summry'!#REF!,"AAAAAH7rrlk=")</f>
        <v>#REF!</v>
      </c>
      <c r="CM243" t="e">
        <f>AND('GA55 Summry'!#REF!,"AAAAAH7rrlo=")</f>
        <v>#REF!</v>
      </c>
      <c r="CN243" t="e">
        <f>AND('GA55 Summry'!#REF!,"AAAAAH7rrls=")</f>
        <v>#REF!</v>
      </c>
      <c r="CO243" t="e">
        <f>AND('GA55 Summry'!#REF!,"AAAAAH7rrlw=")</f>
        <v>#REF!</v>
      </c>
      <c r="CP243" t="e">
        <f>AND('GA55 Summry'!#REF!,"AAAAAH7rrl0=")</f>
        <v>#REF!</v>
      </c>
      <c r="CQ243" t="e">
        <f>AND('GA55 Summry'!#REF!,"AAAAAH7rrl4=")</f>
        <v>#REF!</v>
      </c>
      <c r="CR243" t="e">
        <f>AND('GA55 Summry'!#REF!,"AAAAAH7rrl8=")</f>
        <v>#REF!</v>
      </c>
      <c r="CS243" t="e">
        <f>AND('GA55 Summry'!#REF!,"AAAAAH7rrmA=")</f>
        <v>#REF!</v>
      </c>
      <c r="CT243" t="e">
        <f>AND('GA55 Summry'!#REF!,"AAAAAH7rrmE=")</f>
        <v>#REF!</v>
      </c>
      <c r="CU243" t="e">
        <f>AND('GA55 Summry'!#REF!,"AAAAAH7rrmI=")</f>
        <v>#REF!</v>
      </c>
      <c r="CV243" t="e">
        <f>AND('GA55 Summry'!#REF!,"AAAAAH7rrmM=")</f>
        <v>#REF!</v>
      </c>
      <c r="CW243" t="e">
        <f>AND('GA55 Summry'!#REF!,"AAAAAH7rrmQ=")</f>
        <v>#REF!</v>
      </c>
      <c r="CX243" t="e">
        <f>AND('GA55 Summry'!#REF!,"AAAAAH7rrmU=")</f>
        <v>#REF!</v>
      </c>
      <c r="CY243" t="e">
        <f>AND('GA55 Summry'!#REF!,"AAAAAH7rrmY=")</f>
        <v>#REF!</v>
      </c>
      <c r="CZ243" t="e">
        <f>AND('GA55 Summry'!#REF!,"AAAAAH7rrmc=")</f>
        <v>#REF!</v>
      </c>
      <c r="DA243" t="e">
        <f>AND('GA55 Summry'!#REF!,"AAAAAH7rrmg=")</f>
        <v>#REF!</v>
      </c>
      <c r="DB243" t="e">
        <f>AND('GA55 Summry'!#REF!,"AAAAAH7rrmk=")</f>
        <v>#REF!</v>
      </c>
      <c r="DC243" t="e">
        <f>AND('GA55 Summry'!#REF!,"AAAAAH7rrmo=")</f>
        <v>#REF!</v>
      </c>
      <c r="DD243" t="e">
        <f>AND('GA55 Summry'!#REF!,"AAAAAH7rrms=")</f>
        <v>#REF!</v>
      </c>
      <c r="DE243" t="e">
        <f>AND('GA55 Summry'!#REF!,"AAAAAH7rrmw=")</f>
        <v>#REF!</v>
      </c>
      <c r="DF243" t="e">
        <f>AND('GA55 Summry'!#REF!,"AAAAAH7rrm0=")</f>
        <v>#REF!</v>
      </c>
      <c r="DG243" t="e">
        <f>AND('GA55 Summry'!#REF!,"AAAAAH7rrm4=")</f>
        <v>#REF!</v>
      </c>
      <c r="DH243" t="e">
        <f>AND('GA55 Summry'!#REF!,"AAAAAH7rrm8=")</f>
        <v>#REF!</v>
      </c>
      <c r="DI243" t="e">
        <f>AND('GA55 Summry'!#REF!,"AAAAAH7rrnA=")</f>
        <v>#REF!</v>
      </c>
      <c r="DJ243" t="e">
        <f>AND('GA55 Summry'!#REF!,"AAAAAH7rrnE=")</f>
        <v>#REF!</v>
      </c>
      <c r="DK243" t="e">
        <f>AND('GA55 Summry'!#REF!,"AAAAAH7rrnI=")</f>
        <v>#REF!</v>
      </c>
      <c r="DL243" t="e">
        <f>AND('GA55 Summry'!#REF!,"AAAAAH7rrnM=")</f>
        <v>#REF!</v>
      </c>
      <c r="DM243" t="e">
        <f>AND('GA55 Summry'!#REF!,"AAAAAH7rrnQ=")</f>
        <v>#REF!</v>
      </c>
      <c r="DN243" t="e">
        <f>AND('GA55 Summry'!#REF!,"AAAAAH7rrnU=")</f>
        <v>#REF!</v>
      </c>
      <c r="DO243" t="e">
        <f>AND('GA55 Summry'!#REF!,"AAAAAH7rrnY=")</f>
        <v>#REF!</v>
      </c>
      <c r="DP243" t="e">
        <f>AND('GA55 Summry'!#REF!,"AAAAAH7rrnc=")</f>
        <v>#REF!</v>
      </c>
      <c r="DQ243" t="e">
        <f>AND('GA55 Summry'!#REF!,"AAAAAH7rrng=")</f>
        <v>#REF!</v>
      </c>
      <c r="DR243" t="e">
        <f>AND('GA55 Summry'!#REF!,"AAAAAH7rrnk=")</f>
        <v>#REF!</v>
      </c>
      <c r="DS243" t="e">
        <f>AND('GA55 Summry'!#REF!,"AAAAAH7rrno=")</f>
        <v>#REF!</v>
      </c>
      <c r="DT243" t="e">
        <f>AND('GA55 Summry'!#REF!,"AAAAAH7rrns=")</f>
        <v>#REF!</v>
      </c>
      <c r="DU243" t="e">
        <f>AND('GA55 Summry'!#REF!,"AAAAAH7rrnw=")</f>
        <v>#REF!</v>
      </c>
      <c r="DV243" t="e">
        <f>AND('GA55 Summry'!#REF!,"AAAAAH7rrn0=")</f>
        <v>#REF!</v>
      </c>
      <c r="DW243" t="e">
        <f>AND('GA55 Summry'!#REF!,"AAAAAH7rrn4=")</f>
        <v>#REF!</v>
      </c>
      <c r="DX243" t="e">
        <f>AND('GA55 Summry'!#REF!,"AAAAAH7rrn8=")</f>
        <v>#REF!</v>
      </c>
      <c r="DY243" t="e">
        <f>AND('GA55 Summry'!#REF!,"AAAAAH7rroA=")</f>
        <v>#REF!</v>
      </c>
      <c r="DZ243" t="e">
        <f>AND('GA55 Summry'!#REF!,"AAAAAH7rroE=")</f>
        <v>#REF!</v>
      </c>
      <c r="EA243" t="e">
        <f>AND('GA55 Summry'!#REF!,"AAAAAH7rroI=")</f>
        <v>#REF!</v>
      </c>
      <c r="EB243" t="e">
        <f>AND('GA55 Summry'!#REF!,"AAAAAH7rroM=")</f>
        <v>#REF!</v>
      </c>
      <c r="EC243" t="e">
        <f>IF('GA55 Summry'!#REF!,"AAAAAH7rroQ=",0)</f>
        <v>#REF!</v>
      </c>
      <c r="ED243" t="e">
        <f>AND('GA55 Summry'!#REF!,"AAAAAH7rroU=")</f>
        <v>#REF!</v>
      </c>
      <c r="EE243" t="e">
        <f>AND('GA55 Summry'!#REF!,"AAAAAH7rroY=")</f>
        <v>#REF!</v>
      </c>
      <c r="EF243" t="e">
        <f>AND('GA55 Summry'!#REF!,"AAAAAH7rroc=")</f>
        <v>#REF!</v>
      </c>
      <c r="EG243" t="e">
        <f>AND('GA55 Summry'!#REF!,"AAAAAH7rrog=")</f>
        <v>#REF!</v>
      </c>
      <c r="EH243" t="e">
        <f>AND('GA55 Summry'!#REF!,"AAAAAH7rrok=")</f>
        <v>#REF!</v>
      </c>
      <c r="EI243" t="e">
        <f>AND('GA55 Summry'!#REF!,"AAAAAH7rroo=")</f>
        <v>#REF!</v>
      </c>
      <c r="EJ243" t="e">
        <f>AND('GA55 Summry'!#REF!,"AAAAAH7rros=")</f>
        <v>#REF!</v>
      </c>
      <c r="EK243" t="e">
        <f>AND('GA55 Summry'!#REF!,"AAAAAH7rrow=")</f>
        <v>#REF!</v>
      </c>
      <c r="EL243" t="e">
        <f>AND('GA55 Summry'!#REF!,"AAAAAH7rro0=")</f>
        <v>#REF!</v>
      </c>
      <c r="EM243" t="e">
        <f>AND('GA55 Summry'!#REF!,"AAAAAH7rro4=")</f>
        <v>#REF!</v>
      </c>
      <c r="EN243" t="e">
        <f>AND('GA55 Summry'!#REF!,"AAAAAH7rro8=")</f>
        <v>#REF!</v>
      </c>
      <c r="EO243" t="e">
        <f>AND('GA55 Summry'!#REF!,"AAAAAH7rrpA=")</f>
        <v>#REF!</v>
      </c>
      <c r="EP243" t="e">
        <f>AND('GA55 Summry'!#REF!,"AAAAAH7rrpE=")</f>
        <v>#REF!</v>
      </c>
      <c r="EQ243" t="e">
        <f>AND('GA55 Summry'!#REF!,"AAAAAH7rrpI=")</f>
        <v>#REF!</v>
      </c>
      <c r="ER243" t="e">
        <f>AND('GA55 Summry'!#REF!,"AAAAAH7rrpM=")</f>
        <v>#REF!</v>
      </c>
      <c r="ES243" t="e">
        <f>AND('GA55 Summry'!#REF!,"AAAAAH7rrpQ=")</f>
        <v>#REF!</v>
      </c>
      <c r="ET243" t="e">
        <f>AND('GA55 Summry'!#REF!,"AAAAAH7rrpU=")</f>
        <v>#REF!</v>
      </c>
      <c r="EU243" t="e">
        <f>AND('GA55 Summry'!#REF!,"AAAAAH7rrpY=")</f>
        <v>#REF!</v>
      </c>
      <c r="EV243" t="e">
        <f>AND('GA55 Summry'!#REF!,"AAAAAH7rrpc=")</f>
        <v>#REF!</v>
      </c>
      <c r="EW243" t="e">
        <f>AND('GA55 Summry'!#REF!,"AAAAAH7rrpg=")</f>
        <v>#REF!</v>
      </c>
      <c r="EX243" t="e">
        <f>AND('GA55 Summry'!#REF!,"AAAAAH7rrpk=")</f>
        <v>#REF!</v>
      </c>
      <c r="EY243" t="e">
        <f>AND('GA55 Summry'!#REF!,"AAAAAH7rrpo=")</f>
        <v>#REF!</v>
      </c>
      <c r="EZ243" t="e">
        <f>AND('GA55 Summry'!#REF!,"AAAAAH7rrps=")</f>
        <v>#REF!</v>
      </c>
      <c r="FA243" t="e">
        <f>AND('GA55 Summry'!#REF!,"AAAAAH7rrpw=")</f>
        <v>#REF!</v>
      </c>
      <c r="FB243" t="e">
        <f>AND('GA55 Summry'!#REF!,"AAAAAH7rrp0=")</f>
        <v>#REF!</v>
      </c>
      <c r="FC243" t="e">
        <f>AND('GA55 Summry'!#REF!,"AAAAAH7rrp4=")</f>
        <v>#REF!</v>
      </c>
      <c r="FD243" t="e">
        <f>AND('GA55 Summry'!#REF!,"AAAAAH7rrp8=")</f>
        <v>#REF!</v>
      </c>
      <c r="FE243" t="e">
        <f>AND('GA55 Summry'!#REF!,"AAAAAH7rrqA=")</f>
        <v>#REF!</v>
      </c>
      <c r="FF243" t="e">
        <f>AND('GA55 Summry'!#REF!,"AAAAAH7rrqE=")</f>
        <v>#REF!</v>
      </c>
      <c r="FG243" t="e">
        <f>AND('GA55 Summry'!#REF!,"AAAAAH7rrqI=")</f>
        <v>#REF!</v>
      </c>
      <c r="FH243" t="e">
        <f>AND('GA55 Summry'!#REF!,"AAAAAH7rrqM=")</f>
        <v>#REF!</v>
      </c>
      <c r="FI243" t="e">
        <f>AND('GA55 Summry'!#REF!,"AAAAAH7rrqQ=")</f>
        <v>#REF!</v>
      </c>
      <c r="FJ243" t="e">
        <f>AND('GA55 Summry'!#REF!,"AAAAAH7rrqU=")</f>
        <v>#REF!</v>
      </c>
      <c r="FK243" t="e">
        <f>AND('GA55 Summry'!#REF!,"AAAAAH7rrqY=")</f>
        <v>#REF!</v>
      </c>
      <c r="FL243" t="e">
        <f>AND('GA55 Summry'!#REF!,"AAAAAH7rrqc=")</f>
        <v>#REF!</v>
      </c>
      <c r="FM243" t="e">
        <f>AND('GA55 Summry'!#REF!,"AAAAAH7rrqg=")</f>
        <v>#REF!</v>
      </c>
      <c r="FN243" t="e">
        <f>AND('GA55 Summry'!#REF!,"AAAAAH7rrqk=")</f>
        <v>#REF!</v>
      </c>
      <c r="FO243" t="e">
        <f>AND('GA55 Summry'!#REF!,"AAAAAH7rrqo=")</f>
        <v>#REF!</v>
      </c>
      <c r="FP243" t="e">
        <f>AND('GA55 Summry'!#REF!,"AAAAAH7rrqs=")</f>
        <v>#REF!</v>
      </c>
      <c r="FQ243" t="e">
        <f>AND('GA55 Summry'!#REF!,"AAAAAH7rrqw=")</f>
        <v>#REF!</v>
      </c>
      <c r="FR243" t="e">
        <f>AND('GA55 Summry'!#REF!,"AAAAAH7rrq0=")</f>
        <v>#REF!</v>
      </c>
      <c r="FS243" t="e">
        <f>AND('GA55 Summry'!#REF!,"AAAAAH7rrq4=")</f>
        <v>#REF!</v>
      </c>
      <c r="FT243" t="e">
        <f>AND('GA55 Summry'!#REF!,"AAAAAH7rrq8=")</f>
        <v>#REF!</v>
      </c>
      <c r="FU243" t="e">
        <f>AND('GA55 Summry'!#REF!,"AAAAAH7rrrA=")</f>
        <v>#REF!</v>
      </c>
      <c r="FV243" t="e">
        <f>AND('GA55 Summry'!#REF!,"AAAAAH7rrrE=")</f>
        <v>#REF!</v>
      </c>
      <c r="FW243" t="e">
        <f>AND('GA55 Summry'!#REF!,"AAAAAH7rrrI=")</f>
        <v>#REF!</v>
      </c>
      <c r="FX243" t="e">
        <f>AND('GA55 Summry'!#REF!,"AAAAAH7rrrM=")</f>
        <v>#REF!</v>
      </c>
      <c r="FY243" t="e">
        <f>AND('GA55 Summry'!#REF!,"AAAAAH7rrrQ=")</f>
        <v>#REF!</v>
      </c>
      <c r="FZ243" t="e">
        <f>AND('GA55 Summry'!#REF!,"AAAAAH7rrrU=")</f>
        <v>#REF!</v>
      </c>
      <c r="GA243" t="e">
        <f>AND('GA55 Summry'!#REF!,"AAAAAH7rrrY=")</f>
        <v>#REF!</v>
      </c>
      <c r="GB243" t="e">
        <f>AND('GA55 Summry'!#REF!,"AAAAAH7rrrc=")</f>
        <v>#REF!</v>
      </c>
      <c r="GC243" t="e">
        <f>AND('GA55 Summry'!#REF!,"AAAAAH7rrrg=")</f>
        <v>#REF!</v>
      </c>
      <c r="GD243" t="e">
        <f>AND('GA55 Summry'!#REF!,"AAAAAH7rrrk=")</f>
        <v>#REF!</v>
      </c>
      <c r="GE243" t="e">
        <f>AND('GA55 Summry'!#REF!,"AAAAAH7rrro=")</f>
        <v>#REF!</v>
      </c>
      <c r="GF243" t="e">
        <f>AND('GA55 Summry'!#REF!,"AAAAAH7rrrs=")</f>
        <v>#REF!</v>
      </c>
      <c r="GG243" t="e">
        <f>AND('GA55 Summry'!#REF!,"AAAAAH7rrrw=")</f>
        <v>#REF!</v>
      </c>
      <c r="GH243" t="e">
        <f>AND('GA55 Summry'!#REF!,"AAAAAH7rrr0=")</f>
        <v>#REF!</v>
      </c>
      <c r="GI243" t="e">
        <f>AND('GA55 Summry'!#REF!,"AAAAAH7rrr4=")</f>
        <v>#REF!</v>
      </c>
      <c r="GJ243" t="e">
        <f>AND('GA55 Summry'!#REF!,"AAAAAH7rrr8=")</f>
        <v>#REF!</v>
      </c>
      <c r="GK243" t="e">
        <f>AND('GA55 Summry'!#REF!,"AAAAAH7rrsA=")</f>
        <v>#REF!</v>
      </c>
      <c r="GL243" t="e">
        <f>AND('GA55 Summry'!#REF!,"AAAAAH7rrsE=")</f>
        <v>#REF!</v>
      </c>
      <c r="GM243" t="e">
        <f>AND('GA55 Summry'!#REF!,"AAAAAH7rrsI=")</f>
        <v>#REF!</v>
      </c>
      <c r="GN243" t="e">
        <f>AND('GA55 Summry'!#REF!,"AAAAAH7rrsM=")</f>
        <v>#REF!</v>
      </c>
      <c r="GO243" t="e">
        <f>AND('GA55 Summry'!#REF!,"AAAAAH7rrsQ=")</f>
        <v>#REF!</v>
      </c>
      <c r="GP243" t="e">
        <f>AND('GA55 Summry'!#REF!,"AAAAAH7rrsU=")</f>
        <v>#REF!</v>
      </c>
      <c r="GQ243" t="e">
        <f>AND('GA55 Summry'!#REF!,"AAAAAH7rrsY=")</f>
        <v>#REF!</v>
      </c>
      <c r="GR243" t="e">
        <f>AND('GA55 Summry'!#REF!,"AAAAAH7rrsc=")</f>
        <v>#REF!</v>
      </c>
      <c r="GS243" t="e">
        <f>AND('GA55 Summry'!#REF!,"AAAAAH7rrsg=")</f>
        <v>#REF!</v>
      </c>
      <c r="GT243" t="e">
        <f>AND('GA55 Summry'!#REF!,"AAAAAH7rrsk=")</f>
        <v>#REF!</v>
      </c>
      <c r="GU243" t="e">
        <f>AND('GA55 Summry'!#REF!,"AAAAAH7rrso=")</f>
        <v>#REF!</v>
      </c>
      <c r="GV243" t="e">
        <f>AND('GA55 Summry'!#REF!,"AAAAAH7rrss=")</f>
        <v>#REF!</v>
      </c>
      <c r="GW243" t="e">
        <f>AND('GA55 Summry'!#REF!,"AAAAAH7rrsw=")</f>
        <v>#REF!</v>
      </c>
      <c r="GX243" t="e">
        <f>AND('GA55 Summry'!#REF!,"AAAAAH7rrs0=")</f>
        <v>#REF!</v>
      </c>
      <c r="GY243" t="e">
        <f>AND('GA55 Summry'!#REF!,"AAAAAH7rrs4=")</f>
        <v>#REF!</v>
      </c>
      <c r="GZ243" t="e">
        <f>IF('GA55 Summry'!#REF!,"AAAAAH7rrs8=",0)</f>
        <v>#REF!</v>
      </c>
      <c r="HA243" t="e">
        <f>AND('GA55 Summry'!#REF!,"AAAAAH7rrtA=")</f>
        <v>#REF!</v>
      </c>
      <c r="HB243" t="e">
        <f>AND('GA55 Summry'!#REF!,"AAAAAH7rrtE=")</f>
        <v>#REF!</v>
      </c>
      <c r="HC243" t="e">
        <f>AND('GA55 Summry'!#REF!,"AAAAAH7rrtI=")</f>
        <v>#REF!</v>
      </c>
      <c r="HD243" t="e">
        <f>AND('GA55 Summry'!#REF!,"AAAAAH7rrtM=")</f>
        <v>#REF!</v>
      </c>
      <c r="HE243" t="e">
        <f>AND('GA55 Summry'!#REF!,"AAAAAH7rrtQ=")</f>
        <v>#REF!</v>
      </c>
      <c r="HF243" t="e">
        <f>AND('GA55 Summry'!#REF!,"AAAAAH7rrtU=")</f>
        <v>#REF!</v>
      </c>
      <c r="HG243" t="e">
        <f>AND('GA55 Summry'!#REF!,"AAAAAH7rrtY=")</f>
        <v>#REF!</v>
      </c>
      <c r="HH243" t="e">
        <f>AND('GA55 Summry'!#REF!,"AAAAAH7rrtc=")</f>
        <v>#REF!</v>
      </c>
      <c r="HI243" t="e">
        <f>AND('GA55 Summry'!#REF!,"AAAAAH7rrtg=")</f>
        <v>#REF!</v>
      </c>
      <c r="HJ243" t="e">
        <f>AND('GA55 Summry'!#REF!,"AAAAAH7rrtk=")</f>
        <v>#REF!</v>
      </c>
      <c r="HK243" t="e">
        <f>AND('GA55 Summry'!#REF!,"AAAAAH7rrto=")</f>
        <v>#REF!</v>
      </c>
      <c r="HL243" t="e">
        <f>AND('GA55 Summry'!#REF!,"AAAAAH7rrts=")</f>
        <v>#REF!</v>
      </c>
      <c r="HM243" t="e">
        <f>AND('GA55 Summry'!#REF!,"AAAAAH7rrtw=")</f>
        <v>#REF!</v>
      </c>
      <c r="HN243" t="e">
        <f>AND('GA55 Summry'!#REF!,"AAAAAH7rrt0=")</f>
        <v>#REF!</v>
      </c>
      <c r="HO243" t="e">
        <f>AND('GA55 Summry'!#REF!,"AAAAAH7rrt4=")</f>
        <v>#REF!</v>
      </c>
      <c r="HP243" t="e">
        <f>AND('GA55 Summry'!#REF!,"AAAAAH7rrt8=")</f>
        <v>#REF!</v>
      </c>
      <c r="HQ243" t="e">
        <f>AND('GA55 Summry'!#REF!,"AAAAAH7rruA=")</f>
        <v>#REF!</v>
      </c>
      <c r="HR243" t="e">
        <f>AND('GA55 Summry'!#REF!,"AAAAAH7rruE=")</f>
        <v>#REF!</v>
      </c>
      <c r="HS243" t="e">
        <f>AND('GA55 Summry'!#REF!,"AAAAAH7rruI=")</f>
        <v>#REF!</v>
      </c>
      <c r="HT243" t="e">
        <f>AND('GA55 Summry'!#REF!,"AAAAAH7rruM=")</f>
        <v>#REF!</v>
      </c>
      <c r="HU243" t="e">
        <f>AND('GA55 Summry'!#REF!,"AAAAAH7rruQ=")</f>
        <v>#REF!</v>
      </c>
      <c r="HV243" t="e">
        <f>AND('GA55 Summry'!#REF!,"AAAAAH7rruU=")</f>
        <v>#REF!</v>
      </c>
      <c r="HW243" t="e">
        <f>AND('GA55 Summry'!#REF!,"AAAAAH7rruY=")</f>
        <v>#REF!</v>
      </c>
      <c r="HX243" t="e">
        <f>AND('GA55 Summry'!#REF!,"AAAAAH7rruc=")</f>
        <v>#REF!</v>
      </c>
      <c r="HY243" t="e">
        <f>AND('GA55 Summry'!#REF!,"AAAAAH7rrug=")</f>
        <v>#REF!</v>
      </c>
      <c r="HZ243" t="e">
        <f>AND('GA55 Summry'!#REF!,"AAAAAH7rruk=")</f>
        <v>#REF!</v>
      </c>
      <c r="IA243" t="e">
        <f>AND('GA55 Summry'!#REF!,"AAAAAH7rruo=")</f>
        <v>#REF!</v>
      </c>
      <c r="IB243" t="e">
        <f>AND('GA55 Summry'!#REF!,"AAAAAH7rrus=")</f>
        <v>#REF!</v>
      </c>
      <c r="IC243" t="e">
        <f>AND('GA55 Summry'!#REF!,"AAAAAH7rruw=")</f>
        <v>#REF!</v>
      </c>
      <c r="ID243" t="e">
        <f>AND('GA55 Summry'!#REF!,"AAAAAH7rru0=")</f>
        <v>#REF!</v>
      </c>
      <c r="IE243" t="e">
        <f>AND('GA55 Summry'!#REF!,"AAAAAH7rru4=")</f>
        <v>#REF!</v>
      </c>
      <c r="IF243" t="e">
        <f>AND('GA55 Summry'!#REF!,"AAAAAH7rru8=")</f>
        <v>#REF!</v>
      </c>
      <c r="IG243" t="e">
        <f>AND('GA55 Summry'!#REF!,"AAAAAH7rrvA=")</f>
        <v>#REF!</v>
      </c>
      <c r="IH243" t="e">
        <f>AND('GA55 Summry'!#REF!,"AAAAAH7rrvE=")</f>
        <v>#REF!</v>
      </c>
      <c r="II243" t="e">
        <f>AND('GA55 Summry'!#REF!,"AAAAAH7rrvI=")</f>
        <v>#REF!</v>
      </c>
      <c r="IJ243" t="e">
        <f>AND('GA55 Summry'!#REF!,"AAAAAH7rrvM=")</f>
        <v>#REF!</v>
      </c>
      <c r="IK243" t="e">
        <f>AND('GA55 Summry'!#REF!,"AAAAAH7rrvQ=")</f>
        <v>#REF!</v>
      </c>
      <c r="IL243" t="e">
        <f>AND('GA55 Summry'!#REF!,"AAAAAH7rrvU=")</f>
        <v>#REF!</v>
      </c>
      <c r="IM243" t="e">
        <f>AND('GA55 Summry'!#REF!,"AAAAAH7rrvY=")</f>
        <v>#REF!</v>
      </c>
      <c r="IN243" t="e">
        <f>AND('GA55 Summry'!#REF!,"AAAAAH7rrvc=")</f>
        <v>#REF!</v>
      </c>
      <c r="IO243" t="e">
        <f>AND('GA55 Summry'!#REF!,"AAAAAH7rrvg=")</f>
        <v>#REF!</v>
      </c>
      <c r="IP243" t="e">
        <f>AND('GA55 Summry'!#REF!,"AAAAAH7rrvk=")</f>
        <v>#REF!</v>
      </c>
      <c r="IQ243" t="e">
        <f>AND('GA55 Summry'!#REF!,"AAAAAH7rrvo=")</f>
        <v>#REF!</v>
      </c>
      <c r="IR243" t="e">
        <f>AND('GA55 Summry'!#REF!,"AAAAAH7rrvs=")</f>
        <v>#REF!</v>
      </c>
      <c r="IS243" t="e">
        <f>AND('GA55 Summry'!#REF!,"AAAAAH7rrvw=")</f>
        <v>#REF!</v>
      </c>
      <c r="IT243" t="e">
        <f>AND('GA55 Summry'!#REF!,"AAAAAH7rrv0=")</f>
        <v>#REF!</v>
      </c>
      <c r="IU243" t="e">
        <f>AND('GA55 Summry'!#REF!,"AAAAAH7rrv4=")</f>
        <v>#REF!</v>
      </c>
      <c r="IV243" t="e">
        <f>AND('GA55 Summry'!#REF!,"AAAAAH7rrv8=")</f>
        <v>#REF!</v>
      </c>
    </row>
    <row r="244" spans="1:256">
      <c r="A244" t="e">
        <f>AND('GA55 Summry'!#REF!,"AAAAAGn75QA=")</f>
        <v>#REF!</v>
      </c>
      <c r="B244" t="e">
        <f>AND('GA55 Summry'!#REF!,"AAAAAGn75QE=")</f>
        <v>#REF!</v>
      </c>
      <c r="C244" t="e">
        <f>AND('GA55 Summry'!#REF!,"AAAAAGn75QI=")</f>
        <v>#REF!</v>
      </c>
      <c r="D244" t="e">
        <f>AND('GA55 Summry'!#REF!,"AAAAAGn75QM=")</f>
        <v>#REF!</v>
      </c>
      <c r="E244" t="e">
        <f>AND('GA55 Summry'!#REF!,"AAAAAGn75QQ=")</f>
        <v>#REF!</v>
      </c>
      <c r="F244" t="e">
        <f>AND('GA55 Summry'!#REF!,"AAAAAGn75QU=")</f>
        <v>#REF!</v>
      </c>
      <c r="G244" t="e">
        <f>AND('GA55 Summry'!#REF!,"AAAAAGn75QY=")</f>
        <v>#REF!</v>
      </c>
      <c r="H244" t="e">
        <f>AND('GA55 Summry'!#REF!,"AAAAAGn75Qc=")</f>
        <v>#REF!</v>
      </c>
      <c r="I244" t="e">
        <f>AND('GA55 Summry'!#REF!,"AAAAAGn75Qg=")</f>
        <v>#REF!</v>
      </c>
      <c r="J244" t="e">
        <f>AND('GA55 Summry'!#REF!,"AAAAAGn75Qk=")</f>
        <v>#REF!</v>
      </c>
      <c r="K244" t="e">
        <f>AND('GA55 Summry'!#REF!,"AAAAAGn75Qo=")</f>
        <v>#REF!</v>
      </c>
      <c r="L244" t="e">
        <f>AND('GA55 Summry'!#REF!,"AAAAAGn75Qs=")</f>
        <v>#REF!</v>
      </c>
      <c r="M244" t="e">
        <f>AND('GA55 Summry'!#REF!,"AAAAAGn75Qw=")</f>
        <v>#REF!</v>
      </c>
      <c r="N244" t="e">
        <f>AND('GA55 Summry'!#REF!,"AAAAAGn75Q0=")</f>
        <v>#REF!</v>
      </c>
      <c r="O244" t="e">
        <f>AND('GA55 Summry'!#REF!,"AAAAAGn75Q4=")</f>
        <v>#REF!</v>
      </c>
      <c r="P244" t="e">
        <f>AND('GA55 Summry'!#REF!,"AAAAAGn75Q8=")</f>
        <v>#REF!</v>
      </c>
      <c r="Q244" t="e">
        <f>AND('GA55 Summry'!#REF!,"AAAAAGn75RA=")</f>
        <v>#REF!</v>
      </c>
      <c r="R244" t="e">
        <f>AND('GA55 Summry'!#REF!,"AAAAAGn75RE=")</f>
        <v>#REF!</v>
      </c>
      <c r="S244" t="e">
        <f>AND('GA55 Summry'!#REF!,"AAAAAGn75RI=")</f>
        <v>#REF!</v>
      </c>
      <c r="T244" t="e">
        <f>AND('GA55 Summry'!#REF!,"AAAAAGn75RM=")</f>
        <v>#REF!</v>
      </c>
      <c r="U244" t="e">
        <f>AND('GA55 Summry'!#REF!,"AAAAAGn75RQ=")</f>
        <v>#REF!</v>
      </c>
      <c r="V244" t="e">
        <f>AND('GA55 Summry'!#REF!,"AAAAAGn75RU=")</f>
        <v>#REF!</v>
      </c>
      <c r="W244" t="e">
        <f>AND('GA55 Summry'!#REF!,"AAAAAGn75RY=")</f>
        <v>#REF!</v>
      </c>
      <c r="X244" t="e">
        <f>AND('GA55 Summry'!#REF!,"AAAAAGn75Rc=")</f>
        <v>#REF!</v>
      </c>
      <c r="Y244" t="e">
        <f>AND('GA55 Summry'!#REF!,"AAAAAGn75Rg=")</f>
        <v>#REF!</v>
      </c>
      <c r="Z244" t="e">
        <f>AND('GA55 Summry'!#REF!,"AAAAAGn75Rk=")</f>
        <v>#REF!</v>
      </c>
      <c r="AA244" t="e">
        <f>IF('GA55 Summry'!#REF!,"AAAAAGn75Ro=",0)</f>
        <v>#REF!</v>
      </c>
      <c r="AB244" t="e">
        <f>AND('GA55 Summry'!#REF!,"AAAAAGn75Rs=")</f>
        <v>#REF!</v>
      </c>
      <c r="AC244" t="e">
        <f>AND('GA55 Summry'!#REF!,"AAAAAGn75Rw=")</f>
        <v>#REF!</v>
      </c>
      <c r="AD244" t="e">
        <f>AND('GA55 Summry'!#REF!,"AAAAAGn75R0=")</f>
        <v>#REF!</v>
      </c>
      <c r="AE244" t="e">
        <f>AND('GA55 Summry'!#REF!,"AAAAAGn75R4=")</f>
        <v>#REF!</v>
      </c>
      <c r="AF244" t="e">
        <f>AND('GA55 Summry'!#REF!,"AAAAAGn75R8=")</f>
        <v>#REF!</v>
      </c>
      <c r="AG244" t="e">
        <f>AND('GA55 Summry'!#REF!,"AAAAAGn75SA=")</f>
        <v>#REF!</v>
      </c>
      <c r="AH244" t="e">
        <f>AND('GA55 Summry'!#REF!,"AAAAAGn75SE=")</f>
        <v>#REF!</v>
      </c>
      <c r="AI244" t="e">
        <f>AND('GA55 Summry'!#REF!,"AAAAAGn75SI=")</f>
        <v>#REF!</v>
      </c>
      <c r="AJ244" t="e">
        <f>AND('GA55 Summry'!#REF!,"AAAAAGn75SM=")</f>
        <v>#REF!</v>
      </c>
      <c r="AK244" t="e">
        <f>AND('GA55 Summry'!#REF!,"AAAAAGn75SQ=")</f>
        <v>#REF!</v>
      </c>
      <c r="AL244" t="e">
        <f>AND('GA55 Summry'!#REF!,"AAAAAGn75SU=")</f>
        <v>#REF!</v>
      </c>
      <c r="AM244" t="e">
        <f>AND('GA55 Summry'!#REF!,"AAAAAGn75SY=")</f>
        <v>#REF!</v>
      </c>
      <c r="AN244" t="e">
        <f>AND('GA55 Summry'!#REF!,"AAAAAGn75Sc=")</f>
        <v>#REF!</v>
      </c>
      <c r="AO244" t="e">
        <f>AND('GA55 Summry'!#REF!,"AAAAAGn75Sg=")</f>
        <v>#REF!</v>
      </c>
      <c r="AP244" t="e">
        <f>AND('GA55 Summry'!#REF!,"AAAAAGn75Sk=")</f>
        <v>#REF!</v>
      </c>
      <c r="AQ244" t="e">
        <f>AND('GA55 Summry'!#REF!,"AAAAAGn75So=")</f>
        <v>#REF!</v>
      </c>
      <c r="AR244" t="e">
        <f>AND('GA55 Summry'!#REF!,"AAAAAGn75Ss=")</f>
        <v>#REF!</v>
      </c>
      <c r="AS244" t="e">
        <f>AND('GA55 Summry'!#REF!,"AAAAAGn75Sw=")</f>
        <v>#REF!</v>
      </c>
      <c r="AT244" t="e">
        <f>AND('GA55 Summry'!#REF!,"AAAAAGn75S0=")</f>
        <v>#REF!</v>
      </c>
      <c r="AU244" t="e">
        <f>AND('GA55 Summry'!#REF!,"AAAAAGn75S4=")</f>
        <v>#REF!</v>
      </c>
      <c r="AV244" t="e">
        <f>AND('GA55 Summry'!#REF!,"AAAAAGn75S8=")</f>
        <v>#REF!</v>
      </c>
      <c r="AW244" t="e">
        <f>AND('GA55 Summry'!#REF!,"AAAAAGn75TA=")</f>
        <v>#REF!</v>
      </c>
      <c r="AX244" t="e">
        <f>AND('GA55 Summry'!#REF!,"AAAAAGn75TE=")</f>
        <v>#REF!</v>
      </c>
      <c r="AY244" t="e">
        <f>AND('GA55 Summry'!#REF!,"AAAAAGn75TI=")</f>
        <v>#REF!</v>
      </c>
      <c r="AZ244" t="e">
        <f>AND('GA55 Summry'!#REF!,"AAAAAGn75TM=")</f>
        <v>#REF!</v>
      </c>
      <c r="BA244" t="e">
        <f>AND('GA55 Summry'!#REF!,"AAAAAGn75TQ=")</f>
        <v>#REF!</v>
      </c>
      <c r="BB244" t="e">
        <f>AND('GA55 Summry'!#REF!,"AAAAAGn75TU=")</f>
        <v>#REF!</v>
      </c>
      <c r="BC244" t="e">
        <f>AND('GA55 Summry'!#REF!,"AAAAAGn75TY=")</f>
        <v>#REF!</v>
      </c>
      <c r="BD244" t="e">
        <f>AND('GA55 Summry'!#REF!,"AAAAAGn75Tc=")</f>
        <v>#REF!</v>
      </c>
      <c r="BE244" t="e">
        <f>AND('GA55 Summry'!#REF!,"AAAAAGn75Tg=")</f>
        <v>#REF!</v>
      </c>
      <c r="BF244" t="e">
        <f>AND('GA55 Summry'!#REF!,"AAAAAGn75Tk=")</f>
        <v>#REF!</v>
      </c>
      <c r="BG244" t="e">
        <f>AND('GA55 Summry'!#REF!,"AAAAAGn75To=")</f>
        <v>#REF!</v>
      </c>
      <c r="BH244" t="e">
        <f>AND('GA55 Summry'!#REF!,"AAAAAGn75Ts=")</f>
        <v>#REF!</v>
      </c>
      <c r="BI244" t="e">
        <f>AND('GA55 Summry'!#REF!,"AAAAAGn75Tw=")</f>
        <v>#REF!</v>
      </c>
      <c r="BJ244" t="e">
        <f>AND('GA55 Summry'!#REF!,"AAAAAGn75T0=")</f>
        <v>#REF!</v>
      </c>
      <c r="BK244" t="e">
        <f>AND('GA55 Summry'!#REF!,"AAAAAGn75T4=")</f>
        <v>#REF!</v>
      </c>
      <c r="BL244" t="e">
        <f>AND('GA55 Summry'!#REF!,"AAAAAGn75T8=")</f>
        <v>#REF!</v>
      </c>
      <c r="BM244" t="e">
        <f>AND('GA55 Summry'!#REF!,"AAAAAGn75UA=")</f>
        <v>#REF!</v>
      </c>
      <c r="BN244" t="e">
        <f>AND('GA55 Summry'!#REF!,"AAAAAGn75UE=")</f>
        <v>#REF!</v>
      </c>
      <c r="BO244" t="e">
        <f>AND('GA55 Summry'!#REF!,"AAAAAGn75UI=")</f>
        <v>#REF!</v>
      </c>
      <c r="BP244" t="e">
        <f>AND('GA55 Summry'!#REF!,"AAAAAGn75UM=")</f>
        <v>#REF!</v>
      </c>
      <c r="BQ244" t="e">
        <f>AND('GA55 Summry'!#REF!,"AAAAAGn75UQ=")</f>
        <v>#REF!</v>
      </c>
      <c r="BR244" t="e">
        <f>AND('GA55 Summry'!#REF!,"AAAAAGn75UU=")</f>
        <v>#REF!</v>
      </c>
      <c r="BS244" t="e">
        <f>AND('GA55 Summry'!#REF!,"AAAAAGn75UY=")</f>
        <v>#REF!</v>
      </c>
      <c r="BT244" t="e">
        <f>AND('GA55 Summry'!#REF!,"AAAAAGn75Uc=")</f>
        <v>#REF!</v>
      </c>
      <c r="BU244" t="e">
        <f>AND('GA55 Summry'!#REF!,"AAAAAGn75Ug=")</f>
        <v>#REF!</v>
      </c>
      <c r="BV244" t="e">
        <f>AND('GA55 Summry'!#REF!,"AAAAAGn75Uk=")</f>
        <v>#REF!</v>
      </c>
      <c r="BW244" t="e">
        <f>AND('GA55 Summry'!#REF!,"AAAAAGn75Uo=")</f>
        <v>#REF!</v>
      </c>
      <c r="BX244" t="e">
        <f>AND('GA55 Summry'!#REF!,"AAAAAGn75Us=")</f>
        <v>#REF!</v>
      </c>
      <c r="BY244" t="e">
        <f>AND('GA55 Summry'!#REF!,"AAAAAGn75Uw=")</f>
        <v>#REF!</v>
      </c>
      <c r="BZ244" t="e">
        <f>AND('GA55 Summry'!#REF!,"AAAAAGn75U0=")</f>
        <v>#REF!</v>
      </c>
      <c r="CA244" t="e">
        <f>AND('GA55 Summry'!#REF!,"AAAAAGn75U4=")</f>
        <v>#REF!</v>
      </c>
      <c r="CB244" t="e">
        <f>AND('GA55 Summry'!#REF!,"AAAAAGn75U8=")</f>
        <v>#REF!</v>
      </c>
      <c r="CC244" t="e">
        <f>AND('GA55 Summry'!#REF!,"AAAAAGn75VA=")</f>
        <v>#REF!</v>
      </c>
      <c r="CD244" t="e">
        <f>AND('GA55 Summry'!#REF!,"AAAAAGn75VE=")</f>
        <v>#REF!</v>
      </c>
      <c r="CE244" t="e">
        <f>AND('GA55 Summry'!#REF!,"AAAAAGn75VI=")</f>
        <v>#REF!</v>
      </c>
      <c r="CF244" t="e">
        <f>AND('GA55 Summry'!#REF!,"AAAAAGn75VM=")</f>
        <v>#REF!</v>
      </c>
      <c r="CG244" t="e">
        <f>AND('GA55 Summry'!#REF!,"AAAAAGn75VQ=")</f>
        <v>#REF!</v>
      </c>
      <c r="CH244" t="e">
        <f>AND('GA55 Summry'!#REF!,"AAAAAGn75VU=")</f>
        <v>#REF!</v>
      </c>
      <c r="CI244" t="e">
        <f>AND('GA55 Summry'!#REF!,"AAAAAGn75VY=")</f>
        <v>#REF!</v>
      </c>
      <c r="CJ244" t="e">
        <f>AND('GA55 Summry'!#REF!,"AAAAAGn75Vc=")</f>
        <v>#REF!</v>
      </c>
      <c r="CK244" t="e">
        <f>AND('GA55 Summry'!#REF!,"AAAAAGn75Vg=")</f>
        <v>#REF!</v>
      </c>
      <c r="CL244" t="e">
        <f>AND('GA55 Summry'!#REF!,"AAAAAGn75Vk=")</f>
        <v>#REF!</v>
      </c>
      <c r="CM244" t="e">
        <f>AND('GA55 Summry'!#REF!,"AAAAAGn75Vo=")</f>
        <v>#REF!</v>
      </c>
      <c r="CN244" t="e">
        <f>AND('GA55 Summry'!#REF!,"AAAAAGn75Vs=")</f>
        <v>#REF!</v>
      </c>
      <c r="CO244" t="e">
        <f>AND('GA55 Summry'!#REF!,"AAAAAGn75Vw=")</f>
        <v>#REF!</v>
      </c>
      <c r="CP244" t="e">
        <f>AND('GA55 Summry'!#REF!,"AAAAAGn75V0=")</f>
        <v>#REF!</v>
      </c>
      <c r="CQ244" t="e">
        <f>AND('GA55 Summry'!#REF!,"AAAAAGn75V4=")</f>
        <v>#REF!</v>
      </c>
      <c r="CR244" t="e">
        <f>AND('GA55 Summry'!#REF!,"AAAAAGn75V8=")</f>
        <v>#REF!</v>
      </c>
      <c r="CS244" t="e">
        <f>AND('GA55 Summry'!#REF!,"AAAAAGn75WA=")</f>
        <v>#REF!</v>
      </c>
      <c r="CT244" t="e">
        <f>AND('GA55 Summry'!#REF!,"AAAAAGn75WE=")</f>
        <v>#REF!</v>
      </c>
      <c r="CU244" t="e">
        <f>AND('GA55 Summry'!#REF!,"AAAAAGn75WI=")</f>
        <v>#REF!</v>
      </c>
      <c r="CV244" t="e">
        <f>AND('GA55 Summry'!#REF!,"AAAAAGn75WM=")</f>
        <v>#REF!</v>
      </c>
      <c r="CW244" t="e">
        <f>AND('GA55 Summry'!#REF!,"AAAAAGn75WQ=")</f>
        <v>#REF!</v>
      </c>
      <c r="CX244" t="e">
        <f>IF('GA55 Summry'!#REF!,"AAAAAGn75WU=",0)</f>
        <v>#REF!</v>
      </c>
      <c r="CY244" t="e">
        <f>AND('GA55 Summry'!#REF!,"AAAAAGn75WY=")</f>
        <v>#REF!</v>
      </c>
      <c r="CZ244" t="e">
        <f>AND('GA55 Summry'!#REF!,"AAAAAGn75Wc=")</f>
        <v>#REF!</v>
      </c>
      <c r="DA244" t="e">
        <f>AND('GA55 Summry'!#REF!,"AAAAAGn75Wg=")</f>
        <v>#REF!</v>
      </c>
      <c r="DB244" t="e">
        <f>AND('GA55 Summry'!#REF!,"AAAAAGn75Wk=")</f>
        <v>#REF!</v>
      </c>
      <c r="DC244" t="e">
        <f>AND('GA55 Summry'!#REF!,"AAAAAGn75Wo=")</f>
        <v>#REF!</v>
      </c>
      <c r="DD244" t="e">
        <f>AND('GA55 Summry'!#REF!,"AAAAAGn75Ws=")</f>
        <v>#REF!</v>
      </c>
      <c r="DE244" t="e">
        <f>AND('GA55 Summry'!#REF!,"AAAAAGn75Ww=")</f>
        <v>#REF!</v>
      </c>
      <c r="DF244" t="e">
        <f>AND('GA55 Summry'!#REF!,"AAAAAGn75W0=")</f>
        <v>#REF!</v>
      </c>
      <c r="DG244" t="e">
        <f>AND('GA55 Summry'!#REF!,"AAAAAGn75W4=")</f>
        <v>#REF!</v>
      </c>
      <c r="DH244" t="e">
        <f>AND('GA55 Summry'!#REF!,"AAAAAGn75W8=")</f>
        <v>#REF!</v>
      </c>
      <c r="DI244" t="e">
        <f>AND('GA55 Summry'!#REF!,"AAAAAGn75XA=")</f>
        <v>#REF!</v>
      </c>
      <c r="DJ244" t="e">
        <f>AND('GA55 Summry'!#REF!,"AAAAAGn75XE=")</f>
        <v>#REF!</v>
      </c>
      <c r="DK244" t="e">
        <f>AND('GA55 Summry'!#REF!,"AAAAAGn75XI=")</f>
        <v>#REF!</v>
      </c>
      <c r="DL244" t="e">
        <f>AND('GA55 Summry'!#REF!,"AAAAAGn75XM=")</f>
        <v>#REF!</v>
      </c>
      <c r="DM244" t="e">
        <f>AND('GA55 Summry'!#REF!,"AAAAAGn75XQ=")</f>
        <v>#REF!</v>
      </c>
      <c r="DN244" t="e">
        <f>AND('GA55 Summry'!#REF!,"AAAAAGn75XU=")</f>
        <v>#REF!</v>
      </c>
      <c r="DO244" t="e">
        <f>AND('GA55 Summry'!#REF!,"AAAAAGn75XY=")</f>
        <v>#REF!</v>
      </c>
      <c r="DP244" t="e">
        <f>AND('GA55 Summry'!#REF!,"AAAAAGn75Xc=")</f>
        <v>#REF!</v>
      </c>
      <c r="DQ244" t="e">
        <f>AND('GA55 Summry'!#REF!,"AAAAAGn75Xg=")</f>
        <v>#REF!</v>
      </c>
      <c r="DR244" t="e">
        <f>AND('GA55 Summry'!#REF!,"AAAAAGn75Xk=")</f>
        <v>#REF!</v>
      </c>
      <c r="DS244" t="e">
        <f>AND('GA55 Summry'!#REF!,"AAAAAGn75Xo=")</f>
        <v>#REF!</v>
      </c>
      <c r="DT244" t="e">
        <f>AND('GA55 Summry'!#REF!,"AAAAAGn75Xs=")</f>
        <v>#REF!</v>
      </c>
      <c r="DU244" t="e">
        <f>AND('GA55 Summry'!#REF!,"AAAAAGn75Xw=")</f>
        <v>#REF!</v>
      </c>
      <c r="DV244" t="e">
        <f>AND('GA55 Summry'!#REF!,"AAAAAGn75X0=")</f>
        <v>#REF!</v>
      </c>
      <c r="DW244" t="e">
        <f>AND('GA55 Summry'!#REF!,"AAAAAGn75X4=")</f>
        <v>#REF!</v>
      </c>
      <c r="DX244" t="e">
        <f>AND('GA55 Summry'!#REF!,"AAAAAGn75X8=")</f>
        <v>#REF!</v>
      </c>
      <c r="DY244" t="e">
        <f>AND('GA55 Summry'!#REF!,"AAAAAGn75YA=")</f>
        <v>#REF!</v>
      </c>
      <c r="DZ244" t="e">
        <f>AND('GA55 Summry'!#REF!,"AAAAAGn75YE=")</f>
        <v>#REF!</v>
      </c>
      <c r="EA244" t="e">
        <f>AND('GA55 Summry'!#REF!,"AAAAAGn75YI=")</f>
        <v>#REF!</v>
      </c>
      <c r="EB244" t="e">
        <f>AND('GA55 Summry'!#REF!,"AAAAAGn75YM=")</f>
        <v>#REF!</v>
      </c>
      <c r="EC244" t="e">
        <f>AND('GA55 Summry'!#REF!,"AAAAAGn75YQ=")</f>
        <v>#REF!</v>
      </c>
      <c r="ED244" t="e">
        <f>AND('GA55 Summry'!#REF!,"AAAAAGn75YU=")</f>
        <v>#REF!</v>
      </c>
      <c r="EE244" t="e">
        <f>AND('GA55 Summry'!#REF!,"AAAAAGn75YY=")</f>
        <v>#REF!</v>
      </c>
      <c r="EF244" t="e">
        <f>AND('GA55 Summry'!#REF!,"AAAAAGn75Yc=")</f>
        <v>#REF!</v>
      </c>
      <c r="EG244" t="e">
        <f>AND('GA55 Summry'!#REF!,"AAAAAGn75Yg=")</f>
        <v>#REF!</v>
      </c>
      <c r="EH244" t="e">
        <f>AND('GA55 Summry'!#REF!,"AAAAAGn75Yk=")</f>
        <v>#REF!</v>
      </c>
      <c r="EI244" t="e">
        <f>AND('GA55 Summry'!#REF!,"AAAAAGn75Yo=")</f>
        <v>#REF!</v>
      </c>
      <c r="EJ244" t="e">
        <f>AND('GA55 Summry'!#REF!,"AAAAAGn75Ys=")</f>
        <v>#REF!</v>
      </c>
      <c r="EK244" t="e">
        <f>AND('GA55 Summry'!#REF!,"AAAAAGn75Yw=")</f>
        <v>#REF!</v>
      </c>
      <c r="EL244" t="e">
        <f>AND('GA55 Summry'!#REF!,"AAAAAGn75Y0=")</f>
        <v>#REF!</v>
      </c>
      <c r="EM244" t="e">
        <f>AND('GA55 Summry'!#REF!,"AAAAAGn75Y4=")</f>
        <v>#REF!</v>
      </c>
      <c r="EN244" t="e">
        <f>AND('GA55 Summry'!#REF!,"AAAAAGn75Y8=")</f>
        <v>#REF!</v>
      </c>
      <c r="EO244" t="e">
        <f>AND('GA55 Summry'!#REF!,"AAAAAGn75ZA=")</f>
        <v>#REF!</v>
      </c>
      <c r="EP244" t="e">
        <f>AND('GA55 Summry'!#REF!,"AAAAAGn75ZE=")</f>
        <v>#REF!</v>
      </c>
      <c r="EQ244" t="e">
        <f>AND('GA55 Summry'!#REF!,"AAAAAGn75ZI=")</f>
        <v>#REF!</v>
      </c>
      <c r="ER244" t="e">
        <f>AND('GA55 Summry'!#REF!,"AAAAAGn75ZM=")</f>
        <v>#REF!</v>
      </c>
      <c r="ES244" t="e">
        <f>AND('GA55 Summry'!#REF!,"AAAAAGn75ZQ=")</f>
        <v>#REF!</v>
      </c>
      <c r="ET244" t="e">
        <f>AND('GA55 Summry'!#REF!,"AAAAAGn75ZU=")</f>
        <v>#REF!</v>
      </c>
      <c r="EU244" t="e">
        <f>AND('GA55 Summry'!#REF!,"AAAAAGn75ZY=")</f>
        <v>#REF!</v>
      </c>
      <c r="EV244" t="e">
        <f>AND('GA55 Summry'!#REF!,"AAAAAGn75Zc=")</f>
        <v>#REF!</v>
      </c>
      <c r="EW244" t="e">
        <f>AND('GA55 Summry'!#REF!,"AAAAAGn75Zg=")</f>
        <v>#REF!</v>
      </c>
      <c r="EX244" t="e">
        <f>AND('GA55 Summry'!#REF!,"AAAAAGn75Zk=")</f>
        <v>#REF!</v>
      </c>
      <c r="EY244" t="e">
        <f>AND('GA55 Summry'!#REF!,"AAAAAGn75Zo=")</f>
        <v>#REF!</v>
      </c>
      <c r="EZ244" t="e">
        <f>AND('GA55 Summry'!#REF!,"AAAAAGn75Zs=")</f>
        <v>#REF!</v>
      </c>
      <c r="FA244" t="e">
        <f>AND('GA55 Summry'!#REF!,"AAAAAGn75Zw=")</f>
        <v>#REF!</v>
      </c>
      <c r="FB244" t="e">
        <f>AND('GA55 Summry'!#REF!,"AAAAAGn75Z0=")</f>
        <v>#REF!</v>
      </c>
      <c r="FC244" t="e">
        <f>AND('GA55 Summry'!#REF!,"AAAAAGn75Z4=")</f>
        <v>#REF!</v>
      </c>
      <c r="FD244" t="e">
        <f>AND('GA55 Summry'!#REF!,"AAAAAGn75Z8=")</f>
        <v>#REF!</v>
      </c>
      <c r="FE244" t="e">
        <f>AND('GA55 Summry'!#REF!,"AAAAAGn75aA=")</f>
        <v>#REF!</v>
      </c>
      <c r="FF244" t="e">
        <f>AND('GA55 Summry'!#REF!,"AAAAAGn75aE=")</f>
        <v>#REF!</v>
      </c>
      <c r="FG244" t="e">
        <f>AND('GA55 Summry'!#REF!,"AAAAAGn75aI=")</f>
        <v>#REF!</v>
      </c>
      <c r="FH244" t="e">
        <f>AND('GA55 Summry'!#REF!,"AAAAAGn75aM=")</f>
        <v>#REF!</v>
      </c>
      <c r="FI244" t="e">
        <f>AND('GA55 Summry'!#REF!,"AAAAAGn75aQ=")</f>
        <v>#REF!</v>
      </c>
      <c r="FJ244" t="e">
        <f>AND('GA55 Summry'!#REF!,"AAAAAGn75aU=")</f>
        <v>#REF!</v>
      </c>
      <c r="FK244" t="e">
        <f>AND('GA55 Summry'!#REF!,"AAAAAGn75aY=")</f>
        <v>#REF!</v>
      </c>
      <c r="FL244" t="e">
        <f>AND('GA55 Summry'!#REF!,"AAAAAGn75ac=")</f>
        <v>#REF!</v>
      </c>
      <c r="FM244" t="e">
        <f>AND('GA55 Summry'!#REF!,"AAAAAGn75ag=")</f>
        <v>#REF!</v>
      </c>
      <c r="FN244" t="e">
        <f>AND('GA55 Summry'!#REF!,"AAAAAGn75ak=")</f>
        <v>#REF!</v>
      </c>
      <c r="FO244" t="e">
        <f>AND('GA55 Summry'!#REF!,"AAAAAGn75ao=")</f>
        <v>#REF!</v>
      </c>
      <c r="FP244" t="e">
        <f>AND('GA55 Summry'!#REF!,"AAAAAGn75as=")</f>
        <v>#REF!</v>
      </c>
      <c r="FQ244" t="e">
        <f>AND('GA55 Summry'!#REF!,"AAAAAGn75aw=")</f>
        <v>#REF!</v>
      </c>
      <c r="FR244" t="e">
        <f>AND('GA55 Summry'!#REF!,"AAAAAGn75a0=")</f>
        <v>#REF!</v>
      </c>
      <c r="FS244" t="e">
        <f>AND('GA55 Summry'!#REF!,"AAAAAGn75a4=")</f>
        <v>#REF!</v>
      </c>
      <c r="FT244" t="e">
        <f>AND('GA55 Summry'!#REF!,"AAAAAGn75a8=")</f>
        <v>#REF!</v>
      </c>
      <c r="FU244" t="e">
        <f>IF('GA55 Summry'!#REF!,"AAAAAGn75bA=",0)</f>
        <v>#REF!</v>
      </c>
      <c r="FV244" t="e">
        <f>AND('GA55 Summry'!#REF!,"AAAAAGn75bE=")</f>
        <v>#REF!</v>
      </c>
      <c r="FW244" t="e">
        <f>AND('GA55 Summry'!#REF!,"AAAAAGn75bI=")</f>
        <v>#REF!</v>
      </c>
      <c r="FX244" t="e">
        <f>AND('GA55 Summry'!#REF!,"AAAAAGn75bM=")</f>
        <v>#REF!</v>
      </c>
      <c r="FY244" t="e">
        <f>AND('GA55 Summry'!#REF!,"AAAAAGn75bQ=")</f>
        <v>#REF!</v>
      </c>
      <c r="FZ244" t="e">
        <f>AND('GA55 Summry'!#REF!,"AAAAAGn75bU=")</f>
        <v>#REF!</v>
      </c>
      <c r="GA244" t="e">
        <f>AND('GA55 Summry'!#REF!,"AAAAAGn75bY=")</f>
        <v>#REF!</v>
      </c>
      <c r="GB244" t="e">
        <f>AND('GA55 Summry'!#REF!,"AAAAAGn75bc=")</f>
        <v>#REF!</v>
      </c>
      <c r="GC244" t="e">
        <f>AND('GA55 Summry'!#REF!,"AAAAAGn75bg=")</f>
        <v>#REF!</v>
      </c>
      <c r="GD244" t="e">
        <f>AND('GA55 Summry'!#REF!,"AAAAAGn75bk=")</f>
        <v>#REF!</v>
      </c>
      <c r="GE244" t="e">
        <f>AND('GA55 Summry'!#REF!,"AAAAAGn75bo=")</f>
        <v>#REF!</v>
      </c>
      <c r="GF244" t="e">
        <f>AND('GA55 Summry'!#REF!,"AAAAAGn75bs=")</f>
        <v>#REF!</v>
      </c>
      <c r="GG244" t="e">
        <f>AND('GA55 Summry'!#REF!,"AAAAAGn75bw=")</f>
        <v>#REF!</v>
      </c>
      <c r="GH244" t="e">
        <f>AND('GA55 Summry'!#REF!,"AAAAAGn75b0=")</f>
        <v>#REF!</v>
      </c>
      <c r="GI244" t="e">
        <f>AND('GA55 Summry'!#REF!,"AAAAAGn75b4=")</f>
        <v>#REF!</v>
      </c>
      <c r="GJ244" t="e">
        <f>AND('GA55 Summry'!#REF!,"AAAAAGn75b8=")</f>
        <v>#REF!</v>
      </c>
      <c r="GK244" t="e">
        <f>AND('GA55 Summry'!#REF!,"AAAAAGn75cA=")</f>
        <v>#REF!</v>
      </c>
      <c r="GL244" t="e">
        <f>AND('GA55 Summry'!#REF!,"AAAAAGn75cE=")</f>
        <v>#REF!</v>
      </c>
      <c r="GM244" t="e">
        <f>AND('GA55 Summry'!#REF!,"AAAAAGn75cI=")</f>
        <v>#REF!</v>
      </c>
      <c r="GN244" t="e">
        <f>AND('GA55 Summry'!#REF!,"AAAAAGn75cM=")</f>
        <v>#REF!</v>
      </c>
      <c r="GO244" t="e">
        <f>AND('GA55 Summry'!#REF!,"AAAAAGn75cQ=")</f>
        <v>#REF!</v>
      </c>
      <c r="GP244" t="e">
        <f>AND('GA55 Summry'!#REF!,"AAAAAGn75cU=")</f>
        <v>#REF!</v>
      </c>
      <c r="GQ244" t="e">
        <f>AND('GA55 Summry'!#REF!,"AAAAAGn75cY=")</f>
        <v>#REF!</v>
      </c>
      <c r="GR244" t="e">
        <f>AND('GA55 Summry'!#REF!,"AAAAAGn75cc=")</f>
        <v>#REF!</v>
      </c>
      <c r="GS244" t="e">
        <f>AND('GA55 Summry'!#REF!,"AAAAAGn75cg=")</f>
        <v>#REF!</v>
      </c>
      <c r="GT244" t="e">
        <f>AND('GA55 Summry'!#REF!,"AAAAAGn75ck=")</f>
        <v>#REF!</v>
      </c>
      <c r="GU244" t="e">
        <f>AND('GA55 Summry'!#REF!,"AAAAAGn75co=")</f>
        <v>#REF!</v>
      </c>
      <c r="GV244" t="e">
        <f>AND('GA55 Summry'!#REF!,"AAAAAGn75cs=")</f>
        <v>#REF!</v>
      </c>
      <c r="GW244" t="e">
        <f>AND('GA55 Summry'!#REF!,"AAAAAGn75cw=")</f>
        <v>#REF!</v>
      </c>
      <c r="GX244" t="e">
        <f>AND('GA55 Summry'!#REF!,"AAAAAGn75c0=")</f>
        <v>#REF!</v>
      </c>
      <c r="GY244" t="e">
        <f>AND('GA55 Summry'!#REF!,"AAAAAGn75c4=")</f>
        <v>#REF!</v>
      </c>
      <c r="GZ244" t="e">
        <f>AND('GA55 Summry'!#REF!,"AAAAAGn75c8=")</f>
        <v>#REF!</v>
      </c>
      <c r="HA244" t="e">
        <f>AND('GA55 Summry'!#REF!,"AAAAAGn75dA=")</f>
        <v>#REF!</v>
      </c>
      <c r="HB244" t="e">
        <f>AND('GA55 Summry'!#REF!,"AAAAAGn75dE=")</f>
        <v>#REF!</v>
      </c>
      <c r="HC244" t="e">
        <f>AND('GA55 Summry'!#REF!,"AAAAAGn75dI=")</f>
        <v>#REF!</v>
      </c>
      <c r="HD244" t="e">
        <f>AND('GA55 Summry'!#REF!,"AAAAAGn75dM=")</f>
        <v>#REF!</v>
      </c>
      <c r="HE244" t="e">
        <f>AND('GA55 Summry'!#REF!,"AAAAAGn75dQ=")</f>
        <v>#REF!</v>
      </c>
      <c r="HF244" t="e">
        <f>AND('GA55 Summry'!#REF!,"AAAAAGn75dU=")</f>
        <v>#REF!</v>
      </c>
      <c r="HG244" t="e">
        <f>AND('GA55 Summry'!#REF!,"AAAAAGn75dY=")</f>
        <v>#REF!</v>
      </c>
      <c r="HH244" t="e">
        <f>AND('GA55 Summry'!#REF!,"AAAAAGn75dc=")</f>
        <v>#REF!</v>
      </c>
      <c r="HI244" t="e">
        <f>AND('GA55 Summry'!#REF!,"AAAAAGn75dg=")</f>
        <v>#REF!</v>
      </c>
      <c r="HJ244" t="e">
        <f>AND('GA55 Summry'!#REF!,"AAAAAGn75dk=")</f>
        <v>#REF!</v>
      </c>
      <c r="HK244" t="e">
        <f>AND('GA55 Summry'!#REF!,"AAAAAGn75do=")</f>
        <v>#REF!</v>
      </c>
      <c r="HL244" t="e">
        <f>AND('GA55 Summry'!#REF!,"AAAAAGn75ds=")</f>
        <v>#REF!</v>
      </c>
      <c r="HM244" t="e">
        <f>AND('GA55 Summry'!#REF!,"AAAAAGn75dw=")</f>
        <v>#REF!</v>
      </c>
      <c r="HN244" t="e">
        <f>AND('GA55 Summry'!#REF!,"AAAAAGn75d0=")</f>
        <v>#REF!</v>
      </c>
      <c r="HO244" t="e">
        <f>AND('GA55 Summry'!#REF!,"AAAAAGn75d4=")</f>
        <v>#REF!</v>
      </c>
      <c r="HP244" t="e">
        <f>AND('GA55 Summry'!#REF!,"AAAAAGn75d8=")</f>
        <v>#REF!</v>
      </c>
      <c r="HQ244" t="e">
        <f>AND('GA55 Summry'!#REF!,"AAAAAGn75eA=")</f>
        <v>#REF!</v>
      </c>
      <c r="HR244" t="e">
        <f>AND('GA55 Summry'!#REF!,"AAAAAGn75eE=")</f>
        <v>#REF!</v>
      </c>
      <c r="HS244" t="e">
        <f>AND('GA55 Summry'!#REF!,"AAAAAGn75eI=")</f>
        <v>#REF!</v>
      </c>
      <c r="HT244" t="e">
        <f>AND('GA55 Summry'!#REF!,"AAAAAGn75eM=")</f>
        <v>#REF!</v>
      </c>
      <c r="HU244" t="e">
        <f>AND('GA55 Summry'!#REF!,"AAAAAGn75eQ=")</f>
        <v>#REF!</v>
      </c>
      <c r="HV244" t="e">
        <f>AND('GA55 Summry'!#REF!,"AAAAAGn75eU=")</f>
        <v>#REF!</v>
      </c>
      <c r="HW244" t="e">
        <f>AND('GA55 Summry'!#REF!,"AAAAAGn75eY=")</f>
        <v>#REF!</v>
      </c>
      <c r="HX244" t="e">
        <f>AND('GA55 Summry'!#REF!,"AAAAAGn75ec=")</f>
        <v>#REF!</v>
      </c>
      <c r="HY244" t="e">
        <f>AND('GA55 Summry'!#REF!,"AAAAAGn75eg=")</f>
        <v>#REF!</v>
      </c>
      <c r="HZ244" t="e">
        <f>AND('GA55 Summry'!#REF!,"AAAAAGn75ek=")</f>
        <v>#REF!</v>
      </c>
      <c r="IA244" t="e">
        <f>AND('GA55 Summry'!#REF!,"AAAAAGn75eo=")</f>
        <v>#REF!</v>
      </c>
      <c r="IB244" t="e">
        <f>AND('GA55 Summry'!#REF!,"AAAAAGn75es=")</f>
        <v>#REF!</v>
      </c>
      <c r="IC244" t="e">
        <f>AND('GA55 Summry'!#REF!,"AAAAAGn75ew=")</f>
        <v>#REF!</v>
      </c>
      <c r="ID244" t="e">
        <f>AND('GA55 Summry'!#REF!,"AAAAAGn75e0=")</f>
        <v>#REF!</v>
      </c>
      <c r="IE244" t="e">
        <f>AND('GA55 Summry'!#REF!,"AAAAAGn75e4=")</f>
        <v>#REF!</v>
      </c>
      <c r="IF244" t="e">
        <f>AND('GA55 Summry'!#REF!,"AAAAAGn75e8=")</f>
        <v>#REF!</v>
      </c>
      <c r="IG244" t="e">
        <f>AND('GA55 Summry'!#REF!,"AAAAAGn75fA=")</f>
        <v>#REF!</v>
      </c>
      <c r="IH244" t="e">
        <f>AND('GA55 Summry'!#REF!,"AAAAAGn75fE=")</f>
        <v>#REF!</v>
      </c>
      <c r="II244" t="e">
        <f>AND('GA55 Summry'!#REF!,"AAAAAGn75fI=")</f>
        <v>#REF!</v>
      </c>
      <c r="IJ244" t="e">
        <f>AND('GA55 Summry'!#REF!,"AAAAAGn75fM=")</f>
        <v>#REF!</v>
      </c>
      <c r="IK244" t="e">
        <f>AND('GA55 Summry'!#REF!,"AAAAAGn75fQ=")</f>
        <v>#REF!</v>
      </c>
      <c r="IL244" t="e">
        <f>AND('GA55 Summry'!#REF!,"AAAAAGn75fU=")</f>
        <v>#REF!</v>
      </c>
      <c r="IM244" t="e">
        <f>AND('GA55 Summry'!#REF!,"AAAAAGn75fY=")</f>
        <v>#REF!</v>
      </c>
      <c r="IN244" t="e">
        <f>AND('GA55 Summry'!#REF!,"AAAAAGn75fc=")</f>
        <v>#REF!</v>
      </c>
      <c r="IO244" t="e">
        <f>AND('GA55 Summry'!#REF!,"AAAAAGn75fg=")</f>
        <v>#REF!</v>
      </c>
      <c r="IP244" t="e">
        <f>AND('GA55 Summry'!#REF!,"AAAAAGn75fk=")</f>
        <v>#REF!</v>
      </c>
      <c r="IQ244" t="e">
        <f>AND('GA55 Summry'!#REF!,"AAAAAGn75fo=")</f>
        <v>#REF!</v>
      </c>
      <c r="IR244" t="e">
        <f>IF('GA55 Summry'!#REF!,"AAAAAGn75fs=",0)</f>
        <v>#REF!</v>
      </c>
      <c r="IS244" t="e">
        <f>AND('GA55 Summry'!#REF!,"AAAAAGn75fw=")</f>
        <v>#REF!</v>
      </c>
      <c r="IT244" t="e">
        <f>AND('GA55 Summry'!#REF!,"AAAAAGn75f0=")</f>
        <v>#REF!</v>
      </c>
      <c r="IU244" t="e">
        <f>AND('GA55 Summry'!#REF!,"AAAAAGn75f4=")</f>
        <v>#REF!</v>
      </c>
      <c r="IV244" t="e">
        <f>AND('GA55 Summry'!#REF!,"AAAAAGn75f8=")</f>
        <v>#REF!</v>
      </c>
    </row>
    <row r="245" spans="1:256">
      <c r="A245" t="e">
        <f>AND('GA55 Summry'!#REF!,"AAAAAA/f6wA=")</f>
        <v>#REF!</v>
      </c>
      <c r="B245" t="e">
        <f>AND('GA55 Summry'!#REF!,"AAAAAA/f6wE=")</f>
        <v>#REF!</v>
      </c>
      <c r="C245" t="e">
        <f>AND('GA55 Summry'!#REF!,"AAAAAA/f6wI=")</f>
        <v>#REF!</v>
      </c>
      <c r="D245" t="e">
        <f>AND('GA55 Summry'!#REF!,"AAAAAA/f6wM=")</f>
        <v>#REF!</v>
      </c>
      <c r="E245" t="e">
        <f>AND('GA55 Summry'!#REF!,"AAAAAA/f6wQ=")</f>
        <v>#REF!</v>
      </c>
      <c r="F245" t="e">
        <f>AND('GA55 Summry'!#REF!,"AAAAAA/f6wU=")</f>
        <v>#REF!</v>
      </c>
      <c r="G245" t="e">
        <f>AND('GA55 Summry'!#REF!,"AAAAAA/f6wY=")</f>
        <v>#REF!</v>
      </c>
      <c r="H245" t="e">
        <f>AND('GA55 Summry'!#REF!,"AAAAAA/f6wc=")</f>
        <v>#REF!</v>
      </c>
      <c r="I245" t="e">
        <f>AND('GA55 Summry'!#REF!,"AAAAAA/f6wg=")</f>
        <v>#REF!</v>
      </c>
      <c r="J245" t="e">
        <f>AND('GA55 Summry'!#REF!,"AAAAAA/f6wk=")</f>
        <v>#REF!</v>
      </c>
      <c r="K245" t="e">
        <f>AND('GA55 Summry'!#REF!,"AAAAAA/f6wo=")</f>
        <v>#REF!</v>
      </c>
      <c r="L245" t="e">
        <f>AND('GA55 Summry'!#REF!,"AAAAAA/f6ws=")</f>
        <v>#REF!</v>
      </c>
      <c r="M245" t="e">
        <f>AND('GA55 Summry'!#REF!,"AAAAAA/f6ww=")</f>
        <v>#REF!</v>
      </c>
      <c r="N245" t="e">
        <f>AND('GA55 Summry'!#REF!,"AAAAAA/f6w0=")</f>
        <v>#REF!</v>
      </c>
      <c r="O245" t="e">
        <f>AND('GA55 Summry'!#REF!,"AAAAAA/f6w4=")</f>
        <v>#REF!</v>
      </c>
      <c r="P245" t="e">
        <f>AND('GA55 Summry'!#REF!,"AAAAAA/f6w8=")</f>
        <v>#REF!</v>
      </c>
      <c r="Q245" t="e">
        <f>AND('GA55 Summry'!#REF!,"AAAAAA/f6xA=")</f>
        <v>#REF!</v>
      </c>
      <c r="R245" t="e">
        <f>AND('GA55 Summry'!#REF!,"AAAAAA/f6xE=")</f>
        <v>#REF!</v>
      </c>
      <c r="S245" t="e">
        <f>AND('GA55 Summry'!#REF!,"AAAAAA/f6xI=")</f>
        <v>#REF!</v>
      </c>
      <c r="T245" t="e">
        <f>AND('GA55 Summry'!#REF!,"AAAAAA/f6xM=")</f>
        <v>#REF!</v>
      </c>
      <c r="U245" t="e">
        <f>AND('GA55 Summry'!#REF!,"AAAAAA/f6xQ=")</f>
        <v>#REF!</v>
      </c>
      <c r="V245" t="e">
        <f>AND('GA55 Summry'!#REF!,"AAAAAA/f6xU=")</f>
        <v>#REF!</v>
      </c>
      <c r="W245" t="e">
        <f>AND('GA55 Summry'!#REF!,"AAAAAA/f6xY=")</f>
        <v>#REF!</v>
      </c>
      <c r="X245" t="e">
        <f>AND('GA55 Summry'!#REF!,"AAAAAA/f6xc=")</f>
        <v>#REF!</v>
      </c>
      <c r="Y245" t="e">
        <f>AND('GA55 Summry'!#REF!,"AAAAAA/f6xg=")</f>
        <v>#REF!</v>
      </c>
      <c r="Z245" t="e">
        <f>AND('GA55 Summry'!#REF!,"AAAAAA/f6xk=")</f>
        <v>#REF!</v>
      </c>
      <c r="AA245" t="e">
        <f>AND('GA55 Summry'!#REF!,"AAAAAA/f6xo=")</f>
        <v>#REF!</v>
      </c>
      <c r="AB245" t="e">
        <f>AND('GA55 Summry'!#REF!,"AAAAAA/f6xs=")</f>
        <v>#REF!</v>
      </c>
      <c r="AC245" t="e">
        <f>AND('GA55 Summry'!#REF!,"AAAAAA/f6xw=")</f>
        <v>#REF!</v>
      </c>
      <c r="AD245" t="e">
        <f>AND('GA55 Summry'!#REF!,"AAAAAA/f6x0=")</f>
        <v>#REF!</v>
      </c>
      <c r="AE245" t="e">
        <f>AND('GA55 Summry'!#REF!,"AAAAAA/f6x4=")</f>
        <v>#REF!</v>
      </c>
      <c r="AF245" t="e">
        <f>AND('GA55 Summry'!#REF!,"AAAAAA/f6x8=")</f>
        <v>#REF!</v>
      </c>
      <c r="AG245" t="e">
        <f>AND('GA55 Summry'!#REF!,"AAAAAA/f6yA=")</f>
        <v>#REF!</v>
      </c>
      <c r="AH245" t="e">
        <f>AND('GA55 Summry'!#REF!,"AAAAAA/f6yE=")</f>
        <v>#REF!</v>
      </c>
      <c r="AI245" t="e">
        <f>AND('GA55 Summry'!#REF!,"AAAAAA/f6yI=")</f>
        <v>#REF!</v>
      </c>
      <c r="AJ245" t="e">
        <f>AND('GA55 Summry'!#REF!,"AAAAAA/f6yM=")</f>
        <v>#REF!</v>
      </c>
      <c r="AK245" t="e">
        <f>AND('GA55 Summry'!#REF!,"AAAAAA/f6yQ=")</f>
        <v>#REF!</v>
      </c>
      <c r="AL245" t="e">
        <f>AND('GA55 Summry'!#REF!,"AAAAAA/f6yU=")</f>
        <v>#REF!</v>
      </c>
      <c r="AM245" t="e">
        <f>AND('GA55 Summry'!#REF!,"AAAAAA/f6yY=")</f>
        <v>#REF!</v>
      </c>
      <c r="AN245" t="e">
        <f>AND('GA55 Summry'!#REF!,"AAAAAA/f6yc=")</f>
        <v>#REF!</v>
      </c>
      <c r="AO245" t="e">
        <f>AND('GA55 Summry'!#REF!,"AAAAAA/f6yg=")</f>
        <v>#REF!</v>
      </c>
      <c r="AP245" t="e">
        <f>AND('GA55 Summry'!#REF!,"AAAAAA/f6yk=")</f>
        <v>#REF!</v>
      </c>
      <c r="AQ245" t="e">
        <f>AND('GA55 Summry'!#REF!,"AAAAAA/f6yo=")</f>
        <v>#REF!</v>
      </c>
      <c r="AR245" t="e">
        <f>AND('GA55 Summry'!#REF!,"AAAAAA/f6ys=")</f>
        <v>#REF!</v>
      </c>
      <c r="AS245" t="e">
        <f>AND('GA55 Summry'!#REF!,"AAAAAA/f6yw=")</f>
        <v>#REF!</v>
      </c>
      <c r="AT245" t="e">
        <f>AND('GA55 Summry'!#REF!,"AAAAAA/f6y0=")</f>
        <v>#REF!</v>
      </c>
      <c r="AU245" t="e">
        <f>AND('GA55 Summry'!#REF!,"AAAAAA/f6y4=")</f>
        <v>#REF!</v>
      </c>
      <c r="AV245" t="e">
        <f>AND('GA55 Summry'!#REF!,"AAAAAA/f6y8=")</f>
        <v>#REF!</v>
      </c>
      <c r="AW245" t="e">
        <f>AND('GA55 Summry'!#REF!,"AAAAAA/f6zA=")</f>
        <v>#REF!</v>
      </c>
      <c r="AX245" t="e">
        <f>AND('GA55 Summry'!#REF!,"AAAAAA/f6zE=")</f>
        <v>#REF!</v>
      </c>
      <c r="AY245" t="e">
        <f>AND('GA55 Summry'!#REF!,"AAAAAA/f6zI=")</f>
        <v>#REF!</v>
      </c>
      <c r="AZ245" t="e">
        <f>AND('GA55 Summry'!#REF!,"AAAAAA/f6zM=")</f>
        <v>#REF!</v>
      </c>
      <c r="BA245" t="e">
        <f>AND('GA55 Summry'!#REF!,"AAAAAA/f6zQ=")</f>
        <v>#REF!</v>
      </c>
      <c r="BB245" t="e">
        <f>AND('GA55 Summry'!#REF!,"AAAAAA/f6zU=")</f>
        <v>#REF!</v>
      </c>
      <c r="BC245" t="e">
        <f>AND('GA55 Summry'!#REF!,"AAAAAA/f6zY=")</f>
        <v>#REF!</v>
      </c>
      <c r="BD245" t="e">
        <f>AND('GA55 Summry'!#REF!,"AAAAAA/f6zc=")</f>
        <v>#REF!</v>
      </c>
      <c r="BE245" t="e">
        <f>AND('GA55 Summry'!#REF!,"AAAAAA/f6zg=")</f>
        <v>#REF!</v>
      </c>
      <c r="BF245" t="e">
        <f>AND('GA55 Summry'!#REF!,"AAAAAA/f6zk=")</f>
        <v>#REF!</v>
      </c>
      <c r="BG245" t="e">
        <f>AND('GA55 Summry'!#REF!,"AAAAAA/f6zo=")</f>
        <v>#REF!</v>
      </c>
      <c r="BH245" t="e">
        <f>AND('GA55 Summry'!#REF!,"AAAAAA/f6zs=")</f>
        <v>#REF!</v>
      </c>
      <c r="BI245" t="e">
        <f>AND('GA55 Summry'!#REF!,"AAAAAA/f6zw=")</f>
        <v>#REF!</v>
      </c>
      <c r="BJ245" t="e">
        <f>AND('GA55 Summry'!#REF!,"AAAAAA/f6z0=")</f>
        <v>#REF!</v>
      </c>
      <c r="BK245" t="e">
        <f>AND('GA55 Summry'!#REF!,"AAAAAA/f6z4=")</f>
        <v>#REF!</v>
      </c>
      <c r="BL245" t="e">
        <f>AND('GA55 Summry'!#REF!,"AAAAAA/f6z8=")</f>
        <v>#REF!</v>
      </c>
      <c r="BM245" t="e">
        <f>AND('GA55 Summry'!#REF!,"AAAAAA/f60A=")</f>
        <v>#REF!</v>
      </c>
      <c r="BN245" t="e">
        <f>AND('GA55 Summry'!#REF!,"AAAAAA/f60E=")</f>
        <v>#REF!</v>
      </c>
      <c r="BO245" t="e">
        <f>AND('GA55 Summry'!#REF!,"AAAAAA/f60I=")</f>
        <v>#REF!</v>
      </c>
      <c r="BP245" t="e">
        <f>AND('GA55 Summry'!#REF!,"AAAAAA/f60M=")</f>
        <v>#REF!</v>
      </c>
      <c r="BQ245" t="e">
        <f>AND('GA55 Summry'!#REF!,"AAAAAA/f60Q=")</f>
        <v>#REF!</v>
      </c>
      <c r="BR245" t="e">
        <f>AND('GA55 Summry'!#REF!,"AAAAAA/f60U=")</f>
        <v>#REF!</v>
      </c>
      <c r="BS245" t="e">
        <f>IF('GA55 Summry'!#REF!,"AAAAAA/f60Y=",0)</f>
        <v>#REF!</v>
      </c>
      <c r="BT245" t="e">
        <f>AND('GA55 Summry'!#REF!,"AAAAAA/f60c=")</f>
        <v>#REF!</v>
      </c>
      <c r="BU245" t="e">
        <f>AND('GA55 Summry'!#REF!,"AAAAAA/f60g=")</f>
        <v>#REF!</v>
      </c>
      <c r="BV245" t="e">
        <f>AND('GA55 Summry'!#REF!,"AAAAAA/f60k=")</f>
        <v>#REF!</v>
      </c>
      <c r="BW245" t="e">
        <f>AND('GA55 Summry'!#REF!,"AAAAAA/f60o=")</f>
        <v>#REF!</v>
      </c>
      <c r="BX245" t="e">
        <f>AND('GA55 Summry'!#REF!,"AAAAAA/f60s=")</f>
        <v>#REF!</v>
      </c>
      <c r="BY245" t="e">
        <f>AND('GA55 Summry'!#REF!,"AAAAAA/f60w=")</f>
        <v>#REF!</v>
      </c>
      <c r="BZ245" t="e">
        <f>AND('GA55 Summry'!#REF!,"AAAAAA/f600=")</f>
        <v>#REF!</v>
      </c>
      <c r="CA245" t="e">
        <f>AND('GA55 Summry'!#REF!,"AAAAAA/f604=")</f>
        <v>#REF!</v>
      </c>
      <c r="CB245" t="e">
        <f>AND('GA55 Summry'!#REF!,"AAAAAA/f608=")</f>
        <v>#REF!</v>
      </c>
      <c r="CC245" t="e">
        <f>AND('GA55 Summry'!#REF!,"AAAAAA/f61A=")</f>
        <v>#REF!</v>
      </c>
      <c r="CD245" t="e">
        <f>AND('GA55 Summry'!#REF!,"AAAAAA/f61E=")</f>
        <v>#REF!</v>
      </c>
      <c r="CE245" t="e">
        <f>AND('GA55 Summry'!#REF!,"AAAAAA/f61I=")</f>
        <v>#REF!</v>
      </c>
      <c r="CF245" t="e">
        <f>AND('GA55 Summry'!#REF!,"AAAAAA/f61M=")</f>
        <v>#REF!</v>
      </c>
      <c r="CG245" t="e">
        <f>AND('GA55 Summry'!#REF!,"AAAAAA/f61Q=")</f>
        <v>#REF!</v>
      </c>
      <c r="CH245" t="e">
        <f>AND('GA55 Summry'!#REF!,"AAAAAA/f61U=")</f>
        <v>#REF!</v>
      </c>
      <c r="CI245" t="e">
        <f>AND('GA55 Summry'!#REF!,"AAAAAA/f61Y=")</f>
        <v>#REF!</v>
      </c>
      <c r="CJ245" t="e">
        <f>AND('GA55 Summry'!#REF!,"AAAAAA/f61c=")</f>
        <v>#REF!</v>
      </c>
      <c r="CK245" t="e">
        <f>AND('GA55 Summry'!#REF!,"AAAAAA/f61g=")</f>
        <v>#REF!</v>
      </c>
      <c r="CL245" t="e">
        <f>AND('GA55 Summry'!#REF!,"AAAAAA/f61k=")</f>
        <v>#REF!</v>
      </c>
      <c r="CM245" t="e">
        <f>AND('GA55 Summry'!#REF!,"AAAAAA/f61o=")</f>
        <v>#REF!</v>
      </c>
      <c r="CN245" t="e">
        <f>AND('GA55 Summry'!#REF!,"AAAAAA/f61s=")</f>
        <v>#REF!</v>
      </c>
      <c r="CO245" t="e">
        <f>AND('GA55 Summry'!#REF!,"AAAAAA/f61w=")</f>
        <v>#REF!</v>
      </c>
      <c r="CP245" t="e">
        <f>AND('GA55 Summry'!#REF!,"AAAAAA/f610=")</f>
        <v>#REF!</v>
      </c>
      <c r="CQ245" t="e">
        <f>AND('GA55 Summry'!#REF!,"AAAAAA/f614=")</f>
        <v>#REF!</v>
      </c>
      <c r="CR245" t="e">
        <f>AND('GA55 Summry'!#REF!,"AAAAAA/f618=")</f>
        <v>#REF!</v>
      </c>
      <c r="CS245" t="e">
        <f>AND('GA55 Summry'!#REF!,"AAAAAA/f62A=")</f>
        <v>#REF!</v>
      </c>
      <c r="CT245" t="e">
        <f>AND('GA55 Summry'!#REF!,"AAAAAA/f62E=")</f>
        <v>#REF!</v>
      </c>
      <c r="CU245" t="e">
        <f>AND('GA55 Summry'!#REF!,"AAAAAA/f62I=")</f>
        <v>#REF!</v>
      </c>
      <c r="CV245" t="e">
        <f>AND('GA55 Summry'!#REF!,"AAAAAA/f62M=")</f>
        <v>#REF!</v>
      </c>
      <c r="CW245" t="e">
        <f>AND('GA55 Summry'!#REF!,"AAAAAA/f62Q=")</f>
        <v>#REF!</v>
      </c>
      <c r="CX245" t="e">
        <f>AND('GA55 Summry'!#REF!,"AAAAAA/f62U=")</f>
        <v>#REF!</v>
      </c>
      <c r="CY245" t="e">
        <f>AND('GA55 Summry'!#REF!,"AAAAAA/f62Y=")</f>
        <v>#REF!</v>
      </c>
      <c r="CZ245" t="e">
        <f>AND('GA55 Summry'!#REF!,"AAAAAA/f62c=")</f>
        <v>#REF!</v>
      </c>
      <c r="DA245" t="e">
        <f>AND('GA55 Summry'!#REF!,"AAAAAA/f62g=")</f>
        <v>#REF!</v>
      </c>
      <c r="DB245" t="e">
        <f>AND('GA55 Summry'!#REF!,"AAAAAA/f62k=")</f>
        <v>#REF!</v>
      </c>
      <c r="DC245" t="e">
        <f>AND('GA55 Summry'!#REF!,"AAAAAA/f62o=")</f>
        <v>#REF!</v>
      </c>
      <c r="DD245" t="e">
        <f>AND('GA55 Summry'!#REF!,"AAAAAA/f62s=")</f>
        <v>#REF!</v>
      </c>
      <c r="DE245" t="e">
        <f>AND('GA55 Summry'!#REF!,"AAAAAA/f62w=")</f>
        <v>#REF!</v>
      </c>
      <c r="DF245" t="e">
        <f>AND('GA55 Summry'!#REF!,"AAAAAA/f620=")</f>
        <v>#REF!</v>
      </c>
      <c r="DG245" t="e">
        <f>AND('GA55 Summry'!#REF!,"AAAAAA/f624=")</f>
        <v>#REF!</v>
      </c>
      <c r="DH245" t="e">
        <f>AND('GA55 Summry'!#REF!,"AAAAAA/f628=")</f>
        <v>#REF!</v>
      </c>
      <c r="DI245" t="e">
        <f>AND('GA55 Summry'!#REF!,"AAAAAA/f63A=")</f>
        <v>#REF!</v>
      </c>
      <c r="DJ245" t="e">
        <f>AND('GA55 Summry'!#REF!,"AAAAAA/f63E=")</f>
        <v>#REF!</v>
      </c>
      <c r="DK245" t="e">
        <f>AND('GA55 Summry'!#REF!,"AAAAAA/f63I=")</f>
        <v>#REF!</v>
      </c>
      <c r="DL245" t="e">
        <f>AND('GA55 Summry'!#REF!,"AAAAAA/f63M=")</f>
        <v>#REF!</v>
      </c>
      <c r="DM245" t="e">
        <f>AND('GA55 Summry'!#REF!,"AAAAAA/f63Q=")</f>
        <v>#REF!</v>
      </c>
      <c r="DN245" t="e">
        <f>AND('GA55 Summry'!#REF!,"AAAAAA/f63U=")</f>
        <v>#REF!</v>
      </c>
      <c r="DO245" t="e">
        <f>AND('GA55 Summry'!#REF!,"AAAAAA/f63Y=")</f>
        <v>#REF!</v>
      </c>
      <c r="DP245" t="e">
        <f>AND('GA55 Summry'!#REF!,"AAAAAA/f63c=")</f>
        <v>#REF!</v>
      </c>
      <c r="DQ245" t="e">
        <f>AND('GA55 Summry'!#REF!,"AAAAAA/f63g=")</f>
        <v>#REF!</v>
      </c>
      <c r="DR245" t="e">
        <f>AND('GA55 Summry'!#REF!,"AAAAAA/f63k=")</f>
        <v>#REF!</v>
      </c>
      <c r="DS245" t="e">
        <f>AND('GA55 Summry'!#REF!,"AAAAAA/f63o=")</f>
        <v>#REF!</v>
      </c>
      <c r="DT245" t="e">
        <f>AND('GA55 Summry'!#REF!,"AAAAAA/f63s=")</f>
        <v>#REF!</v>
      </c>
      <c r="DU245" t="e">
        <f>AND('GA55 Summry'!#REF!,"AAAAAA/f63w=")</f>
        <v>#REF!</v>
      </c>
      <c r="DV245" t="e">
        <f>AND('GA55 Summry'!#REF!,"AAAAAA/f630=")</f>
        <v>#REF!</v>
      </c>
      <c r="DW245" t="e">
        <f>AND('GA55 Summry'!#REF!,"AAAAAA/f634=")</f>
        <v>#REF!</v>
      </c>
      <c r="DX245" t="e">
        <f>AND('GA55 Summry'!#REF!,"AAAAAA/f638=")</f>
        <v>#REF!</v>
      </c>
      <c r="DY245" t="e">
        <f>AND('GA55 Summry'!#REF!,"AAAAAA/f64A=")</f>
        <v>#REF!</v>
      </c>
      <c r="DZ245" t="e">
        <f>AND('GA55 Summry'!#REF!,"AAAAAA/f64E=")</f>
        <v>#REF!</v>
      </c>
      <c r="EA245" t="e">
        <f>AND('GA55 Summry'!#REF!,"AAAAAA/f64I=")</f>
        <v>#REF!</v>
      </c>
      <c r="EB245" t="e">
        <f>AND('GA55 Summry'!#REF!,"AAAAAA/f64M=")</f>
        <v>#REF!</v>
      </c>
      <c r="EC245" t="e">
        <f>AND('GA55 Summry'!#REF!,"AAAAAA/f64Q=")</f>
        <v>#REF!</v>
      </c>
      <c r="ED245" t="e">
        <f>AND('GA55 Summry'!#REF!,"AAAAAA/f64U=")</f>
        <v>#REF!</v>
      </c>
      <c r="EE245" t="e">
        <f>AND('GA55 Summry'!#REF!,"AAAAAA/f64Y=")</f>
        <v>#REF!</v>
      </c>
      <c r="EF245" t="e">
        <f>AND('GA55 Summry'!#REF!,"AAAAAA/f64c=")</f>
        <v>#REF!</v>
      </c>
      <c r="EG245" t="e">
        <f>AND('GA55 Summry'!#REF!,"AAAAAA/f64g=")</f>
        <v>#REF!</v>
      </c>
      <c r="EH245" t="e">
        <f>AND('GA55 Summry'!#REF!,"AAAAAA/f64k=")</f>
        <v>#REF!</v>
      </c>
      <c r="EI245" t="e">
        <f>AND('GA55 Summry'!#REF!,"AAAAAA/f64o=")</f>
        <v>#REF!</v>
      </c>
      <c r="EJ245" t="e">
        <f>AND('GA55 Summry'!#REF!,"AAAAAA/f64s=")</f>
        <v>#REF!</v>
      </c>
      <c r="EK245" t="e">
        <f>AND('GA55 Summry'!#REF!,"AAAAAA/f64w=")</f>
        <v>#REF!</v>
      </c>
      <c r="EL245" t="e">
        <f>AND('GA55 Summry'!#REF!,"AAAAAA/f640=")</f>
        <v>#REF!</v>
      </c>
      <c r="EM245" t="e">
        <f>AND('GA55 Summry'!#REF!,"AAAAAA/f644=")</f>
        <v>#REF!</v>
      </c>
      <c r="EN245" t="e">
        <f>AND('GA55 Summry'!#REF!,"AAAAAA/f648=")</f>
        <v>#REF!</v>
      </c>
      <c r="EO245" t="e">
        <f>AND('GA55 Summry'!#REF!,"AAAAAA/f65A=")</f>
        <v>#REF!</v>
      </c>
      <c r="EP245" t="e">
        <f>IF('GA55 Summry'!#REF!,"AAAAAA/f65E=",0)</f>
        <v>#REF!</v>
      </c>
      <c r="EQ245" t="e">
        <f>AND('GA55 Summry'!#REF!,"AAAAAA/f65I=")</f>
        <v>#REF!</v>
      </c>
      <c r="ER245" t="e">
        <f>AND('GA55 Summry'!#REF!,"AAAAAA/f65M=")</f>
        <v>#REF!</v>
      </c>
      <c r="ES245" t="e">
        <f>AND('GA55 Summry'!#REF!,"AAAAAA/f65Q=")</f>
        <v>#REF!</v>
      </c>
      <c r="ET245" t="e">
        <f>AND('GA55 Summry'!#REF!,"AAAAAA/f65U=")</f>
        <v>#REF!</v>
      </c>
      <c r="EU245" t="e">
        <f>AND('GA55 Summry'!#REF!,"AAAAAA/f65Y=")</f>
        <v>#REF!</v>
      </c>
      <c r="EV245" t="e">
        <f>AND('GA55 Summry'!#REF!,"AAAAAA/f65c=")</f>
        <v>#REF!</v>
      </c>
      <c r="EW245" t="e">
        <f>AND('GA55 Summry'!#REF!,"AAAAAA/f65g=")</f>
        <v>#REF!</v>
      </c>
      <c r="EX245" t="e">
        <f>AND('GA55 Summry'!#REF!,"AAAAAA/f65k=")</f>
        <v>#REF!</v>
      </c>
      <c r="EY245" t="e">
        <f>AND('GA55 Summry'!#REF!,"AAAAAA/f65o=")</f>
        <v>#REF!</v>
      </c>
      <c r="EZ245" t="e">
        <f>AND('GA55 Summry'!#REF!,"AAAAAA/f65s=")</f>
        <v>#REF!</v>
      </c>
      <c r="FA245" t="e">
        <f>AND('GA55 Summry'!#REF!,"AAAAAA/f65w=")</f>
        <v>#REF!</v>
      </c>
      <c r="FB245" t="e">
        <f>AND('GA55 Summry'!#REF!,"AAAAAA/f650=")</f>
        <v>#REF!</v>
      </c>
      <c r="FC245" t="e">
        <f>AND('GA55 Summry'!#REF!,"AAAAAA/f654=")</f>
        <v>#REF!</v>
      </c>
      <c r="FD245" t="e">
        <f>AND('GA55 Summry'!#REF!,"AAAAAA/f658=")</f>
        <v>#REF!</v>
      </c>
      <c r="FE245" t="e">
        <f>AND('GA55 Summry'!#REF!,"AAAAAA/f66A=")</f>
        <v>#REF!</v>
      </c>
      <c r="FF245" t="e">
        <f>AND('GA55 Summry'!#REF!,"AAAAAA/f66E=")</f>
        <v>#REF!</v>
      </c>
      <c r="FG245" t="e">
        <f>AND('GA55 Summry'!#REF!,"AAAAAA/f66I=")</f>
        <v>#REF!</v>
      </c>
      <c r="FH245" t="e">
        <f>AND('GA55 Summry'!#REF!,"AAAAAA/f66M=")</f>
        <v>#REF!</v>
      </c>
      <c r="FI245" t="e">
        <f>AND('GA55 Summry'!#REF!,"AAAAAA/f66Q=")</f>
        <v>#REF!</v>
      </c>
      <c r="FJ245" t="e">
        <f>AND('GA55 Summry'!#REF!,"AAAAAA/f66U=")</f>
        <v>#REF!</v>
      </c>
      <c r="FK245" t="e">
        <f>AND('GA55 Summry'!#REF!,"AAAAAA/f66Y=")</f>
        <v>#REF!</v>
      </c>
      <c r="FL245" t="e">
        <f>AND('GA55 Summry'!#REF!,"AAAAAA/f66c=")</f>
        <v>#REF!</v>
      </c>
      <c r="FM245" t="e">
        <f>AND('GA55 Summry'!#REF!,"AAAAAA/f66g=")</f>
        <v>#REF!</v>
      </c>
      <c r="FN245" t="e">
        <f>AND('GA55 Summry'!#REF!,"AAAAAA/f66k=")</f>
        <v>#REF!</v>
      </c>
      <c r="FO245" t="e">
        <f>AND('GA55 Summry'!#REF!,"AAAAAA/f66o=")</f>
        <v>#REF!</v>
      </c>
      <c r="FP245" t="e">
        <f>AND('GA55 Summry'!#REF!,"AAAAAA/f66s=")</f>
        <v>#REF!</v>
      </c>
      <c r="FQ245" t="e">
        <f>AND('GA55 Summry'!#REF!,"AAAAAA/f66w=")</f>
        <v>#REF!</v>
      </c>
      <c r="FR245" t="e">
        <f>AND('GA55 Summry'!#REF!,"AAAAAA/f660=")</f>
        <v>#REF!</v>
      </c>
      <c r="FS245" t="e">
        <f>AND('GA55 Summry'!#REF!,"AAAAAA/f664=")</f>
        <v>#REF!</v>
      </c>
      <c r="FT245" t="e">
        <f>AND('GA55 Summry'!#REF!,"AAAAAA/f668=")</f>
        <v>#REF!</v>
      </c>
      <c r="FU245" t="e">
        <f>AND('GA55 Summry'!#REF!,"AAAAAA/f67A=")</f>
        <v>#REF!</v>
      </c>
      <c r="FV245" t="e">
        <f>AND('GA55 Summry'!#REF!,"AAAAAA/f67E=")</f>
        <v>#REF!</v>
      </c>
      <c r="FW245" t="e">
        <f>AND('GA55 Summry'!#REF!,"AAAAAA/f67I=")</f>
        <v>#REF!</v>
      </c>
      <c r="FX245" t="e">
        <f>AND('GA55 Summry'!#REF!,"AAAAAA/f67M=")</f>
        <v>#REF!</v>
      </c>
      <c r="FY245" t="e">
        <f>AND('GA55 Summry'!#REF!,"AAAAAA/f67Q=")</f>
        <v>#REF!</v>
      </c>
      <c r="FZ245" t="e">
        <f>AND('GA55 Summry'!#REF!,"AAAAAA/f67U=")</f>
        <v>#REF!</v>
      </c>
      <c r="GA245" t="e">
        <f>AND('GA55 Summry'!#REF!,"AAAAAA/f67Y=")</f>
        <v>#REF!</v>
      </c>
      <c r="GB245" t="e">
        <f>AND('GA55 Summry'!#REF!,"AAAAAA/f67c=")</f>
        <v>#REF!</v>
      </c>
      <c r="GC245" t="e">
        <f>AND('GA55 Summry'!#REF!,"AAAAAA/f67g=")</f>
        <v>#REF!</v>
      </c>
      <c r="GD245" t="e">
        <f>AND('GA55 Summry'!#REF!,"AAAAAA/f67k=")</f>
        <v>#REF!</v>
      </c>
      <c r="GE245" t="e">
        <f>AND('GA55 Summry'!#REF!,"AAAAAA/f67o=")</f>
        <v>#REF!</v>
      </c>
      <c r="GF245" t="e">
        <f>AND('GA55 Summry'!#REF!,"AAAAAA/f67s=")</f>
        <v>#REF!</v>
      </c>
      <c r="GG245" t="e">
        <f>AND('GA55 Summry'!#REF!,"AAAAAA/f67w=")</f>
        <v>#REF!</v>
      </c>
      <c r="GH245" t="e">
        <f>AND('GA55 Summry'!#REF!,"AAAAAA/f670=")</f>
        <v>#REF!</v>
      </c>
      <c r="GI245" t="e">
        <f>AND('GA55 Summry'!#REF!,"AAAAAA/f674=")</f>
        <v>#REF!</v>
      </c>
      <c r="GJ245" t="e">
        <f>AND('GA55 Summry'!#REF!,"AAAAAA/f678=")</f>
        <v>#REF!</v>
      </c>
      <c r="GK245" t="e">
        <f>AND('GA55 Summry'!#REF!,"AAAAAA/f68A=")</f>
        <v>#REF!</v>
      </c>
      <c r="GL245" t="e">
        <f>AND('GA55 Summry'!#REF!,"AAAAAA/f68E=")</f>
        <v>#REF!</v>
      </c>
      <c r="GM245" t="e">
        <f>AND('GA55 Summry'!#REF!,"AAAAAA/f68I=")</f>
        <v>#REF!</v>
      </c>
      <c r="GN245" t="e">
        <f>AND('GA55 Summry'!#REF!,"AAAAAA/f68M=")</f>
        <v>#REF!</v>
      </c>
      <c r="GO245" t="e">
        <f>AND('GA55 Summry'!#REF!,"AAAAAA/f68Q=")</f>
        <v>#REF!</v>
      </c>
      <c r="GP245" t="e">
        <f>AND('GA55 Summry'!#REF!,"AAAAAA/f68U=")</f>
        <v>#REF!</v>
      </c>
      <c r="GQ245" t="e">
        <f>AND('GA55 Summry'!#REF!,"AAAAAA/f68Y=")</f>
        <v>#REF!</v>
      </c>
      <c r="GR245" t="e">
        <f>AND('GA55 Summry'!#REF!,"AAAAAA/f68c=")</f>
        <v>#REF!</v>
      </c>
      <c r="GS245" t="e">
        <f>AND('GA55 Summry'!#REF!,"AAAAAA/f68g=")</f>
        <v>#REF!</v>
      </c>
      <c r="GT245" t="e">
        <f>AND('GA55 Summry'!#REF!,"AAAAAA/f68k=")</f>
        <v>#REF!</v>
      </c>
      <c r="GU245" t="e">
        <f>AND('GA55 Summry'!#REF!,"AAAAAA/f68o=")</f>
        <v>#REF!</v>
      </c>
      <c r="GV245" t="e">
        <f>AND('GA55 Summry'!#REF!,"AAAAAA/f68s=")</f>
        <v>#REF!</v>
      </c>
      <c r="GW245" t="e">
        <f>AND('GA55 Summry'!#REF!,"AAAAAA/f68w=")</f>
        <v>#REF!</v>
      </c>
      <c r="GX245" t="e">
        <f>AND('GA55 Summry'!#REF!,"AAAAAA/f680=")</f>
        <v>#REF!</v>
      </c>
      <c r="GY245" t="e">
        <f>AND('GA55 Summry'!#REF!,"AAAAAA/f684=")</f>
        <v>#REF!</v>
      </c>
      <c r="GZ245" t="e">
        <f>AND('GA55 Summry'!#REF!,"AAAAAA/f688=")</f>
        <v>#REF!</v>
      </c>
      <c r="HA245" t="e">
        <f>AND('GA55 Summry'!#REF!,"AAAAAA/f69A=")</f>
        <v>#REF!</v>
      </c>
      <c r="HB245" t="e">
        <f>AND('GA55 Summry'!#REF!,"AAAAAA/f69E=")</f>
        <v>#REF!</v>
      </c>
      <c r="HC245" t="e">
        <f>AND('GA55 Summry'!#REF!,"AAAAAA/f69I=")</f>
        <v>#REF!</v>
      </c>
      <c r="HD245" t="e">
        <f>AND('GA55 Summry'!#REF!,"AAAAAA/f69M=")</f>
        <v>#REF!</v>
      </c>
      <c r="HE245" t="e">
        <f>AND('GA55 Summry'!#REF!,"AAAAAA/f69Q=")</f>
        <v>#REF!</v>
      </c>
      <c r="HF245" t="e">
        <f>AND('GA55 Summry'!#REF!,"AAAAAA/f69U=")</f>
        <v>#REF!</v>
      </c>
      <c r="HG245" t="e">
        <f>AND('GA55 Summry'!#REF!,"AAAAAA/f69Y=")</f>
        <v>#REF!</v>
      </c>
      <c r="HH245" t="e">
        <f>AND('GA55 Summry'!#REF!,"AAAAAA/f69c=")</f>
        <v>#REF!</v>
      </c>
      <c r="HI245" t="e">
        <f>AND('GA55 Summry'!#REF!,"AAAAAA/f69g=")</f>
        <v>#REF!</v>
      </c>
      <c r="HJ245" t="e">
        <f>AND('GA55 Summry'!#REF!,"AAAAAA/f69k=")</f>
        <v>#REF!</v>
      </c>
      <c r="HK245" t="e">
        <f>AND('GA55 Summry'!#REF!,"AAAAAA/f69o=")</f>
        <v>#REF!</v>
      </c>
      <c r="HL245" t="e">
        <f>AND('GA55 Summry'!#REF!,"AAAAAA/f69s=")</f>
        <v>#REF!</v>
      </c>
      <c r="HM245" t="e">
        <f>IF('GA55 Summry'!#REF!,"AAAAAA/f69w=",0)</f>
        <v>#REF!</v>
      </c>
      <c r="HN245" t="e">
        <f>AND('GA55 Summry'!#REF!,"AAAAAA/f690=")</f>
        <v>#REF!</v>
      </c>
      <c r="HO245" t="e">
        <f>AND('GA55 Summry'!#REF!,"AAAAAA/f694=")</f>
        <v>#REF!</v>
      </c>
      <c r="HP245" t="e">
        <f>AND('GA55 Summry'!#REF!,"AAAAAA/f698=")</f>
        <v>#REF!</v>
      </c>
      <c r="HQ245" t="e">
        <f>AND('GA55 Summry'!#REF!,"AAAAAA/f6+A=")</f>
        <v>#REF!</v>
      </c>
      <c r="HR245" t="e">
        <f>AND('GA55 Summry'!#REF!,"AAAAAA/f6+E=")</f>
        <v>#REF!</v>
      </c>
      <c r="HS245" t="e">
        <f>AND('GA55 Summry'!#REF!,"AAAAAA/f6+I=")</f>
        <v>#REF!</v>
      </c>
      <c r="HT245" t="e">
        <f>AND('GA55 Summry'!#REF!,"AAAAAA/f6+M=")</f>
        <v>#REF!</v>
      </c>
      <c r="HU245" t="e">
        <f>AND('GA55 Summry'!#REF!,"AAAAAA/f6+Q=")</f>
        <v>#REF!</v>
      </c>
      <c r="HV245" t="e">
        <f>AND('GA55 Summry'!#REF!,"AAAAAA/f6+U=")</f>
        <v>#REF!</v>
      </c>
      <c r="HW245" t="e">
        <f>AND('GA55 Summry'!#REF!,"AAAAAA/f6+Y=")</f>
        <v>#REF!</v>
      </c>
      <c r="HX245" t="e">
        <f>AND('GA55 Summry'!#REF!,"AAAAAA/f6+c=")</f>
        <v>#REF!</v>
      </c>
      <c r="HY245" t="e">
        <f>AND('GA55 Summry'!#REF!,"AAAAAA/f6+g=")</f>
        <v>#REF!</v>
      </c>
      <c r="HZ245" t="e">
        <f>AND('GA55 Summry'!#REF!,"AAAAAA/f6+k=")</f>
        <v>#REF!</v>
      </c>
      <c r="IA245" t="e">
        <f>AND('GA55 Summry'!#REF!,"AAAAAA/f6+o=")</f>
        <v>#REF!</v>
      </c>
      <c r="IB245" t="e">
        <f>AND('GA55 Summry'!#REF!,"AAAAAA/f6+s=")</f>
        <v>#REF!</v>
      </c>
      <c r="IC245" t="e">
        <f>AND('GA55 Summry'!#REF!,"AAAAAA/f6+w=")</f>
        <v>#REF!</v>
      </c>
      <c r="ID245" t="e">
        <f>AND('GA55 Summry'!#REF!,"AAAAAA/f6+0=")</f>
        <v>#REF!</v>
      </c>
      <c r="IE245" t="e">
        <f>AND('GA55 Summry'!#REF!,"AAAAAA/f6+4=")</f>
        <v>#REF!</v>
      </c>
      <c r="IF245" t="e">
        <f>AND('GA55 Summry'!#REF!,"AAAAAA/f6+8=")</f>
        <v>#REF!</v>
      </c>
      <c r="IG245" t="e">
        <f>AND('GA55 Summry'!#REF!,"AAAAAA/f6/A=")</f>
        <v>#REF!</v>
      </c>
      <c r="IH245" t="e">
        <f>AND('GA55 Summry'!#REF!,"AAAAAA/f6/E=")</f>
        <v>#REF!</v>
      </c>
      <c r="II245" t="e">
        <f>AND('GA55 Summry'!#REF!,"AAAAAA/f6/I=")</f>
        <v>#REF!</v>
      </c>
      <c r="IJ245" t="e">
        <f>AND('GA55 Summry'!#REF!,"AAAAAA/f6/M=")</f>
        <v>#REF!</v>
      </c>
      <c r="IK245" t="e">
        <f>AND('GA55 Summry'!#REF!,"AAAAAA/f6/Q=")</f>
        <v>#REF!</v>
      </c>
      <c r="IL245" t="e">
        <f>AND('GA55 Summry'!#REF!,"AAAAAA/f6/U=")</f>
        <v>#REF!</v>
      </c>
      <c r="IM245" t="e">
        <f>AND('GA55 Summry'!#REF!,"AAAAAA/f6/Y=")</f>
        <v>#REF!</v>
      </c>
      <c r="IN245" t="e">
        <f>AND('GA55 Summry'!#REF!,"AAAAAA/f6/c=")</f>
        <v>#REF!</v>
      </c>
      <c r="IO245" t="e">
        <f>AND('GA55 Summry'!#REF!,"AAAAAA/f6/g=")</f>
        <v>#REF!</v>
      </c>
      <c r="IP245" t="e">
        <f>AND('GA55 Summry'!#REF!,"AAAAAA/f6/k=")</f>
        <v>#REF!</v>
      </c>
      <c r="IQ245" t="e">
        <f>AND('GA55 Summry'!#REF!,"AAAAAA/f6/o=")</f>
        <v>#REF!</v>
      </c>
      <c r="IR245" t="e">
        <f>AND('GA55 Summry'!#REF!,"AAAAAA/f6/s=")</f>
        <v>#REF!</v>
      </c>
      <c r="IS245" t="e">
        <f>AND('GA55 Summry'!#REF!,"AAAAAA/f6/w=")</f>
        <v>#REF!</v>
      </c>
      <c r="IT245" t="e">
        <f>AND('GA55 Summry'!#REF!,"AAAAAA/f6/0=")</f>
        <v>#REF!</v>
      </c>
      <c r="IU245" t="e">
        <f>AND('GA55 Summry'!#REF!,"AAAAAA/f6/4=")</f>
        <v>#REF!</v>
      </c>
      <c r="IV245" t="e">
        <f>AND('GA55 Summry'!#REF!,"AAAAAA/f6/8=")</f>
        <v>#REF!</v>
      </c>
    </row>
    <row r="246" spans="1:256">
      <c r="A246" t="e">
        <f>AND('GA55 Summry'!#REF!,"AAAAABXG8gA=")</f>
        <v>#REF!</v>
      </c>
      <c r="B246" t="e">
        <f>AND('GA55 Summry'!#REF!,"AAAAABXG8gE=")</f>
        <v>#REF!</v>
      </c>
      <c r="C246" t="e">
        <f>AND('GA55 Summry'!#REF!,"AAAAABXG8gI=")</f>
        <v>#REF!</v>
      </c>
      <c r="D246" t="e">
        <f>AND('GA55 Summry'!#REF!,"AAAAABXG8gM=")</f>
        <v>#REF!</v>
      </c>
      <c r="E246" t="e">
        <f>AND('GA55 Summry'!#REF!,"AAAAABXG8gQ=")</f>
        <v>#REF!</v>
      </c>
      <c r="F246" t="e">
        <f>AND('GA55 Summry'!#REF!,"AAAAABXG8gU=")</f>
        <v>#REF!</v>
      </c>
      <c r="G246" t="e">
        <f>AND('GA55 Summry'!#REF!,"AAAAABXG8gY=")</f>
        <v>#REF!</v>
      </c>
      <c r="H246" t="e">
        <f>AND('GA55 Summry'!#REF!,"AAAAABXG8gc=")</f>
        <v>#REF!</v>
      </c>
      <c r="I246" t="e">
        <f>AND('GA55 Summry'!#REF!,"AAAAABXG8gg=")</f>
        <v>#REF!</v>
      </c>
      <c r="J246" t="e">
        <f>AND('GA55 Summry'!#REF!,"AAAAABXG8gk=")</f>
        <v>#REF!</v>
      </c>
      <c r="K246" t="e">
        <f>AND('GA55 Summry'!#REF!,"AAAAABXG8go=")</f>
        <v>#REF!</v>
      </c>
      <c r="L246" t="e">
        <f>AND('GA55 Summry'!#REF!,"AAAAABXG8gs=")</f>
        <v>#REF!</v>
      </c>
      <c r="M246" t="e">
        <f>AND('GA55 Summry'!#REF!,"AAAAABXG8gw=")</f>
        <v>#REF!</v>
      </c>
      <c r="N246" t="e">
        <f>AND('GA55 Summry'!#REF!,"AAAAABXG8g0=")</f>
        <v>#REF!</v>
      </c>
      <c r="O246" t="e">
        <f>AND('GA55 Summry'!#REF!,"AAAAABXG8g4=")</f>
        <v>#REF!</v>
      </c>
      <c r="P246" t="e">
        <f>AND('GA55 Summry'!#REF!,"AAAAABXG8g8=")</f>
        <v>#REF!</v>
      </c>
      <c r="Q246" t="e">
        <f>AND('GA55 Summry'!#REF!,"AAAAABXG8hA=")</f>
        <v>#REF!</v>
      </c>
      <c r="R246" t="e">
        <f>AND('GA55 Summry'!#REF!,"AAAAABXG8hE=")</f>
        <v>#REF!</v>
      </c>
      <c r="S246" t="e">
        <f>AND('GA55 Summry'!#REF!,"AAAAABXG8hI=")</f>
        <v>#REF!</v>
      </c>
      <c r="T246" t="e">
        <f>AND('GA55 Summry'!#REF!,"AAAAABXG8hM=")</f>
        <v>#REF!</v>
      </c>
      <c r="U246" t="e">
        <f>AND('GA55 Summry'!#REF!,"AAAAABXG8hQ=")</f>
        <v>#REF!</v>
      </c>
      <c r="V246" t="e">
        <f>AND('GA55 Summry'!#REF!,"AAAAABXG8hU=")</f>
        <v>#REF!</v>
      </c>
      <c r="W246" t="e">
        <f>AND('GA55 Summry'!#REF!,"AAAAABXG8hY=")</f>
        <v>#REF!</v>
      </c>
      <c r="X246" t="e">
        <f>AND('GA55 Summry'!#REF!,"AAAAABXG8hc=")</f>
        <v>#REF!</v>
      </c>
      <c r="Y246" t="e">
        <f>AND('GA55 Summry'!#REF!,"AAAAABXG8hg=")</f>
        <v>#REF!</v>
      </c>
      <c r="Z246" t="e">
        <f>AND('GA55 Summry'!#REF!,"AAAAABXG8hk=")</f>
        <v>#REF!</v>
      </c>
      <c r="AA246" t="e">
        <f>AND('GA55 Summry'!#REF!,"AAAAABXG8ho=")</f>
        <v>#REF!</v>
      </c>
      <c r="AB246" t="e">
        <f>AND('GA55 Summry'!#REF!,"AAAAABXG8hs=")</f>
        <v>#REF!</v>
      </c>
      <c r="AC246" t="e">
        <f>AND('GA55 Summry'!#REF!,"AAAAABXG8hw=")</f>
        <v>#REF!</v>
      </c>
      <c r="AD246" t="e">
        <f>AND('GA55 Summry'!#REF!,"AAAAABXG8h0=")</f>
        <v>#REF!</v>
      </c>
      <c r="AE246" t="e">
        <f>AND('GA55 Summry'!#REF!,"AAAAABXG8h4=")</f>
        <v>#REF!</v>
      </c>
      <c r="AF246" t="e">
        <f>AND('GA55 Summry'!#REF!,"AAAAABXG8h8=")</f>
        <v>#REF!</v>
      </c>
      <c r="AG246" t="e">
        <f>AND('GA55 Summry'!#REF!,"AAAAABXG8iA=")</f>
        <v>#REF!</v>
      </c>
      <c r="AH246" t="e">
        <f>AND('GA55 Summry'!#REF!,"AAAAABXG8iE=")</f>
        <v>#REF!</v>
      </c>
      <c r="AI246" t="e">
        <f>AND('GA55 Summry'!#REF!,"AAAAABXG8iI=")</f>
        <v>#REF!</v>
      </c>
      <c r="AJ246" t="e">
        <f>AND('GA55 Summry'!#REF!,"AAAAABXG8iM=")</f>
        <v>#REF!</v>
      </c>
      <c r="AK246" t="e">
        <f>AND('GA55 Summry'!#REF!,"AAAAABXG8iQ=")</f>
        <v>#REF!</v>
      </c>
      <c r="AL246" t="e">
        <f>AND('GA55 Summry'!#REF!,"AAAAABXG8iU=")</f>
        <v>#REF!</v>
      </c>
      <c r="AM246" t="e">
        <f>AND('GA55 Summry'!#REF!,"AAAAABXG8iY=")</f>
        <v>#REF!</v>
      </c>
      <c r="AN246" t="e">
        <f>IF('GA55 Summry'!#REF!,"AAAAABXG8ic=",0)</f>
        <v>#REF!</v>
      </c>
      <c r="AO246" t="e">
        <f>AND('GA55 Summry'!#REF!,"AAAAABXG8ig=")</f>
        <v>#REF!</v>
      </c>
      <c r="AP246" t="e">
        <f>AND('GA55 Summry'!#REF!,"AAAAABXG8ik=")</f>
        <v>#REF!</v>
      </c>
      <c r="AQ246" t="e">
        <f>AND('GA55 Summry'!#REF!,"AAAAABXG8io=")</f>
        <v>#REF!</v>
      </c>
      <c r="AR246" t="e">
        <f>AND('GA55 Summry'!#REF!,"AAAAABXG8is=")</f>
        <v>#REF!</v>
      </c>
      <c r="AS246" t="e">
        <f>AND('GA55 Summry'!#REF!,"AAAAABXG8iw=")</f>
        <v>#REF!</v>
      </c>
      <c r="AT246" t="e">
        <f>AND('GA55 Summry'!#REF!,"AAAAABXG8i0=")</f>
        <v>#REF!</v>
      </c>
      <c r="AU246" t="e">
        <f>AND('GA55 Summry'!#REF!,"AAAAABXG8i4=")</f>
        <v>#REF!</v>
      </c>
      <c r="AV246" t="e">
        <f>AND('GA55 Summry'!#REF!,"AAAAABXG8i8=")</f>
        <v>#REF!</v>
      </c>
      <c r="AW246" t="e">
        <f>AND('GA55 Summry'!#REF!,"AAAAABXG8jA=")</f>
        <v>#REF!</v>
      </c>
      <c r="AX246" t="e">
        <f>AND('GA55 Summry'!#REF!,"AAAAABXG8jE=")</f>
        <v>#REF!</v>
      </c>
      <c r="AY246" t="e">
        <f>AND('GA55 Summry'!#REF!,"AAAAABXG8jI=")</f>
        <v>#REF!</v>
      </c>
      <c r="AZ246" t="e">
        <f>AND('GA55 Summry'!#REF!,"AAAAABXG8jM=")</f>
        <v>#REF!</v>
      </c>
      <c r="BA246" t="e">
        <f>AND('GA55 Summry'!#REF!,"AAAAABXG8jQ=")</f>
        <v>#REF!</v>
      </c>
      <c r="BB246" t="e">
        <f>AND('GA55 Summry'!#REF!,"AAAAABXG8jU=")</f>
        <v>#REF!</v>
      </c>
      <c r="BC246" t="e">
        <f>AND('GA55 Summry'!#REF!,"AAAAABXG8jY=")</f>
        <v>#REF!</v>
      </c>
      <c r="BD246" t="e">
        <f>AND('GA55 Summry'!#REF!,"AAAAABXG8jc=")</f>
        <v>#REF!</v>
      </c>
      <c r="BE246" t="e">
        <f>AND('GA55 Summry'!#REF!,"AAAAABXG8jg=")</f>
        <v>#REF!</v>
      </c>
      <c r="BF246" t="e">
        <f>AND('GA55 Summry'!#REF!,"AAAAABXG8jk=")</f>
        <v>#REF!</v>
      </c>
      <c r="BG246" t="e">
        <f>AND('GA55 Summry'!#REF!,"AAAAABXG8jo=")</f>
        <v>#REF!</v>
      </c>
      <c r="BH246" t="e">
        <f>AND('GA55 Summry'!#REF!,"AAAAABXG8js=")</f>
        <v>#REF!</v>
      </c>
      <c r="BI246" t="e">
        <f>AND('GA55 Summry'!#REF!,"AAAAABXG8jw=")</f>
        <v>#REF!</v>
      </c>
      <c r="BJ246" t="e">
        <f>AND('GA55 Summry'!#REF!,"AAAAABXG8j0=")</f>
        <v>#REF!</v>
      </c>
      <c r="BK246" t="e">
        <f>AND('GA55 Summry'!#REF!,"AAAAABXG8j4=")</f>
        <v>#REF!</v>
      </c>
      <c r="BL246" t="e">
        <f>AND('GA55 Summry'!#REF!,"AAAAABXG8j8=")</f>
        <v>#REF!</v>
      </c>
      <c r="BM246" t="e">
        <f>AND('GA55 Summry'!#REF!,"AAAAABXG8kA=")</f>
        <v>#REF!</v>
      </c>
      <c r="BN246" t="e">
        <f>AND('GA55 Summry'!#REF!,"AAAAABXG8kE=")</f>
        <v>#REF!</v>
      </c>
      <c r="BO246" t="e">
        <f>AND('GA55 Summry'!#REF!,"AAAAABXG8kI=")</f>
        <v>#REF!</v>
      </c>
      <c r="BP246" t="e">
        <f>AND('GA55 Summry'!#REF!,"AAAAABXG8kM=")</f>
        <v>#REF!</v>
      </c>
      <c r="BQ246" t="e">
        <f>AND('GA55 Summry'!#REF!,"AAAAABXG8kQ=")</f>
        <v>#REF!</v>
      </c>
      <c r="BR246" t="e">
        <f>AND('GA55 Summry'!#REF!,"AAAAABXG8kU=")</f>
        <v>#REF!</v>
      </c>
      <c r="BS246" t="e">
        <f>AND('GA55 Summry'!#REF!,"AAAAABXG8kY=")</f>
        <v>#REF!</v>
      </c>
      <c r="BT246" t="e">
        <f>AND('GA55 Summry'!#REF!,"AAAAABXG8kc=")</f>
        <v>#REF!</v>
      </c>
      <c r="BU246" t="e">
        <f>AND('GA55 Summry'!#REF!,"AAAAABXG8kg=")</f>
        <v>#REF!</v>
      </c>
      <c r="BV246" t="e">
        <f>AND('GA55 Summry'!#REF!,"AAAAABXG8kk=")</f>
        <v>#REF!</v>
      </c>
      <c r="BW246" t="e">
        <f>AND('GA55 Summry'!#REF!,"AAAAABXG8ko=")</f>
        <v>#REF!</v>
      </c>
      <c r="BX246" t="e">
        <f>AND('GA55 Summry'!#REF!,"AAAAABXG8ks=")</f>
        <v>#REF!</v>
      </c>
      <c r="BY246" t="e">
        <f>AND('GA55 Summry'!#REF!,"AAAAABXG8kw=")</f>
        <v>#REF!</v>
      </c>
      <c r="BZ246" t="e">
        <f>AND('GA55 Summry'!#REF!,"AAAAABXG8k0=")</f>
        <v>#REF!</v>
      </c>
      <c r="CA246" t="e">
        <f>AND('GA55 Summry'!#REF!,"AAAAABXG8k4=")</f>
        <v>#REF!</v>
      </c>
      <c r="CB246" t="e">
        <f>AND('GA55 Summry'!#REF!,"AAAAABXG8k8=")</f>
        <v>#REF!</v>
      </c>
      <c r="CC246" t="e">
        <f>AND('GA55 Summry'!#REF!,"AAAAABXG8lA=")</f>
        <v>#REF!</v>
      </c>
      <c r="CD246" t="e">
        <f>AND('GA55 Summry'!#REF!,"AAAAABXG8lE=")</f>
        <v>#REF!</v>
      </c>
      <c r="CE246" t="e">
        <f>AND('GA55 Summry'!#REF!,"AAAAABXG8lI=")</f>
        <v>#REF!</v>
      </c>
      <c r="CF246" t="e">
        <f>AND('GA55 Summry'!#REF!,"AAAAABXG8lM=")</f>
        <v>#REF!</v>
      </c>
      <c r="CG246" t="e">
        <f>AND('GA55 Summry'!#REF!,"AAAAABXG8lQ=")</f>
        <v>#REF!</v>
      </c>
      <c r="CH246" t="e">
        <f>AND('GA55 Summry'!#REF!,"AAAAABXG8lU=")</f>
        <v>#REF!</v>
      </c>
      <c r="CI246" t="e">
        <f>AND('GA55 Summry'!#REF!,"AAAAABXG8lY=")</f>
        <v>#REF!</v>
      </c>
      <c r="CJ246" t="e">
        <f>AND('GA55 Summry'!#REF!,"AAAAABXG8lc=")</f>
        <v>#REF!</v>
      </c>
      <c r="CK246" t="e">
        <f>AND('GA55 Summry'!#REF!,"AAAAABXG8lg=")</f>
        <v>#REF!</v>
      </c>
      <c r="CL246" t="e">
        <f>AND('GA55 Summry'!#REF!,"AAAAABXG8lk=")</f>
        <v>#REF!</v>
      </c>
      <c r="CM246" t="e">
        <f>AND('GA55 Summry'!#REF!,"AAAAABXG8lo=")</f>
        <v>#REF!</v>
      </c>
      <c r="CN246" t="e">
        <f>AND('GA55 Summry'!#REF!,"AAAAABXG8ls=")</f>
        <v>#REF!</v>
      </c>
      <c r="CO246" t="e">
        <f>AND('GA55 Summry'!#REF!,"AAAAABXG8lw=")</f>
        <v>#REF!</v>
      </c>
      <c r="CP246" t="e">
        <f>AND('GA55 Summry'!#REF!,"AAAAABXG8l0=")</f>
        <v>#REF!</v>
      </c>
      <c r="CQ246" t="e">
        <f>AND('GA55 Summry'!#REF!,"AAAAABXG8l4=")</f>
        <v>#REF!</v>
      </c>
      <c r="CR246" t="e">
        <f>AND('GA55 Summry'!#REF!,"AAAAABXG8l8=")</f>
        <v>#REF!</v>
      </c>
      <c r="CS246" t="e">
        <f>AND('GA55 Summry'!#REF!,"AAAAABXG8mA=")</f>
        <v>#REF!</v>
      </c>
      <c r="CT246" t="e">
        <f>AND('GA55 Summry'!#REF!,"AAAAABXG8mE=")</f>
        <v>#REF!</v>
      </c>
      <c r="CU246" t="e">
        <f>AND('GA55 Summry'!#REF!,"AAAAABXG8mI=")</f>
        <v>#REF!</v>
      </c>
      <c r="CV246" t="e">
        <f>AND('GA55 Summry'!#REF!,"AAAAABXG8mM=")</f>
        <v>#REF!</v>
      </c>
      <c r="CW246" t="e">
        <f>AND('GA55 Summry'!#REF!,"AAAAABXG8mQ=")</f>
        <v>#REF!</v>
      </c>
      <c r="CX246" t="e">
        <f>AND('GA55 Summry'!#REF!,"AAAAABXG8mU=")</f>
        <v>#REF!</v>
      </c>
      <c r="CY246" t="e">
        <f>AND('GA55 Summry'!#REF!,"AAAAABXG8mY=")</f>
        <v>#REF!</v>
      </c>
      <c r="CZ246" t="e">
        <f>AND('GA55 Summry'!#REF!,"AAAAABXG8mc=")</f>
        <v>#REF!</v>
      </c>
      <c r="DA246" t="e">
        <f>AND('GA55 Summry'!#REF!,"AAAAABXG8mg=")</f>
        <v>#REF!</v>
      </c>
      <c r="DB246" t="e">
        <f>AND('GA55 Summry'!#REF!,"AAAAABXG8mk=")</f>
        <v>#REF!</v>
      </c>
      <c r="DC246" t="e">
        <f>AND('GA55 Summry'!#REF!,"AAAAABXG8mo=")</f>
        <v>#REF!</v>
      </c>
      <c r="DD246" t="e">
        <f>AND('GA55 Summry'!#REF!,"AAAAABXG8ms=")</f>
        <v>#REF!</v>
      </c>
      <c r="DE246" t="e">
        <f>AND('GA55 Summry'!#REF!,"AAAAABXG8mw=")</f>
        <v>#REF!</v>
      </c>
      <c r="DF246" t="e">
        <f>AND('GA55 Summry'!#REF!,"AAAAABXG8m0=")</f>
        <v>#REF!</v>
      </c>
      <c r="DG246" t="e">
        <f>AND('GA55 Summry'!#REF!,"AAAAABXG8m4=")</f>
        <v>#REF!</v>
      </c>
      <c r="DH246" t="e">
        <f>AND('GA55 Summry'!#REF!,"AAAAABXG8m8=")</f>
        <v>#REF!</v>
      </c>
      <c r="DI246" t="e">
        <f>AND('GA55 Summry'!#REF!,"AAAAABXG8nA=")</f>
        <v>#REF!</v>
      </c>
      <c r="DJ246" t="e">
        <f>AND('GA55 Summry'!#REF!,"AAAAABXG8nE=")</f>
        <v>#REF!</v>
      </c>
      <c r="DK246" t="e">
        <f>IF('GA55 Summry'!#REF!,"AAAAABXG8nI=",0)</f>
        <v>#REF!</v>
      </c>
      <c r="DL246" t="e">
        <f>AND('GA55 Summry'!#REF!,"AAAAABXG8nM=")</f>
        <v>#REF!</v>
      </c>
      <c r="DM246" t="e">
        <f>AND('GA55 Summry'!#REF!,"AAAAABXG8nQ=")</f>
        <v>#REF!</v>
      </c>
      <c r="DN246" t="e">
        <f>AND('GA55 Summry'!#REF!,"AAAAABXG8nU=")</f>
        <v>#REF!</v>
      </c>
      <c r="DO246" t="e">
        <f>AND('GA55 Summry'!#REF!,"AAAAABXG8nY=")</f>
        <v>#REF!</v>
      </c>
      <c r="DP246" t="e">
        <f>AND('GA55 Summry'!#REF!,"AAAAABXG8nc=")</f>
        <v>#REF!</v>
      </c>
      <c r="DQ246" t="e">
        <f>AND('GA55 Summry'!#REF!,"AAAAABXG8ng=")</f>
        <v>#REF!</v>
      </c>
      <c r="DR246" t="e">
        <f>AND('GA55 Summry'!#REF!,"AAAAABXG8nk=")</f>
        <v>#REF!</v>
      </c>
      <c r="DS246" t="e">
        <f>AND('GA55 Summry'!#REF!,"AAAAABXG8no=")</f>
        <v>#REF!</v>
      </c>
      <c r="DT246" t="e">
        <f>AND('GA55 Summry'!#REF!,"AAAAABXG8ns=")</f>
        <v>#REF!</v>
      </c>
      <c r="DU246" t="e">
        <f>AND('GA55 Summry'!#REF!,"AAAAABXG8nw=")</f>
        <v>#REF!</v>
      </c>
      <c r="DV246" t="e">
        <f>AND('GA55 Summry'!#REF!,"AAAAABXG8n0=")</f>
        <v>#REF!</v>
      </c>
      <c r="DW246" t="e">
        <f>AND('GA55 Summry'!#REF!,"AAAAABXG8n4=")</f>
        <v>#REF!</v>
      </c>
      <c r="DX246" t="e">
        <f>AND('GA55 Summry'!#REF!,"AAAAABXG8n8=")</f>
        <v>#REF!</v>
      </c>
      <c r="DY246" t="e">
        <f>AND('GA55 Summry'!#REF!,"AAAAABXG8oA=")</f>
        <v>#REF!</v>
      </c>
      <c r="DZ246" t="e">
        <f>AND('GA55 Summry'!#REF!,"AAAAABXG8oE=")</f>
        <v>#REF!</v>
      </c>
      <c r="EA246" t="e">
        <f>AND('GA55 Summry'!#REF!,"AAAAABXG8oI=")</f>
        <v>#REF!</v>
      </c>
      <c r="EB246" t="e">
        <f>AND('GA55 Summry'!#REF!,"AAAAABXG8oM=")</f>
        <v>#REF!</v>
      </c>
      <c r="EC246" t="e">
        <f>AND('GA55 Summry'!#REF!,"AAAAABXG8oQ=")</f>
        <v>#REF!</v>
      </c>
      <c r="ED246" t="e">
        <f>AND('GA55 Summry'!#REF!,"AAAAABXG8oU=")</f>
        <v>#REF!</v>
      </c>
      <c r="EE246" t="e">
        <f>AND('GA55 Summry'!#REF!,"AAAAABXG8oY=")</f>
        <v>#REF!</v>
      </c>
      <c r="EF246" t="e">
        <f>AND('GA55 Summry'!#REF!,"AAAAABXG8oc=")</f>
        <v>#REF!</v>
      </c>
      <c r="EG246" t="e">
        <f>AND('GA55 Summry'!#REF!,"AAAAABXG8og=")</f>
        <v>#REF!</v>
      </c>
      <c r="EH246" t="e">
        <f>AND('GA55 Summry'!#REF!,"AAAAABXG8ok=")</f>
        <v>#REF!</v>
      </c>
      <c r="EI246" t="e">
        <f>AND('GA55 Summry'!#REF!,"AAAAABXG8oo=")</f>
        <v>#REF!</v>
      </c>
      <c r="EJ246" t="e">
        <f>AND('GA55 Summry'!#REF!,"AAAAABXG8os=")</f>
        <v>#REF!</v>
      </c>
      <c r="EK246" t="e">
        <f>AND('GA55 Summry'!#REF!,"AAAAABXG8ow=")</f>
        <v>#REF!</v>
      </c>
      <c r="EL246" t="e">
        <f>AND('GA55 Summry'!#REF!,"AAAAABXG8o0=")</f>
        <v>#REF!</v>
      </c>
      <c r="EM246" t="e">
        <f>AND('GA55 Summry'!#REF!,"AAAAABXG8o4=")</f>
        <v>#REF!</v>
      </c>
      <c r="EN246" t="e">
        <f>AND('GA55 Summry'!#REF!,"AAAAABXG8o8=")</f>
        <v>#REF!</v>
      </c>
      <c r="EO246" t="e">
        <f>AND('GA55 Summry'!#REF!,"AAAAABXG8pA=")</f>
        <v>#REF!</v>
      </c>
      <c r="EP246" t="e">
        <f>AND('GA55 Summry'!#REF!,"AAAAABXG8pE=")</f>
        <v>#REF!</v>
      </c>
      <c r="EQ246" t="e">
        <f>AND('GA55 Summry'!#REF!,"AAAAABXG8pI=")</f>
        <v>#REF!</v>
      </c>
      <c r="ER246" t="e">
        <f>AND('GA55 Summry'!#REF!,"AAAAABXG8pM=")</f>
        <v>#REF!</v>
      </c>
      <c r="ES246" t="e">
        <f>AND('GA55 Summry'!#REF!,"AAAAABXG8pQ=")</f>
        <v>#REF!</v>
      </c>
      <c r="ET246" t="e">
        <f>AND('GA55 Summry'!#REF!,"AAAAABXG8pU=")</f>
        <v>#REF!</v>
      </c>
      <c r="EU246" t="e">
        <f>AND('GA55 Summry'!#REF!,"AAAAABXG8pY=")</f>
        <v>#REF!</v>
      </c>
      <c r="EV246" t="e">
        <f>AND('GA55 Summry'!#REF!,"AAAAABXG8pc=")</f>
        <v>#REF!</v>
      </c>
      <c r="EW246" t="e">
        <f>AND('GA55 Summry'!#REF!,"AAAAABXG8pg=")</f>
        <v>#REF!</v>
      </c>
      <c r="EX246" t="e">
        <f>AND('GA55 Summry'!#REF!,"AAAAABXG8pk=")</f>
        <v>#REF!</v>
      </c>
      <c r="EY246" t="e">
        <f>AND('GA55 Summry'!#REF!,"AAAAABXG8po=")</f>
        <v>#REF!</v>
      </c>
      <c r="EZ246" t="e">
        <f>AND('GA55 Summry'!#REF!,"AAAAABXG8ps=")</f>
        <v>#REF!</v>
      </c>
      <c r="FA246" t="e">
        <f>AND('GA55 Summry'!#REF!,"AAAAABXG8pw=")</f>
        <v>#REF!</v>
      </c>
      <c r="FB246" t="e">
        <f>AND('GA55 Summry'!#REF!,"AAAAABXG8p0=")</f>
        <v>#REF!</v>
      </c>
      <c r="FC246" t="e">
        <f>AND('GA55 Summry'!#REF!,"AAAAABXG8p4=")</f>
        <v>#REF!</v>
      </c>
      <c r="FD246" t="e">
        <f>AND('GA55 Summry'!#REF!,"AAAAABXG8p8=")</f>
        <v>#REF!</v>
      </c>
      <c r="FE246" t="e">
        <f>AND('GA55 Summry'!#REF!,"AAAAABXG8qA=")</f>
        <v>#REF!</v>
      </c>
      <c r="FF246" t="e">
        <f>AND('GA55 Summry'!#REF!,"AAAAABXG8qE=")</f>
        <v>#REF!</v>
      </c>
      <c r="FG246" t="e">
        <f>AND('GA55 Summry'!#REF!,"AAAAABXG8qI=")</f>
        <v>#REF!</v>
      </c>
      <c r="FH246" t="e">
        <f>AND('GA55 Summry'!#REF!,"AAAAABXG8qM=")</f>
        <v>#REF!</v>
      </c>
      <c r="FI246" t="e">
        <f>AND('GA55 Summry'!#REF!,"AAAAABXG8qQ=")</f>
        <v>#REF!</v>
      </c>
      <c r="FJ246" t="e">
        <f>AND('GA55 Summry'!#REF!,"AAAAABXG8qU=")</f>
        <v>#REF!</v>
      </c>
      <c r="FK246" t="e">
        <f>AND('GA55 Summry'!#REF!,"AAAAABXG8qY=")</f>
        <v>#REF!</v>
      </c>
      <c r="FL246" t="e">
        <f>AND('GA55 Summry'!#REF!,"AAAAABXG8qc=")</f>
        <v>#REF!</v>
      </c>
      <c r="FM246" t="e">
        <f>AND('GA55 Summry'!#REF!,"AAAAABXG8qg=")</f>
        <v>#REF!</v>
      </c>
      <c r="FN246" t="e">
        <f>AND('GA55 Summry'!#REF!,"AAAAABXG8qk=")</f>
        <v>#REF!</v>
      </c>
      <c r="FO246" t="e">
        <f>AND('GA55 Summry'!#REF!,"AAAAABXG8qo=")</f>
        <v>#REF!</v>
      </c>
      <c r="FP246" t="e">
        <f>AND('GA55 Summry'!#REF!,"AAAAABXG8qs=")</f>
        <v>#REF!</v>
      </c>
      <c r="FQ246" t="e">
        <f>AND('GA55 Summry'!#REF!,"AAAAABXG8qw=")</f>
        <v>#REF!</v>
      </c>
      <c r="FR246" t="e">
        <f>AND('GA55 Summry'!#REF!,"AAAAABXG8q0=")</f>
        <v>#REF!</v>
      </c>
      <c r="FS246" t="e">
        <f>AND('GA55 Summry'!#REF!,"AAAAABXG8q4=")</f>
        <v>#REF!</v>
      </c>
      <c r="FT246" t="e">
        <f>AND('GA55 Summry'!#REF!,"AAAAABXG8q8=")</f>
        <v>#REF!</v>
      </c>
      <c r="FU246" t="e">
        <f>AND('GA55 Summry'!#REF!,"AAAAABXG8rA=")</f>
        <v>#REF!</v>
      </c>
      <c r="FV246" t="e">
        <f>AND('GA55 Summry'!#REF!,"AAAAABXG8rE=")</f>
        <v>#REF!</v>
      </c>
      <c r="FW246" t="e">
        <f>AND('GA55 Summry'!#REF!,"AAAAABXG8rI=")</f>
        <v>#REF!</v>
      </c>
      <c r="FX246" t="e">
        <f>AND('GA55 Summry'!#REF!,"AAAAABXG8rM=")</f>
        <v>#REF!</v>
      </c>
      <c r="FY246" t="e">
        <f>AND('GA55 Summry'!#REF!,"AAAAABXG8rQ=")</f>
        <v>#REF!</v>
      </c>
      <c r="FZ246" t="e">
        <f>AND('GA55 Summry'!#REF!,"AAAAABXG8rU=")</f>
        <v>#REF!</v>
      </c>
      <c r="GA246" t="e">
        <f>AND('GA55 Summry'!#REF!,"AAAAABXG8rY=")</f>
        <v>#REF!</v>
      </c>
      <c r="GB246" t="e">
        <f>AND('GA55 Summry'!#REF!,"AAAAABXG8rc=")</f>
        <v>#REF!</v>
      </c>
      <c r="GC246" t="e">
        <f>AND('GA55 Summry'!#REF!,"AAAAABXG8rg=")</f>
        <v>#REF!</v>
      </c>
      <c r="GD246" t="e">
        <f>AND('GA55 Summry'!#REF!,"AAAAABXG8rk=")</f>
        <v>#REF!</v>
      </c>
      <c r="GE246" t="e">
        <f>AND('GA55 Summry'!#REF!,"AAAAABXG8ro=")</f>
        <v>#REF!</v>
      </c>
      <c r="GF246" t="e">
        <f>AND('GA55 Summry'!#REF!,"AAAAABXG8rs=")</f>
        <v>#REF!</v>
      </c>
      <c r="GG246" t="e">
        <f>AND('GA55 Summry'!#REF!,"AAAAABXG8rw=")</f>
        <v>#REF!</v>
      </c>
      <c r="GH246" t="e">
        <f>IF('GA55 Summry'!#REF!,"AAAAABXG8r0=",0)</f>
        <v>#REF!</v>
      </c>
      <c r="GI246" t="e">
        <f>AND('GA55 Summry'!#REF!,"AAAAABXG8r4=")</f>
        <v>#REF!</v>
      </c>
      <c r="GJ246" t="e">
        <f>AND('GA55 Summry'!#REF!,"AAAAABXG8r8=")</f>
        <v>#REF!</v>
      </c>
      <c r="GK246" t="e">
        <f>AND('GA55 Summry'!#REF!,"AAAAABXG8sA=")</f>
        <v>#REF!</v>
      </c>
      <c r="GL246" t="e">
        <f>AND('GA55 Summry'!#REF!,"AAAAABXG8sE=")</f>
        <v>#REF!</v>
      </c>
      <c r="GM246" t="e">
        <f>AND('GA55 Summry'!#REF!,"AAAAABXG8sI=")</f>
        <v>#REF!</v>
      </c>
      <c r="GN246" t="e">
        <f>AND('GA55 Summry'!#REF!,"AAAAABXG8sM=")</f>
        <v>#REF!</v>
      </c>
      <c r="GO246" t="e">
        <f>AND('GA55 Summry'!#REF!,"AAAAABXG8sQ=")</f>
        <v>#REF!</v>
      </c>
      <c r="GP246" t="e">
        <f>AND('GA55 Summry'!#REF!,"AAAAABXG8sU=")</f>
        <v>#REF!</v>
      </c>
      <c r="GQ246" t="e">
        <f>AND('GA55 Summry'!#REF!,"AAAAABXG8sY=")</f>
        <v>#REF!</v>
      </c>
      <c r="GR246" t="e">
        <f>AND('GA55 Summry'!#REF!,"AAAAABXG8sc=")</f>
        <v>#REF!</v>
      </c>
      <c r="GS246" t="e">
        <f>AND('GA55 Summry'!#REF!,"AAAAABXG8sg=")</f>
        <v>#REF!</v>
      </c>
      <c r="GT246" t="e">
        <f>AND('GA55 Summry'!#REF!,"AAAAABXG8sk=")</f>
        <v>#REF!</v>
      </c>
      <c r="GU246" t="e">
        <f>AND('GA55 Summry'!#REF!,"AAAAABXG8so=")</f>
        <v>#REF!</v>
      </c>
      <c r="GV246" t="e">
        <f>AND('GA55 Summry'!#REF!,"AAAAABXG8ss=")</f>
        <v>#REF!</v>
      </c>
      <c r="GW246" t="e">
        <f>AND('GA55 Summry'!#REF!,"AAAAABXG8sw=")</f>
        <v>#REF!</v>
      </c>
      <c r="GX246" t="e">
        <f>AND('GA55 Summry'!#REF!,"AAAAABXG8s0=")</f>
        <v>#REF!</v>
      </c>
      <c r="GY246" t="e">
        <f>AND('GA55 Summry'!#REF!,"AAAAABXG8s4=")</f>
        <v>#REF!</v>
      </c>
      <c r="GZ246" t="e">
        <f>AND('GA55 Summry'!#REF!,"AAAAABXG8s8=")</f>
        <v>#REF!</v>
      </c>
      <c r="HA246" t="e">
        <f>AND('GA55 Summry'!#REF!,"AAAAABXG8tA=")</f>
        <v>#REF!</v>
      </c>
      <c r="HB246" t="e">
        <f>AND('GA55 Summry'!#REF!,"AAAAABXG8tE=")</f>
        <v>#REF!</v>
      </c>
      <c r="HC246" t="e">
        <f>AND('GA55 Summry'!#REF!,"AAAAABXG8tI=")</f>
        <v>#REF!</v>
      </c>
      <c r="HD246" t="e">
        <f>AND('GA55 Summry'!#REF!,"AAAAABXG8tM=")</f>
        <v>#REF!</v>
      </c>
      <c r="HE246" t="e">
        <f>AND('GA55 Summry'!#REF!,"AAAAABXG8tQ=")</f>
        <v>#REF!</v>
      </c>
      <c r="HF246" t="e">
        <f>AND('GA55 Summry'!#REF!,"AAAAABXG8tU=")</f>
        <v>#REF!</v>
      </c>
      <c r="HG246" t="e">
        <f>AND('GA55 Summry'!#REF!,"AAAAABXG8tY=")</f>
        <v>#REF!</v>
      </c>
      <c r="HH246" t="e">
        <f>AND('GA55 Summry'!#REF!,"AAAAABXG8tc=")</f>
        <v>#REF!</v>
      </c>
      <c r="HI246" t="e">
        <f>AND('GA55 Summry'!#REF!,"AAAAABXG8tg=")</f>
        <v>#REF!</v>
      </c>
      <c r="HJ246" t="e">
        <f>AND('GA55 Summry'!#REF!,"AAAAABXG8tk=")</f>
        <v>#REF!</v>
      </c>
      <c r="HK246" t="e">
        <f>AND('GA55 Summry'!#REF!,"AAAAABXG8to=")</f>
        <v>#REF!</v>
      </c>
      <c r="HL246" t="e">
        <f>AND('GA55 Summry'!#REF!,"AAAAABXG8ts=")</f>
        <v>#REF!</v>
      </c>
      <c r="HM246" t="e">
        <f>AND('GA55 Summry'!#REF!,"AAAAABXG8tw=")</f>
        <v>#REF!</v>
      </c>
      <c r="HN246" t="e">
        <f>AND('GA55 Summry'!#REF!,"AAAAABXG8t0=")</f>
        <v>#REF!</v>
      </c>
      <c r="HO246" t="e">
        <f>AND('GA55 Summry'!#REF!,"AAAAABXG8t4=")</f>
        <v>#REF!</v>
      </c>
      <c r="HP246" t="e">
        <f>AND('GA55 Summry'!#REF!,"AAAAABXG8t8=")</f>
        <v>#REF!</v>
      </c>
      <c r="HQ246" t="e">
        <f>AND('GA55 Summry'!#REF!,"AAAAABXG8uA=")</f>
        <v>#REF!</v>
      </c>
      <c r="HR246" t="e">
        <f>AND('GA55 Summry'!#REF!,"AAAAABXG8uE=")</f>
        <v>#REF!</v>
      </c>
      <c r="HS246" t="e">
        <f>AND('GA55 Summry'!#REF!,"AAAAABXG8uI=")</f>
        <v>#REF!</v>
      </c>
      <c r="HT246" t="e">
        <f>AND('GA55 Summry'!#REF!,"AAAAABXG8uM=")</f>
        <v>#REF!</v>
      </c>
      <c r="HU246" t="e">
        <f>AND('GA55 Summry'!#REF!,"AAAAABXG8uQ=")</f>
        <v>#REF!</v>
      </c>
      <c r="HV246" t="e">
        <f>AND('GA55 Summry'!#REF!,"AAAAABXG8uU=")</f>
        <v>#REF!</v>
      </c>
      <c r="HW246" t="e">
        <f>AND('GA55 Summry'!#REF!,"AAAAABXG8uY=")</f>
        <v>#REF!</v>
      </c>
      <c r="HX246" t="e">
        <f>AND('GA55 Summry'!#REF!,"AAAAABXG8uc=")</f>
        <v>#REF!</v>
      </c>
      <c r="HY246" t="e">
        <f>AND('GA55 Summry'!#REF!,"AAAAABXG8ug=")</f>
        <v>#REF!</v>
      </c>
      <c r="HZ246" t="e">
        <f>AND('GA55 Summry'!#REF!,"AAAAABXG8uk=")</f>
        <v>#REF!</v>
      </c>
      <c r="IA246" t="e">
        <f>AND('GA55 Summry'!#REF!,"AAAAABXG8uo=")</f>
        <v>#REF!</v>
      </c>
      <c r="IB246" t="e">
        <f>AND('GA55 Summry'!#REF!,"AAAAABXG8us=")</f>
        <v>#REF!</v>
      </c>
      <c r="IC246" t="e">
        <f>AND('GA55 Summry'!#REF!,"AAAAABXG8uw=")</f>
        <v>#REF!</v>
      </c>
      <c r="ID246" t="e">
        <f>AND('GA55 Summry'!#REF!,"AAAAABXG8u0=")</f>
        <v>#REF!</v>
      </c>
      <c r="IE246" t="e">
        <f>AND('GA55 Summry'!#REF!,"AAAAABXG8u4=")</f>
        <v>#REF!</v>
      </c>
      <c r="IF246" t="e">
        <f>AND('GA55 Summry'!#REF!,"AAAAABXG8u8=")</f>
        <v>#REF!</v>
      </c>
      <c r="IG246" t="e">
        <f>AND('GA55 Summry'!#REF!,"AAAAABXG8vA=")</f>
        <v>#REF!</v>
      </c>
      <c r="IH246" t="e">
        <f>AND('GA55 Summry'!#REF!,"AAAAABXG8vE=")</f>
        <v>#REF!</v>
      </c>
      <c r="II246" t="e">
        <f>AND('GA55 Summry'!#REF!,"AAAAABXG8vI=")</f>
        <v>#REF!</v>
      </c>
      <c r="IJ246" t="e">
        <f>AND('GA55 Summry'!#REF!,"AAAAABXG8vM=")</f>
        <v>#REF!</v>
      </c>
      <c r="IK246" t="e">
        <f>AND('GA55 Summry'!#REF!,"AAAAABXG8vQ=")</f>
        <v>#REF!</v>
      </c>
      <c r="IL246" t="e">
        <f>AND('GA55 Summry'!#REF!,"AAAAABXG8vU=")</f>
        <v>#REF!</v>
      </c>
      <c r="IM246" t="e">
        <f>AND('GA55 Summry'!#REF!,"AAAAABXG8vY=")</f>
        <v>#REF!</v>
      </c>
      <c r="IN246" t="e">
        <f>AND('GA55 Summry'!#REF!,"AAAAABXG8vc=")</f>
        <v>#REF!</v>
      </c>
      <c r="IO246" t="e">
        <f>AND('GA55 Summry'!#REF!,"AAAAABXG8vg=")</f>
        <v>#REF!</v>
      </c>
      <c r="IP246" t="e">
        <f>AND('GA55 Summry'!#REF!,"AAAAABXG8vk=")</f>
        <v>#REF!</v>
      </c>
      <c r="IQ246" t="e">
        <f>AND('GA55 Summry'!#REF!,"AAAAABXG8vo=")</f>
        <v>#REF!</v>
      </c>
      <c r="IR246" t="e">
        <f>AND('GA55 Summry'!#REF!,"AAAAABXG8vs=")</f>
        <v>#REF!</v>
      </c>
      <c r="IS246" t="e">
        <f>AND('GA55 Summry'!#REF!,"AAAAABXG8vw=")</f>
        <v>#REF!</v>
      </c>
      <c r="IT246" t="e">
        <f>AND('GA55 Summry'!#REF!,"AAAAABXG8v0=")</f>
        <v>#REF!</v>
      </c>
      <c r="IU246" t="e">
        <f>AND('GA55 Summry'!#REF!,"AAAAABXG8v4=")</f>
        <v>#REF!</v>
      </c>
      <c r="IV246" t="e">
        <f>AND('GA55 Summry'!#REF!,"AAAAABXG8v8=")</f>
        <v>#REF!</v>
      </c>
    </row>
    <row r="247" spans="1:256">
      <c r="A247" t="e">
        <f>AND('GA55 Summry'!#REF!,"AAAAAG83/gA=")</f>
        <v>#REF!</v>
      </c>
      <c r="B247" t="e">
        <f>AND('GA55 Summry'!#REF!,"AAAAAG83/gE=")</f>
        <v>#REF!</v>
      </c>
      <c r="C247" t="e">
        <f>AND('GA55 Summry'!#REF!,"AAAAAG83/gI=")</f>
        <v>#REF!</v>
      </c>
      <c r="D247" t="e">
        <f>AND('GA55 Summry'!#REF!,"AAAAAG83/gM=")</f>
        <v>#REF!</v>
      </c>
      <c r="E247" t="e">
        <f>AND('GA55 Summry'!#REF!,"AAAAAG83/gQ=")</f>
        <v>#REF!</v>
      </c>
      <c r="F247" t="e">
        <f>AND('GA55 Summry'!#REF!,"AAAAAG83/gU=")</f>
        <v>#REF!</v>
      </c>
      <c r="G247" t="e">
        <f>AND('GA55 Summry'!#REF!,"AAAAAG83/gY=")</f>
        <v>#REF!</v>
      </c>
      <c r="H247" t="e">
        <f>AND('GA55 Summry'!#REF!,"AAAAAG83/gc=")</f>
        <v>#REF!</v>
      </c>
      <c r="I247" t="e">
        <f>IF('GA55 Summry'!#REF!,"AAAAAG83/gg=",0)</f>
        <v>#REF!</v>
      </c>
      <c r="J247" t="e">
        <f>AND('GA55 Summry'!#REF!,"AAAAAG83/gk=")</f>
        <v>#REF!</v>
      </c>
      <c r="K247" t="e">
        <f>AND('GA55 Summry'!#REF!,"AAAAAG83/go=")</f>
        <v>#REF!</v>
      </c>
      <c r="L247" t="e">
        <f>AND('GA55 Summry'!#REF!,"AAAAAG83/gs=")</f>
        <v>#REF!</v>
      </c>
      <c r="M247" t="e">
        <f>AND('GA55 Summry'!#REF!,"AAAAAG83/gw=")</f>
        <v>#REF!</v>
      </c>
      <c r="N247" t="e">
        <f>AND('GA55 Summry'!#REF!,"AAAAAG83/g0=")</f>
        <v>#REF!</v>
      </c>
      <c r="O247" t="e">
        <f>AND('GA55 Summry'!#REF!,"AAAAAG83/g4=")</f>
        <v>#REF!</v>
      </c>
      <c r="P247" t="e">
        <f>AND('GA55 Summry'!#REF!,"AAAAAG83/g8=")</f>
        <v>#REF!</v>
      </c>
      <c r="Q247" t="e">
        <f>AND('GA55 Summry'!#REF!,"AAAAAG83/hA=")</f>
        <v>#REF!</v>
      </c>
      <c r="R247" t="e">
        <f>AND('GA55 Summry'!#REF!,"AAAAAG83/hE=")</f>
        <v>#REF!</v>
      </c>
      <c r="S247" t="e">
        <f>AND('GA55 Summry'!#REF!,"AAAAAG83/hI=")</f>
        <v>#REF!</v>
      </c>
      <c r="T247" t="e">
        <f>AND('GA55 Summry'!#REF!,"AAAAAG83/hM=")</f>
        <v>#REF!</v>
      </c>
      <c r="U247" t="e">
        <f>AND('GA55 Summry'!#REF!,"AAAAAG83/hQ=")</f>
        <v>#REF!</v>
      </c>
      <c r="V247" t="e">
        <f>AND('GA55 Summry'!#REF!,"AAAAAG83/hU=")</f>
        <v>#REF!</v>
      </c>
      <c r="W247" t="e">
        <f>AND('GA55 Summry'!#REF!,"AAAAAG83/hY=")</f>
        <v>#REF!</v>
      </c>
      <c r="X247" t="e">
        <f>AND('GA55 Summry'!#REF!,"AAAAAG83/hc=")</f>
        <v>#REF!</v>
      </c>
      <c r="Y247" t="e">
        <f>AND('GA55 Summry'!#REF!,"AAAAAG83/hg=")</f>
        <v>#REF!</v>
      </c>
      <c r="Z247" t="e">
        <f>AND('GA55 Summry'!#REF!,"AAAAAG83/hk=")</f>
        <v>#REF!</v>
      </c>
      <c r="AA247" t="e">
        <f>AND('GA55 Summry'!#REF!,"AAAAAG83/ho=")</f>
        <v>#REF!</v>
      </c>
      <c r="AB247" t="e">
        <f>AND('GA55 Summry'!#REF!,"AAAAAG83/hs=")</f>
        <v>#REF!</v>
      </c>
      <c r="AC247" t="e">
        <f>AND('GA55 Summry'!#REF!,"AAAAAG83/hw=")</f>
        <v>#REF!</v>
      </c>
      <c r="AD247" t="e">
        <f>AND('GA55 Summry'!#REF!,"AAAAAG83/h0=")</f>
        <v>#REF!</v>
      </c>
      <c r="AE247" t="e">
        <f>AND('GA55 Summry'!#REF!,"AAAAAG83/h4=")</f>
        <v>#REF!</v>
      </c>
      <c r="AF247" t="e">
        <f>AND('GA55 Summry'!#REF!,"AAAAAG83/h8=")</f>
        <v>#REF!</v>
      </c>
      <c r="AG247" t="e">
        <f>AND('GA55 Summry'!#REF!,"AAAAAG83/iA=")</f>
        <v>#REF!</v>
      </c>
      <c r="AH247" t="e">
        <f>AND('GA55 Summry'!#REF!,"AAAAAG83/iE=")</f>
        <v>#REF!</v>
      </c>
      <c r="AI247" t="e">
        <f>AND('GA55 Summry'!#REF!,"AAAAAG83/iI=")</f>
        <v>#REF!</v>
      </c>
      <c r="AJ247" t="e">
        <f>AND('GA55 Summry'!#REF!,"AAAAAG83/iM=")</f>
        <v>#REF!</v>
      </c>
      <c r="AK247" t="e">
        <f>AND('GA55 Summry'!#REF!,"AAAAAG83/iQ=")</f>
        <v>#REF!</v>
      </c>
      <c r="AL247" t="e">
        <f>AND('GA55 Summry'!#REF!,"AAAAAG83/iU=")</f>
        <v>#REF!</v>
      </c>
      <c r="AM247" t="e">
        <f>AND('GA55 Summry'!#REF!,"AAAAAG83/iY=")</f>
        <v>#REF!</v>
      </c>
      <c r="AN247" t="e">
        <f>AND('GA55 Summry'!#REF!,"AAAAAG83/ic=")</f>
        <v>#REF!</v>
      </c>
      <c r="AO247" t="e">
        <f>AND('GA55 Summry'!#REF!,"AAAAAG83/ig=")</f>
        <v>#REF!</v>
      </c>
      <c r="AP247" t="e">
        <f>AND('GA55 Summry'!#REF!,"AAAAAG83/ik=")</f>
        <v>#REF!</v>
      </c>
      <c r="AQ247" t="e">
        <f>AND('GA55 Summry'!#REF!,"AAAAAG83/io=")</f>
        <v>#REF!</v>
      </c>
      <c r="AR247" t="e">
        <f>AND('GA55 Summry'!#REF!,"AAAAAG83/is=")</f>
        <v>#REF!</v>
      </c>
      <c r="AS247" t="e">
        <f>AND('GA55 Summry'!#REF!,"AAAAAG83/iw=")</f>
        <v>#REF!</v>
      </c>
      <c r="AT247" t="e">
        <f>AND('GA55 Summry'!#REF!,"AAAAAG83/i0=")</f>
        <v>#REF!</v>
      </c>
      <c r="AU247" t="e">
        <f>AND('GA55 Summry'!#REF!,"AAAAAG83/i4=")</f>
        <v>#REF!</v>
      </c>
      <c r="AV247" t="e">
        <f>AND('GA55 Summry'!#REF!,"AAAAAG83/i8=")</f>
        <v>#REF!</v>
      </c>
      <c r="AW247" t="e">
        <f>AND('GA55 Summry'!#REF!,"AAAAAG83/jA=")</f>
        <v>#REF!</v>
      </c>
      <c r="AX247" t="e">
        <f>AND('GA55 Summry'!#REF!,"AAAAAG83/jE=")</f>
        <v>#REF!</v>
      </c>
      <c r="AY247" t="e">
        <f>AND('GA55 Summry'!#REF!,"AAAAAG83/jI=")</f>
        <v>#REF!</v>
      </c>
      <c r="AZ247" t="e">
        <f>AND('GA55 Summry'!#REF!,"AAAAAG83/jM=")</f>
        <v>#REF!</v>
      </c>
      <c r="BA247" t="e">
        <f>AND('GA55 Summry'!#REF!,"AAAAAG83/jQ=")</f>
        <v>#REF!</v>
      </c>
      <c r="BB247" t="e">
        <f>AND('GA55 Summry'!#REF!,"AAAAAG83/jU=")</f>
        <v>#REF!</v>
      </c>
      <c r="BC247" t="e">
        <f>AND('GA55 Summry'!#REF!,"AAAAAG83/jY=")</f>
        <v>#REF!</v>
      </c>
      <c r="BD247" t="e">
        <f>AND('GA55 Summry'!#REF!,"AAAAAG83/jc=")</f>
        <v>#REF!</v>
      </c>
      <c r="BE247" t="e">
        <f>AND('GA55 Summry'!#REF!,"AAAAAG83/jg=")</f>
        <v>#REF!</v>
      </c>
      <c r="BF247" t="e">
        <f>AND('GA55 Summry'!#REF!,"AAAAAG83/jk=")</f>
        <v>#REF!</v>
      </c>
      <c r="BG247" t="e">
        <f>AND('GA55 Summry'!#REF!,"AAAAAG83/jo=")</f>
        <v>#REF!</v>
      </c>
      <c r="BH247" t="e">
        <f>AND('GA55 Summry'!#REF!,"AAAAAG83/js=")</f>
        <v>#REF!</v>
      </c>
      <c r="BI247" t="e">
        <f>AND('GA55 Summry'!#REF!,"AAAAAG83/jw=")</f>
        <v>#REF!</v>
      </c>
      <c r="BJ247" t="e">
        <f>AND('GA55 Summry'!#REF!,"AAAAAG83/j0=")</f>
        <v>#REF!</v>
      </c>
      <c r="BK247" t="e">
        <f>AND('GA55 Summry'!#REF!,"AAAAAG83/j4=")</f>
        <v>#REF!</v>
      </c>
      <c r="BL247" t="e">
        <f>AND('GA55 Summry'!#REF!,"AAAAAG83/j8=")</f>
        <v>#REF!</v>
      </c>
      <c r="BM247" t="e">
        <f>AND('GA55 Summry'!#REF!,"AAAAAG83/kA=")</f>
        <v>#REF!</v>
      </c>
      <c r="BN247" t="e">
        <f>AND('GA55 Summry'!#REF!,"AAAAAG83/kE=")</f>
        <v>#REF!</v>
      </c>
      <c r="BO247" t="e">
        <f>AND('GA55 Summry'!#REF!,"AAAAAG83/kI=")</f>
        <v>#REF!</v>
      </c>
      <c r="BP247" t="e">
        <f>AND('GA55 Summry'!#REF!,"AAAAAG83/kM=")</f>
        <v>#REF!</v>
      </c>
      <c r="BQ247" t="e">
        <f>AND('GA55 Summry'!#REF!,"AAAAAG83/kQ=")</f>
        <v>#REF!</v>
      </c>
      <c r="BR247" t="e">
        <f>AND('GA55 Summry'!#REF!,"AAAAAG83/kU=")</f>
        <v>#REF!</v>
      </c>
      <c r="BS247" t="e">
        <f>AND('GA55 Summry'!#REF!,"AAAAAG83/kY=")</f>
        <v>#REF!</v>
      </c>
      <c r="BT247" t="e">
        <f>AND('GA55 Summry'!#REF!,"AAAAAG83/kc=")</f>
        <v>#REF!</v>
      </c>
      <c r="BU247" t="e">
        <f>AND('GA55 Summry'!#REF!,"AAAAAG83/kg=")</f>
        <v>#REF!</v>
      </c>
      <c r="BV247" t="e">
        <f>AND('GA55 Summry'!#REF!,"AAAAAG83/kk=")</f>
        <v>#REF!</v>
      </c>
      <c r="BW247" t="e">
        <f>AND('GA55 Summry'!#REF!,"AAAAAG83/ko=")</f>
        <v>#REF!</v>
      </c>
      <c r="BX247" t="e">
        <f>AND('GA55 Summry'!#REF!,"AAAAAG83/ks=")</f>
        <v>#REF!</v>
      </c>
      <c r="BY247" t="e">
        <f>AND('GA55 Summry'!#REF!,"AAAAAG83/kw=")</f>
        <v>#REF!</v>
      </c>
      <c r="BZ247" t="e">
        <f>AND('GA55 Summry'!#REF!,"AAAAAG83/k0=")</f>
        <v>#REF!</v>
      </c>
      <c r="CA247" t="e">
        <f>AND('GA55 Summry'!#REF!,"AAAAAG83/k4=")</f>
        <v>#REF!</v>
      </c>
      <c r="CB247" t="e">
        <f>AND('GA55 Summry'!#REF!,"AAAAAG83/k8=")</f>
        <v>#REF!</v>
      </c>
      <c r="CC247" t="e">
        <f>AND('GA55 Summry'!#REF!,"AAAAAG83/lA=")</f>
        <v>#REF!</v>
      </c>
      <c r="CD247" t="e">
        <f>AND('GA55 Summry'!#REF!,"AAAAAG83/lE=")</f>
        <v>#REF!</v>
      </c>
      <c r="CE247" t="e">
        <f>AND('GA55 Summry'!#REF!,"AAAAAG83/lI=")</f>
        <v>#REF!</v>
      </c>
      <c r="CF247" t="e">
        <f>IF('GA55 Summry'!#REF!,"AAAAAG83/lM=",0)</f>
        <v>#REF!</v>
      </c>
      <c r="CG247" t="e">
        <f>AND('GA55 Summry'!#REF!,"AAAAAG83/lQ=")</f>
        <v>#REF!</v>
      </c>
      <c r="CH247" t="e">
        <f>AND('GA55 Summry'!#REF!,"AAAAAG83/lU=")</f>
        <v>#REF!</v>
      </c>
      <c r="CI247" t="e">
        <f>AND('GA55 Summry'!#REF!,"AAAAAG83/lY=")</f>
        <v>#REF!</v>
      </c>
      <c r="CJ247" t="e">
        <f>AND('GA55 Summry'!#REF!,"AAAAAG83/lc=")</f>
        <v>#REF!</v>
      </c>
      <c r="CK247" t="e">
        <f>AND('GA55 Summry'!#REF!,"AAAAAG83/lg=")</f>
        <v>#REF!</v>
      </c>
      <c r="CL247" t="e">
        <f>AND('GA55 Summry'!#REF!,"AAAAAG83/lk=")</f>
        <v>#REF!</v>
      </c>
      <c r="CM247" t="e">
        <f>AND('GA55 Summry'!#REF!,"AAAAAG83/lo=")</f>
        <v>#REF!</v>
      </c>
      <c r="CN247" t="e">
        <f>AND('GA55 Summry'!#REF!,"AAAAAG83/ls=")</f>
        <v>#REF!</v>
      </c>
      <c r="CO247" t="e">
        <f>AND('GA55 Summry'!#REF!,"AAAAAG83/lw=")</f>
        <v>#REF!</v>
      </c>
      <c r="CP247" t="e">
        <f>AND('GA55 Summry'!#REF!,"AAAAAG83/l0=")</f>
        <v>#REF!</v>
      </c>
      <c r="CQ247" t="e">
        <f>AND('GA55 Summry'!#REF!,"AAAAAG83/l4=")</f>
        <v>#REF!</v>
      </c>
      <c r="CR247" t="e">
        <f>AND('GA55 Summry'!#REF!,"AAAAAG83/l8=")</f>
        <v>#REF!</v>
      </c>
      <c r="CS247" t="e">
        <f>AND('GA55 Summry'!#REF!,"AAAAAG83/mA=")</f>
        <v>#REF!</v>
      </c>
      <c r="CT247" t="e">
        <f>AND('GA55 Summry'!#REF!,"AAAAAG83/mE=")</f>
        <v>#REF!</v>
      </c>
      <c r="CU247" t="e">
        <f>AND('GA55 Summry'!#REF!,"AAAAAG83/mI=")</f>
        <v>#REF!</v>
      </c>
      <c r="CV247" t="e">
        <f>AND('GA55 Summry'!#REF!,"AAAAAG83/mM=")</f>
        <v>#REF!</v>
      </c>
      <c r="CW247" t="e">
        <f>AND('GA55 Summry'!#REF!,"AAAAAG83/mQ=")</f>
        <v>#REF!</v>
      </c>
      <c r="CX247" t="e">
        <f>AND('GA55 Summry'!#REF!,"AAAAAG83/mU=")</f>
        <v>#REF!</v>
      </c>
      <c r="CY247" t="e">
        <f>AND('GA55 Summry'!#REF!,"AAAAAG83/mY=")</f>
        <v>#REF!</v>
      </c>
      <c r="CZ247" t="e">
        <f>AND('GA55 Summry'!#REF!,"AAAAAG83/mc=")</f>
        <v>#REF!</v>
      </c>
      <c r="DA247" t="e">
        <f>AND('GA55 Summry'!#REF!,"AAAAAG83/mg=")</f>
        <v>#REF!</v>
      </c>
      <c r="DB247" t="e">
        <f>AND('GA55 Summry'!#REF!,"AAAAAG83/mk=")</f>
        <v>#REF!</v>
      </c>
      <c r="DC247" t="e">
        <f>AND('GA55 Summry'!#REF!,"AAAAAG83/mo=")</f>
        <v>#REF!</v>
      </c>
      <c r="DD247" t="e">
        <f>AND('GA55 Summry'!#REF!,"AAAAAG83/ms=")</f>
        <v>#REF!</v>
      </c>
      <c r="DE247" t="e">
        <f>AND('GA55 Summry'!#REF!,"AAAAAG83/mw=")</f>
        <v>#REF!</v>
      </c>
      <c r="DF247" t="e">
        <f>AND('GA55 Summry'!#REF!,"AAAAAG83/m0=")</f>
        <v>#REF!</v>
      </c>
      <c r="DG247" t="e">
        <f>AND('GA55 Summry'!#REF!,"AAAAAG83/m4=")</f>
        <v>#REF!</v>
      </c>
      <c r="DH247" t="e">
        <f>AND('GA55 Summry'!#REF!,"AAAAAG83/m8=")</f>
        <v>#REF!</v>
      </c>
      <c r="DI247" t="e">
        <f>AND('GA55 Summry'!#REF!,"AAAAAG83/nA=")</f>
        <v>#REF!</v>
      </c>
      <c r="DJ247" t="e">
        <f>AND('GA55 Summry'!#REF!,"AAAAAG83/nE=")</f>
        <v>#REF!</v>
      </c>
      <c r="DK247" t="e">
        <f>AND('GA55 Summry'!#REF!,"AAAAAG83/nI=")</f>
        <v>#REF!</v>
      </c>
      <c r="DL247" t="e">
        <f>AND('GA55 Summry'!#REF!,"AAAAAG83/nM=")</f>
        <v>#REF!</v>
      </c>
      <c r="DM247" t="e">
        <f>AND('GA55 Summry'!#REF!,"AAAAAG83/nQ=")</f>
        <v>#REF!</v>
      </c>
      <c r="DN247" t="e">
        <f>AND('GA55 Summry'!#REF!,"AAAAAG83/nU=")</f>
        <v>#REF!</v>
      </c>
      <c r="DO247" t="e">
        <f>AND('GA55 Summry'!#REF!,"AAAAAG83/nY=")</f>
        <v>#REF!</v>
      </c>
      <c r="DP247" t="e">
        <f>AND('GA55 Summry'!#REF!,"AAAAAG83/nc=")</f>
        <v>#REF!</v>
      </c>
      <c r="DQ247" t="e">
        <f>AND('GA55 Summry'!#REF!,"AAAAAG83/ng=")</f>
        <v>#REF!</v>
      </c>
      <c r="DR247" t="e">
        <f>AND('GA55 Summry'!#REF!,"AAAAAG83/nk=")</f>
        <v>#REF!</v>
      </c>
      <c r="DS247" t="e">
        <f>AND('GA55 Summry'!#REF!,"AAAAAG83/no=")</f>
        <v>#REF!</v>
      </c>
      <c r="DT247" t="e">
        <f>AND('GA55 Summry'!#REF!,"AAAAAG83/ns=")</f>
        <v>#REF!</v>
      </c>
      <c r="DU247" t="e">
        <f>AND('GA55 Summry'!#REF!,"AAAAAG83/nw=")</f>
        <v>#REF!</v>
      </c>
      <c r="DV247" t="e">
        <f>AND('GA55 Summry'!#REF!,"AAAAAG83/n0=")</f>
        <v>#REF!</v>
      </c>
      <c r="DW247" t="e">
        <f>AND('GA55 Summry'!#REF!,"AAAAAG83/n4=")</f>
        <v>#REF!</v>
      </c>
      <c r="DX247" t="e">
        <f>AND('GA55 Summry'!#REF!,"AAAAAG83/n8=")</f>
        <v>#REF!</v>
      </c>
      <c r="DY247" t="e">
        <f>AND('GA55 Summry'!#REF!,"AAAAAG83/oA=")</f>
        <v>#REF!</v>
      </c>
      <c r="DZ247" t="e">
        <f>AND('GA55 Summry'!#REF!,"AAAAAG83/oE=")</f>
        <v>#REF!</v>
      </c>
      <c r="EA247" t="e">
        <f>AND('GA55 Summry'!#REF!,"AAAAAG83/oI=")</f>
        <v>#REF!</v>
      </c>
      <c r="EB247" t="e">
        <f>AND('GA55 Summry'!#REF!,"AAAAAG83/oM=")</f>
        <v>#REF!</v>
      </c>
      <c r="EC247" t="e">
        <f>AND('GA55 Summry'!#REF!,"AAAAAG83/oQ=")</f>
        <v>#REF!</v>
      </c>
      <c r="ED247" t="e">
        <f>AND('GA55 Summry'!#REF!,"AAAAAG83/oU=")</f>
        <v>#REF!</v>
      </c>
      <c r="EE247" t="e">
        <f>AND('GA55 Summry'!#REF!,"AAAAAG83/oY=")</f>
        <v>#REF!</v>
      </c>
      <c r="EF247" t="e">
        <f>AND('GA55 Summry'!#REF!,"AAAAAG83/oc=")</f>
        <v>#REF!</v>
      </c>
      <c r="EG247" t="e">
        <f>AND('GA55 Summry'!#REF!,"AAAAAG83/og=")</f>
        <v>#REF!</v>
      </c>
      <c r="EH247" t="e">
        <f>AND('GA55 Summry'!#REF!,"AAAAAG83/ok=")</f>
        <v>#REF!</v>
      </c>
      <c r="EI247" t="e">
        <f>AND('GA55 Summry'!#REF!,"AAAAAG83/oo=")</f>
        <v>#REF!</v>
      </c>
      <c r="EJ247" t="e">
        <f>AND('GA55 Summry'!#REF!,"AAAAAG83/os=")</f>
        <v>#REF!</v>
      </c>
      <c r="EK247" t="e">
        <f>AND('GA55 Summry'!#REF!,"AAAAAG83/ow=")</f>
        <v>#REF!</v>
      </c>
      <c r="EL247" t="e">
        <f>AND('GA55 Summry'!#REF!,"AAAAAG83/o0=")</f>
        <v>#REF!</v>
      </c>
      <c r="EM247" t="e">
        <f>AND('GA55 Summry'!#REF!,"AAAAAG83/o4=")</f>
        <v>#REF!</v>
      </c>
      <c r="EN247" t="e">
        <f>AND('GA55 Summry'!#REF!,"AAAAAG83/o8=")</f>
        <v>#REF!</v>
      </c>
      <c r="EO247" t="e">
        <f>AND('GA55 Summry'!#REF!,"AAAAAG83/pA=")</f>
        <v>#REF!</v>
      </c>
      <c r="EP247" t="e">
        <f>AND('GA55 Summry'!#REF!,"AAAAAG83/pE=")</f>
        <v>#REF!</v>
      </c>
      <c r="EQ247" t="e">
        <f>AND('GA55 Summry'!#REF!,"AAAAAG83/pI=")</f>
        <v>#REF!</v>
      </c>
      <c r="ER247" t="e">
        <f>AND('GA55 Summry'!#REF!,"AAAAAG83/pM=")</f>
        <v>#REF!</v>
      </c>
      <c r="ES247" t="e">
        <f>AND('GA55 Summry'!#REF!,"AAAAAG83/pQ=")</f>
        <v>#REF!</v>
      </c>
      <c r="ET247" t="e">
        <f>AND('GA55 Summry'!#REF!,"AAAAAG83/pU=")</f>
        <v>#REF!</v>
      </c>
      <c r="EU247" t="e">
        <f>AND('GA55 Summry'!#REF!,"AAAAAG83/pY=")</f>
        <v>#REF!</v>
      </c>
      <c r="EV247" t="e">
        <f>AND('GA55 Summry'!#REF!,"AAAAAG83/pc=")</f>
        <v>#REF!</v>
      </c>
      <c r="EW247" t="e">
        <f>AND('GA55 Summry'!#REF!,"AAAAAG83/pg=")</f>
        <v>#REF!</v>
      </c>
      <c r="EX247" t="e">
        <f>AND('GA55 Summry'!#REF!,"AAAAAG83/pk=")</f>
        <v>#REF!</v>
      </c>
      <c r="EY247" t="e">
        <f>AND('GA55 Summry'!#REF!,"AAAAAG83/po=")</f>
        <v>#REF!</v>
      </c>
      <c r="EZ247" t="e">
        <f>AND('GA55 Summry'!#REF!,"AAAAAG83/ps=")</f>
        <v>#REF!</v>
      </c>
      <c r="FA247" t="e">
        <f>AND('GA55 Summry'!#REF!,"AAAAAG83/pw=")</f>
        <v>#REF!</v>
      </c>
      <c r="FB247" t="e">
        <f>AND('GA55 Summry'!#REF!,"AAAAAG83/p0=")</f>
        <v>#REF!</v>
      </c>
      <c r="FC247" t="e">
        <f>IF('GA55 Summry'!#REF!,"AAAAAG83/p4=",0)</f>
        <v>#REF!</v>
      </c>
      <c r="FD247" t="e">
        <f>AND('GA55 Summry'!#REF!,"AAAAAG83/p8=")</f>
        <v>#REF!</v>
      </c>
      <c r="FE247" t="e">
        <f>AND('GA55 Summry'!#REF!,"AAAAAG83/qA=")</f>
        <v>#REF!</v>
      </c>
      <c r="FF247" t="e">
        <f>AND('GA55 Summry'!#REF!,"AAAAAG83/qE=")</f>
        <v>#REF!</v>
      </c>
      <c r="FG247" t="e">
        <f>AND('GA55 Summry'!#REF!,"AAAAAG83/qI=")</f>
        <v>#REF!</v>
      </c>
      <c r="FH247" t="e">
        <f>AND('GA55 Summry'!#REF!,"AAAAAG83/qM=")</f>
        <v>#REF!</v>
      </c>
      <c r="FI247" t="e">
        <f>AND('GA55 Summry'!#REF!,"AAAAAG83/qQ=")</f>
        <v>#REF!</v>
      </c>
      <c r="FJ247" t="e">
        <f>AND('GA55 Summry'!#REF!,"AAAAAG83/qU=")</f>
        <v>#REF!</v>
      </c>
      <c r="FK247" t="e">
        <f>AND('GA55 Summry'!#REF!,"AAAAAG83/qY=")</f>
        <v>#REF!</v>
      </c>
      <c r="FL247" t="e">
        <f>AND('GA55 Summry'!#REF!,"AAAAAG83/qc=")</f>
        <v>#REF!</v>
      </c>
      <c r="FM247" t="e">
        <f>AND('GA55 Summry'!#REF!,"AAAAAG83/qg=")</f>
        <v>#REF!</v>
      </c>
      <c r="FN247" t="e">
        <f>AND('GA55 Summry'!#REF!,"AAAAAG83/qk=")</f>
        <v>#REF!</v>
      </c>
      <c r="FO247" t="e">
        <f>AND('GA55 Summry'!#REF!,"AAAAAG83/qo=")</f>
        <v>#REF!</v>
      </c>
      <c r="FP247" t="e">
        <f>AND('GA55 Summry'!#REF!,"AAAAAG83/qs=")</f>
        <v>#REF!</v>
      </c>
      <c r="FQ247" t="e">
        <f>AND('GA55 Summry'!#REF!,"AAAAAG83/qw=")</f>
        <v>#REF!</v>
      </c>
      <c r="FR247" t="e">
        <f>AND('GA55 Summry'!#REF!,"AAAAAG83/q0=")</f>
        <v>#REF!</v>
      </c>
      <c r="FS247" t="e">
        <f>AND('GA55 Summry'!#REF!,"AAAAAG83/q4=")</f>
        <v>#REF!</v>
      </c>
      <c r="FT247" t="e">
        <f>AND('GA55 Summry'!#REF!,"AAAAAG83/q8=")</f>
        <v>#REF!</v>
      </c>
      <c r="FU247" t="e">
        <f>AND('GA55 Summry'!#REF!,"AAAAAG83/rA=")</f>
        <v>#REF!</v>
      </c>
      <c r="FV247" t="e">
        <f>AND('GA55 Summry'!#REF!,"AAAAAG83/rE=")</f>
        <v>#REF!</v>
      </c>
      <c r="FW247" t="e">
        <f>AND('GA55 Summry'!#REF!,"AAAAAG83/rI=")</f>
        <v>#REF!</v>
      </c>
      <c r="FX247" t="e">
        <f>AND('GA55 Summry'!#REF!,"AAAAAG83/rM=")</f>
        <v>#REF!</v>
      </c>
      <c r="FY247" t="e">
        <f>AND('GA55 Summry'!#REF!,"AAAAAG83/rQ=")</f>
        <v>#REF!</v>
      </c>
      <c r="FZ247" t="e">
        <f>AND('GA55 Summry'!#REF!,"AAAAAG83/rU=")</f>
        <v>#REF!</v>
      </c>
      <c r="GA247" t="e">
        <f>AND('GA55 Summry'!#REF!,"AAAAAG83/rY=")</f>
        <v>#REF!</v>
      </c>
      <c r="GB247" t="e">
        <f>AND('GA55 Summry'!#REF!,"AAAAAG83/rc=")</f>
        <v>#REF!</v>
      </c>
      <c r="GC247" t="e">
        <f>AND('GA55 Summry'!#REF!,"AAAAAG83/rg=")</f>
        <v>#REF!</v>
      </c>
      <c r="GD247" t="e">
        <f>AND('GA55 Summry'!#REF!,"AAAAAG83/rk=")</f>
        <v>#REF!</v>
      </c>
      <c r="GE247" t="e">
        <f>AND('GA55 Summry'!#REF!,"AAAAAG83/ro=")</f>
        <v>#REF!</v>
      </c>
      <c r="GF247" t="e">
        <f>AND('GA55 Summry'!#REF!,"AAAAAG83/rs=")</f>
        <v>#REF!</v>
      </c>
      <c r="GG247" t="e">
        <f>AND('GA55 Summry'!#REF!,"AAAAAG83/rw=")</f>
        <v>#REF!</v>
      </c>
      <c r="GH247" t="e">
        <f>AND('GA55 Summry'!#REF!,"AAAAAG83/r0=")</f>
        <v>#REF!</v>
      </c>
      <c r="GI247" t="e">
        <f>AND('GA55 Summry'!#REF!,"AAAAAG83/r4=")</f>
        <v>#REF!</v>
      </c>
      <c r="GJ247" t="e">
        <f>AND('GA55 Summry'!#REF!,"AAAAAG83/r8=")</f>
        <v>#REF!</v>
      </c>
      <c r="GK247" t="e">
        <f>AND('GA55 Summry'!#REF!,"AAAAAG83/sA=")</f>
        <v>#REF!</v>
      </c>
      <c r="GL247" t="e">
        <f>AND('GA55 Summry'!#REF!,"AAAAAG83/sE=")</f>
        <v>#REF!</v>
      </c>
      <c r="GM247" t="e">
        <f>AND('GA55 Summry'!#REF!,"AAAAAG83/sI=")</f>
        <v>#REF!</v>
      </c>
      <c r="GN247" t="e">
        <f>AND('GA55 Summry'!#REF!,"AAAAAG83/sM=")</f>
        <v>#REF!</v>
      </c>
      <c r="GO247" t="e">
        <f>AND('GA55 Summry'!#REF!,"AAAAAG83/sQ=")</f>
        <v>#REF!</v>
      </c>
      <c r="GP247" t="e">
        <f>AND('GA55 Summry'!#REF!,"AAAAAG83/sU=")</f>
        <v>#REF!</v>
      </c>
      <c r="GQ247" t="e">
        <f>AND('GA55 Summry'!#REF!,"AAAAAG83/sY=")</f>
        <v>#REF!</v>
      </c>
      <c r="GR247" t="e">
        <f>AND('GA55 Summry'!#REF!,"AAAAAG83/sc=")</f>
        <v>#REF!</v>
      </c>
      <c r="GS247" t="e">
        <f>AND('GA55 Summry'!#REF!,"AAAAAG83/sg=")</f>
        <v>#REF!</v>
      </c>
      <c r="GT247" t="e">
        <f>AND('GA55 Summry'!#REF!,"AAAAAG83/sk=")</f>
        <v>#REF!</v>
      </c>
      <c r="GU247" t="e">
        <f>AND('GA55 Summry'!#REF!,"AAAAAG83/so=")</f>
        <v>#REF!</v>
      </c>
      <c r="GV247" t="e">
        <f>AND('GA55 Summry'!#REF!,"AAAAAG83/ss=")</f>
        <v>#REF!</v>
      </c>
      <c r="GW247" t="e">
        <f>AND('GA55 Summry'!#REF!,"AAAAAG83/sw=")</f>
        <v>#REF!</v>
      </c>
      <c r="GX247" t="e">
        <f>AND('GA55 Summry'!#REF!,"AAAAAG83/s0=")</f>
        <v>#REF!</v>
      </c>
      <c r="GY247" t="e">
        <f>AND('GA55 Summry'!#REF!,"AAAAAG83/s4=")</f>
        <v>#REF!</v>
      </c>
      <c r="GZ247" t="e">
        <f>AND('GA55 Summry'!#REF!,"AAAAAG83/s8=")</f>
        <v>#REF!</v>
      </c>
      <c r="HA247" t="e">
        <f>AND('GA55 Summry'!#REF!,"AAAAAG83/tA=")</f>
        <v>#REF!</v>
      </c>
      <c r="HB247" t="e">
        <f>AND('GA55 Summry'!#REF!,"AAAAAG83/tE=")</f>
        <v>#REF!</v>
      </c>
      <c r="HC247" t="e">
        <f>AND('GA55 Summry'!#REF!,"AAAAAG83/tI=")</f>
        <v>#REF!</v>
      </c>
      <c r="HD247" t="e">
        <f>AND('GA55 Summry'!#REF!,"AAAAAG83/tM=")</f>
        <v>#REF!</v>
      </c>
      <c r="HE247" t="e">
        <f>AND('GA55 Summry'!#REF!,"AAAAAG83/tQ=")</f>
        <v>#REF!</v>
      </c>
      <c r="HF247" t="e">
        <f>AND('GA55 Summry'!#REF!,"AAAAAG83/tU=")</f>
        <v>#REF!</v>
      </c>
      <c r="HG247" t="e">
        <f>AND('GA55 Summry'!#REF!,"AAAAAG83/tY=")</f>
        <v>#REF!</v>
      </c>
      <c r="HH247" t="e">
        <f>AND('GA55 Summry'!#REF!,"AAAAAG83/tc=")</f>
        <v>#REF!</v>
      </c>
      <c r="HI247" t="e">
        <f>AND('GA55 Summry'!#REF!,"AAAAAG83/tg=")</f>
        <v>#REF!</v>
      </c>
      <c r="HJ247" t="e">
        <f>AND('GA55 Summry'!#REF!,"AAAAAG83/tk=")</f>
        <v>#REF!</v>
      </c>
      <c r="HK247" t="e">
        <f>AND('GA55 Summry'!#REF!,"AAAAAG83/to=")</f>
        <v>#REF!</v>
      </c>
      <c r="HL247" t="e">
        <f>AND('GA55 Summry'!#REF!,"AAAAAG83/ts=")</f>
        <v>#REF!</v>
      </c>
      <c r="HM247" t="e">
        <f>AND('GA55 Summry'!#REF!,"AAAAAG83/tw=")</f>
        <v>#REF!</v>
      </c>
      <c r="HN247" t="e">
        <f>AND('GA55 Summry'!#REF!,"AAAAAG83/t0=")</f>
        <v>#REF!</v>
      </c>
      <c r="HO247" t="e">
        <f>AND('GA55 Summry'!#REF!,"AAAAAG83/t4=")</f>
        <v>#REF!</v>
      </c>
      <c r="HP247" t="e">
        <f>AND('GA55 Summry'!#REF!,"AAAAAG83/t8=")</f>
        <v>#REF!</v>
      </c>
      <c r="HQ247" t="e">
        <f>AND('GA55 Summry'!#REF!,"AAAAAG83/uA=")</f>
        <v>#REF!</v>
      </c>
      <c r="HR247" t="e">
        <f>AND('GA55 Summry'!#REF!,"AAAAAG83/uE=")</f>
        <v>#REF!</v>
      </c>
      <c r="HS247" t="e">
        <f>AND('GA55 Summry'!#REF!,"AAAAAG83/uI=")</f>
        <v>#REF!</v>
      </c>
      <c r="HT247" t="e">
        <f>AND('GA55 Summry'!#REF!,"AAAAAG83/uM=")</f>
        <v>#REF!</v>
      </c>
      <c r="HU247" t="e">
        <f>AND('GA55 Summry'!#REF!,"AAAAAG83/uQ=")</f>
        <v>#REF!</v>
      </c>
      <c r="HV247" t="e">
        <f>AND('GA55 Summry'!#REF!,"AAAAAG83/uU=")</f>
        <v>#REF!</v>
      </c>
      <c r="HW247" t="e">
        <f>AND('GA55 Summry'!#REF!,"AAAAAG83/uY=")</f>
        <v>#REF!</v>
      </c>
      <c r="HX247" t="e">
        <f>AND('GA55 Summry'!#REF!,"AAAAAG83/uc=")</f>
        <v>#REF!</v>
      </c>
      <c r="HY247" t="e">
        <f>AND('GA55 Summry'!#REF!,"AAAAAG83/ug=")</f>
        <v>#REF!</v>
      </c>
      <c r="HZ247" t="e">
        <f>IF('GA55 Summry'!#REF!,"AAAAAG83/uk=",0)</f>
        <v>#REF!</v>
      </c>
      <c r="IA247" t="e">
        <f>AND('GA55 Summry'!#REF!,"AAAAAG83/uo=")</f>
        <v>#REF!</v>
      </c>
      <c r="IB247" t="e">
        <f>AND('GA55 Summry'!#REF!,"AAAAAG83/us=")</f>
        <v>#REF!</v>
      </c>
      <c r="IC247" t="e">
        <f>AND('GA55 Summry'!#REF!,"AAAAAG83/uw=")</f>
        <v>#REF!</v>
      </c>
      <c r="ID247" t="e">
        <f>AND('GA55 Summry'!#REF!,"AAAAAG83/u0=")</f>
        <v>#REF!</v>
      </c>
      <c r="IE247" t="e">
        <f>AND('GA55 Summry'!#REF!,"AAAAAG83/u4=")</f>
        <v>#REF!</v>
      </c>
      <c r="IF247" t="e">
        <f>AND('GA55 Summry'!#REF!,"AAAAAG83/u8=")</f>
        <v>#REF!</v>
      </c>
      <c r="IG247" t="e">
        <f>AND('GA55 Summry'!#REF!,"AAAAAG83/vA=")</f>
        <v>#REF!</v>
      </c>
      <c r="IH247" t="e">
        <f>AND('GA55 Summry'!#REF!,"AAAAAG83/vE=")</f>
        <v>#REF!</v>
      </c>
      <c r="II247" t="e">
        <f>AND('GA55 Summry'!#REF!,"AAAAAG83/vI=")</f>
        <v>#REF!</v>
      </c>
      <c r="IJ247" t="e">
        <f>AND('GA55 Summry'!#REF!,"AAAAAG83/vM=")</f>
        <v>#REF!</v>
      </c>
      <c r="IK247" t="e">
        <f>AND('GA55 Summry'!#REF!,"AAAAAG83/vQ=")</f>
        <v>#REF!</v>
      </c>
      <c r="IL247" t="e">
        <f>AND('GA55 Summry'!#REF!,"AAAAAG83/vU=")</f>
        <v>#REF!</v>
      </c>
      <c r="IM247" t="e">
        <f>AND('GA55 Summry'!#REF!,"AAAAAG83/vY=")</f>
        <v>#REF!</v>
      </c>
      <c r="IN247" t="e">
        <f>AND('GA55 Summry'!#REF!,"AAAAAG83/vc=")</f>
        <v>#REF!</v>
      </c>
      <c r="IO247" t="e">
        <f>AND('GA55 Summry'!#REF!,"AAAAAG83/vg=")</f>
        <v>#REF!</v>
      </c>
      <c r="IP247" t="e">
        <f>AND('GA55 Summry'!#REF!,"AAAAAG83/vk=")</f>
        <v>#REF!</v>
      </c>
      <c r="IQ247" t="e">
        <f>AND('GA55 Summry'!#REF!,"AAAAAG83/vo=")</f>
        <v>#REF!</v>
      </c>
      <c r="IR247" t="e">
        <f>AND('GA55 Summry'!#REF!,"AAAAAG83/vs=")</f>
        <v>#REF!</v>
      </c>
      <c r="IS247" t="e">
        <f>AND('GA55 Summry'!#REF!,"AAAAAG83/vw=")</f>
        <v>#REF!</v>
      </c>
      <c r="IT247" t="e">
        <f>AND('GA55 Summry'!#REF!,"AAAAAG83/v0=")</f>
        <v>#REF!</v>
      </c>
      <c r="IU247" t="e">
        <f>AND('GA55 Summry'!#REF!,"AAAAAG83/v4=")</f>
        <v>#REF!</v>
      </c>
      <c r="IV247" t="e">
        <f>AND('GA55 Summry'!#REF!,"AAAAAG83/v8=")</f>
        <v>#REF!</v>
      </c>
    </row>
    <row r="248" spans="1:256">
      <c r="A248" t="e">
        <f>AND('GA55 Summry'!#REF!,"AAAAAFv/bwA=")</f>
        <v>#REF!</v>
      </c>
      <c r="B248" t="e">
        <f>AND('GA55 Summry'!#REF!,"AAAAAFv/bwE=")</f>
        <v>#REF!</v>
      </c>
      <c r="C248" t="e">
        <f>AND('GA55 Summry'!#REF!,"AAAAAFv/bwI=")</f>
        <v>#REF!</v>
      </c>
      <c r="D248" t="e">
        <f>AND('GA55 Summry'!#REF!,"AAAAAFv/bwM=")</f>
        <v>#REF!</v>
      </c>
      <c r="E248" t="e">
        <f>AND('GA55 Summry'!#REF!,"AAAAAFv/bwQ=")</f>
        <v>#REF!</v>
      </c>
      <c r="F248" t="e">
        <f>AND('GA55 Summry'!#REF!,"AAAAAFv/bwU=")</f>
        <v>#REF!</v>
      </c>
      <c r="G248" t="e">
        <f>AND('GA55 Summry'!#REF!,"AAAAAFv/bwY=")</f>
        <v>#REF!</v>
      </c>
      <c r="H248" t="e">
        <f>AND('GA55 Summry'!#REF!,"AAAAAFv/bwc=")</f>
        <v>#REF!</v>
      </c>
      <c r="I248" t="e">
        <f>AND('GA55 Summry'!#REF!,"AAAAAFv/bwg=")</f>
        <v>#REF!</v>
      </c>
      <c r="J248" t="e">
        <f>AND('GA55 Summry'!#REF!,"AAAAAFv/bwk=")</f>
        <v>#REF!</v>
      </c>
      <c r="K248" t="e">
        <f>AND('GA55 Summry'!#REF!,"AAAAAFv/bwo=")</f>
        <v>#REF!</v>
      </c>
      <c r="L248" t="e">
        <f>AND('GA55 Summry'!#REF!,"AAAAAFv/bws=")</f>
        <v>#REF!</v>
      </c>
      <c r="M248" t="e">
        <f>AND('GA55 Summry'!#REF!,"AAAAAFv/bww=")</f>
        <v>#REF!</v>
      </c>
      <c r="N248" t="e">
        <f>AND('GA55 Summry'!#REF!,"AAAAAFv/bw0=")</f>
        <v>#REF!</v>
      </c>
      <c r="O248" t="e">
        <f>AND('GA55 Summry'!#REF!,"AAAAAFv/bw4=")</f>
        <v>#REF!</v>
      </c>
      <c r="P248" t="e">
        <f>AND('GA55 Summry'!#REF!,"AAAAAFv/bw8=")</f>
        <v>#REF!</v>
      </c>
      <c r="Q248" t="e">
        <f>AND('GA55 Summry'!#REF!,"AAAAAFv/bxA=")</f>
        <v>#REF!</v>
      </c>
      <c r="R248" t="e">
        <f>AND('GA55 Summry'!#REF!,"AAAAAFv/bxE=")</f>
        <v>#REF!</v>
      </c>
      <c r="S248" t="e">
        <f>AND('GA55 Summry'!#REF!,"AAAAAFv/bxI=")</f>
        <v>#REF!</v>
      </c>
      <c r="T248" t="e">
        <f>AND('GA55 Summry'!#REF!,"AAAAAFv/bxM=")</f>
        <v>#REF!</v>
      </c>
      <c r="U248" t="e">
        <f>AND('GA55 Summry'!#REF!,"AAAAAFv/bxQ=")</f>
        <v>#REF!</v>
      </c>
      <c r="V248" t="e">
        <f>AND('GA55 Summry'!#REF!,"AAAAAFv/bxU=")</f>
        <v>#REF!</v>
      </c>
      <c r="W248" t="e">
        <f>AND('GA55 Summry'!#REF!,"AAAAAFv/bxY=")</f>
        <v>#REF!</v>
      </c>
      <c r="X248" t="e">
        <f>AND('GA55 Summry'!#REF!,"AAAAAFv/bxc=")</f>
        <v>#REF!</v>
      </c>
      <c r="Y248" t="e">
        <f>AND('GA55 Summry'!#REF!,"AAAAAFv/bxg=")</f>
        <v>#REF!</v>
      </c>
      <c r="Z248" t="e">
        <f>AND('GA55 Summry'!#REF!,"AAAAAFv/bxk=")</f>
        <v>#REF!</v>
      </c>
      <c r="AA248" t="e">
        <f>AND('GA55 Summry'!#REF!,"AAAAAFv/bxo=")</f>
        <v>#REF!</v>
      </c>
      <c r="AB248" t="e">
        <f>AND('GA55 Summry'!#REF!,"AAAAAFv/bxs=")</f>
        <v>#REF!</v>
      </c>
      <c r="AC248" t="e">
        <f>AND('GA55 Summry'!#REF!,"AAAAAFv/bxw=")</f>
        <v>#REF!</v>
      </c>
      <c r="AD248" t="e">
        <f>AND('GA55 Summry'!#REF!,"AAAAAFv/bx0=")</f>
        <v>#REF!</v>
      </c>
      <c r="AE248" t="e">
        <f>AND('GA55 Summry'!#REF!,"AAAAAFv/bx4=")</f>
        <v>#REF!</v>
      </c>
      <c r="AF248" t="e">
        <f>AND('GA55 Summry'!#REF!,"AAAAAFv/bx8=")</f>
        <v>#REF!</v>
      </c>
      <c r="AG248" t="e">
        <f>AND('GA55 Summry'!#REF!,"AAAAAFv/byA=")</f>
        <v>#REF!</v>
      </c>
      <c r="AH248" t="e">
        <f>AND('GA55 Summry'!#REF!,"AAAAAFv/byE=")</f>
        <v>#REF!</v>
      </c>
      <c r="AI248" t="e">
        <f>AND('GA55 Summry'!#REF!,"AAAAAFv/byI=")</f>
        <v>#REF!</v>
      </c>
      <c r="AJ248" t="e">
        <f>AND('GA55 Summry'!#REF!,"AAAAAFv/byM=")</f>
        <v>#REF!</v>
      </c>
      <c r="AK248" t="e">
        <f>AND('GA55 Summry'!#REF!,"AAAAAFv/byQ=")</f>
        <v>#REF!</v>
      </c>
      <c r="AL248" t="e">
        <f>AND('GA55 Summry'!#REF!,"AAAAAFv/byU=")</f>
        <v>#REF!</v>
      </c>
      <c r="AM248" t="e">
        <f>AND('GA55 Summry'!#REF!,"AAAAAFv/byY=")</f>
        <v>#REF!</v>
      </c>
      <c r="AN248" t="e">
        <f>AND('GA55 Summry'!#REF!,"AAAAAFv/byc=")</f>
        <v>#REF!</v>
      </c>
      <c r="AO248" t="e">
        <f>AND('GA55 Summry'!#REF!,"AAAAAFv/byg=")</f>
        <v>#REF!</v>
      </c>
      <c r="AP248" t="e">
        <f>AND('GA55 Summry'!#REF!,"AAAAAFv/byk=")</f>
        <v>#REF!</v>
      </c>
      <c r="AQ248" t="e">
        <f>AND('GA55 Summry'!#REF!,"AAAAAFv/byo=")</f>
        <v>#REF!</v>
      </c>
      <c r="AR248" t="e">
        <f>AND('GA55 Summry'!#REF!,"AAAAAFv/bys=")</f>
        <v>#REF!</v>
      </c>
      <c r="AS248" t="e">
        <f>AND('GA55 Summry'!#REF!,"AAAAAFv/byw=")</f>
        <v>#REF!</v>
      </c>
      <c r="AT248" t="e">
        <f>AND('GA55 Summry'!#REF!,"AAAAAFv/by0=")</f>
        <v>#REF!</v>
      </c>
      <c r="AU248" t="e">
        <f>AND('GA55 Summry'!#REF!,"AAAAAFv/by4=")</f>
        <v>#REF!</v>
      </c>
      <c r="AV248" t="e">
        <f>AND('GA55 Summry'!#REF!,"AAAAAFv/by8=")</f>
        <v>#REF!</v>
      </c>
      <c r="AW248" t="e">
        <f>AND('GA55 Summry'!#REF!,"AAAAAFv/bzA=")</f>
        <v>#REF!</v>
      </c>
      <c r="AX248" t="e">
        <f>AND('GA55 Summry'!#REF!,"AAAAAFv/bzE=")</f>
        <v>#REF!</v>
      </c>
      <c r="AY248" t="e">
        <f>AND('GA55 Summry'!#REF!,"AAAAAFv/bzI=")</f>
        <v>#REF!</v>
      </c>
      <c r="AZ248" t="e">
        <f>AND('GA55 Summry'!#REF!,"AAAAAFv/bzM=")</f>
        <v>#REF!</v>
      </c>
      <c r="BA248" t="e">
        <f>IF('GA55 Summry'!#REF!,"AAAAAFv/bzQ=",0)</f>
        <v>#REF!</v>
      </c>
      <c r="BB248" t="e">
        <f>AND('GA55 Summry'!#REF!,"AAAAAFv/bzU=")</f>
        <v>#REF!</v>
      </c>
      <c r="BC248" t="e">
        <f>AND('GA55 Summry'!#REF!,"AAAAAFv/bzY=")</f>
        <v>#REF!</v>
      </c>
      <c r="BD248" t="e">
        <f>AND('GA55 Summry'!#REF!,"AAAAAFv/bzc=")</f>
        <v>#REF!</v>
      </c>
      <c r="BE248" t="e">
        <f>AND('GA55 Summry'!#REF!,"AAAAAFv/bzg=")</f>
        <v>#REF!</v>
      </c>
      <c r="BF248" t="e">
        <f>AND('GA55 Summry'!#REF!,"AAAAAFv/bzk=")</f>
        <v>#REF!</v>
      </c>
      <c r="BG248" t="e">
        <f>AND('GA55 Summry'!#REF!,"AAAAAFv/bzo=")</f>
        <v>#REF!</v>
      </c>
      <c r="BH248" t="e">
        <f>AND('GA55 Summry'!#REF!,"AAAAAFv/bzs=")</f>
        <v>#REF!</v>
      </c>
      <c r="BI248" t="e">
        <f>AND('GA55 Summry'!#REF!,"AAAAAFv/bzw=")</f>
        <v>#REF!</v>
      </c>
      <c r="BJ248" t="e">
        <f>AND('GA55 Summry'!#REF!,"AAAAAFv/bz0=")</f>
        <v>#REF!</v>
      </c>
      <c r="BK248" t="e">
        <f>AND('GA55 Summry'!#REF!,"AAAAAFv/bz4=")</f>
        <v>#REF!</v>
      </c>
      <c r="BL248" t="e">
        <f>AND('GA55 Summry'!#REF!,"AAAAAFv/bz8=")</f>
        <v>#REF!</v>
      </c>
      <c r="BM248" t="e">
        <f>AND('GA55 Summry'!#REF!,"AAAAAFv/b0A=")</f>
        <v>#REF!</v>
      </c>
      <c r="BN248" t="e">
        <f>AND('GA55 Summry'!#REF!,"AAAAAFv/b0E=")</f>
        <v>#REF!</v>
      </c>
      <c r="BO248" t="e">
        <f>AND('GA55 Summry'!#REF!,"AAAAAFv/b0I=")</f>
        <v>#REF!</v>
      </c>
      <c r="BP248" t="e">
        <f>AND('GA55 Summry'!#REF!,"AAAAAFv/b0M=")</f>
        <v>#REF!</v>
      </c>
      <c r="BQ248" t="e">
        <f>AND('GA55 Summry'!#REF!,"AAAAAFv/b0Q=")</f>
        <v>#REF!</v>
      </c>
      <c r="BR248" t="e">
        <f>AND('GA55 Summry'!#REF!,"AAAAAFv/b0U=")</f>
        <v>#REF!</v>
      </c>
      <c r="BS248" t="e">
        <f>AND('GA55 Summry'!#REF!,"AAAAAFv/b0Y=")</f>
        <v>#REF!</v>
      </c>
      <c r="BT248" t="e">
        <f>AND('GA55 Summry'!#REF!,"AAAAAFv/b0c=")</f>
        <v>#REF!</v>
      </c>
      <c r="BU248" t="e">
        <f>AND('GA55 Summry'!#REF!,"AAAAAFv/b0g=")</f>
        <v>#REF!</v>
      </c>
      <c r="BV248" t="e">
        <f>AND('GA55 Summry'!#REF!,"AAAAAFv/b0k=")</f>
        <v>#REF!</v>
      </c>
      <c r="BW248" t="e">
        <f>AND('GA55 Summry'!#REF!,"AAAAAFv/b0o=")</f>
        <v>#REF!</v>
      </c>
      <c r="BX248" t="e">
        <f>AND('GA55 Summry'!#REF!,"AAAAAFv/b0s=")</f>
        <v>#REF!</v>
      </c>
      <c r="BY248" t="e">
        <f>AND('GA55 Summry'!#REF!,"AAAAAFv/b0w=")</f>
        <v>#REF!</v>
      </c>
      <c r="BZ248" t="e">
        <f>AND('GA55 Summry'!#REF!,"AAAAAFv/b00=")</f>
        <v>#REF!</v>
      </c>
      <c r="CA248" t="e">
        <f>AND('GA55 Summry'!#REF!,"AAAAAFv/b04=")</f>
        <v>#REF!</v>
      </c>
      <c r="CB248" t="e">
        <f>AND('GA55 Summry'!#REF!,"AAAAAFv/b08=")</f>
        <v>#REF!</v>
      </c>
      <c r="CC248" t="e">
        <f>AND('GA55 Summry'!#REF!,"AAAAAFv/b1A=")</f>
        <v>#REF!</v>
      </c>
      <c r="CD248" t="e">
        <f>AND('GA55 Summry'!#REF!,"AAAAAFv/b1E=")</f>
        <v>#REF!</v>
      </c>
      <c r="CE248" t="e">
        <f>AND('GA55 Summry'!#REF!,"AAAAAFv/b1I=")</f>
        <v>#REF!</v>
      </c>
      <c r="CF248" t="e">
        <f>AND('GA55 Summry'!#REF!,"AAAAAFv/b1M=")</f>
        <v>#REF!</v>
      </c>
      <c r="CG248" t="e">
        <f>AND('GA55 Summry'!#REF!,"AAAAAFv/b1Q=")</f>
        <v>#REF!</v>
      </c>
      <c r="CH248" t="e">
        <f>AND('GA55 Summry'!#REF!,"AAAAAFv/b1U=")</f>
        <v>#REF!</v>
      </c>
      <c r="CI248" t="e">
        <f>AND('GA55 Summry'!#REF!,"AAAAAFv/b1Y=")</f>
        <v>#REF!</v>
      </c>
      <c r="CJ248" t="e">
        <f>AND('GA55 Summry'!#REF!,"AAAAAFv/b1c=")</f>
        <v>#REF!</v>
      </c>
      <c r="CK248" t="e">
        <f>AND('GA55 Summry'!#REF!,"AAAAAFv/b1g=")</f>
        <v>#REF!</v>
      </c>
      <c r="CL248" t="e">
        <f>AND('GA55 Summry'!#REF!,"AAAAAFv/b1k=")</f>
        <v>#REF!</v>
      </c>
      <c r="CM248" t="e">
        <f>AND('GA55 Summry'!#REF!,"AAAAAFv/b1o=")</f>
        <v>#REF!</v>
      </c>
      <c r="CN248" t="e">
        <f>AND('GA55 Summry'!#REF!,"AAAAAFv/b1s=")</f>
        <v>#REF!</v>
      </c>
      <c r="CO248" t="e">
        <f>AND('GA55 Summry'!#REF!,"AAAAAFv/b1w=")</f>
        <v>#REF!</v>
      </c>
      <c r="CP248" t="e">
        <f>AND('GA55 Summry'!#REF!,"AAAAAFv/b10=")</f>
        <v>#REF!</v>
      </c>
      <c r="CQ248" t="e">
        <f>AND('GA55 Summry'!#REF!,"AAAAAFv/b14=")</f>
        <v>#REF!</v>
      </c>
      <c r="CR248" t="e">
        <f>AND('GA55 Summry'!#REF!,"AAAAAFv/b18=")</f>
        <v>#REF!</v>
      </c>
      <c r="CS248" t="e">
        <f>AND('GA55 Summry'!#REF!,"AAAAAFv/b2A=")</f>
        <v>#REF!</v>
      </c>
      <c r="CT248" t="e">
        <f>AND('GA55 Summry'!#REF!,"AAAAAFv/b2E=")</f>
        <v>#REF!</v>
      </c>
      <c r="CU248" t="e">
        <f>AND('GA55 Summry'!#REF!,"AAAAAFv/b2I=")</f>
        <v>#REF!</v>
      </c>
      <c r="CV248" t="e">
        <f>AND('GA55 Summry'!#REF!,"AAAAAFv/b2M=")</f>
        <v>#REF!</v>
      </c>
      <c r="CW248" t="e">
        <f>AND('GA55 Summry'!#REF!,"AAAAAFv/b2Q=")</f>
        <v>#REF!</v>
      </c>
      <c r="CX248" t="e">
        <f>AND('GA55 Summry'!#REF!,"AAAAAFv/b2U=")</f>
        <v>#REF!</v>
      </c>
      <c r="CY248" t="e">
        <f>AND('GA55 Summry'!#REF!,"AAAAAFv/b2Y=")</f>
        <v>#REF!</v>
      </c>
      <c r="CZ248" t="e">
        <f>AND('GA55 Summry'!#REF!,"AAAAAFv/b2c=")</f>
        <v>#REF!</v>
      </c>
      <c r="DA248" t="e">
        <f>AND('GA55 Summry'!#REF!,"AAAAAFv/b2g=")</f>
        <v>#REF!</v>
      </c>
      <c r="DB248" t="e">
        <f>AND('GA55 Summry'!#REF!,"AAAAAFv/b2k=")</f>
        <v>#REF!</v>
      </c>
      <c r="DC248" t="e">
        <f>AND('GA55 Summry'!#REF!,"AAAAAFv/b2o=")</f>
        <v>#REF!</v>
      </c>
      <c r="DD248" t="e">
        <f>AND('GA55 Summry'!#REF!,"AAAAAFv/b2s=")</f>
        <v>#REF!</v>
      </c>
      <c r="DE248" t="e">
        <f>AND('GA55 Summry'!#REF!,"AAAAAFv/b2w=")</f>
        <v>#REF!</v>
      </c>
      <c r="DF248" t="e">
        <f>AND('GA55 Summry'!#REF!,"AAAAAFv/b20=")</f>
        <v>#REF!</v>
      </c>
      <c r="DG248" t="e">
        <f>AND('GA55 Summry'!#REF!,"AAAAAFv/b24=")</f>
        <v>#REF!</v>
      </c>
      <c r="DH248" t="e">
        <f>AND('GA55 Summry'!#REF!,"AAAAAFv/b28=")</f>
        <v>#REF!</v>
      </c>
      <c r="DI248" t="e">
        <f>AND('GA55 Summry'!#REF!,"AAAAAFv/b3A=")</f>
        <v>#REF!</v>
      </c>
      <c r="DJ248" t="e">
        <f>AND('GA55 Summry'!#REF!,"AAAAAFv/b3E=")</f>
        <v>#REF!</v>
      </c>
      <c r="DK248" t="e">
        <f>AND('GA55 Summry'!#REF!,"AAAAAFv/b3I=")</f>
        <v>#REF!</v>
      </c>
      <c r="DL248" t="e">
        <f>AND('GA55 Summry'!#REF!,"AAAAAFv/b3M=")</f>
        <v>#REF!</v>
      </c>
      <c r="DM248" t="e">
        <f>AND('GA55 Summry'!#REF!,"AAAAAFv/b3Q=")</f>
        <v>#REF!</v>
      </c>
      <c r="DN248" t="e">
        <f>AND('GA55 Summry'!#REF!,"AAAAAFv/b3U=")</f>
        <v>#REF!</v>
      </c>
      <c r="DO248" t="e">
        <f>AND('GA55 Summry'!#REF!,"AAAAAFv/b3Y=")</f>
        <v>#REF!</v>
      </c>
      <c r="DP248" t="e">
        <f>AND('GA55 Summry'!#REF!,"AAAAAFv/b3c=")</f>
        <v>#REF!</v>
      </c>
      <c r="DQ248" t="e">
        <f>AND('GA55 Summry'!#REF!,"AAAAAFv/b3g=")</f>
        <v>#REF!</v>
      </c>
      <c r="DR248" t="e">
        <f>AND('GA55 Summry'!#REF!,"AAAAAFv/b3k=")</f>
        <v>#REF!</v>
      </c>
      <c r="DS248" t="e">
        <f>AND('GA55 Summry'!#REF!,"AAAAAFv/b3o=")</f>
        <v>#REF!</v>
      </c>
      <c r="DT248" t="e">
        <f>AND('GA55 Summry'!#REF!,"AAAAAFv/b3s=")</f>
        <v>#REF!</v>
      </c>
      <c r="DU248" t="e">
        <f>AND('GA55 Summry'!#REF!,"AAAAAFv/b3w=")</f>
        <v>#REF!</v>
      </c>
      <c r="DV248" t="e">
        <f>AND('GA55 Summry'!#REF!,"AAAAAFv/b30=")</f>
        <v>#REF!</v>
      </c>
      <c r="DW248" t="e">
        <f>AND('GA55 Summry'!#REF!,"AAAAAFv/b34=")</f>
        <v>#REF!</v>
      </c>
      <c r="DX248" t="e">
        <f>IF('GA55 Summry'!#REF!,"AAAAAFv/b38=",0)</f>
        <v>#REF!</v>
      </c>
      <c r="DY248" t="e">
        <f>AND('GA55 Summry'!#REF!,"AAAAAFv/b4A=")</f>
        <v>#REF!</v>
      </c>
      <c r="DZ248" t="e">
        <f>AND('GA55 Summry'!#REF!,"AAAAAFv/b4E=")</f>
        <v>#REF!</v>
      </c>
      <c r="EA248" t="e">
        <f>AND('GA55 Summry'!#REF!,"AAAAAFv/b4I=")</f>
        <v>#REF!</v>
      </c>
      <c r="EB248" t="e">
        <f>AND('GA55 Summry'!#REF!,"AAAAAFv/b4M=")</f>
        <v>#REF!</v>
      </c>
      <c r="EC248" t="e">
        <f>AND('GA55 Summry'!#REF!,"AAAAAFv/b4Q=")</f>
        <v>#REF!</v>
      </c>
      <c r="ED248" t="e">
        <f>AND('GA55 Summry'!#REF!,"AAAAAFv/b4U=")</f>
        <v>#REF!</v>
      </c>
      <c r="EE248" t="e">
        <f>AND('GA55 Summry'!#REF!,"AAAAAFv/b4Y=")</f>
        <v>#REF!</v>
      </c>
      <c r="EF248" t="e">
        <f>AND('GA55 Summry'!#REF!,"AAAAAFv/b4c=")</f>
        <v>#REF!</v>
      </c>
      <c r="EG248" t="e">
        <f>AND('GA55 Summry'!#REF!,"AAAAAFv/b4g=")</f>
        <v>#REF!</v>
      </c>
      <c r="EH248" t="e">
        <f>AND('GA55 Summry'!#REF!,"AAAAAFv/b4k=")</f>
        <v>#REF!</v>
      </c>
      <c r="EI248" t="e">
        <f>AND('GA55 Summry'!#REF!,"AAAAAFv/b4o=")</f>
        <v>#REF!</v>
      </c>
      <c r="EJ248" t="e">
        <f>AND('GA55 Summry'!#REF!,"AAAAAFv/b4s=")</f>
        <v>#REF!</v>
      </c>
      <c r="EK248" t="e">
        <f>AND('GA55 Summry'!#REF!,"AAAAAFv/b4w=")</f>
        <v>#REF!</v>
      </c>
      <c r="EL248" t="e">
        <f>AND('GA55 Summry'!#REF!,"AAAAAFv/b40=")</f>
        <v>#REF!</v>
      </c>
      <c r="EM248" t="e">
        <f>AND('GA55 Summry'!#REF!,"AAAAAFv/b44=")</f>
        <v>#REF!</v>
      </c>
      <c r="EN248" t="e">
        <f>AND('GA55 Summry'!#REF!,"AAAAAFv/b48=")</f>
        <v>#REF!</v>
      </c>
      <c r="EO248" t="e">
        <f>AND('GA55 Summry'!#REF!,"AAAAAFv/b5A=")</f>
        <v>#REF!</v>
      </c>
      <c r="EP248" t="e">
        <f>AND('GA55 Summry'!#REF!,"AAAAAFv/b5E=")</f>
        <v>#REF!</v>
      </c>
      <c r="EQ248" t="e">
        <f>AND('GA55 Summry'!#REF!,"AAAAAFv/b5I=")</f>
        <v>#REF!</v>
      </c>
      <c r="ER248" t="e">
        <f>AND('GA55 Summry'!#REF!,"AAAAAFv/b5M=")</f>
        <v>#REF!</v>
      </c>
      <c r="ES248" t="e">
        <f>AND('GA55 Summry'!#REF!,"AAAAAFv/b5Q=")</f>
        <v>#REF!</v>
      </c>
      <c r="ET248" t="e">
        <f>AND('GA55 Summry'!#REF!,"AAAAAFv/b5U=")</f>
        <v>#REF!</v>
      </c>
      <c r="EU248" t="e">
        <f>AND('GA55 Summry'!#REF!,"AAAAAFv/b5Y=")</f>
        <v>#REF!</v>
      </c>
      <c r="EV248" t="e">
        <f>AND('GA55 Summry'!#REF!,"AAAAAFv/b5c=")</f>
        <v>#REF!</v>
      </c>
      <c r="EW248" t="e">
        <f>AND('GA55 Summry'!#REF!,"AAAAAFv/b5g=")</f>
        <v>#REF!</v>
      </c>
      <c r="EX248" t="e">
        <f>AND('GA55 Summry'!#REF!,"AAAAAFv/b5k=")</f>
        <v>#REF!</v>
      </c>
      <c r="EY248" t="e">
        <f>AND('GA55 Summry'!#REF!,"AAAAAFv/b5o=")</f>
        <v>#REF!</v>
      </c>
      <c r="EZ248" t="e">
        <f>AND('GA55 Summry'!#REF!,"AAAAAFv/b5s=")</f>
        <v>#REF!</v>
      </c>
      <c r="FA248" t="e">
        <f>AND('GA55 Summry'!#REF!,"AAAAAFv/b5w=")</f>
        <v>#REF!</v>
      </c>
      <c r="FB248" t="e">
        <f>AND('GA55 Summry'!#REF!,"AAAAAFv/b50=")</f>
        <v>#REF!</v>
      </c>
      <c r="FC248" t="e">
        <f>AND('GA55 Summry'!#REF!,"AAAAAFv/b54=")</f>
        <v>#REF!</v>
      </c>
      <c r="FD248" t="e">
        <f>AND('GA55 Summry'!#REF!,"AAAAAFv/b58=")</f>
        <v>#REF!</v>
      </c>
      <c r="FE248" t="e">
        <f>AND('GA55 Summry'!#REF!,"AAAAAFv/b6A=")</f>
        <v>#REF!</v>
      </c>
      <c r="FF248" t="e">
        <f>AND('GA55 Summry'!#REF!,"AAAAAFv/b6E=")</f>
        <v>#REF!</v>
      </c>
      <c r="FG248" t="e">
        <f>AND('GA55 Summry'!#REF!,"AAAAAFv/b6I=")</f>
        <v>#REF!</v>
      </c>
      <c r="FH248" t="e">
        <f>AND('GA55 Summry'!#REF!,"AAAAAFv/b6M=")</f>
        <v>#REF!</v>
      </c>
      <c r="FI248" t="e">
        <f>AND('GA55 Summry'!#REF!,"AAAAAFv/b6Q=")</f>
        <v>#REF!</v>
      </c>
      <c r="FJ248" t="e">
        <f>AND('GA55 Summry'!#REF!,"AAAAAFv/b6U=")</f>
        <v>#REF!</v>
      </c>
      <c r="FK248" t="e">
        <f>AND('GA55 Summry'!#REF!,"AAAAAFv/b6Y=")</f>
        <v>#REF!</v>
      </c>
      <c r="FL248" t="e">
        <f>AND('GA55 Summry'!#REF!,"AAAAAFv/b6c=")</f>
        <v>#REF!</v>
      </c>
      <c r="FM248" t="e">
        <f>AND('GA55 Summry'!#REF!,"AAAAAFv/b6g=")</f>
        <v>#REF!</v>
      </c>
      <c r="FN248" t="e">
        <f>AND('GA55 Summry'!#REF!,"AAAAAFv/b6k=")</f>
        <v>#REF!</v>
      </c>
      <c r="FO248" t="e">
        <f>AND('GA55 Summry'!#REF!,"AAAAAFv/b6o=")</f>
        <v>#REF!</v>
      </c>
      <c r="FP248" t="e">
        <f>AND('GA55 Summry'!#REF!,"AAAAAFv/b6s=")</f>
        <v>#REF!</v>
      </c>
      <c r="FQ248" t="e">
        <f>AND('GA55 Summry'!#REF!,"AAAAAFv/b6w=")</f>
        <v>#REF!</v>
      </c>
      <c r="FR248" t="e">
        <f>AND('GA55 Summry'!#REF!,"AAAAAFv/b60=")</f>
        <v>#REF!</v>
      </c>
      <c r="FS248" t="e">
        <f>AND('GA55 Summry'!#REF!,"AAAAAFv/b64=")</f>
        <v>#REF!</v>
      </c>
      <c r="FT248" t="e">
        <f>AND('GA55 Summry'!#REF!,"AAAAAFv/b68=")</f>
        <v>#REF!</v>
      </c>
      <c r="FU248" t="e">
        <f>AND('GA55 Summry'!#REF!,"AAAAAFv/b7A=")</f>
        <v>#REF!</v>
      </c>
      <c r="FV248" t="e">
        <f>AND('GA55 Summry'!#REF!,"AAAAAFv/b7E=")</f>
        <v>#REF!</v>
      </c>
      <c r="FW248" t="e">
        <f>AND('GA55 Summry'!#REF!,"AAAAAFv/b7I=")</f>
        <v>#REF!</v>
      </c>
      <c r="FX248" t="e">
        <f>AND('GA55 Summry'!#REF!,"AAAAAFv/b7M=")</f>
        <v>#REF!</v>
      </c>
      <c r="FY248" t="e">
        <f>AND('GA55 Summry'!#REF!,"AAAAAFv/b7Q=")</f>
        <v>#REF!</v>
      </c>
      <c r="FZ248" t="e">
        <f>AND('GA55 Summry'!#REF!,"AAAAAFv/b7U=")</f>
        <v>#REF!</v>
      </c>
      <c r="GA248" t="e">
        <f>AND('GA55 Summry'!#REF!,"AAAAAFv/b7Y=")</f>
        <v>#REF!</v>
      </c>
      <c r="GB248" t="e">
        <f>AND('GA55 Summry'!#REF!,"AAAAAFv/b7c=")</f>
        <v>#REF!</v>
      </c>
      <c r="GC248" t="e">
        <f>AND('GA55 Summry'!#REF!,"AAAAAFv/b7g=")</f>
        <v>#REF!</v>
      </c>
      <c r="GD248" t="e">
        <f>AND('GA55 Summry'!#REF!,"AAAAAFv/b7k=")</f>
        <v>#REF!</v>
      </c>
      <c r="GE248" t="e">
        <f>AND('GA55 Summry'!#REF!,"AAAAAFv/b7o=")</f>
        <v>#REF!</v>
      </c>
      <c r="GF248" t="e">
        <f>AND('GA55 Summry'!#REF!,"AAAAAFv/b7s=")</f>
        <v>#REF!</v>
      </c>
      <c r="GG248" t="e">
        <f>AND('GA55 Summry'!#REF!,"AAAAAFv/b7w=")</f>
        <v>#REF!</v>
      </c>
      <c r="GH248" t="e">
        <f>AND('GA55 Summry'!#REF!,"AAAAAFv/b70=")</f>
        <v>#REF!</v>
      </c>
      <c r="GI248" t="e">
        <f>AND('GA55 Summry'!#REF!,"AAAAAFv/b74=")</f>
        <v>#REF!</v>
      </c>
      <c r="GJ248" t="e">
        <f>AND('GA55 Summry'!#REF!,"AAAAAFv/b78=")</f>
        <v>#REF!</v>
      </c>
      <c r="GK248" t="e">
        <f>AND('GA55 Summry'!#REF!,"AAAAAFv/b8A=")</f>
        <v>#REF!</v>
      </c>
      <c r="GL248" t="e">
        <f>AND('GA55 Summry'!#REF!,"AAAAAFv/b8E=")</f>
        <v>#REF!</v>
      </c>
      <c r="GM248" t="e">
        <f>AND('GA55 Summry'!#REF!,"AAAAAFv/b8I=")</f>
        <v>#REF!</v>
      </c>
      <c r="GN248" t="e">
        <f>AND('GA55 Summry'!#REF!,"AAAAAFv/b8M=")</f>
        <v>#REF!</v>
      </c>
      <c r="GO248" t="e">
        <f>AND('GA55 Summry'!#REF!,"AAAAAFv/b8Q=")</f>
        <v>#REF!</v>
      </c>
      <c r="GP248" t="e">
        <f>AND('GA55 Summry'!#REF!,"AAAAAFv/b8U=")</f>
        <v>#REF!</v>
      </c>
      <c r="GQ248" t="e">
        <f>AND('GA55 Summry'!#REF!,"AAAAAFv/b8Y=")</f>
        <v>#REF!</v>
      </c>
      <c r="GR248" t="e">
        <f>AND('GA55 Summry'!#REF!,"AAAAAFv/b8c=")</f>
        <v>#REF!</v>
      </c>
      <c r="GS248" t="e">
        <f>AND('GA55 Summry'!#REF!,"AAAAAFv/b8g=")</f>
        <v>#REF!</v>
      </c>
      <c r="GT248" t="e">
        <f>AND('GA55 Summry'!#REF!,"AAAAAFv/b8k=")</f>
        <v>#REF!</v>
      </c>
      <c r="GU248" t="e">
        <f>IF('GA55 Summry'!#REF!,"AAAAAFv/b8o=",0)</f>
        <v>#REF!</v>
      </c>
      <c r="GV248" t="e">
        <f>AND('GA55 Summry'!#REF!,"AAAAAFv/b8s=")</f>
        <v>#REF!</v>
      </c>
      <c r="GW248" t="e">
        <f>AND('GA55 Summry'!#REF!,"AAAAAFv/b8w=")</f>
        <v>#REF!</v>
      </c>
      <c r="GX248" t="e">
        <f>AND('GA55 Summry'!#REF!,"AAAAAFv/b80=")</f>
        <v>#REF!</v>
      </c>
      <c r="GY248" t="e">
        <f>AND('GA55 Summry'!#REF!,"AAAAAFv/b84=")</f>
        <v>#REF!</v>
      </c>
      <c r="GZ248" t="e">
        <f>AND('GA55 Summry'!#REF!,"AAAAAFv/b88=")</f>
        <v>#REF!</v>
      </c>
      <c r="HA248" t="e">
        <f>AND('GA55 Summry'!#REF!,"AAAAAFv/b9A=")</f>
        <v>#REF!</v>
      </c>
      <c r="HB248" t="e">
        <f>AND('GA55 Summry'!#REF!,"AAAAAFv/b9E=")</f>
        <v>#REF!</v>
      </c>
      <c r="HC248" t="e">
        <f>AND('GA55 Summry'!#REF!,"AAAAAFv/b9I=")</f>
        <v>#REF!</v>
      </c>
      <c r="HD248" t="e">
        <f>AND('GA55 Summry'!#REF!,"AAAAAFv/b9M=")</f>
        <v>#REF!</v>
      </c>
      <c r="HE248" t="e">
        <f>AND('GA55 Summry'!#REF!,"AAAAAFv/b9Q=")</f>
        <v>#REF!</v>
      </c>
      <c r="HF248" t="e">
        <f>AND('GA55 Summry'!#REF!,"AAAAAFv/b9U=")</f>
        <v>#REF!</v>
      </c>
      <c r="HG248" t="e">
        <f>AND('GA55 Summry'!#REF!,"AAAAAFv/b9Y=")</f>
        <v>#REF!</v>
      </c>
      <c r="HH248" t="e">
        <f>AND('GA55 Summry'!#REF!,"AAAAAFv/b9c=")</f>
        <v>#REF!</v>
      </c>
      <c r="HI248" t="e">
        <f>AND('GA55 Summry'!#REF!,"AAAAAFv/b9g=")</f>
        <v>#REF!</v>
      </c>
      <c r="HJ248" t="e">
        <f>AND('GA55 Summry'!#REF!,"AAAAAFv/b9k=")</f>
        <v>#REF!</v>
      </c>
      <c r="HK248" t="e">
        <f>AND('GA55 Summry'!#REF!,"AAAAAFv/b9o=")</f>
        <v>#REF!</v>
      </c>
      <c r="HL248" t="e">
        <f>AND('GA55 Summry'!#REF!,"AAAAAFv/b9s=")</f>
        <v>#REF!</v>
      </c>
      <c r="HM248" t="e">
        <f>AND('GA55 Summry'!#REF!,"AAAAAFv/b9w=")</f>
        <v>#REF!</v>
      </c>
      <c r="HN248" t="e">
        <f>AND('GA55 Summry'!#REF!,"AAAAAFv/b90=")</f>
        <v>#REF!</v>
      </c>
      <c r="HO248" t="e">
        <f>AND('GA55 Summry'!#REF!,"AAAAAFv/b94=")</f>
        <v>#REF!</v>
      </c>
      <c r="HP248" t="e">
        <f>AND('GA55 Summry'!#REF!,"AAAAAFv/b98=")</f>
        <v>#REF!</v>
      </c>
      <c r="HQ248" t="e">
        <f>AND('GA55 Summry'!#REF!,"AAAAAFv/b+A=")</f>
        <v>#REF!</v>
      </c>
      <c r="HR248" t="e">
        <f>AND('GA55 Summry'!#REF!,"AAAAAFv/b+E=")</f>
        <v>#REF!</v>
      </c>
      <c r="HS248" t="e">
        <f>AND('GA55 Summry'!#REF!,"AAAAAFv/b+I=")</f>
        <v>#REF!</v>
      </c>
      <c r="HT248" t="e">
        <f>AND('GA55 Summry'!#REF!,"AAAAAFv/b+M=")</f>
        <v>#REF!</v>
      </c>
      <c r="HU248" t="e">
        <f>AND('GA55 Summry'!#REF!,"AAAAAFv/b+Q=")</f>
        <v>#REF!</v>
      </c>
      <c r="HV248" t="e">
        <f>AND('GA55 Summry'!#REF!,"AAAAAFv/b+U=")</f>
        <v>#REF!</v>
      </c>
      <c r="HW248" t="e">
        <f>AND('GA55 Summry'!#REF!,"AAAAAFv/b+Y=")</f>
        <v>#REF!</v>
      </c>
      <c r="HX248" t="e">
        <f>AND('GA55 Summry'!#REF!,"AAAAAFv/b+c=")</f>
        <v>#REF!</v>
      </c>
      <c r="HY248" t="e">
        <f>AND('GA55 Summry'!#REF!,"AAAAAFv/b+g=")</f>
        <v>#REF!</v>
      </c>
      <c r="HZ248" t="e">
        <f>AND('GA55 Summry'!#REF!,"AAAAAFv/b+k=")</f>
        <v>#REF!</v>
      </c>
      <c r="IA248" t="e">
        <f>AND('GA55 Summry'!#REF!,"AAAAAFv/b+o=")</f>
        <v>#REF!</v>
      </c>
      <c r="IB248" t="e">
        <f>AND('GA55 Summry'!#REF!,"AAAAAFv/b+s=")</f>
        <v>#REF!</v>
      </c>
      <c r="IC248" t="e">
        <f>AND('GA55 Summry'!#REF!,"AAAAAFv/b+w=")</f>
        <v>#REF!</v>
      </c>
      <c r="ID248" t="e">
        <f>AND('GA55 Summry'!#REF!,"AAAAAFv/b+0=")</f>
        <v>#REF!</v>
      </c>
      <c r="IE248" t="e">
        <f>AND('GA55 Summry'!#REF!,"AAAAAFv/b+4=")</f>
        <v>#REF!</v>
      </c>
      <c r="IF248" t="e">
        <f>AND('GA55 Summry'!#REF!,"AAAAAFv/b+8=")</f>
        <v>#REF!</v>
      </c>
      <c r="IG248" t="e">
        <f>AND('GA55 Summry'!#REF!,"AAAAAFv/b/A=")</f>
        <v>#REF!</v>
      </c>
      <c r="IH248" t="e">
        <f>AND('GA55 Summry'!#REF!,"AAAAAFv/b/E=")</f>
        <v>#REF!</v>
      </c>
      <c r="II248" t="e">
        <f>AND('GA55 Summry'!#REF!,"AAAAAFv/b/I=")</f>
        <v>#REF!</v>
      </c>
      <c r="IJ248" t="e">
        <f>AND('GA55 Summry'!#REF!,"AAAAAFv/b/M=")</f>
        <v>#REF!</v>
      </c>
      <c r="IK248" t="e">
        <f>AND('GA55 Summry'!#REF!,"AAAAAFv/b/Q=")</f>
        <v>#REF!</v>
      </c>
      <c r="IL248" t="e">
        <f>AND('GA55 Summry'!#REF!,"AAAAAFv/b/U=")</f>
        <v>#REF!</v>
      </c>
      <c r="IM248" t="e">
        <f>AND('GA55 Summry'!#REF!,"AAAAAFv/b/Y=")</f>
        <v>#REF!</v>
      </c>
      <c r="IN248" t="e">
        <f>AND('GA55 Summry'!#REF!,"AAAAAFv/b/c=")</f>
        <v>#REF!</v>
      </c>
      <c r="IO248" t="e">
        <f>AND('GA55 Summry'!#REF!,"AAAAAFv/b/g=")</f>
        <v>#REF!</v>
      </c>
      <c r="IP248" t="e">
        <f>AND('GA55 Summry'!#REF!,"AAAAAFv/b/k=")</f>
        <v>#REF!</v>
      </c>
      <c r="IQ248" t="e">
        <f>AND('GA55 Summry'!#REF!,"AAAAAFv/b/o=")</f>
        <v>#REF!</v>
      </c>
      <c r="IR248" t="e">
        <f>AND('GA55 Summry'!#REF!,"AAAAAFv/b/s=")</f>
        <v>#REF!</v>
      </c>
      <c r="IS248" t="e">
        <f>AND('GA55 Summry'!#REF!,"AAAAAFv/b/w=")</f>
        <v>#REF!</v>
      </c>
      <c r="IT248" t="e">
        <f>AND('GA55 Summry'!#REF!,"AAAAAFv/b/0=")</f>
        <v>#REF!</v>
      </c>
      <c r="IU248" t="e">
        <f>AND('GA55 Summry'!#REF!,"AAAAAFv/b/4=")</f>
        <v>#REF!</v>
      </c>
      <c r="IV248" t="e">
        <f>AND('GA55 Summry'!#REF!,"AAAAAFv/b/8=")</f>
        <v>#REF!</v>
      </c>
    </row>
    <row r="249" spans="1:256">
      <c r="A249" t="e">
        <f>AND('GA55 Summry'!#REF!,"AAAAAD/PfQA=")</f>
        <v>#REF!</v>
      </c>
      <c r="B249" t="e">
        <f>AND('GA55 Summry'!#REF!,"AAAAAD/PfQE=")</f>
        <v>#REF!</v>
      </c>
      <c r="C249" t="e">
        <f>AND('GA55 Summry'!#REF!,"AAAAAD/PfQI=")</f>
        <v>#REF!</v>
      </c>
      <c r="D249" t="e">
        <f>AND('GA55 Summry'!#REF!,"AAAAAD/PfQM=")</f>
        <v>#REF!</v>
      </c>
      <c r="E249" t="e">
        <f>AND('GA55 Summry'!#REF!,"AAAAAD/PfQQ=")</f>
        <v>#REF!</v>
      </c>
      <c r="F249" t="e">
        <f>AND('GA55 Summry'!#REF!,"AAAAAD/PfQU=")</f>
        <v>#REF!</v>
      </c>
      <c r="G249" t="e">
        <f>AND('GA55 Summry'!#REF!,"AAAAAD/PfQY=")</f>
        <v>#REF!</v>
      </c>
      <c r="H249" t="e">
        <f>AND('GA55 Summry'!#REF!,"AAAAAD/PfQc=")</f>
        <v>#REF!</v>
      </c>
      <c r="I249" t="e">
        <f>AND('GA55 Summry'!#REF!,"AAAAAD/PfQg=")</f>
        <v>#REF!</v>
      </c>
      <c r="J249" t="e">
        <f>AND('GA55 Summry'!#REF!,"AAAAAD/PfQk=")</f>
        <v>#REF!</v>
      </c>
      <c r="K249" t="e">
        <f>AND('GA55 Summry'!#REF!,"AAAAAD/PfQo=")</f>
        <v>#REF!</v>
      </c>
      <c r="L249" t="e">
        <f>AND('GA55 Summry'!#REF!,"AAAAAD/PfQs=")</f>
        <v>#REF!</v>
      </c>
      <c r="M249" t="e">
        <f>AND('GA55 Summry'!#REF!,"AAAAAD/PfQw=")</f>
        <v>#REF!</v>
      </c>
      <c r="N249" t="e">
        <f>AND('GA55 Summry'!#REF!,"AAAAAD/PfQ0=")</f>
        <v>#REF!</v>
      </c>
      <c r="O249" t="e">
        <f>AND('GA55 Summry'!#REF!,"AAAAAD/PfQ4=")</f>
        <v>#REF!</v>
      </c>
      <c r="P249" t="e">
        <f>AND('GA55 Summry'!#REF!,"AAAAAD/PfQ8=")</f>
        <v>#REF!</v>
      </c>
      <c r="Q249" t="e">
        <f>AND('GA55 Summry'!#REF!,"AAAAAD/PfRA=")</f>
        <v>#REF!</v>
      </c>
      <c r="R249" t="e">
        <f>AND('GA55 Summry'!#REF!,"AAAAAD/PfRE=")</f>
        <v>#REF!</v>
      </c>
      <c r="S249" t="e">
        <f>AND('GA55 Summry'!#REF!,"AAAAAD/PfRI=")</f>
        <v>#REF!</v>
      </c>
      <c r="T249" t="e">
        <f>AND('GA55 Summry'!#REF!,"AAAAAD/PfRM=")</f>
        <v>#REF!</v>
      </c>
      <c r="U249" t="e">
        <f>AND('GA55 Summry'!#REF!,"AAAAAD/PfRQ=")</f>
        <v>#REF!</v>
      </c>
      <c r="V249" t="e">
        <f>IF('GA55 Summry'!#REF!,"AAAAAD/PfRU=",0)</f>
        <v>#REF!</v>
      </c>
      <c r="W249" t="e">
        <f>AND('GA55 Summry'!#REF!,"AAAAAD/PfRY=")</f>
        <v>#REF!</v>
      </c>
      <c r="X249" t="e">
        <f>AND('GA55 Summry'!#REF!,"AAAAAD/PfRc=")</f>
        <v>#REF!</v>
      </c>
      <c r="Y249" t="e">
        <f>AND('GA55 Summry'!#REF!,"AAAAAD/PfRg=")</f>
        <v>#REF!</v>
      </c>
      <c r="Z249" t="e">
        <f>AND('GA55 Summry'!#REF!,"AAAAAD/PfRk=")</f>
        <v>#REF!</v>
      </c>
      <c r="AA249" t="e">
        <f>AND('GA55 Summry'!#REF!,"AAAAAD/PfRo=")</f>
        <v>#REF!</v>
      </c>
      <c r="AB249" t="e">
        <f>AND('GA55 Summry'!#REF!,"AAAAAD/PfRs=")</f>
        <v>#REF!</v>
      </c>
      <c r="AC249" t="e">
        <f>AND('GA55 Summry'!#REF!,"AAAAAD/PfRw=")</f>
        <v>#REF!</v>
      </c>
      <c r="AD249" t="e">
        <f>AND('GA55 Summry'!#REF!,"AAAAAD/PfR0=")</f>
        <v>#REF!</v>
      </c>
      <c r="AE249" t="e">
        <f>AND('GA55 Summry'!#REF!,"AAAAAD/PfR4=")</f>
        <v>#REF!</v>
      </c>
      <c r="AF249" t="e">
        <f>AND('GA55 Summry'!#REF!,"AAAAAD/PfR8=")</f>
        <v>#REF!</v>
      </c>
      <c r="AG249" t="e">
        <f>AND('GA55 Summry'!#REF!,"AAAAAD/PfSA=")</f>
        <v>#REF!</v>
      </c>
      <c r="AH249" t="e">
        <f>AND('GA55 Summry'!#REF!,"AAAAAD/PfSE=")</f>
        <v>#REF!</v>
      </c>
      <c r="AI249" t="e">
        <f>AND('GA55 Summry'!#REF!,"AAAAAD/PfSI=")</f>
        <v>#REF!</v>
      </c>
      <c r="AJ249" t="e">
        <f>AND('GA55 Summry'!#REF!,"AAAAAD/PfSM=")</f>
        <v>#REF!</v>
      </c>
      <c r="AK249" t="e">
        <f>AND('GA55 Summry'!#REF!,"AAAAAD/PfSQ=")</f>
        <v>#REF!</v>
      </c>
      <c r="AL249" t="e">
        <f>AND('GA55 Summry'!#REF!,"AAAAAD/PfSU=")</f>
        <v>#REF!</v>
      </c>
      <c r="AM249" t="e">
        <f>AND('GA55 Summry'!#REF!,"AAAAAD/PfSY=")</f>
        <v>#REF!</v>
      </c>
      <c r="AN249" t="e">
        <f>AND('GA55 Summry'!#REF!,"AAAAAD/PfSc=")</f>
        <v>#REF!</v>
      </c>
      <c r="AO249" t="e">
        <f>AND('GA55 Summry'!#REF!,"AAAAAD/PfSg=")</f>
        <v>#REF!</v>
      </c>
      <c r="AP249" t="e">
        <f>AND('GA55 Summry'!#REF!,"AAAAAD/PfSk=")</f>
        <v>#REF!</v>
      </c>
      <c r="AQ249" t="e">
        <f>AND('GA55 Summry'!#REF!,"AAAAAD/PfSo=")</f>
        <v>#REF!</v>
      </c>
      <c r="AR249" t="e">
        <f>AND('GA55 Summry'!#REF!,"AAAAAD/PfSs=")</f>
        <v>#REF!</v>
      </c>
      <c r="AS249" t="e">
        <f>AND('GA55 Summry'!#REF!,"AAAAAD/PfSw=")</f>
        <v>#REF!</v>
      </c>
      <c r="AT249" t="e">
        <f>AND('GA55 Summry'!#REF!,"AAAAAD/PfS0=")</f>
        <v>#REF!</v>
      </c>
      <c r="AU249" t="e">
        <f>AND('GA55 Summry'!#REF!,"AAAAAD/PfS4=")</f>
        <v>#REF!</v>
      </c>
      <c r="AV249" t="e">
        <f>AND('GA55 Summry'!#REF!,"AAAAAD/PfS8=")</f>
        <v>#REF!</v>
      </c>
      <c r="AW249" t="e">
        <f>AND('GA55 Summry'!#REF!,"AAAAAD/PfTA=")</f>
        <v>#REF!</v>
      </c>
      <c r="AX249" t="e">
        <f>AND('GA55 Summry'!#REF!,"AAAAAD/PfTE=")</f>
        <v>#REF!</v>
      </c>
      <c r="AY249" t="e">
        <f>AND('GA55 Summry'!#REF!,"AAAAAD/PfTI=")</f>
        <v>#REF!</v>
      </c>
      <c r="AZ249" t="e">
        <f>AND('GA55 Summry'!#REF!,"AAAAAD/PfTM=")</f>
        <v>#REF!</v>
      </c>
      <c r="BA249" t="e">
        <f>AND('GA55 Summry'!#REF!,"AAAAAD/PfTQ=")</f>
        <v>#REF!</v>
      </c>
      <c r="BB249" t="e">
        <f>AND('GA55 Summry'!#REF!,"AAAAAD/PfTU=")</f>
        <v>#REF!</v>
      </c>
      <c r="BC249" t="e">
        <f>AND('GA55 Summry'!#REF!,"AAAAAD/PfTY=")</f>
        <v>#REF!</v>
      </c>
      <c r="BD249" t="e">
        <f>AND('GA55 Summry'!#REF!,"AAAAAD/PfTc=")</f>
        <v>#REF!</v>
      </c>
      <c r="BE249" t="e">
        <f>AND('GA55 Summry'!#REF!,"AAAAAD/PfTg=")</f>
        <v>#REF!</v>
      </c>
      <c r="BF249" t="e">
        <f>AND('GA55 Summry'!#REF!,"AAAAAD/PfTk=")</f>
        <v>#REF!</v>
      </c>
      <c r="BG249" t="e">
        <f>AND('GA55 Summry'!#REF!,"AAAAAD/PfTo=")</f>
        <v>#REF!</v>
      </c>
      <c r="BH249" t="e">
        <f>AND('GA55 Summry'!#REF!,"AAAAAD/PfTs=")</f>
        <v>#REF!</v>
      </c>
      <c r="BI249" t="e">
        <f>AND('GA55 Summry'!#REF!,"AAAAAD/PfTw=")</f>
        <v>#REF!</v>
      </c>
      <c r="BJ249" t="e">
        <f>AND('GA55 Summry'!#REF!,"AAAAAD/PfT0=")</f>
        <v>#REF!</v>
      </c>
      <c r="BK249" t="e">
        <f>AND('GA55 Summry'!#REF!,"AAAAAD/PfT4=")</f>
        <v>#REF!</v>
      </c>
      <c r="BL249" t="e">
        <f>AND('GA55 Summry'!#REF!,"AAAAAD/PfT8=")</f>
        <v>#REF!</v>
      </c>
      <c r="BM249" t="e">
        <f>AND('GA55 Summry'!#REF!,"AAAAAD/PfUA=")</f>
        <v>#REF!</v>
      </c>
      <c r="BN249" t="e">
        <f>AND('GA55 Summry'!#REF!,"AAAAAD/PfUE=")</f>
        <v>#REF!</v>
      </c>
      <c r="BO249" t="e">
        <f>AND('GA55 Summry'!#REF!,"AAAAAD/PfUI=")</f>
        <v>#REF!</v>
      </c>
      <c r="BP249" t="e">
        <f>AND('GA55 Summry'!#REF!,"AAAAAD/PfUM=")</f>
        <v>#REF!</v>
      </c>
      <c r="BQ249" t="e">
        <f>AND('GA55 Summry'!#REF!,"AAAAAD/PfUQ=")</f>
        <v>#REF!</v>
      </c>
      <c r="BR249" t="e">
        <f>AND('GA55 Summry'!#REF!,"AAAAAD/PfUU=")</f>
        <v>#REF!</v>
      </c>
      <c r="BS249" t="e">
        <f>AND('GA55 Summry'!#REF!,"AAAAAD/PfUY=")</f>
        <v>#REF!</v>
      </c>
      <c r="BT249" t="e">
        <f>AND('GA55 Summry'!#REF!,"AAAAAD/PfUc=")</f>
        <v>#REF!</v>
      </c>
      <c r="BU249" t="e">
        <f>AND('GA55 Summry'!#REF!,"AAAAAD/PfUg=")</f>
        <v>#REF!</v>
      </c>
      <c r="BV249" t="e">
        <f>AND('GA55 Summry'!#REF!,"AAAAAD/PfUk=")</f>
        <v>#REF!</v>
      </c>
      <c r="BW249" t="e">
        <f>AND('GA55 Summry'!#REF!,"AAAAAD/PfUo=")</f>
        <v>#REF!</v>
      </c>
      <c r="BX249" t="e">
        <f>AND('GA55 Summry'!#REF!,"AAAAAD/PfUs=")</f>
        <v>#REF!</v>
      </c>
      <c r="BY249" t="e">
        <f>AND('GA55 Summry'!#REF!,"AAAAAD/PfUw=")</f>
        <v>#REF!</v>
      </c>
      <c r="BZ249" t="e">
        <f>AND('GA55 Summry'!#REF!,"AAAAAD/PfU0=")</f>
        <v>#REF!</v>
      </c>
      <c r="CA249" t="e">
        <f>AND('GA55 Summry'!#REF!,"AAAAAD/PfU4=")</f>
        <v>#REF!</v>
      </c>
      <c r="CB249" t="e">
        <f>AND('GA55 Summry'!#REF!,"AAAAAD/PfU8=")</f>
        <v>#REF!</v>
      </c>
      <c r="CC249" t="e">
        <f>AND('GA55 Summry'!#REF!,"AAAAAD/PfVA=")</f>
        <v>#REF!</v>
      </c>
      <c r="CD249" t="e">
        <f>AND('GA55 Summry'!#REF!,"AAAAAD/PfVE=")</f>
        <v>#REF!</v>
      </c>
      <c r="CE249" t="e">
        <f>AND('GA55 Summry'!#REF!,"AAAAAD/PfVI=")</f>
        <v>#REF!</v>
      </c>
      <c r="CF249" t="e">
        <f>AND('GA55 Summry'!#REF!,"AAAAAD/PfVM=")</f>
        <v>#REF!</v>
      </c>
      <c r="CG249" t="e">
        <f>AND('GA55 Summry'!#REF!,"AAAAAD/PfVQ=")</f>
        <v>#REF!</v>
      </c>
      <c r="CH249" t="e">
        <f>AND('GA55 Summry'!#REF!,"AAAAAD/PfVU=")</f>
        <v>#REF!</v>
      </c>
      <c r="CI249" t="e">
        <f>AND('GA55 Summry'!#REF!,"AAAAAD/PfVY=")</f>
        <v>#REF!</v>
      </c>
      <c r="CJ249" t="e">
        <f>AND('GA55 Summry'!#REF!,"AAAAAD/PfVc=")</f>
        <v>#REF!</v>
      </c>
      <c r="CK249" t="e">
        <f>AND('GA55 Summry'!#REF!,"AAAAAD/PfVg=")</f>
        <v>#REF!</v>
      </c>
      <c r="CL249" t="e">
        <f>AND('GA55 Summry'!#REF!,"AAAAAD/PfVk=")</f>
        <v>#REF!</v>
      </c>
      <c r="CM249" t="e">
        <f>AND('GA55 Summry'!#REF!,"AAAAAD/PfVo=")</f>
        <v>#REF!</v>
      </c>
      <c r="CN249" t="e">
        <f>AND('GA55 Summry'!#REF!,"AAAAAD/PfVs=")</f>
        <v>#REF!</v>
      </c>
      <c r="CO249" t="e">
        <f>AND('GA55 Summry'!#REF!,"AAAAAD/PfVw=")</f>
        <v>#REF!</v>
      </c>
      <c r="CP249" t="e">
        <f>AND('GA55 Summry'!#REF!,"AAAAAD/PfV0=")</f>
        <v>#REF!</v>
      </c>
      <c r="CQ249" t="e">
        <f>AND('GA55 Summry'!#REF!,"AAAAAD/PfV4=")</f>
        <v>#REF!</v>
      </c>
      <c r="CR249" t="e">
        <f>AND('GA55 Summry'!#REF!,"AAAAAD/PfV8=")</f>
        <v>#REF!</v>
      </c>
      <c r="CS249" t="e">
        <f>IF('GA55 Summry'!#REF!,"AAAAAD/PfWA=",0)</f>
        <v>#REF!</v>
      </c>
      <c r="CT249" t="e">
        <f>AND('GA55 Summry'!#REF!,"AAAAAD/PfWE=")</f>
        <v>#REF!</v>
      </c>
      <c r="CU249" t="e">
        <f>AND('GA55 Summry'!#REF!,"AAAAAD/PfWI=")</f>
        <v>#REF!</v>
      </c>
      <c r="CV249" t="e">
        <f>AND('GA55 Summry'!#REF!,"AAAAAD/PfWM=")</f>
        <v>#REF!</v>
      </c>
      <c r="CW249" t="e">
        <f>AND('GA55 Summry'!#REF!,"AAAAAD/PfWQ=")</f>
        <v>#REF!</v>
      </c>
      <c r="CX249" t="e">
        <f>AND('GA55 Summry'!#REF!,"AAAAAD/PfWU=")</f>
        <v>#REF!</v>
      </c>
      <c r="CY249" t="e">
        <f>AND('GA55 Summry'!#REF!,"AAAAAD/PfWY=")</f>
        <v>#REF!</v>
      </c>
      <c r="CZ249" t="e">
        <f>AND('GA55 Summry'!#REF!,"AAAAAD/PfWc=")</f>
        <v>#REF!</v>
      </c>
      <c r="DA249" t="e">
        <f>AND('GA55 Summry'!#REF!,"AAAAAD/PfWg=")</f>
        <v>#REF!</v>
      </c>
      <c r="DB249" t="e">
        <f>AND('GA55 Summry'!#REF!,"AAAAAD/PfWk=")</f>
        <v>#REF!</v>
      </c>
      <c r="DC249" t="e">
        <f>AND('GA55 Summry'!#REF!,"AAAAAD/PfWo=")</f>
        <v>#REF!</v>
      </c>
      <c r="DD249" t="e">
        <f>AND('GA55 Summry'!#REF!,"AAAAAD/PfWs=")</f>
        <v>#REF!</v>
      </c>
      <c r="DE249" t="e">
        <f>AND('GA55 Summry'!#REF!,"AAAAAD/PfWw=")</f>
        <v>#REF!</v>
      </c>
      <c r="DF249" t="e">
        <f>AND('GA55 Summry'!#REF!,"AAAAAD/PfW0=")</f>
        <v>#REF!</v>
      </c>
      <c r="DG249" t="e">
        <f>AND('GA55 Summry'!#REF!,"AAAAAD/PfW4=")</f>
        <v>#REF!</v>
      </c>
      <c r="DH249" t="e">
        <f>AND('GA55 Summry'!#REF!,"AAAAAD/PfW8=")</f>
        <v>#REF!</v>
      </c>
      <c r="DI249" t="e">
        <f>AND('GA55 Summry'!#REF!,"AAAAAD/PfXA=")</f>
        <v>#REF!</v>
      </c>
      <c r="DJ249" t="e">
        <f>AND('GA55 Summry'!#REF!,"AAAAAD/PfXE=")</f>
        <v>#REF!</v>
      </c>
      <c r="DK249" t="e">
        <f>AND('GA55 Summry'!#REF!,"AAAAAD/PfXI=")</f>
        <v>#REF!</v>
      </c>
      <c r="DL249" t="e">
        <f>AND('GA55 Summry'!#REF!,"AAAAAD/PfXM=")</f>
        <v>#REF!</v>
      </c>
      <c r="DM249" t="e">
        <f>AND('GA55 Summry'!#REF!,"AAAAAD/PfXQ=")</f>
        <v>#REF!</v>
      </c>
      <c r="DN249" t="e">
        <f>AND('GA55 Summry'!#REF!,"AAAAAD/PfXU=")</f>
        <v>#REF!</v>
      </c>
      <c r="DO249" t="e">
        <f>AND('GA55 Summry'!#REF!,"AAAAAD/PfXY=")</f>
        <v>#REF!</v>
      </c>
      <c r="DP249" t="e">
        <f>AND('GA55 Summry'!#REF!,"AAAAAD/PfXc=")</f>
        <v>#REF!</v>
      </c>
      <c r="DQ249" t="e">
        <f>AND('GA55 Summry'!#REF!,"AAAAAD/PfXg=")</f>
        <v>#REF!</v>
      </c>
      <c r="DR249" t="e">
        <f>AND('GA55 Summry'!#REF!,"AAAAAD/PfXk=")</f>
        <v>#REF!</v>
      </c>
      <c r="DS249" t="e">
        <f>AND('GA55 Summry'!#REF!,"AAAAAD/PfXo=")</f>
        <v>#REF!</v>
      </c>
      <c r="DT249" t="e">
        <f>AND('GA55 Summry'!#REF!,"AAAAAD/PfXs=")</f>
        <v>#REF!</v>
      </c>
      <c r="DU249" t="e">
        <f>AND('GA55 Summry'!#REF!,"AAAAAD/PfXw=")</f>
        <v>#REF!</v>
      </c>
      <c r="DV249" t="e">
        <f>AND('GA55 Summry'!#REF!,"AAAAAD/PfX0=")</f>
        <v>#REF!</v>
      </c>
      <c r="DW249" t="e">
        <f>AND('GA55 Summry'!#REF!,"AAAAAD/PfX4=")</f>
        <v>#REF!</v>
      </c>
      <c r="DX249" t="e">
        <f>AND('GA55 Summry'!#REF!,"AAAAAD/PfX8=")</f>
        <v>#REF!</v>
      </c>
      <c r="DY249" t="e">
        <f>AND('GA55 Summry'!#REF!,"AAAAAD/PfYA=")</f>
        <v>#REF!</v>
      </c>
      <c r="DZ249" t="e">
        <f>AND('GA55 Summry'!#REF!,"AAAAAD/PfYE=")</f>
        <v>#REF!</v>
      </c>
      <c r="EA249" t="e">
        <f>AND('GA55 Summry'!#REF!,"AAAAAD/PfYI=")</f>
        <v>#REF!</v>
      </c>
      <c r="EB249" t="e">
        <f>AND('GA55 Summry'!#REF!,"AAAAAD/PfYM=")</f>
        <v>#REF!</v>
      </c>
      <c r="EC249" t="e">
        <f>AND('GA55 Summry'!#REF!,"AAAAAD/PfYQ=")</f>
        <v>#REF!</v>
      </c>
      <c r="ED249" t="e">
        <f>AND('GA55 Summry'!#REF!,"AAAAAD/PfYU=")</f>
        <v>#REF!</v>
      </c>
      <c r="EE249" t="e">
        <f>AND('GA55 Summry'!#REF!,"AAAAAD/PfYY=")</f>
        <v>#REF!</v>
      </c>
      <c r="EF249" t="e">
        <f>AND('GA55 Summry'!#REF!,"AAAAAD/PfYc=")</f>
        <v>#REF!</v>
      </c>
      <c r="EG249" t="e">
        <f>AND('GA55 Summry'!#REF!,"AAAAAD/PfYg=")</f>
        <v>#REF!</v>
      </c>
      <c r="EH249" t="e">
        <f>AND('GA55 Summry'!#REF!,"AAAAAD/PfYk=")</f>
        <v>#REF!</v>
      </c>
      <c r="EI249" t="e">
        <f>AND('GA55 Summry'!#REF!,"AAAAAD/PfYo=")</f>
        <v>#REF!</v>
      </c>
      <c r="EJ249" t="e">
        <f>AND('GA55 Summry'!#REF!,"AAAAAD/PfYs=")</f>
        <v>#REF!</v>
      </c>
      <c r="EK249" t="e">
        <f>AND('GA55 Summry'!#REF!,"AAAAAD/PfYw=")</f>
        <v>#REF!</v>
      </c>
      <c r="EL249" t="e">
        <f>AND('GA55 Summry'!#REF!,"AAAAAD/PfY0=")</f>
        <v>#REF!</v>
      </c>
      <c r="EM249" t="e">
        <f>AND('GA55 Summry'!#REF!,"AAAAAD/PfY4=")</f>
        <v>#REF!</v>
      </c>
      <c r="EN249" t="e">
        <f>AND('GA55 Summry'!#REF!,"AAAAAD/PfY8=")</f>
        <v>#REF!</v>
      </c>
      <c r="EO249" t="e">
        <f>AND('GA55 Summry'!#REF!,"AAAAAD/PfZA=")</f>
        <v>#REF!</v>
      </c>
      <c r="EP249" t="e">
        <f>AND('GA55 Summry'!#REF!,"AAAAAD/PfZE=")</f>
        <v>#REF!</v>
      </c>
      <c r="EQ249" t="e">
        <f>AND('GA55 Summry'!#REF!,"AAAAAD/PfZI=")</f>
        <v>#REF!</v>
      </c>
      <c r="ER249" t="e">
        <f>AND('GA55 Summry'!#REF!,"AAAAAD/PfZM=")</f>
        <v>#REF!</v>
      </c>
      <c r="ES249" t="e">
        <f>AND('GA55 Summry'!#REF!,"AAAAAD/PfZQ=")</f>
        <v>#REF!</v>
      </c>
      <c r="ET249" t="e">
        <f>AND('GA55 Summry'!#REF!,"AAAAAD/PfZU=")</f>
        <v>#REF!</v>
      </c>
      <c r="EU249" t="e">
        <f>AND('GA55 Summry'!#REF!,"AAAAAD/PfZY=")</f>
        <v>#REF!</v>
      </c>
      <c r="EV249" t="e">
        <f>AND('GA55 Summry'!#REF!,"AAAAAD/PfZc=")</f>
        <v>#REF!</v>
      </c>
      <c r="EW249" t="e">
        <f>AND('GA55 Summry'!#REF!,"AAAAAD/PfZg=")</f>
        <v>#REF!</v>
      </c>
      <c r="EX249" t="e">
        <f>AND('GA55 Summry'!#REF!,"AAAAAD/PfZk=")</f>
        <v>#REF!</v>
      </c>
      <c r="EY249" t="e">
        <f>AND('GA55 Summry'!#REF!,"AAAAAD/PfZo=")</f>
        <v>#REF!</v>
      </c>
      <c r="EZ249" t="e">
        <f>AND('GA55 Summry'!#REF!,"AAAAAD/PfZs=")</f>
        <v>#REF!</v>
      </c>
      <c r="FA249" t="e">
        <f>AND('GA55 Summry'!#REF!,"AAAAAD/PfZw=")</f>
        <v>#REF!</v>
      </c>
      <c r="FB249" t="e">
        <f>AND('GA55 Summry'!#REF!,"AAAAAD/PfZ0=")</f>
        <v>#REF!</v>
      </c>
      <c r="FC249" t="e">
        <f>AND('GA55 Summry'!#REF!,"AAAAAD/PfZ4=")</f>
        <v>#REF!</v>
      </c>
      <c r="FD249" t="e">
        <f>AND('GA55 Summry'!#REF!,"AAAAAD/PfZ8=")</f>
        <v>#REF!</v>
      </c>
      <c r="FE249" t="e">
        <f>AND('GA55 Summry'!#REF!,"AAAAAD/PfaA=")</f>
        <v>#REF!</v>
      </c>
      <c r="FF249" t="e">
        <f>AND('GA55 Summry'!#REF!,"AAAAAD/PfaE=")</f>
        <v>#REF!</v>
      </c>
      <c r="FG249" t="e">
        <f>AND('GA55 Summry'!#REF!,"AAAAAD/PfaI=")</f>
        <v>#REF!</v>
      </c>
      <c r="FH249" t="e">
        <f>AND('GA55 Summry'!#REF!,"AAAAAD/PfaM=")</f>
        <v>#REF!</v>
      </c>
      <c r="FI249" t="e">
        <f>AND('GA55 Summry'!#REF!,"AAAAAD/PfaQ=")</f>
        <v>#REF!</v>
      </c>
      <c r="FJ249" t="e">
        <f>AND('GA55 Summry'!#REF!,"AAAAAD/PfaU=")</f>
        <v>#REF!</v>
      </c>
      <c r="FK249" t="e">
        <f>AND('GA55 Summry'!#REF!,"AAAAAD/PfaY=")</f>
        <v>#REF!</v>
      </c>
      <c r="FL249" t="e">
        <f>AND('GA55 Summry'!#REF!,"AAAAAD/Pfac=")</f>
        <v>#REF!</v>
      </c>
      <c r="FM249" t="e">
        <f>AND('GA55 Summry'!#REF!,"AAAAAD/Pfag=")</f>
        <v>#REF!</v>
      </c>
      <c r="FN249" t="e">
        <f>AND('GA55 Summry'!#REF!,"AAAAAD/Pfak=")</f>
        <v>#REF!</v>
      </c>
      <c r="FO249" t="e">
        <f>AND('GA55 Summry'!#REF!,"AAAAAD/Pfao=")</f>
        <v>#REF!</v>
      </c>
      <c r="FP249" t="e">
        <f>IF('GA55 Summry'!#REF!,"AAAAAD/Pfas=",0)</f>
        <v>#REF!</v>
      </c>
      <c r="FQ249" t="e">
        <f>AND('GA55 Summry'!#REF!,"AAAAAD/Pfaw=")</f>
        <v>#REF!</v>
      </c>
      <c r="FR249" t="e">
        <f>AND('GA55 Summry'!#REF!,"AAAAAD/Pfa0=")</f>
        <v>#REF!</v>
      </c>
      <c r="FS249" t="e">
        <f>AND('GA55 Summry'!#REF!,"AAAAAD/Pfa4=")</f>
        <v>#REF!</v>
      </c>
      <c r="FT249" t="e">
        <f>AND('GA55 Summry'!#REF!,"AAAAAD/Pfa8=")</f>
        <v>#REF!</v>
      </c>
      <c r="FU249" t="e">
        <f>AND('GA55 Summry'!#REF!,"AAAAAD/PfbA=")</f>
        <v>#REF!</v>
      </c>
      <c r="FV249" t="e">
        <f>AND('GA55 Summry'!#REF!,"AAAAAD/PfbE=")</f>
        <v>#REF!</v>
      </c>
      <c r="FW249" t="e">
        <f>AND('GA55 Summry'!#REF!,"AAAAAD/PfbI=")</f>
        <v>#REF!</v>
      </c>
      <c r="FX249" t="e">
        <f>AND('GA55 Summry'!#REF!,"AAAAAD/PfbM=")</f>
        <v>#REF!</v>
      </c>
      <c r="FY249" t="e">
        <f>AND('GA55 Summry'!#REF!,"AAAAAD/PfbQ=")</f>
        <v>#REF!</v>
      </c>
      <c r="FZ249" t="e">
        <f>AND('GA55 Summry'!#REF!,"AAAAAD/PfbU=")</f>
        <v>#REF!</v>
      </c>
      <c r="GA249" t="e">
        <f>AND('GA55 Summry'!#REF!,"AAAAAD/PfbY=")</f>
        <v>#REF!</v>
      </c>
      <c r="GB249" t="e">
        <f>AND('GA55 Summry'!#REF!,"AAAAAD/Pfbc=")</f>
        <v>#REF!</v>
      </c>
      <c r="GC249" t="e">
        <f>AND('GA55 Summry'!#REF!,"AAAAAD/Pfbg=")</f>
        <v>#REF!</v>
      </c>
      <c r="GD249" t="e">
        <f>AND('GA55 Summry'!#REF!,"AAAAAD/Pfbk=")</f>
        <v>#REF!</v>
      </c>
      <c r="GE249" t="e">
        <f>AND('GA55 Summry'!#REF!,"AAAAAD/Pfbo=")</f>
        <v>#REF!</v>
      </c>
      <c r="GF249" t="e">
        <f>AND('GA55 Summry'!#REF!,"AAAAAD/Pfbs=")</f>
        <v>#REF!</v>
      </c>
      <c r="GG249" t="e">
        <f>AND('GA55 Summry'!#REF!,"AAAAAD/Pfbw=")</f>
        <v>#REF!</v>
      </c>
      <c r="GH249" t="e">
        <f>AND('GA55 Summry'!#REF!,"AAAAAD/Pfb0=")</f>
        <v>#REF!</v>
      </c>
      <c r="GI249" t="e">
        <f>AND('GA55 Summry'!#REF!,"AAAAAD/Pfb4=")</f>
        <v>#REF!</v>
      </c>
      <c r="GJ249" t="e">
        <f>AND('GA55 Summry'!#REF!,"AAAAAD/Pfb8=")</f>
        <v>#REF!</v>
      </c>
      <c r="GK249" t="e">
        <f>AND('GA55 Summry'!#REF!,"AAAAAD/PfcA=")</f>
        <v>#REF!</v>
      </c>
      <c r="GL249" t="e">
        <f>AND('GA55 Summry'!#REF!,"AAAAAD/PfcE=")</f>
        <v>#REF!</v>
      </c>
      <c r="GM249" t="e">
        <f>AND('GA55 Summry'!#REF!,"AAAAAD/PfcI=")</f>
        <v>#REF!</v>
      </c>
      <c r="GN249" t="e">
        <f>AND('GA55 Summry'!#REF!,"AAAAAD/PfcM=")</f>
        <v>#REF!</v>
      </c>
      <c r="GO249" t="e">
        <f>AND('GA55 Summry'!#REF!,"AAAAAD/PfcQ=")</f>
        <v>#REF!</v>
      </c>
      <c r="GP249" t="e">
        <f>AND('GA55 Summry'!#REF!,"AAAAAD/PfcU=")</f>
        <v>#REF!</v>
      </c>
      <c r="GQ249" t="e">
        <f>AND('GA55 Summry'!#REF!,"AAAAAD/PfcY=")</f>
        <v>#REF!</v>
      </c>
      <c r="GR249" t="e">
        <f>AND('GA55 Summry'!#REF!,"AAAAAD/Pfcc=")</f>
        <v>#REF!</v>
      </c>
      <c r="GS249" t="e">
        <f>AND('GA55 Summry'!#REF!,"AAAAAD/Pfcg=")</f>
        <v>#REF!</v>
      </c>
      <c r="GT249" t="e">
        <f>AND('GA55 Summry'!#REF!,"AAAAAD/Pfck=")</f>
        <v>#REF!</v>
      </c>
      <c r="GU249" t="e">
        <f>AND('GA55 Summry'!#REF!,"AAAAAD/Pfco=")</f>
        <v>#REF!</v>
      </c>
      <c r="GV249" t="e">
        <f>AND('GA55 Summry'!#REF!,"AAAAAD/Pfcs=")</f>
        <v>#REF!</v>
      </c>
      <c r="GW249" t="e">
        <f>AND('GA55 Summry'!#REF!,"AAAAAD/Pfcw=")</f>
        <v>#REF!</v>
      </c>
      <c r="GX249" t="e">
        <f>AND('GA55 Summry'!#REF!,"AAAAAD/Pfc0=")</f>
        <v>#REF!</v>
      </c>
      <c r="GY249" t="e">
        <f>AND('GA55 Summry'!#REF!,"AAAAAD/Pfc4=")</f>
        <v>#REF!</v>
      </c>
      <c r="GZ249" t="e">
        <f>AND('GA55 Summry'!#REF!,"AAAAAD/Pfc8=")</f>
        <v>#REF!</v>
      </c>
      <c r="HA249" t="e">
        <f>AND('GA55 Summry'!#REF!,"AAAAAD/PfdA=")</f>
        <v>#REF!</v>
      </c>
      <c r="HB249" t="e">
        <f>AND('GA55 Summry'!#REF!,"AAAAAD/PfdE=")</f>
        <v>#REF!</v>
      </c>
      <c r="HC249" t="e">
        <f>AND('GA55 Summry'!#REF!,"AAAAAD/PfdI=")</f>
        <v>#REF!</v>
      </c>
      <c r="HD249" t="e">
        <f>AND('GA55 Summry'!#REF!,"AAAAAD/PfdM=")</f>
        <v>#REF!</v>
      </c>
      <c r="HE249" t="e">
        <f>AND('GA55 Summry'!#REF!,"AAAAAD/PfdQ=")</f>
        <v>#REF!</v>
      </c>
      <c r="HF249" t="e">
        <f>AND('GA55 Summry'!#REF!,"AAAAAD/PfdU=")</f>
        <v>#REF!</v>
      </c>
      <c r="HG249" t="e">
        <f>AND('GA55 Summry'!#REF!,"AAAAAD/PfdY=")</f>
        <v>#REF!</v>
      </c>
      <c r="HH249" t="e">
        <f>AND('GA55 Summry'!#REF!,"AAAAAD/Pfdc=")</f>
        <v>#REF!</v>
      </c>
      <c r="HI249" t="e">
        <f>AND('GA55 Summry'!#REF!,"AAAAAD/Pfdg=")</f>
        <v>#REF!</v>
      </c>
      <c r="HJ249" t="e">
        <f>AND('GA55 Summry'!#REF!,"AAAAAD/Pfdk=")</f>
        <v>#REF!</v>
      </c>
      <c r="HK249" t="e">
        <f>AND('GA55 Summry'!#REF!,"AAAAAD/Pfdo=")</f>
        <v>#REF!</v>
      </c>
      <c r="HL249" t="e">
        <f>AND('GA55 Summry'!#REF!,"AAAAAD/Pfds=")</f>
        <v>#REF!</v>
      </c>
      <c r="HM249" t="e">
        <f>AND('GA55 Summry'!#REF!,"AAAAAD/Pfdw=")</f>
        <v>#REF!</v>
      </c>
      <c r="HN249" t="e">
        <f>AND('GA55 Summry'!#REF!,"AAAAAD/Pfd0=")</f>
        <v>#REF!</v>
      </c>
      <c r="HO249" t="e">
        <f>AND('GA55 Summry'!#REF!,"AAAAAD/Pfd4=")</f>
        <v>#REF!</v>
      </c>
      <c r="HP249" t="e">
        <f>AND('GA55 Summry'!#REF!,"AAAAAD/Pfd8=")</f>
        <v>#REF!</v>
      </c>
      <c r="HQ249" t="e">
        <f>AND('GA55 Summry'!#REF!,"AAAAAD/PfeA=")</f>
        <v>#REF!</v>
      </c>
      <c r="HR249" t="e">
        <f>AND('GA55 Summry'!#REF!,"AAAAAD/PfeE=")</f>
        <v>#REF!</v>
      </c>
      <c r="HS249" t="e">
        <f>AND('GA55 Summry'!#REF!,"AAAAAD/PfeI=")</f>
        <v>#REF!</v>
      </c>
      <c r="HT249" t="e">
        <f>AND('GA55 Summry'!#REF!,"AAAAAD/PfeM=")</f>
        <v>#REF!</v>
      </c>
      <c r="HU249" t="e">
        <f>AND('GA55 Summry'!#REF!,"AAAAAD/PfeQ=")</f>
        <v>#REF!</v>
      </c>
      <c r="HV249" t="e">
        <f>AND('GA55 Summry'!#REF!,"AAAAAD/PfeU=")</f>
        <v>#REF!</v>
      </c>
      <c r="HW249" t="e">
        <f>AND('GA55 Summry'!#REF!,"AAAAAD/PfeY=")</f>
        <v>#REF!</v>
      </c>
      <c r="HX249" t="e">
        <f>AND('GA55 Summry'!#REF!,"AAAAAD/Pfec=")</f>
        <v>#REF!</v>
      </c>
      <c r="HY249" t="e">
        <f>AND('GA55 Summry'!#REF!,"AAAAAD/Pfeg=")</f>
        <v>#REF!</v>
      </c>
      <c r="HZ249" t="e">
        <f>AND('GA55 Summry'!#REF!,"AAAAAD/Pfek=")</f>
        <v>#REF!</v>
      </c>
      <c r="IA249" t="e">
        <f>AND('GA55 Summry'!#REF!,"AAAAAD/Pfeo=")</f>
        <v>#REF!</v>
      </c>
      <c r="IB249" t="e">
        <f>AND('GA55 Summry'!#REF!,"AAAAAD/Pfes=")</f>
        <v>#REF!</v>
      </c>
      <c r="IC249" t="e">
        <f>AND('GA55 Summry'!#REF!,"AAAAAD/Pfew=")</f>
        <v>#REF!</v>
      </c>
      <c r="ID249" t="e">
        <f>AND('GA55 Summry'!#REF!,"AAAAAD/Pfe0=")</f>
        <v>#REF!</v>
      </c>
      <c r="IE249" t="e">
        <f>AND('GA55 Summry'!#REF!,"AAAAAD/Pfe4=")</f>
        <v>#REF!</v>
      </c>
      <c r="IF249" t="e">
        <f>AND('GA55 Summry'!#REF!,"AAAAAD/Pfe8=")</f>
        <v>#REF!</v>
      </c>
      <c r="IG249" t="e">
        <f>AND('GA55 Summry'!#REF!,"AAAAAD/PffA=")</f>
        <v>#REF!</v>
      </c>
      <c r="IH249" t="e">
        <f>AND('GA55 Summry'!#REF!,"AAAAAD/PffE=")</f>
        <v>#REF!</v>
      </c>
      <c r="II249" t="e">
        <f>AND('GA55 Summry'!#REF!,"AAAAAD/PffI=")</f>
        <v>#REF!</v>
      </c>
      <c r="IJ249" t="e">
        <f>AND('GA55 Summry'!#REF!,"AAAAAD/PffM=")</f>
        <v>#REF!</v>
      </c>
      <c r="IK249" t="e">
        <f>AND('GA55 Summry'!#REF!,"AAAAAD/PffQ=")</f>
        <v>#REF!</v>
      </c>
      <c r="IL249" t="e">
        <f>AND('GA55 Summry'!#REF!,"AAAAAD/PffU=")</f>
        <v>#REF!</v>
      </c>
      <c r="IM249" t="e">
        <f>IF('GA55 Summry'!#REF!,"AAAAAD/PffY=",0)</f>
        <v>#REF!</v>
      </c>
      <c r="IN249" t="e">
        <f>AND('GA55 Summry'!#REF!,"AAAAAD/Pffc=")</f>
        <v>#REF!</v>
      </c>
      <c r="IO249" t="e">
        <f>AND('GA55 Summry'!#REF!,"AAAAAD/Pffg=")</f>
        <v>#REF!</v>
      </c>
      <c r="IP249" t="e">
        <f>AND('GA55 Summry'!#REF!,"AAAAAD/Pffk=")</f>
        <v>#REF!</v>
      </c>
      <c r="IQ249" t="e">
        <f>AND('GA55 Summry'!#REF!,"AAAAAD/Pffo=")</f>
        <v>#REF!</v>
      </c>
      <c r="IR249" t="e">
        <f>AND('GA55 Summry'!#REF!,"AAAAAD/Pffs=")</f>
        <v>#REF!</v>
      </c>
      <c r="IS249" t="e">
        <f>AND('GA55 Summry'!#REF!,"AAAAAD/Pffw=")</f>
        <v>#REF!</v>
      </c>
      <c r="IT249" t="e">
        <f>AND('GA55 Summry'!#REF!,"AAAAAD/Pff0=")</f>
        <v>#REF!</v>
      </c>
      <c r="IU249" t="e">
        <f>AND('GA55 Summry'!#REF!,"AAAAAD/Pff4=")</f>
        <v>#REF!</v>
      </c>
      <c r="IV249" t="e">
        <f>AND('GA55 Summry'!#REF!,"AAAAAD/Pff8=")</f>
        <v>#REF!</v>
      </c>
    </row>
    <row r="250" spans="1:256">
      <c r="A250" t="e">
        <f>AND('GA55 Summry'!#REF!,"AAAAAH//9gA=")</f>
        <v>#REF!</v>
      </c>
      <c r="B250" t="e">
        <f>AND('GA55 Summry'!#REF!,"AAAAAH//9gE=")</f>
        <v>#REF!</v>
      </c>
      <c r="C250" t="e">
        <f>AND('GA55 Summry'!#REF!,"AAAAAH//9gI=")</f>
        <v>#REF!</v>
      </c>
      <c r="D250" t="e">
        <f>AND('GA55 Summry'!#REF!,"AAAAAH//9gM=")</f>
        <v>#REF!</v>
      </c>
      <c r="E250" t="e">
        <f>AND('GA55 Summry'!#REF!,"AAAAAH//9gQ=")</f>
        <v>#REF!</v>
      </c>
      <c r="F250" t="e">
        <f>AND('GA55 Summry'!#REF!,"AAAAAH//9gU=")</f>
        <v>#REF!</v>
      </c>
      <c r="G250" t="e">
        <f>AND('GA55 Summry'!#REF!,"AAAAAH//9gY=")</f>
        <v>#REF!</v>
      </c>
      <c r="H250" t="e">
        <f>AND('GA55 Summry'!#REF!,"AAAAAH//9gc=")</f>
        <v>#REF!</v>
      </c>
      <c r="I250" t="e">
        <f>AND('GA55 Summry'!#REF!,"AAAAAH//9gg=")</f>
        <v>#REF!</v>
      </c>
      <c r="J250" t="e">
        <f>AND('GA55 Summry'!#REF!,"AAAAAH//9gk=")</f>
        <v>#REF!</v>
      </c>
      <c r="K250" t="e">
        <f>AND('GA55 Summry'!#REF!,"AAAAAH//9go=")</f>
        <v>#REF!</v>
      </c>
      <c r="L250" t="e">
        <f>AND('GA55 Summry'!#REF!,"AAAAAH//9gs=")</f>
        <v>#REF!</v>
      </c>
      <c r="M250" t="e">
        <f>AND('GA55 Summry'!#REF!,"AAAAAH//9gw=")</f>
        <v>#REF!</v>
      </c>
      <c r="N250" t="e">
        <f>AND('GA55 Summry'!#REF!,"AAAAAH//9g0=")</f>
        <v>#REF!</v>
      </c>
      <c r="O250" t="e">
        <f>AND('GA55 Summry'!#REF!,"AAAAAH//9g4=")</f>
        <v>#REF!</v>
      </c>
      <c r="P250" t="e">
        <f>AND('GA55 Summry'!#REF!,"AAAAAH//9g8=")</f>
        <v>#REF!</v>
      </c>
      <c r="Q250" t="e">
        <f>AND('GA55 Summry'!#REF!,"AAAAAH//9hA=")</f>
        <v>#REF!</v>
      </c>
      <c r="R250" t="e">
        <f>AND('GA55 Summry'!#REF!,"AAAAAH//9hE=")</f>
        <v>#REF!</v>
      </c>
      <c r="S250" t="e">
        <f>AND('GA55 Summry'!#REF!,"AAAAAH//9hI=")</f>
        <v>#REF!</v>
      </c>
      <c r="T250" t="e">
        <f>AND('GA55 Summry'!#REF!,"AAAAAH//9hM=")</f>
        <v>#REF!</v>
      </c>
      <c r="U250" t="e">
        <f>AND('GA55 Summry'!#REF!,"AAAAAH//9hQ=")</f>
        <v>#REF!</v>
      </c>
      <c r="V250" t="e">
        <f>AND('GA55 Summry'!#REF!,"AAAAAH//9hU=")</f>
        <v>#REF!</v>
      </c>
      <c r="W250" t="e">
        <f>AND('GA55 Summry'!#REF!,"AAAAAH//9hY=")</f>
        <v>#REF!</v>
      </c>
      <c r="X250" t="e">
        <f>AND('GA55 Summry'!#REF!,"AAAAAH//9hc=")</f>
        <v>#REF!</v>
      </c>
      <c r="Y250" t="e">
        <f>AND('GA55 Summry'!#REF!,"AAAAAH//9hg=")</f>
        <v>#REF!</v>
      </c>
      <c r="Z250" t="e">
        <f>AND('GA55 Summry'!#REF!,"AAAAAH//9hk=")</f>
        <v>#REF!</v>
      </c>
      <c r="AA250" t="e">
        <f>AND('GA55 Summry'!#REF!,"AAAAAH//9ho=")</f>
        <v>#REF!</v>
      </c>
      <c r="AB250" t="e">
        <f>AND('GA55 Summry'!#REF!,"AAAAAH//9hs=")</f>
        <v>#REF!</v>
      </c>
      <c r="AC250" t="e">
        <f>AND('GA55 Summry'!#REF!,"AAAAAH//9hw=")</f>
        <v>#REF!</v>
      </c>
      <c r="AD250" t="e">
        <f>AND('GA55 Summry'!#REF!,"AAAAAH//9h0=")</f>
        <v>#REF!</v>
      </c>
      <c r="AE250" t="e">
        <f>AND('GA55 Summry'!#REF!,"AAAAAH//9h4=")</f>
        <v>#REF!</v>
      </c>
      <c r="AF250" t="e">
        <f>AND('GA55 Summry'!#REF!,"AAAAAH//9h8=")</f>
        <v>#REF!</v>
      </c>
      <c r="AG250" t="e">
        <f>AND('GA55 Summry'!#REF!,"AAAAAH//9iA=")</f>
        <v>#REF!</v>
      </c>
      <c r="AH250" t="e">
        <f>AND('GA55 Summry'!#REF!,"AAAAAH//9iE=")</f>
        <v>#REF!</v>
      </c>
      <c r="AI250" t="e">
        <f>AND('GA55 Summry'!#REF!,"AAAAAH//9iI=")</f>
        <v>#REF!</v>
      </c>
      <c r="AJ250" t="e">
        <f>AND('GA55 Summry'!#REF!,"AAAAAH//9iM=")</f>
        <v>#REF!</v>
      </c>
      <c r="AK250" t="e">
        <f>AND('GA55 Summry'!#REF!,"AAAAAH//9iQ=")</f>
        <v>#REF!</v>
      </c>
      <c r="AL250" t="e">
        <f>AND('GA55 Summry'!#REF!,"AAAAAH//9iU=")</f>
        <v>#REF!</v>
      </c>
      <c r="AM250" t="e">
        <f>AND('GA55 Summry'!#REF!,"AAAAAH//9iY=")</f>
        <v>#REF!</v>
      </c>
      <c r="AN250" t="e">
        <f>AND('GA55 Summry'!#REF!,"AAAAAH//9ic=")</f>
        <v>#REF!</v>
      </c>
      <c r="AO250" t="e">
        <f>AND('GA55 Summry'!#REF!,"AAAAAH//9ig=")</f>
        <v>#REF!</v>
      </c>
      <c r="AP250" t="e">
        <f>AND('GA55 Summry'!#REF!,"AAAAAH//9ik=")</f>
        <v>#REF!</v>
      </c>
      <c r="AQ250" t="e">
        <f>AND('GA55 Summry'!#REF!,"AAAAAH//9io=")</f>
        <v>#REF!</v>
      </c>
      <c r="AR250" t="e">
        <f>AND('GA55 Summry'!#REF!,"AAAAAH//9is=")</f>
        <v>#REF!</v>
      </c>
      <c r="AS250" t="e">
        <f>AND('GA55 Summry'!#REF!,"AAAAAH//9iw=")</f>
        <v>#REF!</v>
      </c>
      <c r="AT250" t="e">
        <f>AND('GA55 Summry'!#REF!,"AAAAAH//9i0=")</f>
        <v>#REF!</v>
      </c>
      <c r="AU250" t="e">
        <f>AND('GA55 Summry'!#REF!,"AAAAAH//9i4=")</f>
        <v>#REF!</v>
      </c>
      <c r="AV250" t="e">
        <f>AND('GA55 Summry'!#REF!,"AAAAAH//9i8=")</f>
        <v>#REF!</v>
      </c>
      <c r="AW250" t="e">
        <f>AND('GA55 Summry'!#REF!,"AAAAAH//9jA=")</f>
        <v>#REF!</v>
      </c>
      <c r="AX250" t="e">
        <f>AND('GA55 Summry'!#REF!,"AAAAAH//9jE=")</f>
        <v>#REF!</v>
      </c>
      <c r="AY250" t="e">
        <f>AND('GA55 Summry'!#REF!,"AAAAAH//9jI=")</f>
        <v>#REF!</v>
      </c>
      <c r="AZ250" t="e">
        <f>AND('GA55 Summry'!#REF!,"AAAAAH//9jM=")</f>
        <v>#REF!</v>
      </c>
      <c r="BA250" t="e">
        <f>AND('GA55 Summry'!#REF!,"AAAAAH//9jQ=")</f>
        <v>#REF!</v>
      </c>
      <c r="BB250" t="e">
        <f>AND('GA55 Summry'!#REF!,"AAAAAH//9jU=")</f>
        <v>#REF!</v>
      </c>
      <c r="BC250" t="e">
        <f>AND('GA55 Summry'!#REF!,"AAAAAH//9jY=")</f>
        <v>#REF!</v>
      </c>
      <c r="BD250" t="e">
        <f>AND('GA55 Summry'!#REF!,"AAAAAH//9jc=")</f>
        <v>#REF!</v>
      </c>
      <c r="BE250" t="e">
        <f>AND('GA55 Summry'!#REF!,"AAAAAH//9jg=")</f>
        <v>#REF!</v>
      </c>
      <c r="BF250" t="e">
        <f>AND('GA55 Summry'!#REF!,"AAAAAH//9jk=")</f>
        <v>#REF!</v>
      </c>
      <c r="BG250" t="e">
        <f>AND('GA55 Summry'!#REF!,"AAAAAH//9jo=")</f>
        <v>#REF!</v>
      </c>
      <c r="BH250" t="e">
        <f>AND('GA55 Summry'!#REF!,"AAAAAH//9js=")</f>
        <v>#REF!</v>
      </c>
      <c r="BI250" t="e">
        <f>AND('GA55 Summry'!#REF!,"AAAAAH//9jw=")</f>
        <v>#REF!</v>
      </c>
      <c r="BJ250" t="e">
        <f>AND('GA55 Summry'!#REF!,"AAAAAH//9j0=")</f>
        <v>#REF!</v>
      </c>
      <c r="BK250" t="e">
        <f>AND('GA55 Summry'!#REF!,"AAAAAH//9j4=")</f>
        <v>#REF!</v>
      </c>
      <c r="BL250" t="e">
        <f>AND('GA55 Summry'!#REF!,"AAAAAH//9j8=")</f>
        <v>#REF!</v>
      </c>
      <c r="BM250" t="e">
        <f>AND('GA55 Summry'!#REF!,"AAAAAH//9kA=")</f>
        <v>#REF!</v>
      </c>
      <c r="BN250" t="e">
        <f>IF('GA55 Summry'!#REF!,"AAAAAH//9kE=",0)</f>
        <v>#REF!</v>
      </c>
      <c r="BO250" t="e">
        <f>AND('GA55 Summry'!#REF!,"AAAAAH//9kI=")</f>
        <v>#REF!</v>
      </c>
      <c r="BP250" t="e">
        <f>AND('GA55 Summry'!#REF!,"AAAAAH//9kM=")</f>
        <v>#REF!</v>
      </c>
      <c r="BQ250" t="e">
        <f>AND('GA55 Summry'!#REF!,"AAAAAH//9kQ=")</f>
        <v>#REF!</v>
      </c>
      <c r="BR250" t="e">
        <f>AND('GA55 Summry'!#REF!,"AAAAAH//9kU=")</f>
        <v>#REF!</v>
      </c>
      <c r="BS250" t="e">
        <f>AND('GA55 Summry'!#REF!,"AAAAAH//9kY=")</f>
        <v>#REF!</v>
      </c>
      <c r="BT250" t="e">
        <f>AND('GA55 Summry'!#REF!,"AAAAAH//9kc=")</f>
        <v>#REF!</v>
      </c>
      <c r="BU250" t="e">
        <f>AND('GA55 Summry'!#REF!,"AAAAAH//9kg=")</f>
        <v>#REF!</v>
      </c>
      <c r="BV250" t="e">
        <f>AND('GA55 Summry'!#REF!,"AAAAAH//9kk=")</f>
        <v>#REF!</v>
      </c>
      <c r="BW250" t="e">
        <f>AND('GA55 Summry'!#REF!,"AAAAAH//9ko=")</f>
        <v>#REF!</v>
      </c>
      <c r="BX250" t="e">
        <f>AND('GA55 Summry'!#REF!,"AAAAAH//9ks=")</f>
        <v>#REF!</v>
      </c>
      <c r="BY250" t="e">
        <f>AND('GA55 Summry'!#REF!,"AAAAAH//9kw=")</f>
        <v>#REF!</v>
      </c>
      <c r="BZ250" t="e">
        <f>AND('GA55 Summry'!#REF!,"AAAAAH//9k0=")</f>
        <v>#REF!</v>
      </c>
      <c r="CA250" t="e">
        <f>AND('GA55 Summry'!#REF!,"AAAAAH//9k4=")</f>
        <v>#REF!</v>
      </c>
      <c r="CB250" t="e">
        <f>AND('GA55 Summry'!#REF!,"AAAAAH//9k8=")</f>
        <v>#REF!</v>
      </c>
      <c r="CC250" t="e">
        <f>AND('GA55 Summry'!#REF!,"AAAAAH//9lA=")</f>
        <v>#REF!</v>
      </c>
      <c r="CD250" t="e">
        <f>AND('GA55 Summry'!#REF!,"AAAAAH//9lE=")</f>
        <v>#REF!</v>
      </c>
      <c r="CE250" t="e">
        <f>AND('GA55 Summry'!#REF!,"AAAAAH//9lI=")</f>
        <v>#REF!</v>
      </c>
      <c r="CF250" t="e">
        <f>AND('GA55 Summry'!#REF!,"AAAAAH//9lM=")</f>
        <v>#REF!</v>
      </c>
      <c r="CG250" t="e">
        <f>AND('GA55 Summry'!#REF!,"AAAAAH//9lQ=")</f>
        <v>#REF!</v>
      </c>
      <c r="CH250" t="e">
        <f>AND('GA55 Summry'!#REF!,"AAAAAH//9lU=")</f>
        <v>#REF!</v>
      </c>
      <c r="CI250" t="e">
        <f>AND('GA55 Summry'!#REF!,"AAAAAH//9lY=")</f>
        <v>#REF!</v>
      </c>
      <c r="CJ250" t="e">
        <f>AND('GA55 Summry'!#REF!,"AAAAAH//9lc=")</f>
        <v>#REF!</v>
      </c>
      <c r="CK250" t="e">
        <f>AND('GA55 Summry'!#REF!,"AAAAAH//9lg=")</f>
        <v>#REF!</v>
      </c>
      <c r="CL250" t="e">
        <f>AND('GA55 Summry'!#REF!,"AAAAAH//9lk=")</f>
        <v>#REF!</v>
      </c>
      <c r="CM250" t="e">
        <f>AND('GA55 Summry'!#REF!,"AAAAAH//9lo=")</f>
        <v>#REF!</v>
      </c>
      <c r="CN250" t="e">
        <f>AND('GA55 Summry'!#REF!,"AAAAAH//9ls=")</f>
        <v>#REF!</v>
      </c>
      <c r="CO250" t="e">
        <f>AND('GA55 Summry'!#REF!,"AAAAAH//9lw=")</f>
        <v>#REF!</v>
      </c>
      <c r="CP250" t="e">
        <f>AND('GA55 Summry'!#REF!,"AAAAAH//9l0=")</f>
        <v>#REF!</v>
      </c>
      <c r="CQ250" t="e">
        <f>AND('GA55 Summry'!#REF!,"AAAAAH//9l4=")</f>
        <v>#REF!</v>
      </c>
      <c r="CR250" t="e">
        <f>AND('GA55 Summry'!#REF!,"AAAAAH//9l8=")</f>
        <v>#REF!</v>
      </c>
      <c r="CS250" t="e">
        <f>AND('GA55 Summry'!#REF!,"AAAAAH//9mA=")</f>
        <v>#REF!</v>
      </c>
      <c r="CT250" t="e">
        <f>AND('GA55 Summry'!#REF!,"AAAAAH//9mE=")</f>
        <v>#REF!</v>
      </c>
      <c r="CU250" t="e">
        <f>AND('GA55 Summry'!#REF!,"AAAAAH//9mI=")</f>
        <v>#REF!</v>
      </c>
      <c r="CV250" t="e">
        <f>AND('GA55 Summry'!#REF!,"AAAAAH//9mM=")</f>
        <v>#REF!</v>
      </c>
      <c r="CW250" t="e">
        <f>AND('GA55 Summry'!#REF!,"AAAAAH//9mQ=")</f>
        <v>#REF!</v>
      </c>
      <c r="CX250" t="e">
        <f>AND('GA55 Summry'!#REF!,"AAAAAH//9mU=")</f>
        <v>#REF!</v>
      </c>
      <c r="CY250" t="e">
        <f>AND('GA55 Summry'!#REF!,"AAAAAH//9mY=")</f>
        <v>#REF!</v>
      </c>
      <c r="CZ250" t="e">
        <f>AND('GA55 Summry'!#REF!,"AAAAAH//9mc=")</f>
        <v>#REF!</v>
      </c>
      <c r="DA250" t="e">
        <f>AND('GA55 Summry'!#REF!,"AAAAAH//9mg=")</f>
        <v>#REF!</v>
      </c>
      <c r="DB250" t="e">
        <f>AND('GA55 Summry'!#REF!,"AAAAAH//9mk=")</f>
        <v>#REF!</v>
      </c>
      <c r="DC250" t="e">
        <f>AND('GA55 Summry'!#REF!,"AAAAAH//9mo=")</f>
        <v>#REF!</v>
      </c>
      <c r="DD250" t="e">
        <f>AND('GA55 Summry'!#REF!,"AAAAAH//9ms=")</f>
        <v>#REF!</v>
      </c>
      <c r="DE250" t="e">
        <f>AND('GA55 Summry'!#REF!,"AAAAAH//9mw=")</f>
        <v>#REF!</v>
      </c>
      <c r="DF250" t="e">
        <f>AND('GA55 Summry'!#REF!,"AAAAAH//9m0=")</f>
        <v>#REF!</v>
      </c>
      <c r="DG250" t="e">
        <f>AND('GA55 Summry'!#REF!,"AAAAAH//9m4=")</f>
        <v>#REF!</v>
      </c>
      <c r="DH250" t="e">
        <f>AND('GA55 Summry'!#REF!,"AAAAAH//9m8=")</f>
        <v>#REF!</v>
      </c>
      <c r="DI250" t="e">
        <f>AND('GA55 Summry'!#REF!,"AAAAAH//9nA=")</f>
        <v>#REF!</v>
      </c>
      <c r="DJ250" t="e">
        <f>AND('GA55 Summry'!#REF!,"AAAAAH//9nE=")</f>
        <v>#REF!</v>
      </c>
      <c r="DK250" t="e">
        <f>AND('GA55 Summry'!#REF!,"AAAAAH//9nI=")</f>
        <v>#REF!</v>
      </c>
      <c r="DL250" t="e">
        <f>AND('GA55 Summry'!#REF!,"AAAAAH//9nM=")</f>
        <v>#REF!</v>
      </c>
      <c r="DM250" t="e">
        <f>AND('GA55 Summry'!#REF!,"AAAAAH//9nQ=")</f>
        <v>#REF!</v>
      </c>
      <c r="DN250" t="e">
        <f>AND('GA55 Summry'!#REF!,"AAAAAH//9nU=")</f>
        <v>#REF!</v>
      </c>
      <c r="DO250" t="e">
        <f>AND('GA55 Summry'!#REF!,"AAAAAH//9nY=")</f>
        <v>#REF!</v>
      </c>
      <c r="DP250" t="e">
        <f>AND('GA55 Summry'!#REF!,"AAAAAH//9nc=")</f>
        <v>#REF!</v>
      </c>
      <c r="DQ250" t="e">
        <f>AND('GA55 Summry'!#REF!,"AAAAAH//9ng=")</f>
        <v>#REF!</v>
      </c>
      <c r="DR250" t="e">
        <f>AND('GA55 Summry'!#REF!,"AAAAAH//9nk=")</f>
        <v>#REF!</v>
      </c>
      <c r="DS250" t="e">
        <f>AND('GA55 Summry'!#REF!,"AAAAAH//9no=")</f>
        <v>#REF!</v>
      </c>
      <c r="DT250" t="e">
        <f>AND('GA55 Summry'!#REF!,"AAAAAH//9ns=")</f>
        <v>#REF!</v>
      </c>
      <c r="DU250" t="e">
        <f>AND('GA55 Summry'!#REF!,"AAAAAH//9nw=")</f>
        <v>#REF!</v>
      </c>
      <c r="DV250" t="e">
        <f>AND('GA55 Summry'!#REF!,"AAAAAH//9n0=")</f>
        <v>#REF!</v>
      </c>
      <c r="DW250" t="e">
        <f>AND('GA55 Summry'!#REF!,"AAAAAH//9n4=")</f>
        <v>#REF!</v>
      </c>
      <c r="DX250" t="e">
        <f>AND('GA55 Summry'!#REF!,"AAAAAH//9n8=")</f>
        <v>#REF!</v>
      </c>
      <c r="DY250" t="e">
        <f>AND('GA55 Summry'!#REF!,"AAAAAH//9oA=")</f>
        <v>#REF!</v>
      </c>
      <c r="DZ250" t="e">
        <f>AND('GA55 Summry'!#REF!,"AAAAAH//9oE=")</f>
        <v>#REF!</v>
      </c>
      <c r="EA250" t="e">
        <f>AND('GA55 Summry'!#REF!,"AAAAAH//9oI=")</f>
        <v>#REF!</v>
      </c>
      <c r="EB250" t="e">
        <f>AND('GA55 Summry'!#REF!,"AAAAAH//9oM=")</f>
        <v>#REF!</v>
      </c>
      <c r="EC250" t="e">
        <f>AND('GA55 Summry'!#REF!,"AAAAAH//9oQ=")</f>
        <v>#REF!</v>
      </c>
      <c r="ED250" t="e">
        <f>AND('GA55 Summry'!#REF!,"AAAAAH//9oU=")</f>
        <v>#REF!</v>
      </c>
      <c r="EE250" t="e">
        <f>AND('GA55 Summry'!#REF!,"AAAAAH//9oY=")</f>
        <v>#REF!</v>
      </c>
      <c r="EF250" t="e">
        <f>AND('GA55 Summry'!#REF!,"AAAAAH//9oc=")</f>
        <v>#REF!</v>
      </c>
      <c r="EG250" t="e">
        <f>AND('GA55 Summry'!#REF!,"AAAAAH//9og=")</f>
        <v>#REF!</v>
      </c>
      <c r="EH250" t="e">
        <f>AND('GA55 Summry'!#REF!,"AAAAAH//9ok=")</f>
        <v>#REF!</v>
      </c>
      <c r="EI250" t="e">
        <f>AND('GA55 Summry'!#REF!,"AAAAAH//9oo=")</f>
        <v>#REF!</v>
      </c>
      <c r="EJ250" t="e">
        <f>AND('GA55 Summry'!#REF!,"AAAAAH//9os=")</f>
        <v>#REF!</v>
      </c>
      <c r="EK250" t="e">
        <f>IF('GA55 Summry'!#REF!,"AAAAAH//9ow=",0)</f>
        <v>#REF!</v>
      </c>
      <c r="EL250" t="e">
        <f>AND('GA55 Summry'!#REF!,"AAAAAH//9o0=")</f>
        <v>#REF!</v>
      </c>
      <c r="EM250" t="e">
        <f>AND('GA55 Summry'!#REF!,"AAAAAH//9o4=")</f>
        <v>#REF!</v>
      </c>
      <c r="EN250" t="e">
        <f>AND('GA55 Summry'!#REF!,"AAAAAH//9o8=")</f>
        <v>#REF!</v>
      </c>
      <c r="EO250" t="e">
        <f>AND('GA55 Summry'!#REF!,"AAAAAH//9pA=")</f>
        <v>#REF!</v>
      </c>
      <c r="EP250" t="e">
        <f>AND('GA55 Summry'!#REF!,"AAAAAH//9pE=")</f>
        <v>#REF!</v>
      </c>
      <c r="EQ250" t="e">
        <f>IF('GA55 Summry'!#REF!,"AAAAAH//9pI=",0)</f>
        <v>#REF!</v>
      </c>
      <c r="ER250" t="e">
        <f>AND('GA55 Summry'!#REF!,"AAAAAH//9pM=")</f>
        <v>#REF!</v>
      </c>
      <c r="ES250" t="e">
        <f>AND('GA55 Summry'!#REF!,"AAAAAH//9pQ=")</f>
        <v>#REF!</v>
      </c>
      <c r="ET250" t="e">
        <f>AND('GA55 Summry'!#REF!,"AAAAAH//9pU=")</f>
        <v>#REF!</v>
      </c>
      <c r="EU250" t="e">
        <f>AND('GA55 Summry'!#REF!,"AAAAAH//9pY=")</f>
        <v>#REF!</v>
      </c>
      <c r="EV250" t="e">
        <f>AND('GA55 Summry'!#REF!,"AAAAAH//9pc=")</f>
        <v>#REF!</v>
      </c>
      <c r="EW250" t="e">
        <f>IF('GA55 Summry'!#REF!,"AAAAAH//9pg=",0)</f>
        <v>#REF!</v>
      </c>
      <c r="EX250" t="e">
        <f>AND('GA55 Summry'!#REF!,"AAAAAH//9pk=")</f>
        <v>#REF!</v>
      </c>
      <c r="EY250" t="e">
        <f>AND('GA55 Summry'!#REF!,"AAAAAH//9po=")</f>
        <v>#REF!</v>
      </c>
      <c r="EZ250" t="e">
        <f>AND('GA55 Summry'!#REF!,"AAAAAH//9ps=")</f>
        <v>#REF!</v>
      </c>
      <c r="FA250" t="e">
        <f>AND('GA55 Summry'!#REF!,"AAAAAH//9pw=")</f>
        <v>#REF!</v>
      </c>
      <c r="FB250" t="e">
        <f>AND('GA55 Summry'!#REF!,"AAAAAH//9p0=")</f>
        <v>#REF!</v>
      </c>
      <c r="FC250" t="e">
        <f>IF('GA55 Summry'!#REF!,"AAAAAH//9p4=",0)</f>
        <v>#REF!</v>
      </c>
      <c r="FD250" t="e">
        <f>AND('GA55 Summry'!#REF!,"AAAAAH//9p8=")</f>
        <v>#REF!</v>
      </c>
      <c r="FE250" t="e">
        <f>AND('GA55 Summry'!#REF!,"AAAAAH//9qA=")</f>
        <v>#REF!</v>
      </c>
      <c r="FF250" t="e">
        <f>AND('GA55 Summry'!#REF!,"AAAAAH//9qE=")</f>
        <v>#REF!</v>
      </c>
      <c r="FG250" t="e">
        <f>AND('GA55 Summry'!#REF!,"AAAAAH//9qI=")</f>
        <v>#REF!</v>
      </c>
      <c r="FH250" t="e">
        <f>AND('GA55 Summry'!#REF!,"AAAAAH//9qM=")</f>
        <v>#REF!</v>
      </c>
      <c r="FI250" t="e">
        <f>IF('GA55 Summry'!#REF!,"AAAAAH//9qQ=",0)</f>
        <v>#REF!</v>
      </c>
      <c r="FJ250" t="e">
        <f>AND('GA55 Summry'!#REF!,"AAAAAH//9qU=")</f>
        <v>#REF!</v>
      </c>
      <c r="FK250" t="e">
        <f>AND('GA55 Summry'!#REF!,"AAAAAH//9qY=")</f>
        <v>#REF!</v>
      </c>
      <c r="FL250" t="e">
        <f>AND('GA55 Summry'!#REF!,"AAAAAH//9qc=")</f>
        <v>#REF!</v>
      </c>
      <c r="FM250" t="e">
        <f>AND('GA55 Summry'!#REF!,"AAAAAH//9qg=")</f>
        <v>#REF!</v>
      </c>
      <c r="FN250" t="e">
        <f>AND('GA55 Summry'!#REF!,"AAAAAH//9qk=")</f>
        <v>#REF!</v>
      </c>
      <c r="FO250" t="e">
        <f>IF('GA55 Summry'!#REF!,"AAAAAH//9qo=",0)</f>
        <v>#REF!</v>
      </c>
      <c r="FP250" t="e">
        <f>AND('GA55 Summry'!#REF!,"AAAAAH//9qs=")</f>
        <v>#REF!</v>
      </c>
      <c r="FQ250" t="e">
        <f>AND('GA55 Summry'!#REF!,"AAAAAH//9qw=")</f>
        <v>#REF!</v>
      </c>
      <c r="FR250" t="e">
        <f>AND('GA55 Summry'!#REF!,"AAAAAH//9q0=")</f>
        <v>#REF!</v>
      </c>
      <c r="FS250" t="e">
        <f>AND('GA55 Summry'!#REF!,"AAAAAH//9q4=")</f>
        <v>#REF!</v>
      </c>
      <c r="FT250" t="e">
        <f>AND('GA55 Summry'!#REF!,"AAAAAH//9q8=")</f>
        <v>#REF!</v>
      </c>
      <c r="FU250" t="e">
        <f>IF('GA55 Summry'!#REF!,"AAAAAH//9rA=",0)</f>
        <v>#REF!</v>
      </c>
      <c r="FV250" t="e">
        <f>AND('GA55 Summry'!#REF!,"AAAAAH//9rE=")</f>
        <v>#REF!</v>
      </c>
      <c r="FW250" t="e">
        <f>AND('GA55 Summry'!#REF!,"AAAAAH//9rI=")</f>
        <v>#REF!</v>
      </c>
      <c r="FX250" t="e">
        <f>AND('GA55 Summry'!#REF!,"AAAAAH//9rM=")</f>
        <v>#REF!</v>
      </c>
      <c r="FY250" t="e">
        <f>AND('GA55 Summry'!#REF!,"AAAAAH//9rQ=")</f>
        <v>#REF!</v>
      </c>
      <c r="FZ250" t="e">
        <f>AND('GA55 Summry'!#REF!,"AAAAAH//9rU=")</f>
        <v>#REF!</v>
      </c>
      <c r="GA250" t="e">
        <f>IF('GA55 Summry'!#REF!,"AAAAAH//9rY=",0)</f>
        <v>#REF!</v>
      </c>
      <c r="GB250" t="e">
        <f>AND('GA55 Summry'!#REF!,"AAAAAH//9rc=")</f>
        <v>#REF!</v>
      </c>
      <c r="GC250" t="e">
        <f>AND('GA55 Summry'!#REF!,"AAAAAH//9rg=")</f>
        <v>#REF!</v>
      </c>
      <c r="GD250" t="e">
        <f>AND('GA55 Summry'!#REF!,"AAAAAH//9rk=")</f>
        <v>#REF!</v>
      </c>
      <c r="GE250" t="e">
        <f>AND('GA55 Summry'!#REF!,"AAAAAH//9ro=")</f>
        <v>#REF!</v>
      </c>
      <c r="GF250" t="e">
        <f>AND('GA55 Summry'!#REF!,"AAAAAH//9rs=")</f>
        <v>#REF!</v>
      </c>
      <c r="GG250" t="e">
        <f>IF('GA55 Summry'!#REF!,"AAAAAH//9rw=",0)</f>
        <v>#REF!</v>
      </c>
      <c r="GH250" t="e">
        <f>AND('GA55 Summry'!#REF!,"AAAAAH//9r0=")</f>
        <v>#REF!</v>
      </c>
      <c r="GI250" t="e">
        <f>AND('GA55 Summry'!#REF!,"AAAAAH//9r4=")</f>
        <v>#REF!</v>
      </c>
      <c r="GJ250" t="e">
        <f>AND('GA55 Summry'!#REF!,"AAAAAH//9r8=")</f>
        <v>#REF!</v>
      </c>
      <c r="GK250" t="e">
        <f>AND('GA55 Summry'!#REF!,"AAAAAH//9sA=")</f>
        <v>#REF!</v>
      </c>
      <c r="GL250" t="e">
        <f>AND('GA55 Summry'!#REF!,"AAAAAH//9sE=")</f>
        <v>#REF!</v>
      </c>
      <c r="GM250" t="e">
        <f>IF('GA55 Summry'!#REF!,"AAAAAH//9sI=",0)</f>
        <v>#REF!</v>
      </c>
      <c r="GN250" t="e">
        <f>AND('GA55 Summry'!#REF!,"AAAAAH//9sM=")</f>
        <v>#REF!</v>
      </c>
      <c r="GO250" t="e">
        <f>AND('GA55 Summry'!#REF!,"AAAAAH//9sQ=")</f>
        <v>#REF!</v>
      </c>
      <c r="GP250" t="e">
        <f>AND('GA55 Summry'!#REF!,"AAAAAH//9sU=")</f>
        <v>#REF!</v>
      </c>
      <c r="GQ250" t="e">
        <f>AND('GA55 Summry'!#REF!,"AAAAAH//9sY=")</f>
        <v>#REF!</v>
      </c>
      <c r="GR250" t="e">
        <f>AND('GA55 Summry'!#REF!,"AAAAAH//9sc=")</f>
        <v>#REF!</v>
      </c>
      <c r="GS250" t="e">
        <f>IF('GA55 Summry'!#REF!,"AAAAAH//9sg=",0)</f>
        <v>#REF!</v>
      </c>
      <c r="GT250" t="e">
        <f>AND('GA55 Summry'!#REF!,"AAAAAH//9sk=")</f>
        <v>#REF!</v>
      </c>
      <c r="GU250" t="e">
        <f>AND('GA55 Summry'!#REF!,"AAAAAH//9so=")</f>
        <v>#REF!</v>
      </c>
      <c r="GV250" t="e">
        <f>AND('GA55 Summry'!#REF!,"AAAAAH//9ss=")</f>
        <v>#REF!</v>
      </c>
      <c r="GW250" t="e">
        <f>AND('GA55 Summry'!#REF!,"AAAAAH//9sw=")</f>
        <v>#REF!</v>
      </c>
      <c r="GX250" t="e">
        <f>AND('GA55 Summry'!#REF!,"AAAAAH//9s0=")</f>
        <v>#REF!</v>
      </c>
      <c r="GY250" t="e">
        <f>IF('GA55 Summry'!#REF!,"AAAAAH//9s4=",0)</f>
        <v>#REF!</v>
      </c>
      <c r="GZ250" t="e">
        <f>AND('GA55 Summry'!#REF!,"AAAAAH//9s8=")</f>
        <v>#REF!</v>
      </c>
      <c r="HA250" t="e">
        <f>AND('GA55 Summry'!#REF!,"AAAAAH//9tA=")</f>
        <v>#REF!</v>
      </c>
      <c r="HB250" t="e">
        <f>AND('GA55 Summry'!#REF!,"AAAAAH//9tE=")</f>
        <v>#REF!</v>
      </c>
      <c r="HC250" t="e">
        <f>AND('GA55 Summry'!#REF!,"AAAAAH//9tI=")</f>
        <v>#REF!</v>
      </c>
      <c r="HD250" t="e">
        <f>AND('GA55 Summry'!#REF!,"AAAAAH//9tM=")</f>
        <v>#REF!</v>
      </c>
      <c r="HE250" t="e">
        <f>IF('GA55 Summry'!#REF!,"AAAAAH//9tQ=",0)</f>
        <v>#REF!</v>
      </c>
      <c r="HF250" t="e">
        <f>AND('GA55 Summry'!#REF!,"AAAAAH//9tU=")</f>
        <v>#REF!</v>
      </c>
      <c r="HG250" t="e">
        <f>AND('GA55 Summry'!#REF!,"AAAAAH//9tY=")</f>
        <v>#REF!</v>
      </c>
      <c r="HH250" t="e">
        <f>AND('GA55 Summry'!#REF!,"AAAAAH//9tc=")</f>
        <v>#REF!</v>
      </c>
      <c r="HI250" t="e">
        <f>AND('GA55 Summry'!#REF!,"AAAAAH//9tg=")</f>
        <v>#REF!</v>
      </c>
      <c r="HJ250" t="e">
        <f>AND('GA55 Summry'!#REF!,"AAAAAH//9tk=")</f>
        <v>#REF!</v>
      </c>
      <c r="HK250" t="e">
        <f>IF('GA55 Summry'!#REF!,"AAAAAH//9to=",0)</f>
        <v>#REF!</v>
      </c>
      <c r="HL250" t="e">
        <f>AND('GA55 Summry'!#REF!,"AAAAAH//9ts=")</f>
        <v>#REF!</v>
      </c>
      <c r="HM250" t="e">
        <f>AND('GA55 Summry'!#REF!,"AAAAAH//9tw=")</f>
        <v>#REF!</v>
      </c>
      <c r="HN250" t="e">
        <f>AND('GA55 Summry'!#REF!,"AAAAAH//9t0=")</f>
        <v>#REF!</v>
      </c>
      <c r="HO250" t="e">
        <f>AND('GA55 Summry'!#REF!,"AAAAAH//9t4=")</f>
        <v>#REF!</v>
      </c>
      <c r="HP250" t="e">
        <f>AND('GA55 Summry'!#REF!,"AAAAAH//9t8=")</f>
        <v>#REF!</v>
      </c>
      <c r="HQ250" t="e">
        <f>IF('GA55 Summry'!#REF!,"AAAAAH//9uA=",0)</f>
        <v>#REF!</v>
      </c>
      <c r="HR250" t="e">
        <f>AND('GA55 Summry'!#REF!,"AAAAAH//9uE=")</f>
        <v>#REF!</v>
      </c>
      <c r="HS250" t="e">
        <f>AND('GA55 Summry'!#REF!,"AAAAAH//9uI=")</f>
        <v>#REF!</v>
      </c>
      <c r="HT250" t="e">
        <f>AND('GA55 Summry'!#REF!,"AAAAAH//9uM=")</f>
        <v>#REF!</v>
      </c>
      <c r="HU250" t="e">
        <f>AND('GA55 Summry'!#REF!,"AAAAAH//9uQ=")</f>
        <v>#REF!</v>
      </c>
      <c r="HV250" t="e">
        <f>AND('GA55 Summry'!#REF!,"AAAAAH//9uU=")</f>
        <v>#REF!</v>
      </c>
      <c r="HW250" t="e">
        <f>IF('GA55 Summry'!#REF!,"AAAAAH//9uY=",0)</f>
        <v>#REF!</v>
      </c>
      <c r="HX250" t="e">
        <f>AND('GA55 Summry'!#REF!,"AAAAAH//9uc=")</f>
        <v>#REF!</v>
      </c>
      <c r="HY250" t="e">
        <f>AND('GA55 Summry'!#REF!,"AAAAAH//9ug=")</f>
        <v>#REF!</v>
      </c>
      <c r="HZ250" t="e">
        <f>AND('GA55 Summry'!#REF!,"AAAAAH//9uk=")</f>
        <v>#REF!</v>
      </c>
      <c r="IA250" t="e">
        <f>AND('GA55 Summry'!#REF!,"AAAAAH//9uo=")</f>
        <v>#REF!</v>
      </c>
      <c r="IB250" t="e">
        <f>AND('GA55 Summry'!#REF!,"AAAAAH//9us=")</f>
        <v>#REF!</v>
      </c>
      <c r="IC250" t="e">
        <f>IF('GA55 Summry'!#REF!,"AAAAAH//9uw=",0)</f>
        <v>#REF!</v>
      </c>
      <c r="ID250" t="e">
        <f>AND('GA55 Summry'!#REF!,"AAAAAH//9u0=")</f>
        <v>#REF!</v>
      </c>
      <c r="IE250" t="e">
        <f>AND('GA55 Summry'!#REF!,"AAAAAH//9u4=")</f>
        <v>#REF!</v>
      </c>
      <c r="IF250" t="e">
        <f>AND('GA55 Summry'!#REF!,"AAAAAH//9u8=")</f>
        <v>#REF!</v>
      </c>
      <c r="IG250" t="e">
        <f>AND('GA55 Summry'!#REF!,"AAAAAH//9vA=")</f>
        <v>#REF!</v>
      </c>
      <c r="IH250" t="e">
        <f>AND('GA55 Summry'!#REF!,"AAAAAH//9vE=")</f>
        <v>#REF!</v>
      </c>
      <c r="II250" t="e">
        <f>IF('GA55 Summry'!#REF!,"AAAAAH//9vI=",0)</f>
        <v>#REF!</v>
      </c>
      <c r="IJ250" t="e">
        <f>AND('GA55 Summry'!#REF!,"AAAAAH//9vM=")</f>
        <v>#REF!</v>
      </c>
      <c r="IK250" t="e">
        <f>AND('GA55 Summry'!#REF!,"AAAAAH//9vQ=")</f>
        <v>#REF!</v>
      </c>
      <c r="IL250" t="e">
        <f>AND('GA55 Summry'!#REF!,"AAAAAH//9vU=")</f>
        <v>#REF!</v>
      </c>
      <c r="IM250" t="e">
        <f>AND('GA55 Summry'!#REF!,"AAAAAH//9vY=")</f>
        <v>#REF!</v>
      </c>
      <c r="IN250" t="e">
        <f>AND('GA55 Summry'!#REF!,"AAAAAH//9vc=")</f>
        <v>#REF!</v>
      </c>
      <c r="IO250" t="e">
        <f>IF('GA55 Summry'!#REF!,"AAAAAH//9vg=",0)</f>
        <v>#REF!</v>
      </c>
      <c r="IP250" t="e">
        <f>AND('GA55 Summry'!#REF!,"AAAAAH//9vk=")</f>
        <v>#REF!</v>
      </c>
      <c r="IQ250" t="e">
        <f>AND('GA55 Summry'!#REF!,"AAAAAH//9vo=")</f>
        <v>#REF!</v>
      </c>
      <c r="IR250" t="e">
        <f>AND('GA55 Summry'!#REF!,"AAAAAH//9vs=")</f>
        <v>#REF!</v>
      </c>
      <c r="IS250" t="e">
        <f>AND('GA55 Summry'!#REF!,"AAAAAH//9vw=")</f>
        <v>#REF!</v>
      </c>
      <c r="IT250" t="e">
        <f>AND('GA55 Summry'!#REF!,"AAAAAH//9v0=")</f>
        <v>#REF!</v>
      </c>
      <c r="IU250" t="e">
        <f>IF('GA55 Summry'!#REF!,"AAAAAH//9v4=",0)</f>
        <v>#REF!</v>
      </c>
      <c r="IV250" t="e">
        <f>AND('GA55 Summry'!#REF!,"AAAAAH//9v8=")</f>
        <v>#REF!</v>
      </c>
    </row>
    <row r="251" spans="1:256">
      <c r="A251" t="e">
        <f>AND('GA55 Summry'!#REF!,"AAAAAFv+dwA=")</f>
        <v>#REF!</v>
      </c>
      <c r="B251" t="e">
        <f>AND('GA55 Summry'!#REF!,"AAAAAFv+dwE=")</f>
        <v>#REF!</v>
      </c>
      <c r="C251" t="e">
        <f>AND('GA55 Summry'!#REF!,"AAAAAFv+dwI=")</f>
        <v>#REF!</v>
      </c>
      <c r="D251" t="e">
        <f>AND('GA55 Summry'!#REF!,"AAAAAFv+dwM=")</f>
        <v>#REF!</v>
      </c>
      <c r="E251" t="e">
        <f>IF('GA55 Summry'!#REF!,"AAAAAFv+dwQ=",0)</f>
        <v>#REF!</v>
      </c>
      <c r="F251" t="e">
        <f>AND('GA55 Summry'!#REF!,"AAAAAFv+dwU=")</f>
        <v>#REF!</v>
      </c>
      <c r="G251" t="e">
        <f>AND('GA55 Summry'!#REF!,"AAAAAFv+dwY=")</f>
        <v>#REF!</v>
      </c>
      <c r="H251" t="e">
        <f>AND('GA55 Summry'!#REF!,"AAAAAFv+dwc=")</f>
        <v>#REF!</v>
      </c>
      <c r="I251" t="e">
        <f>AND('GA55 Summry'!#REF!,"AAAAAFv+dwg=")</f>
        <v>#REF!</v>
      </c>
      <c r="J251" t="e">
        <f>AND('GA55 Summry'!#REF!,"AAAAAFv+dwk=")</f>
        <v>#REF!</v>
      </c>
      <c r="K251" t="e">
        <f>IF('GA55 Summry'!#REF!,"AAAAAFv+dwo=",0)</f>
        <v>#REF!</v>
      </c>
      <c r="L251" t="e">
        <f>AND('GA55 Summry'!#REF!,"AAAAAFv+dws=")</f>
        <v>#REF!</v>
      </c>
      <c r="M251" t="e">
        <f>AND('GA55 Summry'!#REF!,"AAAAAFv+dww=")</f>
        <v>#REF!</v>
      </c>
      <c r="N251" t="e">
        <f>AND('GA55 Summry'!#REF!,"AAAAAFv+dw0=")</f>
        <v>#REF!</v>
      </c>
      <c r="O251" t="e">
        <f>AND('GA55 Summry'!#REF!,"AAAAAFv+dw4=")</f>
        <v>#REF!</v>
      </c>
      <c r="P251" t="e">
        <f>AND('GA55 Summry'!#REF!,"AAAAAFv+dw8=")</f>
        <v>#REF!</v>
      </c>
      <c r="Q251" t="e">
        <f>IF('GA55 Summry'!#REF!,"AAAAAFv+dxA=",0)</f>
        <v>#REF!</v>
      </c>
      <c r="R251" t="e">
        <f>AND('GA55 Summry'!#REF!,"AAAAAFv+dxE=")</f>
        <v>#REF!</v>
      </c>
      <c r="S251" t="e">
        <f>AND('GA55 Summry'!#REF!,"AAAAAFv+dxI=")</f>
        <v>#REF!</v>
      </c>
      <c r="T251" t="e">
        <f>AND('GA55 Summry'!#REF!,"AAAAAFv+dxM=")</f>
        <v>#REF!</v>
      </c>
      <c r="U251" t="e">
        <f>AND('GA55 Summry'!#REF!,"AAAAAFv+dxQ=")</f>
        <v>#REF!</v>
      </c>
      <c r="V251" t="e">
        <f>AND('GA55 Summry'!#REF!,"AAAAAFv+dxU=")</f>
        <v>#REF!</v>
      </c>
      <c r="W251" t="e">
        <f>IF('GA55 Summry'!#REF!,"AAAAAFv+dxY=",0)</f>
        <v>#REF!</v>
      </c>
      <c r="X251" t="e">
        <f>AND('GA55 Summry'!#REF!,"AAAAAFv+dxc=")</f>
        <v>#REF!</v>
      </c>
      <c r="Y251" t="e">
        <f>AND('GA55 Summry'!#REF!,"AAAAAFv+dxg=")</f>
        <v>#REF!</v>
      </c>
      <c r="Z251" t="e">
        <f>AND('GA55 Summry'!#REF!,"AAAAAFv+dxk=")</f>
        <v>#REF!</v>
      </c>
      <c r="AA251" t="e">
        <f>AND('GA55 Summry'!#REF!,"AAAAAFv+dxo=")</f>
        <v>#REF!</v>
      </c>
      <c r="AB251" t="e">
        <f>AND('GA55 Summry'!#REF!,"AAAAAFv+dxs=")</f>
        <v>#REF!</v>
      </c>
      <c r="AC251">
        <f>IF('GA55 Summry'!A:A,"AAAAAFv+dxw=",0)</f>
        <v>0</v>
      </c>
      <c r="AD251">
        <f>IF('GA55 Summry'!B:B,"AAAAAFv+dx0=",0)</f>
        <v>0</v>
      </c>
      <c r="AE251">
        <f>IF('GA55 Summry'!C:C,"AAAAAFv+dx4=",0)</f>
        <v>0</v>
      </c>
      <c r="AF251">
        <f>IF('GA55 Summry'!D:D,"AAAAAFv+dx8=",0)</f>
        <v>0</v>
      </c>
      <c r="AG251">
        <f>IF('GA55 Summry'!E:E,"AAAAAFv+dyA=",0)</f>
        <v>0</v>
      </c>
      <c r="AH251">
        <f>IF('GA55 Summry'!F:F,"AAAAAFv+dyE=",0)</f>
        <v>0</v>
      </c>
      <c r="AI251">
        <f>IF('GA55 Summry'!G:G,"AAAAAFv+dyI=",0)</f>
        <v>0</v>
      </c>
      <c r="AJ251">
        <f>IF('GA55 Summry'!H:H,"AAAAAFv+dyM=",0)</f>
        <v>0</v>
      </c>
      <c r="AK251" t="e">
        <f>IF('GA55 Summry'!#REF!,"AAAAAFv+dyQ=",0)</f>
        <v>#REF!</v>
      </c>
      <c r="AL251">
        <f>IF('GA55 Summry'!K:K,"AAAAAFv+dyU=",0)</f>
        <v>0</v>
      </c>
      <c r="AM251">
        <f>IF('GA55 Summry'!L:L,"AAAAAFv+dyY=",0)</f>
        <v>0</v>
      </c>
      <c r="AN251">
        <f>IF('GA55 Summry'!M:M,"AAAAAFv+dyc=",0)</f>
        <v>0</v>
      </c>
      <c r="AO251">
        <f>IF('GA55 Summry'!N:N,"AAAAAFv+dyg=",0)</f>
        <v>0</v>
      </c>
      <c r="AP251">
        <f>IF('GA55 Summry'!P:P,"AAAAAFv+dyk=",0)</f>
        <v>0</v>
      </c>
      <c r="AQ251">
        <f>IF('GA55 Summry'!R:R,"AAAAAFv+dyo=",0)</f>
        <v>0</v>
      </c>
      <c r="AR251">
        <f>IF('GA55 Summry'!T:T,"AAAAAFv+dys=",0)</f>
        <v>0</v>
      </c>
      <c r="AS251">
        <f>IF('GA55 Summry'!Y:Y,"AAAAAFv+dyw=",0)</f>
        <v>0</v>
      </c>
      <c r="AT251" t="e">
        <f>IF('GA55 Summry'!#REF!,"AAAAAFv+dy0=",0)</f>
        <v>#REF!</v>
      </c>
      <c r="AU251" t="e">
        <f>IF('GA55 Summry'!#REF!,"AAAAAFv+dy4=",0)</f>
        <v>#REF!</v>
      </c>
      <c r="AV251" t="e">
        <f>IF('GA55 Summry'!#REF!,"AAAAAFv+dy8=",0)</f>
        <v>#REF!</v>
      </c>
      <c r="AW251" t="e">
        <f>IF('GA55 Summry'!#REF!,"AAAAAFv+dzA=",0)</f>
        <v>#REF!</v>
      </c>
      <c r="AX251" t="e">
        <f>IF('GA55 Summry'!#REF!,"AAAAAFv+dzE=",0)</f>
        <v>#REF!</v>
      </c>
      <c r="AY251" t="e">
        <f>IF('GA55 Summry'!#REF!,"AAAAAFv+dzI=",0)</f>
        <v>#REF!</v>
      </c>
      <c r="AZ251" t="e">
        <f>IF('GA55 Summry'!#REF!,"AAAAAFv+dzM=",0)</f>
        <v>#REF!</v>
      </c>
      <c r="BA251" t="e">
        <f>IF('GA55 Summry'!#REF!,"AAAAAFv+dzQ=",0)</f>
        <v>#REF!</v>
      </c>
      <c r="BB251" t="e">
        <f>IF('GA55 Summry'!#REF!,"AAAAAFv+dzU=",0)</f>
        <v>#REF!</v>
      </c>
      <c r="BC251" t="e">
        <f>IF('GA55 Summry'!#REF!,"AAAAAFv+dzY=",0)</f>
        <v>#REF!</v>
      </c>
      <c r="BD251" t="e">
        <f>IF('GA55 Summry'!#REF!,"AAAAAFv+dzc=",0)</f>
        <v>#REF!</v>
      </c>
      <c r="BE251" t="e">
        <f>IF('GA55 Summry'!#REF!,"AAAAAFv+dzg=",0)</f>
        <v>#REF!</v>
      </c>
      <c r="BF251">
        <f>IF('GA55 Summry'!AA:AA,"AAAAAFv+dzk=",0)</f>
        <v>0</v>
      </c>
      <c r="BG251">
        <f>IF('GA55 Summry'!AB:AB,"AAAAAFv+dzo=",0)</f>
        <v>0</v>
      </c>
      <c r="BH251">
        <f>IF('GA55 Summry'!AC:AC,"AAAAAFv+dzs=",0)</f>
        <v>0</v>
      </c>
      <c r="BI251">
        <f>IF('GA55 Summry'!AD:AD,"AAAAAFv+dzw=",0)</f>
        <v>0</v>
      </c>
      <c r="BJ251">
        <f>IF('GA55 Summry'!AE:AE,"AAAAAFv+dz0=",0)</f>
        <v>0</v>
      </c>
      <c r="BK251">
        <f>IF('GA55 Summry'!AF:AF,"AAAAAFv+dz4=",0)</f>
        <v>0</v>
      </c>
      <c r="BL251">
        <f>IF('GA55 Summry'!AG:AG,"AAAAAFv+dz8=",0)</f>
        <v>0</v>
      </c>
      <c r="BM251">
        <f>IF('GA55 Summry'!AH:AH,"AAAAAFv+d0A=",0)</f>
        <v>0</v>
      </c>
      <c r="BN251">
        <f>IF('GA55 Summry'!AI:AI,"AAAAAFv+d0E=",0)</f>
        <v>0</v>
      </c>
      <c r="BO251">
        <f>IF('GA55 Summry'!AJ:AJ,"AAAAAFv+d0I=",0)</f>
        <v>0</v>
      </c>
      <c r="BP251">
        <f>IF('GA55 Summry'!AK:AK,"AAAAAFv+d0M=",0)</f>
        <v>0</v>
      </c>
      <c r="BQ251">
        <f>IF('GA55 Summry'!AL:AL,"AAAAAFv+d0Q=",0)</f>
        <v>0</v>
      </c>
      <c r="BR251">
        <f>IF('GA55 Summry'!AM:AM,"AAAAAFv+d0U=",0)</f>
        <v>0</v>
      </c>
      <c r="BS251">
        <f>IF('GA55 Summry'!AP:AP,"AAAAAFv+d0Y=",0)</f>
        <v>0</v>
      </c>
      <c r="BT251">
        <f>IF('GA55 Summry'!AQ:AQ,"AAAAAFv+d0c=",0)</f>
        <v>0</v>
      </c>
      <c r="BU251">
        <f>IF('GA55 Summry'!AR:AR,"AAAAAFv+d0g=",0)</f>
        <v>0</v>
      </c>
      <c r="BV251">
        <f>IF('GA55 Summry'!AS:AS,"AAAAAFv+d0k=",0)</f>
        <v>0</v>
      </c>
      <c r="BW251">
        <f>IF('GA55 Summry'!AT:AT,"AAAAAFv+d0o=",0)</f>
        <v>0</v>
      </c>
      <c r="BX251">
        <f>IF('GA55 Summry'!AU:AU,"AAAAAFv+d0s=",0)</f>
        <v>0</v>
      </c>
      <c r="BY251">
        <f>IF('GA55 Summry'!AV:AV,"AAAAAFv+d0w=",0)</f>
        <v>0</v>
      </c>
      <c r="BZ251">
        <f>IF('GA55 Summry'!AW:AW,"AAAAAFv+d00=",0)</f>
        <v>0</v>
      </c>
      <c r="CA251">
        <f>IF('GA55 Summry'!AX:AX,"AAAAAFv+d04=",0)</f>
        <v>0</v>
      </c>
      <c r="CB251" t="e">
        <f>IF('GA55 Summry'!#REF!,"AAAAAFv+d08=",0)</f>
        <v>#REF!</v>
      </c>
      <c r="CC251">
        <f>IF('GA55 Summry'!AY:AY,"AAAAAFv+d1A=",0)</f>
        <v>0</v>
      </c>
      <c r="CD251">
        <f>IF('GA55 Summry'!AZ:AZ,"AAAAAFv+d1E=",0)</f>
        <v>0</v>
      </c>
      <c r="CE251" t="e">
        <f>IF('GA55 Summry'!#REF!,"AAAAAFv+d1I=",0)</f>
        <v>#REF!</v>
      </c>
      <c r="CF251" t="e">
        <f>IF('GA55 Summry'!#REF!,"AAAAAFv+d1M=",0)</f>
        <v>#REF!</v>
      </c>
      <c r="CG251" t="e">
        <f>IF('GA55 Summry'!#REF!,"AAAAAFv+d1Q=",0)</f>
        <v>#REF!</v>
      </c>
      <c r="CH251" t="e">
        <f>IF('GA55 Summry'!#REF!,"AAAAAFv+d1U=",0)</f>
        <v>#REF!</v>
      </c>
      <c r="CI251" t="e">
        <f>IF('GA55 Summry'!#REF!,"AAAAAFv+d1Y=",0)</f>
        <v>#REF!</v>
      </c>
      <c r="CJ251" t="e">
        <f>IF('GA55 Summry'!#REF!,"AAAAAFv+d1c=",0)</f>
        <v>#REF!</v>
      </c>
      <c r="CK251">
        <f>IF('GA55 Summry'!BA:BA,"AAAAAFv+d1g=",0)</f>
        <v>0</v>
      </c>
      <c r="CL251">
        <f>IF('GA55 Summry'!BB:BB,"AAAAAFv+d1k=",0)</f>
        <v>0</v>
      </c>
      <c r="CM251">
        <f>IF('GA55 Summry'!BC:BC,"AAAAAFv+d1o=",0)</f>
        <v>0</v>
      </c>
      <c r="CN251">
        <f>IF('GA55 Summry'!BD:BD,"AAAAAFv+d1s=",0)</f>
        <v>0</v>
      </c>
      <c r="CO251">
        <f>IF('GA55 Summry'!BE:BE,"AAAAAFv+d1w=",0)</f>
        <v>0</v>
      </c>
      <c r="CP251">
        <f>IF('GA55 Summry'!BF:BF,"AAAAAFv+d10=",0)</f>
        <v>0</v>
      </c>
      <c r="CQ251">
        <f>IF('GA55 Summry'!BG:BG,"AAAAAFv+d14=",0)</f>
        <v>0</v>
      </c>
      <c r="CR251">
        <f>IF('GA55 Summry'!BH:BH,"AAAAAFv+d18=",0)</f>
        <v>0</v>
      </c>
      <c r="CS251">
        <f>IF('GA55 Summry'!BI:BI,"AAAAAFv+d2A=",0)</f>
        <v>0</v>
      </c>
      <c r="CT251">
        <f>IF('GA55 Summry'!BJ:BJ,"AAAAAFv+d2E=",0)</f>
        <v>0</v>
      </c>
      <c r="CU251">
        <f>IF('GA55 Summry'!BK:BK,"AAAAAFv+d2I=",0)</f>
        <v>0</v>
      </c>
      <c r="CV251">
        <f>IF('GA55 Summry'!BL:BL,"AAAAAFv+d2M=",0)</f>
        <v>0</v>
      </c>
      <c r="CW251">
        <f>IF('GA55 Summry'!BM:BM,"AAAAAFv+d2Q=",0)</f>
        <v>0</v>
      </c>
      <c r="CX251">
        <f>IF('GA55 Summry'!BN:BN,"AAAAAFv+d2U=",0)</f>
        <v>0</v>
      </c>
      <c r="CY251" t="s">
        <v>8</v>
      </c>
      <c r="CZ251" t="e">
        <v>#VALUE!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1:IV85"/>
  <sheetViews>
    <sheetView view="pageBreakPreview" zoomScaleNormal="110" zoomScaleSheetLayoutView="100" workbookViewId="0">
      <selection activeCell="R17" sqref="R17"/>
    </sheetView>
  </sheetViews>
  <sheetFormatPr defaultColWidth="9" defaultRowHeight="15"/>
  <cols>
    <col min="1" max="1" width="2.7109375" style="23" customWidth="1"/>
    <col min="2" max="2" width="3.5703125" style="23" customWidth="1"/>
    <col min="3" max="3" width="7.85546875" style="23" customWidth="1"/>
    <col min="4" max="4" width="9.5703125" style="23" customWidth="1"/>
    <col min="5" max="5" width="6.85546875" style="23" customWidth="1"/>
    <col min="6" max="6" width="3.140625" style="23" customWidth="1"/>
    <col min="7" max="7" width="9" style="23" customWidth="1"/>
    <col min="8" max="8" width="4.5703125" style="23" customWidth="1"/>
    <col min="9" max="9" width="11.5703125" style="23" customWidth="1"/>
    <col min="10" max="10" width="10.140625" style="23" customWidth="1"/>
    <col min="11" max="11" width="7.5703125" style="23" customWidth="1"/>
    <col min="12" max="12" width="3.28515625" style="23" customWidth="1"/>
    <col min="13" max="13" width="10.28515625" style="23" customWidth="1"/>
    <col min="14" max="14" width="3" style="23" customWidth="1"/>
    <col min="15" max="15" width="13.85546875" style="23" customWidth="1"/>
    <col min="16" max="22" width="9.140625" style="23" customWidth="1"/>
    <col min="23" max="27" width="9.140625" style="23" hidden="1"/>
    <col min="28" max="256" width="9.140625" style="23" customWidth="1"/>
  </cols>
  <sheetData>
    <row r="1" spans="1:22" ht="16.5" customHeight="1">
      <c r="A1" s="412" t="str">
        <f>IF(AND(Master!D8=""),"",CONCATENATE("Office Name :- ",PROPER(Master!D8)))</f>
        <v>Office Name :- Government Sr. Secondary School Inderwara , Rani (Pali)</v>
      </c>
      <c r="B1" s="412"/>
      <c r="C1" s="412"/>
      <c r="D1" s="412"/>
      <c r="E1" s="412"/>
      <c r="F1" s="412"/>
      <c r="G1" s="412"/>
      <c r="H1" s="412"/>
      <c r="I1" s="412"/>
      <c r="J1" s="412"/>
      <c r="K1" s="412"/>
      <c r="L1" s="412"/>
      <c r="M1" s="412"/>
      <c r="N1" s="412"/>
      <c r="O1" s="412"/>
    </row>
    <row r="2" spans="1:22" ht="13.5" customHeight="1">
      <c r="A2" s="233"/>
      <c r="B2" s="233"/>
      <c r="C2" s="424" t="s">
        <v>210</v>
      </c>
      <c r="D2" s="424"/>
      <c r="E2" s="424"/>
      <c r="F2" s="424"/>
      <c r="G2" s="437" t="s">
        <v>152</v>
      </c>
      <c r="H2" s="437"/>
      <c r="I2" s="424" t="s">
        <v>211</v>
      </c>
      <c r="J2" s="424"/>
      <c r="K2" s="424"/>
      <c r="L2" s="437" t="s">
        <v>153</v>
      </c>
      <c r="M2" s="437"/>
      <c r="N2" s="234" t="s">
        <v>212</v>
      </c>
    </row>
    <row r="3" spans="1:22" ht="16.5" customHeight="1">
      <c r="A3" s="235">
        <v>1</v>
      </c>
      <c r="B3" s="476" t="s">
        <v>213</v>
      </c>
      <c r="C3" s="477"/>
      <c r="D3" s="452" t="str">
        <f>UPPER(Master!D9)</f>
        <v>HEERALAL JAT</v>
      </c>
      <c r="E3" s="452"/>
      <c r="F3" s="452"/>
      <c r="G3" s="452"/>
      <c r="H3" s="452"/>
      <c r="I3" s="478" t="s">
        <v>214</v>
      </c>
      <c r="J3" s="416" t="str">
        <f>UPPER(Master!H9)</f>
        <v>SR TEACHER</v>
      </c>
      <c r="K3" s="416"/>
      <c r="L3" s="416"/>
      <c r="M3" s="236" t="s">
        <v>35</v>
      </c>
      <c r="N3" s="433" t="str">
        <f>UPPER(Master!D12)</f>
        <v>ADTXXXXXX2</v>
      </c>
      <c r="O3" s="434"/>
      <c r="P3" s="237"/>
      <c r="Q3" s="237"/>
    </row>
    <row r="4" spans="1:22" ht="16.5" customHeight="1">
      <c r="A4" s="238">
        <v>2</v>
      </c>
      <c r="B4" s="475" t="s">
        <v>274</v>
      </c>
      <c r="C4" s="475"/>
      <c r="D4" s="472"/>
      <c r="E4" s="472"/>
      <c r="F4" s="472"/>
      <c r="G4" s="472"/>
      <c r="H4" s="472"/>
      <c r="I4" s="475"/>
      <c r="J4" s="472"/>
      <c r="K4" s="472"/>
      <c r="L4" s="472"/>
      <c r="M4" s="475"/>
      <c r="N4" s="239" t="s">
        <v>215</v>
      </c>
      <c r="O4" s="240">
        <f>'GA55 Summry'!L26+IF(Master!I5=Master!AC3,'GA55 Summry'!P26,"0")</f>
        <v>806092</v>
      </c>
      <c r="P4" s="241"/>
      <c r="Q4" s="242" t="s">
        <v>119</v>
      </c>
      <c r="R4" s="419" t="s">
        <v>113</v>
      </c>
      <c r="S4" s="419"/>
      <c r="T4" s="419"/>
      <c r="U4" s="419"/>
      <c r="V4" s="419"/>
    </row>
    <row r="5" spans="1:22" ht="13.5" customHeight="1">
      <c r="A5" s="238">
        <v>3</v>
      </c>
      <c r="B5" s="472" t="s">
        <v>275</v>
      </c>
      <c r="C5" s="472"/>
      <c r="D5" s="472"/>
      <c r="E5" s="472"/>
      <c r="F5" s="472"/>
      <c r="G5" s="472"/>
      <c r="H5" s="472"/>
      <c r="I5" s="472"/>
      <c r="J5" s="472"/>
      <c r="K5" s="472"/>
      <c r="L5" s="472"/>
      <c r="M5" s="472"/>
      <c r="N5" s="239" t="s">
        <v>216</v>
      </c>
      <c r="O5" s="243">
        <f>'GA55 Summry'!G26+'Extra deduc'!G5</f>
        <v>0</v>
      </c>
      <c r="P5" s="244"/>
      <c r="Q5" s="244"/>
      <c r="R5" s="419"/>
      <c r="S5" s="419"/>
      <c r="T5" s="419"/>
      <c r="U5" s="419"/>
      <c r="V5" s="419"/>
    </row>
    <row r="6" spans="1:22" ht="14.25" customHeight="1">
      <c r="A6" s="238">
        <v>4</v>
      </c>
      <c r="B6" s="427" t="s">
        <v>276</v>
      </c>
      <c r="C6" s="427"/>
      <c r="D6" s="427"/>
      <c r="E6" s="427"/>
      <c r="F6" s="427"/>
      <c r="G6" s="427"/>
      <c r="H6" s="427"/>
      <c r="I6" s="427"/>
      <c r="J6" s="427"/>
      <c r="K6" s="427"/>
      <c r="L6" s="427"/>
      <c r="M6" s="427"/>
      <c r="N6" s="239" t="s">
        <v>217</v>
      </c>
      <c r="O6" s="245">
        <f>O4-O5</f>
        <v>806092</v>
      </c>
      <c r="P6" s="244"/>
      <c r="Q6" s="244"/>
      <c r="R6" s="419"/>
      <c r="S6" s="419"/>
      <c r="T6" s="419"/>
      <c r="U6" s="419"/>
      <c r="V6" s="419"/>
    </row>
    <row r="7" spans="1:22" ht="17.25" customHeight="1">
      <c r="A7" s="409">
        <v>5</v>
      </c>
      <c r="B7" s="473" t="s">
        <v>277</v>
      </c>
      <c r="C7" s="473"/>
      <c r="D7" s="473"/>
      <c r="E7" s="473"/>
      <c r="F7" s="473"/>
      <c r="G7" s="473"/>
      <c r="H7" s="473"/>
      <c r="I7" s="473"/>
      <c r="J7" s="473"/>
      <c r="K7" s="407">
        <f>'Extra deduc'!G6</f>
        <v>0</v>
      </c>
      <c r="L7" s="407"/>
      <c r="M7" s="407"/>
      <c r="N7" s="448"/>
      <c r="O7" s="449"/>
      <c r="P7" s="246"/>
      <c r="Q7" s="246"/>
      <c r="R7" s="419"/>
      <c r="S7" s="419"/>
      <c r="T7" s="419"/>
      <c r="U7" s="419"/>
      <c r="V7" s="419"/>
    </row>
    <row r="8" spans="1:22" ht="15" customHeight="1">
      <c r="A8" s="410"/>
      <c r="B8" s="473" t="s">
        <v>278</v>
      </c>
      <c r="C8" s="473"/>
      <c r="D8" s="473"/>
      <c r="E8" s="473"/>
      <c r="F8" s="473"/>
      <c r="G8" s="473"/>
      <c r="H8" s="473"/>
      <c r="I8" s="473"/>
      <c r="J8" s="473"/>
      <c r="K8" s="407">
        <f>'Extra deduc'!G7</f>
        <v>0</v>
      </c>
      <c r="L8" s="407"/>
      <c r="M8" s="407"/>
      <c r="N8" s="448"/>
      <c r="O8" s="449"/>
      <c r="P8" s="246"/>
      <c r="Q8" s="246"/>
      <c r="R8" s="247"/>
      <c r="S8" s="247"/>
      <c r="T8" s="247"/>
      <c r="U8" s="247"/>
      <c r="V8" s="247"/>
    </row>
    <row r="9" spans="1:22" ht="15" customHeight="1">
      <c r="A9" s="411"/>
      <c r="B9" s="473" t="s">
        <v>279</v>
      </c>
      <c r="C9" s="473"/>
      <c r="D9" s="473"/>
      <c r="E9" s="473"/>
      <c r="F9" s="473"/>
      <c r="G9" s="473"/>
      <c r="H9" s="473"/>
      <c r="I9" s="473"/>
      <c r="J9" s="473"/>
      <c r="K9" s="443">
        <v>50000</v>
      </c>
      <c r="L9" s="443"/>
      <c r="M9" s="443"/>
      <c r="N9" s="239" t="s">
        <v>218</v>
      </c>
      <c r="O9" s="245">
        <f>SUM(K7:M9)</f>
        <v>50000</v>
      </c>
      <c r="P9" s="244"/>
      <c r="Q9" s="244"/>
      <c r="R9" s="247"/>
      <c r="S9" s="247"/>
      <c r="T9" s="247"/>
      <c r="U9" s="247"/>
      <c r="V9" s="247"/>
    </row>
    <row r="10" spans="1:22" ht="12.95" customHeight="1">
      <c r="A10" s="238">
        <v>6</v>
      </c>
      <c r="B10" s="428" t="s">
        <v>280</v>
      </c>
      <c r="C10" s="429"/>
      <c r="D10" s="429"/>
      <c r="E10" s="429"/>
      <c r="F10" s="429"/>
      <c r="G10" s="429"/>
      <c r="H10" s="429"/>
      <c r="I10" s="429"/>
      <c r="J10" s="429"/>
      <c r="K10" s="429"/>
      <c r="L10" s="429"/>
      <c r="M10" s="430"/>
      <c r="N10" s="239" t="s">
        <v>219</v>
      </c>
      <c r="O10" s="245">
        <f>O6-O9</f>
        <v>756092</v>
      </c>
      <c r="P10" s="244"/>
      <c r="Q10" s="244"/>
    </row>
    <row r="11" spans="1:22" ht="12.95" customHeight="1">
      <c r="A11" s="444">
        <v>7</v>
      </c>
      <c r="B11" s="473" t="s">
        <v>281</v>
      </c>
      <c r="C11" s="473"/>
      <c r="D11" s="473"/>
      <c r="E11" s="473"/>
      <c r="F11" s="473"/>
      <c r="G11" s="473"/>
      <c r="H11" s="473"/>
      <c r="I11" s="479" t="s">
        <v>282</v>
      </c>
      <c r="J11" s="479"/>
      <c r="K11" s="407">
        <f>'Extra deduc'!G8</f>
        <v>0</v>
      </c>
      <c r="L11" s="407"/>
      <c r="M11" s="407"/>
      <c r="N11" s="425"/>
      <c r="O11" s="426"/>
      <c r="P11" s="248"/>
      <c r="Q11" s="248"/>
    </row>
    <row r="12" spans="1:22" ht="12.95" customHeight="1">
      <c r="A12" s="444"/>
      <c r="B12" s="431" t="s">
        <v>283</v>
      </c>
      <c r="C12" s="431"/>
      <c r="D12" s="474" t="s">
        <v>284</v>
      </c>
      <c r="E12" s="474"/>
      <c r="F12" s="474" t="s">
        <v>285</v>
      </c>
      <c r="G12" s="474"/>
      <c r="H12" s="474"/>
      <c r="I12" s="474" t="s">
        <v>286</v>
      </c>
      <c r="J12" s="474"/>
      <c r="K12" s="432" t="s">
        <v>287</v>
      </c>
      <c r="L12" s="432"/>
      <c r="M12" s="432"/>
      <c r="N12" s="425"/>
      <c r="O12" s="426"/>
      <c r="P12" s="248"/>
      <c r="Q12" s="248"/>
    </row>
    <row r="13" spans="1:22" ht="12.95" customHeight="1">
      <c r="A13" s="444"/>
      <c r="B13" s="431"/>
      <c r="C13" s="431"/>
      <c r="D13" s="407">
        <f>ROUND(K11*0.3,0)</f>
        <v>0</v>
      </c>
      <c r="E13" s="407"/>
      <c r="F13" s="407">
        <f>'Extra deduc'!G11</f>
        <v>0</v>
      </c>
      <c r="G13" s="407"/>
      <c r="H13" s="407"/>
      <c r="I13" s="407">
        <f>'Extra deduc'!G9</f>
        <v>0</v>
      </c>
      <c r="J13" s="407"/>
      <c r="K13" s="407">
        <f>D13+F13+I13</f>
        <v>0</v>
      </c>
      <c r="L13" s="407"/>
      <c r="M13" s="407"/>
      <c r="N13" s="425"/>
      <c r="O13" s="426"/>
      <c r="P13" s="248"/>
      <c r="Q13" s="248"/>
    </row>
    <row r="14" spans="1:22" ht="12.95" customHeight="1">
      <c r="A14" s="238"/>
      <c r="B14" s="451" t="s">
        <v>288</v>
      </c>
      <c r="C14" s="435"/>
      <c r="D14" s="435"/>
      <c r="E14" s="435"/>
      <c r="F14" s="435"/>
      <c r="G14" s="435"/>
      <c r="H14" s="435"/>
      <c r="I14" s="435"/>
      <c r="J14" s="435"/>
      <c r="K14" s="435"/>
      <c r="L14" s="435"/>
      <c r="M14" s="436"/>
      <c r="N14" s="239" t="s">
        <v>220</v>
      </c>
      <c r="O14" s="245">
        <f>K11-K13</f>
        <v>0</v>
      </c>
      <c r="P14" s="244"/>
      <c r="Q14" s="244"/>
    </row>
    <row r="15" spans="1:22" ht="12.95" customHeight="1">
      <c r="A15" s="238">
        <v>8</v>
      </c>
      <c r="B15" s="473" t="s">
        <v>291</v>
      </c>
      <c r="C15" s="473"/>
      <c r="D15" s="473"/>
      <c r="E15" s="408">
        <f>'Extra deduc'!J15</f>
        <v>0</v>
      </c>
      <c r="F15" s="408"/>
      <c r="G15" s="408"/>
      <c r="H15" s="249"/>
      <c r="I15" s="249"/>
      <c r="J15" s="435" t="s">
        <v>289</v>
      </c>
      <c r="K15" s="435"/>
      <c r="L15" s="435"/>
      <c r="M15" s="436"/>
      <c r="N15" s="239" t="s">
        <v>221</v>
      </c>
      <c r="O15" s="245">
        <f>O10+O14</f>
        <v>756092</v>
      </c>
      <c r="P15" s="244"/>
      <c r="Q15" s="244"/>
    </row>
    <row r="16" spans="1:22" ht="15.75">
      <c r="A16" s="238">
        <v>9</v>
      </c>
      <c r="B16" s="473" t="s">
        <v>292</v>
      </c>
      <c r="C16" s="473"/>
      <c r="D16" s="473"/>
      <c r="E16" s="408">
        <f>'Extra deduc'!J5</f>
        <v>0</v>
      </c>
      <c r="F16" s="408"/>
      <c r="G16" s="408"/>
      <c r="H16" s="249"/>
      <c r="I16" s="249"/>
      <c r="J16" s="249"/>
      <c r="K16" s="435" t="s">
        <v>290</v>
      </c>
      <c r="L16" s="435"/>
      <c r="M16" s="436"/>
      <c r="N16" s="239" t="s">
        <v>222</v>
      </c>
      <c r="O16" s="245">
        <f>E15+E16</f>
        <v>0</v>
      </c>
      <c r="P16" s="244"/>
      <c r="Q16" s="244"/>
    </row>
    <row r="17" spans="1:22" ht="15.75">
      <c r="A17" s="238">
        <v>10</v>
      </c>
      <c r="B17" s="482" t="s">
        <v>293</v>
      </c>
      <c r="C17" s="482"/>
      <c r="D17" s="482"/>
      <c r="E17" s="482"/>
      <c r="F17" s="482"/>
      <c r="G17" s="482"/>
      <c r="H17" s="482"/>
      <c r="I17" s="482"/>
      <c r="J17" s="482"/>
      <c r="K17" s="482"/>
      <c r="L17" s="482"/>
      <c r="M17" s="482"/>
      <c r="N17" s="239" t="s">
        <v>223</v>
      </c>
      <c r="O17" s="240">
        <f>O15+O16</f>
        <v>756092</v>
      </c>
      <c r="P17" s="241"/>
      <c r="Q17" s="241"/>
    </row>
    <row r="18" spans="1:22" ht="15" customHeight="1">
      <c r="A18" s="409">
        <v>11</v>
      </c>
      <c r="B18" s="480" t="s">
        <v>294</v>
      </c>
      <c r="C18" s="480"/>
      <c r="D18" s="480"/>
      <c r="E18" s="480"/>
      <c r="F18" s="480"/>
      <c r="G18" s="480"/>
      <c r="H18" s="480"/>
      <c r="I18" s="480"/>
      <c r="J18" s="480"/>
      <c r="K18" s="480"/>
      <c r="L18" s="480"/>
      <c r="M18" s="480"/>
      <c r="N18" s="480"/>
      <c r="O18" s="481"/>
      <c r="P18" s="250"/>
      <c r="Q18" s="250"/>
    </row>
    <row r="19" spans="1:22" ht="12.95" customHeight="1">
      <c r="A19" s="410"/>
      <c r="B19" s="420" t="s">
        <v>295</v>
      </c>
      <c r="C19" s="420"/>
      <c r="D19" s="420"/>
      <c r="E19" s="420"/>
      <c r="F19" s="420"/>
      <c r="G19" s="420"/>
      <c r="H19" s="420"/>
      <c r="I19" s="420"/>
      <c r="J19" s="420"/>
      <c r="K19" s="420"/>
      <c r="L19" s="420"/>
      <c r="M19" s="420"/>
      <c r="N19" s="420"/>
      <c r="O19" s="421"/>
      <c r="P19" s="251"/>
      <c r="Q19" s="251"/>
    </row>
    <row r="20" spans="1:22" ht="12.95" customHeight="1">
      <c r="A20" s="410"/>
      <c r="B20" s="252" t="s">
        <v>13</v>
      </c>
      <c r="C20" s="450" t="s">
        <v>296</v>
      </c>
      <c r="D20" s="450"/>
      <c r="E20" s="450"/>
      <c r="F20" s="253" t="s">
        <v>224</v>
      </c>
      <c r="G20" s="254">
        <f>'GA55 Summry'!M26</f>
        <v>48000</v>
      </c>
      <c r="H20" s="255" t="s">
        <v>37</v>
      </c>
      <c r="I20" s="445" t="s">
        <v>306</v>
      </c>
      <c r="J20" s="445"/>
      <c r="K20" s="445"/>
      <c r="L20" s="253" t="s">
        <v>234</v>
      </c>
      <c r="M20" s="254">
        <f>'GA55 Summry'!P26</f>
        <v>65636</v>
      </c>
      <c r="N20" s="417"/>
      <c r="O20" s="418"/>
      <c r="P20" s="246"/>
      <c r="Q20" s="246"/>
    </row>
    <row r="21" spans="1:22" ht="12.95" customHeight="1">
      <c r="A21" s="410"/>
      <c r="B21" s="252" t="s">
        <v>14</v>
      </c>
      <c r="C21" s="450" t="s">
        <v>297</v>
      </c>
      <c r="D21" s="450"/>
      <c r="E21" s="450"/>
      <c r="F21" s="253" t="s">
        <v>225</v>
      </c>
      <c r="G21" s="254">
        <f>'GA55 Summry'!Q26</f>
        <v>25896</v>
      </c>
      <c r="H21" s="255" t="s">
        <v>38</v>
      </c>
      <c r="I21" s="509" t="s">
        <v>307</v>
      </c>
      <c r="J21" s="509"/>
      <c r="K21" s="509"/>
      <c r="L21" s="253" t="s">
        <v>235</v>
      </c>
      <c r="M21" s="254">
        <f>'Extra deduc'!J6</f>
        <v>0</v>
      </c>
      <c r="N21" s="417"/>
      <c r="O21" s="418"/>
      <c r="P21" s="246"/>
      <c r="Q21" s="246"/>
    </row>
    <row r="22" spans="1:22" ht="12.95" customHeight="1">
      <c r="A22" s="410"/>
      <c r="B22" s="252" t="s">
        <v>15</v>
      </c>
      <c r="C22" s="450" t="s">
        <v>298</v>
      </c>
      <c r="D22" s="450"/>
      <c r="E22" s="450"/>
      <c r="F22" s="253" t="s">
        <v>226</v>
      </c>
      <c r="G22" s="254">
        <f>'Extra deduc'!G16</f>
        <v>0</v>
      </c>
      <c r="H22" s="255" t="s">
        <v>39</v>
      </c>
      <c r="I22" s="509" t="s">
        <v>308</v>
      </c>
      <c r="J22" s="509"/>
      <c r="K22" s="509"/>
      <c r="L22" s="253" t="s">
        <v>236</v>
      </c>
      <c r="M22" s="256">
        <f>'Extra deduc'!G17</f>
        <v>0</v>
      </c>
      <c r="N22" s="417"/>
      <c r="O22" s="418"/>
      <c r="P22" s="246"/>
      <c r="Q22" s="246"/>
    </row>
    <row r="23" spans="1:22" ht="12.95" customHeight="1">
      <c r="A23" s="410"/>
      <c r="B23" s="252" t="s">
        <v>16</v>
      </c>
      <c r="C23" s="450" t="s">
        <v>299</v>
      </c>
      <c r="D23" s="450"/>
      <c r="E23" s="450"/>
      <c r="F23" s="253" t="s">
        <v>227</v>
      </c>
      <c r="G23" s="254">
        <f>'Extra deduc'!G18</f>
        <v>0</v>
      </c>
      <c r="H23" s="255" t="s">
        <v>40</v>
      </c>
      <c r="I23" s="509" t="s">
        <v>309</v>
      </c>
      <c r="J23" s="509"/>
      <c r="K23" s="509"/>
      <c r="L23" s="253" t="s">
        <v>237</v>
      </c>
      <c r="M23" s="256">
        <f>'Extra deduc'!G14</f>
        <v>0</v>
      </c>
      <c r="N23" s="417"/>
      <c r="O23" s="418"/>
      <c r="P23" s="246"/>
      <c r="Q23" s="246"/>
    </row>
    <row r="24" spans="1:22" ht="12.95" customHeight="1">
      <c r="A24" s="410"/>
      <c r="B24" s="252" t="s">
        <v>17</v>
      </c>
      <c r="C24" s="450" t="s">
        <v>300</v>
      </c>
      <c r="D24" s="450"/>
      <c r="E24" s="450"/>
      <c r="F24" s="253" t="s">
        <v>228</v>
      </c>
      <c r="G24" s="254">
        <f>'Extra deduc'!G19</f>
        <v>0</v>
      </c>
      <c r="H24" s="255" t="s">
        <v>41</v>
      </c>
      <c r="I24" s="509" t="s">
        <v>310</v>
      </c>
      <c r="J24" s="509"/>
      <c r="K24" s="509"/>
      <c r="L24" s="253" t="s">
        <v>238</v>
      </c>
      <c r="M24" s="254">
        <f>'Extra deduc'!J18</f>
        <v>0</v>
      </c>
      <c r="N24" s="417"/>
      <c r="O24" s="418"/>
      <c r="P24" s="246"/>
      <c r="Q24" s="246"/>
    </row>
    <row r="25" spans="1:22" ht="12.95" customHeight="1">
      <c r="A25" s="410"/>
      <c r="B25" s="252" t="s">
        <v>18</v>
      </c>
      <c r="C25" s="450" t="s">
        <v>301</v>
      </c>
      <c r="D25" s="450"/>
      <c r="E25" s="450"/>
      <c r="F25" s="253" t="s">
        <v>231</v>
      </c>
      <c r="G25" s="254">
        <f>'GA55 Summry'!N26</f>
        <v>42900</v>
      </c>
      <c r="H25" s="255" t="s">
        <v>42</v>
      </c>
      <c r="I25" s="509" t="s">
        <v>311</v>
      </c>
      <c r="J25" s="509"/>
      <c r="K25" s="509"/>
      <c r="L25" s="253" t="s">
        <v>239</v>
      </c>
      <c r="M25" s="254">
        <f>'Extra deduc'!J19</f>
        <v>0</v>
      </c>
      <c r="N25" s="417"/>
      <c r="O25" s="418"/>
      <c r="P25" s="246"/>
      <c r="Q25" s="246"/>
    </row>
    <row r="26" spans="1:22" ht="12.95" customHeight="1">
      <c r="A26" s="410"/>
      <c r="B26" s="252" t="s">
        <v>19</v>
      </c>
      <c r="C26" s="450" t="s">
        <v>302</v>
      </c>
      <c r="D26" s="450"/>
      <c r="E26" s="450"/>
      <c r="F26" s="253" t="s">
        <v>229</v>
      </c>
      <c r="G26" s="256">
        <f>'GA55 Summry'!V26</f>
        <v>220</v>
      </c>
      <c r="H26" s="255" t="s">
        <v>44</v>
      </c>
      <c r="I26" s="510" t="s">
        <v>312</v>
      </c>
      <c r="J26" s="510"/>
      <c r="K26" s="510"/>
      <c r="L26" s="253" t="s">
        <v>240</v>
      </c>
      <c r="M26" s="254">
        <f>'Extra deduc'!G13</f>
        <v>0</v>
      </c>
      <c r="N26" s="417"/>
      <c r="O26" s="418"/>
      <c r="P26" s="246"/>
      <c r="Q26" s="246"/>
    </row>
    <row r="27" spans="1:22" ht="12.95" customHeight="1">
      <c r="A27" s="410"/>
      <c r="B27" s="252" t="s">
        <v>43</v>
      </c>
      <c r="C27" s="450" t="s">
        <v>303</v>
      </c>
      <c r="D27" s="450"/>
      <c r="E27" s="450"/>
      <c r="F27" s="253" t="s">
        <v>230</v>
      </c>
      <c r="G27" s="256">
        <f>'Extra deduc'!G15</f>
        <v>0</v>
      </c>
      <c r="H27" s="255" t="s">
        <v>116</v>
      </c>
      <c r="I27" s="510" t="s">
        <v>313</v>
      </c>
      <c r="J27" s="510"/>
      <c r="K27" s="510"/>
      <c r="L27" s="253" t="s">
        <v>241</v>
      </c>
      <c r="M27" s="254">
        <f>'Extra deduc'!J7</f>
        <v>0</v>
      </c>
      <c r="N27" s="417"/>
      <c r="O27" s="418"/>
      <c r="P27" s="246"/>
      <c r="Q27" s="246"/>
    </row>
    <row r="28" spans="1:22" ht="12.95" customHeight="1">
      <c r="A28" s="410"/>
      <c r="B28" s="252" t="s">
        <v>45</v>
      </c>
      <c r="C28" s="450" t="s">
        <v>304</v>
      </c>
      <c r="D28" s="450"/>
      <c r="E28" s="450"/>
      <c r="F28" s="253" t="s">
        <v>232</v>
      </c>
      <c r="G28" s="256">
        <f>'Extra deduc'!G10</f>
        <v>0</v>
      </c>
      <c r="H28" s="255" t="s">
        <v>117</v>
      </c>
      <c r="I28" s="510" t="s">
        <v>314</v>
      </c>
      <c r="J28" s="510"/>
      <c r="K28" s="510"/>
      <c r="L28" s="253" t="s">
        <v>242</v>
      </c>
      <c r="M28" s="254">
        <f>'Extra deduc'!G20</f>
        <v>0</v>
      </c>
      <c r="N28" s="417"/>
      <c r="O28" s="418"/>
      <c r="P28" s="246"/>
      <c r="Q28" s="246"/>
    </row>
    <row r="29" spans="1:22" ht="15.75">
      <c r="A29" s="410"/>
      <c r="B29" s="252" t="s">
        <v>36</v>
      </c>
      <c r="C29" s="450" t="s">
        <v>305</v>
      </c>
      <c r="D29" s="450"/>
      <c r="E29" s="450"/>
      <c r="F29" s="253" t="s">
        <v>233</v>
      </c>
      <c r="G29" s="254">
        <f>'Extra deduc'!G12</f>
        <v>0</v>
      </c>
      <c r="H29" s="255" t="s">
        <v>118</v>
      </c>
      <c r="I29" s="510" t="s">
        <v>315</v>
      </c>
      <c r="J29" s="510"/>
      <c r="K29" s="510"/>
      <c r="L29" s="253" t="s">
        <v>243</v>
      </c>
      <c r="M29" s="254">
        <f>'Extra deduc'!G21</f>
        <v>0</v>
      </c>
      <c r="N29" s="417"/>
      <c r="O29" s="418"/>
      <c r="P29" s="246"/>
      <c r="Q29" s="246"/>
    </row>
    <row r="30" spans="1:22" ht="15.75">
      <c r="A30" s="410"/>
      <c r="B30" s="483" t="s">
        <v>316</v>
      </c>
      <c r="C30" s="483"/>
      <c r="D30" s="483"/>
      <c r="E30" s="483"/>
      <c r="F30" s="483"/>
      <c r="G30" s="483"/>
      <c r="H30" s="483"/>
      <c r="I30" s="483"/>
      <c r="J30" s="483"/>
      <c r="K30" s="483"/>
      <c r="L30" s="253" t="s">
        <v>244</v>
      </c>
      <c r="M30" s="257">
        <f>SUM(G20:G29)+SUM(M20:M29)</f>
        <v>182652</v>
      </c>
      <c r="N30" s="417"/>
      <c r="O30" s="418"/>
      <c r="P30" s="246"/>
      <c r="Q30" s="246"/>
    </row>
    <row r="31" spans="1:22" ht="15.75" customHeight="1">
      <c r="A31" s="410"/>
      <c r="B31" s="506" t="s">
        <v>317</v>
      </c>
      <c r="C31" s="506"/>
      <c r="D31" s="506"/>
      <c r="E31" s="506"/>
      <c r="F31" s="506"/>
      <c r="G31" s="506"/>
      <c r="H31" s="506"/>
      <c r="I31" s="506"/>
      <c r="J31" s="506"/>
      <c r="K31" s="506"/>
      <c r="L31" s="506"/>
      <c r="M31" s="506"/>
      <c r="N31" s="258" t="s">
        <v>245</v>
      </c>
      <c r="O31" s="240">
        <f>IF(M30&lt;150001,ROUND(M30,0),150000)</f>
        <v>150000</v>
      </c>
      <c r="P31" s="241"/>
      <c r="Q31" s="242"/>
      <c r="R31" s="406" t="s">
        <v>112</v>
      </c>
      <c r="S31" s="406"/>
      <c r="T31" s="406"/>
      <c r="U31" s="406"/>
      <c r="V31" s="406"/>
    </row>
    <row r="32" spans="1:22" ht="15.75" customHeight="1">
      <c r="A32" s="410"/>
      <c r="B32" s="507" t="s">
        <v>318</v>
      </c>
      <c r="C32" s="507"/>
      <c r="D32" s="507"/>
      <c r="E32" s="507"/>
      <c r="F32" s="507"/>
      <c r="G32" s="507"/>
      <c r="H32" s="507"/>
      <c r="I32" s="507"/>
      <c r="J32" s="507"/>
      <c r="K32" s="507"/>
      <c r="L32" s="507"/>
      <c r="M32" s="507"/>
      <c r="N32" s="258" t="s">
        <v>246</v>
      </c>
      <c r="O32" s="240">
        <f>M20</f>
        <v>65636</v>
      </c>
      <c r="P32" s="244"/>
      <c r="Q32" s="242" t="s">
        <v>119</v>
      </c>
      <c r="R32" s="406"/>
      <c r="S32" s="406"/>
      <c r="T32" s="406"/>
      <c r="U32" s="406"/>
      <c r="V32" s="406"/>
    </row>
    <row r="33" spans="1:22" ht="15.75" customHeight="1">
      <c r="A33" s="410"/>
      <c r="B33" s="508" t="s">
        <v>319</v>
      </c>
      <c r="C33" s="508"/>
      <c r="D33" s="508"/>
      <c r="E33" s="508"/>
      <c r="F33" s="508"/>
      <c r="G33" s="508"/>
      <c r="H33" s="508"/>
      <c r="I33" s="508"/>
      <c r="J33" s="508"/>
      <c r="K33" s="508"/>
      <c r="L33" s="508"/>
      <c r="M33" s="508"/>
      <c r="N33" s="258" t="s">
        <v>247</v>
      </c>
      <c r="O33" s="245">
        <f>'Extra deduc'!J8</f>
        <v>0</v>
      </c>
      <c r="P33" s="244"/>
      <c r="Q33" s="244"/>
      <c r="R33" s="406"/>
      <c r="S33" s="406"/>
      <c r="T33" s="406"/>
      <c r="U33" s="406"/>
      <c r="V33" s="406"/>
    </row>
    <row r="34" spans="1:22" ht="18.75" customHeight="1">
      <c r="A34" s="411"/>
      <c r="B34" s="447" t="s">
        <v>320</v>
      </c>
      <c r="C34" s="447"/>
      <c r="D34" s="447"/>
      <c r="E34" s="447"/>
      <c r="F34" s="447"/>
      <c r="G34" s="447"/>
      <c r="H34" s="447"/>
      <c r="I34" s="447"/>
      <c r="J34" s="447"/>
      <c r="K34" s="447"/>
      <c r="L34" s="447"/>
      <c r="M34" s="447"/>
      <c r="N34" s="258" t="s">
        <v>248</v>
      </c>
      <c r="O34" s="240">
        <f>SUM(O31:O33)</f>
        <v>215636</v>
      </c>
      <c r="P34" s="241"/>
      <c r="Q34" s="241"/>
      <c r="R34" s="406"/>
      <c r="S34" s="406"/>
      <c r="T34" s="406"/>
      <c r="U34" s="406"/>
      <c r="V34" s="406"/>
    </row>
    <row r="35" spans="1:22" ht="13.5" customHeight="1">
      <c r="A35" s="409">
        <v>12</v>
      </c>
      <c r="B35" s="482" t="s">
        <v>321</v>
      </c>
      <c r="C35" s="482"/>
      <c r="D35" s="482"/>
      <c r="E35" s="482"/>
      <c r="F35" s="482"/>
      <c r="G35" s="482"/>
      <c r="H35" s="482"/>
      <c r="I35" s="482"/>
      <c r="J35" s="482"/>
      <c r="K35" s="482"/>
      <c r="L35" s="482"/>
      <c r="M35" s="482"/>
      <c r="N35" s="482"/>
      <c r="O35" s="485"/>
      <c r="P35" s="250"/>
      <c r="Q35" s="250"/>
      <c r="R35" s="406"/>
      <c r="S35" s="406"/>
      <c r="T35" s="406"/>
      <c r="U35" s="406"/>
      <c r="V35" s="406"/>
    </row>
    <row r="36" spans="1:22" s="259" customFormat="1" ht="14.1" customHeight="1">
      <c r="A36" s="410"/>
      <c r="B36" s="486" t="s">
        <v>323</v>
      </c>
      <c r="C36" s="486"/>
      <c r="D36" s="486"/>
      <c r="E36" s="486"/>
      <c r="F36" s="486"/>
      <c r="G36" s="486"/>
      <c r="H36" s="486"/>
      <c r="I36" s="486"/>
      <c r="J36" s="486"/>
      <c r="K36" s="486"/>
      <c r="L36" s="486"/>
      <c r="M36" s="486"/>
      <c r="N36" s="258" t="s">
        <v>249</v>
      </c>
      <c r="O36" s="245">
        <f>'Extra deduc'!J9</f>
        <v>0</v>
      </c>
      <c r="P36" s="244"/>
      <c r="Q36" s="244"/>
      <c r="R36" s="406"/>
      <c r="S36" s="406"/>
      <c r="T36" s="406"/>
      <c r="U36" s="406"/>
      <c r="V36" s="406"/>
    </row>
    <row r="37" spans="1:22" s="259" customFormat="1" ht="14.1" customHeight="1">
      <c r="A37" s="410"/>
      <c r="B37" s="486" t="s">
        <v>322</v>
      </c>
      <c r="C37" s="486"/>
      <c r="D37" s="486"/>
      <c r="E37" s="486"/>
      <c r="F37" s="486"/>
      <c r="G37" s="486"/>
      <c r="H37" s="486"/>
      <c r="I37" s="486"/>
      <c r="J37" s="486"/>
      <c r="K37" s="486"/>
      <c r="L37" s="486"/>
      <c r="M37" s="486"/>
      <c r="N37" s="258" t="s">
        <v>250</v>
      </c>
      <c r="O37" s="245">
        <f>'Extra deduc'!J10</f>
        <v>0</v>
      </c>
      <c r="P37" s="244"/>
      <c r="Q37" s="244"/>
    </row>
    <row r="38" spans="1:22" s="259" customFormat="1" ht="14.1" customHeight="1">
      <c r="A38" s="410"/>
      <c r="B38" s="486" t="s">
        <v>324</v>
      </c>
      <c r="C38" s="486"/>
      <c r="D38" s="486"/>
      <c r="E38" s="486"/>
      <c r="F38" s="486"/>
      <c r="G38" s="486"/>
      <c r="H38" s="486"/>
      <c r="I38" s="486"/>
      <c r="J38" s="486"/>
      <c r="K38" s="486"/>
      <c r="L38" s="486"/>
      <c r="M38" s="486"/>
      <c r="N38" s="258" t="s">
        <v>251</v>
      </c>
      <c r="O38" s="245">
        <f>'Extra deduc'!J11</f>
        <v>0</v>
      </c>
      <c r="P38" s="244"/>
      <c r="Q38" s="244"/>
    </row>
    <row r="39" spans="1:22" s="259" customFormat="1" ht="14.1" customHeight="1">
      <c r="A39" s="410"/>
      <c r="B39" s="486" t="s">
        <v>325</v>
      </c>
      <c r="C39" s="486"/>
      <c r="D39" s="486"/>
      <c r="E39" s="486"/>
      <c r="F39" s="486"/>
      <c r="G39" s="486"/>
      <c r="H39" s="486"/>
      <c r="I39" s="486"/>
      <c r="J39" s="486"/>
      <c r="K39" s="486"/>
      <c r="L39" s="486"/>
      <c r="M39" s="486"/>
      <c r="N39" s="258" t="s">
        <v>252</v>
      </c>
      <c r="O39" s="245">
        <f>'Extra deduc'!J12</f>
        <v>0</v>
      </c>
      <c r="P39" s="244"/>
      <c r="Q39" s="244"/>
    </row>
    <row r="40" spans="1:22" s="259" customFormat="1" ht="14.1" customHeight="1">
      <c r="A40" s="410"/>
      <c r="B40" s="486" t="s">
        <v>326</v>
      </c>
      <c r="C40" s="486"/>
      <c r="D40" s="486"/>
      <c r="E40" s="486"/>
      <c r="F40" s="486"/>
      <c r="G40" s="486"/>
      <c r="H40" s="486"/>
      <c r="I40" s="486"/>
      <c r="J40" s="486"/>
      <c r="K40" s="486"/>
      <c r="L40" s="486"/>
      <c r="M40" s="486"/>
      <c r="N40" s="258" t="s">
        <v>255</v>
      </c>
      <c r="O40" s="245">
        <f>'Extra deduc'!J13</f>
        <v>0</v>
      </c>
      <c r="P40" s="244"/>
      <c r="Q40" s="244"/>
    </row>
    <row r="41" spans="1:22" s="259" customFormat="1" ht="14.1" customHeight="1">
      <c r="A41" s="410"/>
      <c r="B41" s="486" t="s">
        <v>327</v>
      </c>
      <c r="C41" s="486"/>
      <c r="D41" s="486"/>
      <c r="E41" s="486"/>
      <c r="F41" s="486"/>
      <c r="G41" s="486"/>
      <c r="H41" s="486"/>
      <c r="I41" s="486"/>
      <c r="J41" s="486"/>
      <c r="K41" s="486"/>
      <c r="L41" s="486"/>
      <c r="M41" s="486"/>
      <c r="N41" s="258" t="s">
        <v>253</v>
      </c>
      <c r="O41" s="245">
        <f>'Extra deduc'!J14</f>
        <v>0</v>
      </c>
      <c r="P41" s="244"/>
      <c r="Q41" s="244"/>
    </row>
    <row r="42" spans="1:22" s="259" customFormat="1" ht="14.1" customHeight="1">
      <c r="A42" s="410"/>
      <c r="B42" s="486" t="s">
        <v>328</v>
      </c>
      <c r="C42" s="486"/>
      <c r="D42" s="486"/>
      <c r="E42" s="486"/>
      <c r="F42" s="486"/>
      <c r="G42" s="486"/>
      <c r="H42" s="486"/>
      <c r="I42" s="486"/>
      <c r="J42" s="486"/>
      <c r="K42" s="486"/>
      <c r="L42" s="486"/>
      <c r="M42" s="486"/>
      <c r="N42" s="258" t="s">
        <v>254</v>
      </c>
      <c r="O42" s="245">
        <f>IF('Extra deduc'!J15&lt;10001,'Extra deduc'!J15,10000)</f>
        <v>0</v>
      </c>
      <c r="P42" s="244"/>
      <c r="Q42" s="244"/>
    </row>
    <row r="43" spans="1:22" ht="15.75">
      <c r="A43" s="410"/>
      <c r="B43" s="486" t="s">
        <v>329</v>
      </c>
      <c r="C43" s="486"/>
      <c r="D43" s="486"/>
      <c r="E43" s="486"/>
      <c r="F43" s="486"/>
      <c r="G43" s="486"/>
      <c r="H43" s="486"/>
      <c r="I43" s="486"/>
      <c r="J43" s="486"/>
      <c r="K43" s="486"/>
      <c r="L43" s="486"/>
      <c r="M43" s="486"/>
      <c r="N43" s="258" t="s">
        <v>256</v>
      </c>
      <c r="O43" s="245">
        <f>'Extra deduc'!J16</f>
        <v>0</v>
      </c>
      <c r="P43" s="244"/>
      <c r="Q43" s="244"/>
    </row>
    <row r="44" spans="1:22" ht="14.25" customHeight="1">
      <c r="A44" s="411"/>
      <c r="B44" s="484" t="s">
        <v>330</v>
      </c>
      <c r="C44" s="484"/>
      <c r="D44" s="484"/>
      <c r="E44" s="484"/>
      <c r="F44" s="484"/>
      <c r="G44" s="484"/>
      <c r="H44" s="484"/>
      <c r="I44" s="484"/>
      <c r="J44" s="484"/>
      <c r="K44" s="484"/>
      <c r="L44" s="484"/>
      <c r="M44" s="484"/>
      <c r="N44" s="258" t="s">
        <v>257</v>
      </c>
      <c r="O44" s="260">
        <f>SUM(O36:O43)</f>
        <v>0</v>
      </c>
      <c r="P44" s="261"/>
      <c r="Q44" s="261"/>
    </row>
    <row r="45" spans="1:22" ht="15.75">
      <c r="A45" s="238">
        <v>13</v>
      </c>
      <c r="B45" s="487" t="s">
        <v>331</v>
      </c>
      <c r="C45" s="487"/>
      <c r="D45" s="487"/>
      <c r="E45" s="487"/>
      <c r="F45" s="487"/>
      <c r="G45" s="487"/>
      <c r="H45" s="487"/>
      <c r="I45" s="487"/>
      <c r="J45" s="487"/>
      <c r="K45" s="487"/>
      <c r="L45" s="487"/>
      <c r="M45" s="487"/>
      <c r="N45" s="258" t="s">
        <v>258</v>
      </c>
      <c r="O45" s="240">
        <f>O34+O44</f>
        <v>215636</v>
      </c>
      <c r="P45" s="244"/>
      <c r="Q45" s="244"/>
    </row>
    <row r="46" spans="1:22" ht="15.75">
      <c r="A46" s="238">
        <v>14</v>
      </c>
      <c r="B46" s="450" t="s">
        <v>332</v>
      </c>
      <c r="C46" s="450"/>
      <c r="D46" s="450"/>
      <c r="E46" s="450"/>
      <c r="F46" s="450"/>
      <c r="G46" s="450"/>
      <c r="H46" s="450"/>
      <c r="I46" s="450"/>
      <c r="J46" s="450"/>
      <c r="K46" s="450"/>
      <c r="L46" s="450"/>
      <c r="M46" s="450"/>
      <c r="N46" s="258" t="s">
        <v>259</v>
      </c>
      <c r="O46" s="240">
        <f>(O17-O45)</f>
        <v>540456</v>
      </c>
      <c r="P46" s="244"/>
      <c r="Q46" s="244"/>
    </row>
    <row r="47" spans="1:22" s="259" customFormat="1" ht="14.1" customHeight="1">
      <c r="A47" s="238">
        <v>15</v>
      </c>
      <c r="B47" s="487" t="s">
        <v>333</v>
      </c>
      <c r="C47" s="487"/>
      <c r="D47" s="487"/>
      <c r="E47" s="487"/>
      <c r="F47" s="487"/>
      <c r="G47" s="487"/>
      <c r="H47" s="487"/>
      <c r="I47" s="487"/>
      <c r="J47" s="487"/>
      <c r="K47" s="487"/>
      <c r="L47" s="487"/>
      <c r="M47" s="487"/>
      <c r="N47" s="258" t="s">
        <v>260</v>
      </c>
      <c r="O47" s="240">
        <f>ROUND(O46,-1)</f>
        <v>540460</v>
      </c>
      <c r="P47" s="241"/>
      <c r="Q47" s="241"/>
    </row>
    <row r="48" spans="1:22" s="259" customFormat="1" ht="14.1" customHeight="1">
      <c r="A48" s="409">
        <v>16</v>
      </c>
      <c r="B48" s="488" t="s">
        <v>334</v>
      </c>
      <c r="C48" s="489"/>
      <c r="D48" s="489"/>
      <c r="E48" s="489"/>
      <c r="F48" s="489"/>
      <c r="G48" s="489"/>
      <c r="H48" s="489"/>
      <c r="I48" s="489"/>
      <c r="J48" s="489"/>
      <c r="K48" s="489"/>
      <c r="L48" s="489"/>
      <c r="M48" s="489"/>
      <c r="N48" s="489"/>
      <c r="O48" s="490"/>
      <c r="P48" s="262"/>
      <c r="Q48" s="262"/>
    </row>
    <row r="49" spans="1:25" s="259" customFormat="1" ht="14.1" customHeight="1">
      <c r="A49" s="410"/>
      <c r="B49" s="491" t="s">
        <v>335</v>
      </c>
      <c r="C49" s="491"/>
      <c r="D49" s="491"/>
      <c r="E49" s="491"/>
      <c r="F49" s="491" t="s">
        <v>336</v>
      </c>
      <c r="G49" s="491"/>
      <c r="H49" s="491"/>
      <c r="I49" s="491"/>
      <c r="J49" s="491" t="s">
        <v>337</v>
      </c>
      <c r="K49" s="491"/>
      <c r="L49" s="491"/>
      <c r="M49" s="491"/>
      <c r="N49" s="263"/>
      <c r="O49" s="264"/>
      <c r="P49" s="265"/>
      <c r="Q49" s="265"/>
    </row>
    <row r="50" spans="1:25" s="259" customFormat="1" ht="14.1" customHeight="1">
      <c r="A50" s="410"/>
      <c r="B50" s="415" t="s">
        <v>338</v>
      </c>
      <c r="C50" s="415"/>
      <c r="D50" s="415"/>
      <c r="E50" s="266" t="s">
        <v>46</v>
      </c>
      <c r="F50" s="415" t="s">
        <v>339</v>
      </c>
      <c r="G50" s="415"/>
      <c r="H50" s="415"/>
      <c r="I50" s="266" t="s">
        <v>46</v>
      </c>
      <c r="J50" s="415"/>
      <c r="K50" s="415"/>
      <c r="L50" s="415"/>
      <c r="M50" s="266"/>
      <c r="N50" s="258" t="s">
        <v>261</v>
      </c>
      <c r="O50" s="267">
        <v>0</v>
      </c>
      <c r="P50" s="268"/>
      <c r="Q50" s="268"/>
      <c r="W50" s="259">
        <f>ROUND(IF(O47&lt;=250000,0,IF(O47&gt;=500000,12500,IF(O47&lt;=500000,0+(O47-250000)*0.05))),0)</f>
        <v>12500</v>
      </c>
      <c r="X50" s="259">
        <f>ROUND(IF(O47&lt;=300000,0,IF(O47&gt;=500000,10000,IF(O47&lt;=500000,(O47-300000)*0.05))),0)</f>
        <v>10000</v>
      </c>
      <c r="Y50" s="259">
        <v>0</v>
      </c>
    </row>
    <row r="51" spans="1:25" s="259" customFormat="1" ht="14.1" customHeight="1">
      <c r="A51" s="410"/>
      <c r="B51" s="415" t="s">
        <v>47</v>
      </c>
      <c r="C51" s="415"/>
      <c r="D51" s="415"/>
      <c r="E51" s="269">
        <v>0.05</v>
      </c>
      <c r="F51" s="415" t="s">
        <v>48</v>
      </c>
      <c r="G51" s="415"/>
      <c r="H51" s="415"/>
      <c r="I51" s="269">
        <v>0.05</v>
      </c>
      <c r="J51" s="415" t="s">
        <v>340</v>
      </c>
      <c r="K51" s="415"/>
      <c r="L51" s="415"/>
      <c r="M51" s="266" t="s">
        <v>46</v>
      </c>
      <c r="N51" s="258" t="s">
        <v>262</v>
      </c>
      <c r="O51" s="267">
        <f>IF(AND(Master!E3=Master!AB22),W50,IF(AND(Master!E3=Master!AB23),X50,IF(AND(Master!E3=Master!AB24),Y50,0)))</f>
        <v>0</v>
      </c>
      <c r="P51" s="268"/>
      <c r="Q51" s="268"/>
      <c r="W51" s="259">
        <f>ROUND(IF(O47&lt;=500000,0,IF(O47&gt;=1000000,100000,IF(O47&lt;=1000000,(O47-500000)*0.2,"0"))),0)</f>
        <v>8092</v>
      </c>
      <c r="X51" s="259">
        <f>ROUND(IF(O47&lt;=500000,0,IF(O47&gt;=1000000,100000,IF(O47&lt;=1000000,(O47-500000)*0.2,"0"))),0)</f>
        <v>8092</v>
      </c>
      <c r="Y51" s="259">
        <f>ROUND(IF(O47&lt;=500000,0,IF(O47&gt;=1000000,100000,IF(O47&lt;=1000000,(O47-500000)*0.2,"0"))),0)</f>
        <v>8092</v>
      </c>
    </row>
    <row r="52" spans="1:25" s="259" customFormat="1" ht="14.1" customHeight="1">
      <c r="A52" s="410"/>
      <c r="B52" s="415" t="s">
        <v>49</v>
      </c>
      <c r="C52" s="415"/>
      <c r="D52" s="415"/>
      <c r="E52" s="269">
        <v>0.2</v>
      </c>
      <c r="F52" s="415" t="s">
        <v>49</v>
      </c>
      <c r="G52" s="415"/>
      <c r="H52" s="415"/>
      <c r="I52" s="269">
        <v>0.2</v>
      </c>
      <c r="J52" s="415" t="s">
        <v>49</v>
      </c>
      <c r="K52" s="415"/>
      <c r="L52" s="415"/>
      <c r="M52" s="269">
        <v>0.2</v>
      </c>
      <c r="N52" s="258" t="s">
        <v>263</v>
      </c>
      <c r="O52" s="267">
        <f>IF(AND(Master!E3=Master!AB22),W51,IF(AND(Master!E3=Master!AB23),X51,IF(AND(Master!E3=Master!AB24),Y51,0)))</f>
        <v>0</v>
      </c>
      <c r="P52" s="268"/>
      <c r="Q52" s="268"/>
      <c r="W52" s="259">
        <f>ROUND(IF(O47&gt;1000000,(O47-1000000)*0.3,"0"),0)</f>
        <v>0</v>
      </c>
      <c r="X52" s="259">
        <f>ROUND(IF(O47&gt;1000000,(O47-1000000)*0.3,"0"),0)</f>
        <v>0</v>
      </c>
      <c r="Y52" s="259">
        <f>ROUND(IF(O47&gt;1000000,(O47-1000000)*0.3,"0"),0)</f>
        <v>0</v>
      </c>
    </row>
    <row r="53" spans="1:25" s="259" customFormat="1" ht="14.1" customHeight="1">
      <c r="A53" s="410"/>
      <c r="B53" s="441" t="s">
        <v>341</v>
      </c>
      <c r="C53" s="442"/>
      <c r="D53" s="442"/>
      <c r="E53" s="269">
        <v>0.3</v>
      </c>
      <c r="F53" s="415" t="s">
        <v>342</v>
      </c>
      <c r="G53" s="415"/>
      <c r="H53" s="415"/>
      <c r="I53" s="269">
        <v>0.3</v>
      </c>
      <c r="J53" s="415" t="s">
        <v>343</v>
      </c>
      <c r="K53" s="415"/>
      <c r="L53" s="415"/>
      <c r="M53" s="269">
        <v>0.3</v>
      </c>
      <c r="N53" s="258" t="s">
        <v>264</v>
      </c>
      <c r="O53" s="267">
        <f>IF(AND(Master!E3=Master!AB22),W52,IF(AND(Master!E3=Master!AB23),X52,IF(AND(Master!E3=Master!AB24),Y52,0)))</f>
        <v>0</v>
      </c>
      <c r="P53" s="268"/>
      <c r="Q53" s="268"/>
      <c r="W53" s="259">
        <f>ROUND(IF(O47&lt;=250000,0,IF(O47&lt;=500000,(O47-250000)*0.05,IF(O47&lt;=1000000,12500+(O47-500000)*0.2,IF(O47&gt;1000000,112500+(O47-1000000)*0.3,"0")))),0)</f>
        <v>20592</v>
      </c>
      <c r="X53" s="259">
        <f>ROUND(IF(O47&lt;=300000,0,IF(O47&lt;=500000,(O47-300000)*0.05,IF(O47&lt;=1000000,10000+(O47-500000)*0.2,IF(O47&gt;1000000,110000+(O47-1000000)*0.3,"0")))),0)</f>
        <v>18092</v>
      </c>
      <c r="Y53" s="259">
        <f>ROUND(IF(O47&lt;=250000,0,IF(O47&lt;=500000,(O47-250000)*0.05,IF(O47&lt;=1000000,0+(O47-500000)*0.2,IF(O47&gt;1000000,100000+(O47-1000000)*0.3,"0")))),0)</f>
        <v>8092</v>
      </c>
    </row>
    <row r="54" spans="1:25" s="259" customFormat="1" ht="14.1" customHeight="1">
      <c r="A54" s="410"/>
      <c r="B54" s="492" t="s">
        <v>344</v>
      </c>
      <c r="C54" s="492"/>
      <c r="D54" s="492"/>
      <c r="E54" s="492"/>
      <c r="F54" s="492"/>
      <c r="G54" s="492"/>
      <c r="H54" s="492"/>
      <c r="I54" s="492"/>
      <c r="J54" s="492"/>
      <c r="K54" s="492"/>
      <c r="L54" s="492"/>
      <c r="M54" s="492"/>
      <c r="N54" s="258" t="s">
        <v>266</v>
      </c>
      <c r="O54" s="240">
        <f>SUM(O50:O53)</f>
        <v>0</v>
      </c>
      <c r="P54" s="241"/>
      <c r="Q54" s="241"/>
    </row>
    <row r="55" spans="1:25" s="259" customFormat="1" ht="14.1" customHeight="1">
      <c r="A55" s="410"/>
      <c r="B55" s="493" t="s">
        <v>345</v>
      </c>
      <c r="C55" s="493"/>
      <c r="D55" s="493"/>
      <c r="E55" s="493"/>
      <c r="F55" s="493"/>
      <c r="G55" s="493"/>
      <c r="H55" s="493"/>
      <c r="I55" s="493"/>
      <c r="J55" s="493"/>
      <c r="K55" s="493"/>
      <c r="L55" s="493"/>
      <c r="M55" s="493"/>
      <c r="N55" s="258" t="s">
        <v>265</v>
      </c>
      <c r="O55" s="240">
        <f>IF(O47&gt;500000,0,IF(O54&lt;12500,O54,12500))</f>
        <v>0</v>
      </c>
      <c r="P55" s="244"/>
      <c r="Q55" s="244"/>
    </row>
    <row r="56" spans="1:25" s="259" customFormat="1" ht="14.1" customHeight="1">
      <c r="A56" s="410"/>
      <c r="B56" s="494" t="s">
        <v>346</v>
      </c>
      <c r="C56" s="495"/>
      <c r="D56" s="495"/>
      <c r="E56" s="495"/>
      <c r="F56" s="494"/>
      <c r="G56" s="494"/>
      <c r="H56" s="494"/>
      <c r="I56" s="494"/>
      <c r="J56" s="494"/>
      <c r="K56" s="494"/>
      <c r="L56" s="494"/>
      <c r="M56" s="494"/>
      <c r="N56" s="258" t="s">
        <v>267</v>
      </c>
      <c r="O56" s="240">
        <f>O54-O55</f>
        <v>0</v>
      </c>
      <c r="P56" s="241"/>
      <c r="Q56" s="241"/>
      <c r="X56" s="259">
        <f>IF(T59&gt;350000,0,IF(T59&lt;2501,T59,2500))</f>
        <v>0</v>
      </c>
    </row>
    <row r="57" spans="1:25" ht="15" customHeight="1">
      <c r="A57" s="410"/>
      <c r="B57" s="498" t="s">
        <v>356</v>
      </c>
      <c r="C57" s="496"/>
      <c r="D57" s="496"/>
      <c r="E57" s="496"/>
      <c r="F57" s="496"/>
      <c r="G57" s="496"/>
      <c r="H57" s="496"/>
      <c r="I57" s="496"/>
      <c r="J57" s="496"/>
      <c r="K57" s="496"/>
      <c r="L57" s="496"/>
      <c r="M57" s="497"/>
      <c r="N57" s="258" t="s">
        <v>268</v>
      </c>
      <c r="O57" s="245">
        <f>ROUND((O56*0.04),0)</f>
        <v>0</v>
      </c>
      <c r="P57" s="244"/>
      <c r="Q57" s="244"/>
    </row>
    <row r="58" spans="1:25" ht="15" customHeight="1">
      <c r="A58" s="411"/>
      <c r="B58" s="499" t="s">
        <v>357</v>
      </c>
      <c r="C58" s="500"/>
      <c r="D58" s="500"/>
      <c r="E58" s="500"/>
      <c r="F58" s="500"/>
      <c r="G58" s="500"/>
      <c r="H58" s="500"/>
      <c r="I58" s="500"/>
      <c r="J58" s="500"/>
      <c r="K58" s="500"/>
      <c r="L58" s="500"/>
      <c r="M58" s="501"/>
      <c r="N58" s="258" t="s">
        <v>269</v>
      </c>
      <c r="O58" s="240">
        <f>SUM(O56:O57)</f>
        <v>0</v>
      </c>
      <c r="P58" s="241"/>
      <c r="Q58" s="241"/>
    </row>
    <row r="59" spans="1:25" ht="15" customHeight="1">
      <c r="A59" s="238">
        <v>17</v>
      </c>
      <c r="B59" s="473" t="s">
        <v>347</v>
      </c>
      <c r="C59" s="473"/>
      <c r="D59" s="473"/>
      <c r="E59" s="473"/>
      <c r="F59" s="473"/>
      <c r="G59" s="473"/>
      <c r="H59" s="473"/>
      <c r="I59" s="473"/>
      <c r="J59" s="473"/>
      <c r="K59" s="473"/>
      <c r="L59" s="473"/>
      <c r="M59" s="473"/>
      <c r="N59" s="258" t="s">
        <v>270</v>
      </c>
      <c r="O59" s="270" t="str">
        <f>'Extra deduc'!J17</f>
        <v>0</v>
      </c>
      <c r="P59" s="244"/>
      <c r="Q59" s="244"/>
    </row>
    <row r="60" spans="1:25" ht="16.5" customHeight="1">
      <c r="A60" s="238">
        <v>18</v>
      </c>
      <c r="B60" s="482" t="s">
        <v>348</v>
      </c>
      <c r="C60" s="482"/>
      <c r="D60" s="482"/>
      <c r="E60" s="482"/>
      <c r="F60" s="482"/>
      <c r="G60" s="482"/>
      <c r="H60" s="482"/>
      <c r="I60" s="482"/>
      <c r="J60" s="482"/>
      <c r="K60" s="482"/>
      <c r="L60" s="482"/>
      <c r="M60" s="482"/>
      <c r="N60" s="258" t="s">
        <v>271</v>
      </c>
      <c r="O60" s="240">
        <f>O58-O59</f>
        <v>0</v>
      </c>
      <c r="P60" s="241"/>
      <c r="Q60" s="241"/>
      <c r="Y60" s="23">
        <f>ROUND(IF(Master!E3=Master!AB22,IF(O47&lt;250001,0,IF(O47&gt;500000,12500,((O47-250000)*0.05))),IF(O47&lt;300001,0,IF(O47&gt;500000,10000,((O47-300000)*0.05)))),0)</f>
        <v>10000</v>
      </c>
    </row>
    <row r="61" spans="1:25" ht="31.5" customHeight="1">
      <c r="A61" s="409">
        <v>19</v>
      </c>
      <c r="B61" s="502" t="s">
        <v>349</v>
      </c>
      <c r="C61" s="502"/>
      <c r="D61" s="502"/>
      <c r="E61" s="438" t="s">
        <v>350</v>
      </c>
      <c r="F61" s="438"/>
      <c r="G61" s="438"/>
      <c r="H61" s="453" t="s">
        <v>351</v>
      </c>
      <c r="I61" s="453"/>
      <c r="J61" s="503" t="s">
        <v>352</v>
      </c>
      <c r="K61" s="504" t="s">
        <v>353</v>
      </c>
      <c r="L61" s="504"/>
      <c r="M61" s="439" t="s">
        <v>354</v>
      </c>
      <c r="N61" s="440"/>
      <c r="O61" s="271" t="s">
        <v>355</v>
      </c>
      <c r="P61" s="272"/>
      <c r="Q61" s="272"/>
    </row>
    <row r="62" spans="1:25" ht="15.75">
      <c r="A62" s="411"/>
      <c r="B62" s="502"/>
      <c r="C62" s="502"/>
      <c r="D62" s="502"/>
      <c r="E62" s="422">
        <f>SUM('GA55 Summry'!U6:U12)</f>
        <v>3500</v>
      </c>
      <c r="F62" s="446"/>
      <c r="G62" s="423"/>
      <c r="H62" s="422">
        <f>SUM('GA55 Summry'!U13:U15)</f>
        <v>1500</v>
      </c>
      <c r="I62" s="423"/>
      <c r="J62" s="273">
        <f>SUM('GA55 Summry'!U16)</f>
        <v>500</v>
      </c>
      <c r="K62" s="422">
        <f>SUM('GA55 Summry'!U17)</f>
        <v>500</v>
      </c>
      <c r="L62" s="423"/>
      <c r="M62" s="422">
        <f>SUM('GA55 Summry'!U18:U25)+'Extra deduc'!J20</f>
        <v>0</v>
      </c>
      <c r="N62" s="423"/>
      <c r="O62" s="274">
        <f>'Extra deduc'!J20+'GA55 Summry'!U26</f>
        <v>6000</v>
      </c>
      <c r="P62" s="275"/>
      <c r="Q62" s="275"/>
    </row>
    <row r="63" spans="1:25" ht="15.75" customHeight="1">
      <c r="A63" s="413" t="str">
        <f>IF(O60&gt;O62,"Income Tax Payable",IF(O60&lt;O62,"Income Tax Refundable","Income Tax Payble/Refundable"))</f>
        <v>Income Tax Refundable</v>
      </c>
      <c r="B63" s="414"/>
      <c r="C63" s="414"/>
      <c r="D63" s="414"/>
      <c r="E63" s="414"/>
      <c r="F63" s="414"/>
      <c r="G63" s="414"/>
      <c r="H63" s="414"/>
      <c r="I63" s="414"/>
      <c r="J63" s="414"/>
      <c r="K63" s="414"/>
      <c r="L63" s="414"/>
      <c r="M63" s="414"/>
      <c r="N63" s="276" t="s">
        <v>272</v>
      </c>
      <c r="O63" s="277">
        <f>IF(O60&gt;O62,O60-O62,O62-O60)</f>
        <v>6000</v>
      </c>
      <c r="P63" s="244"/>
      <c r="Q63" s="244"/>
    </row>
    <row r="64" spans="1:25" ht="15.75">
      <c r="A64" s="278"/>
      <c r="B64" s="278"/>
      <c r="C64" s="278"/>
      <c r="D64" s="278"/>
      <c r="E64" s="278"/>
      <c r="F64" s="278"/>
      <c r="G64" s="278"/>
      <c r="H64" s="278"/>
      <c r="I64" s="278"/>
      <c r="J64" s="278"/>
      <c r="K64" s="278"/>
      <c r="L64" s="278"/>
      <c r="M64" s="278"/>
      <c r="N64" s="279"/>
      <c r="O64" s="244"/>
      <c r="P64" s="244"/>
      <c r="Q64" s="244"/>
    </row>
    <row r="65" spans="1:25" ht="16.5">
      <c r="A65" s="280"/>
      <c r="B65" s="281"/>
      <c r="C65" s="281"/>
      <c r="D65" s="282"/>
      <c r="E65" s="281"/>
      <c r="F65" s="281"/>
      <c r="G65" s="281"/>
      <c r="H65" s="281"/>
      <c r="I65" s="281"/>
      <c r="J65" s="281"/>
      <c r="K65" s="281"/>
      <c r="L65" s="505" t="s">
        <v>273</v>
      </c>
      <c r="M65" s="505"/>
      <c r="N65" s="505"/>
      <c r="O65" s="505"/>
      <c r="P65" s="283"/>
      <c r="Q65" s="283"/>
    </row>
    <row r="66" spans="1:25" ht="16.5">
      <c r="A66" s="280"/>
      <c r="B66" s="281"/>
      <c r="C66" s="281"/>
      <c r="D66" s="282"/>
      <c r="E66" s="281"/>
      <c r="F66" s="281"/>
      <c r="G66" s="281"/>
      <c r="H66" s="281"/>
      <c r="I66" s="281"/>
      <c r="J66" s="281"/>
      <c r="K66" s="281"/>
      <c r="L66" s="284"/>
      <c r="M66" s="285"/>
      <c r="N66" s="286"/>
      <c r="O66" s="283"/>
      <c r="P66" s="283"/>
      <c r="Q66" s="283"/>
    </row>
    <row r="67" spans="1:25" ht="15.75">
      <c r="A67" s="287"/>
      <c r="B67" s="288"/>
      <c r="C67" s="288"/>
      <c r="D67" s="288"/>
      <c r="E67" s="288"/>
      <c r="F67" s="288"/>
      <c r="G67" s="288"/>
      <c r="H67" s="288"/>
      <c r="I67" s="288"/>
      <c r="J67" s="288"/>
      <c r="K67" s="288"/>
      <c r="L67" s="288"/>
      <c r="M67" s="288"/>
      <c r="N67" s="288"/>
      <c r="O67" s="289"/>
      <c r="P67" s="289"/>
      <c r="Q67" s="289"/>
      <c r="R67" s="259"/>
      <c r="S67" s="259"/>
      <c r="T67" s="259"/>
      <c r="U67" s="259"/>
      <c r="V67" s="259"/>
      <c r="W67" s="259"/>
      <c r="X67" s="259"/>
      <c r="Y67" s="259"/>
    </row>
    <row r="68" spans="1:25" ht="15.75">
      <c r="A68" s="290"/>
      <c r="B68" s="288"/>
      <c r="C68" s="288"/>
      <c r="D68" s="288"/>
      <c r="E68" s="288"/>
      <c r="F68" s="288"/>
      <c r="G68" s="288"/>
      <c r="H68" s="288"/>
      <c r="I68" s="288"/>
      <c r="J68" s="288"/>
      <c r="K68" s="288"/>
      <c r="L68" s="288"/>
      <c r="M68" s="288"/>
      <c r="N68" s="288"/>
      <c r="O68" s="289"/>
      <c r="P68" s="289"/>
      <c r="Q68" s="289"/>
      <c r="R68" s="259"/>
      <c r="S68" s="259"/>
      <c r="T68" s="259"/>
      <c r="U68" s="259"/>
      <c r="V68" s="259"/>
      <c r="W68" s="259"/>
      <c r="X68" s="259"/>
      <c r="Y68" s="259"/>
    </row>
    <row r="69" spans="1:25" ht="15.75">
      <c r="A69" s="287"/>
      <c r="B69" s="288"/>
      <c r="C69" s="288"/>
      <c r="D69" s="288"/>
      <c r="E69" s="288"/>
      <c r="F69" s="288"/>
      <c r="G69" s="288"/>
      <c r="H69" s="288"/>
      <c r="I69" s="288"/>
      <c r="J69" s="288"/>
      <c r="K69" s="288"/>
      <c r="L69" s="288"/>
      <c r="M69" s="288"/>
      <c r="N69" s="288"/>
      <c r="O69" s="289"/>
      <c r="P69" s="289"/>
      <c r="Q69" s="289"/>
      <c r="R69" s="259"/>
      <c r="S69" s="259"/>
      <c r="T69" s="259"/>
      <c r="U69" s="259"/>
      <c r="V69" s="259"/>
      <c r="W69" s="259"/>
      <c r="X69" s="259"/>
      <c r="Y69" s="259"/>
    </row>
    <row r="70" spans="1:25" ht="15.75">
      <c r="A70" s="287"/>
      <c r="B70" s="291"/>
      <c r="C70" s="291"/>
      <c r="D70" s="291"/>
      <c r="E70" s="291"/>
      <c r="F70" s="291"/>
      <c r="G70" s="291"/>
      <c r="H70" s="291"/>
      <c r="I70" s="292"/>
      <c r="J70" s="292"/>
      <c r="K70" s="292"/>
      <c r="L70" s="292"/>
      <c r="M70" s="292"/>
      <c r="N70" s="292"/>
      <c r="O70" s="289"/>
      <c r="P70" s="289"/>
      <c r="Q70" s="289"/>
      <c r="R70" s="259"/>
      <c r="S70" s="259"/>
      <c r="T70" s="259"/>
      <c r="U70" s="259"/>
      <c r="V70" s="259"/>
      <c r="W70" s="259"/>
      <c r="X70" s="259"/>
      <c r="Y70" s="259"/>
    </row>
    <row r="71" spans="1:25" ht="15.75">
      <c r="A71" s="287"/>
      <c r="B71" s="291"/>
      <c r="C71" s="291"/>
      <c r="D71" s="291"/>
      <c r="E71" s="291"/>
      <c r="F71" s="291"/>
      <c r="G71" s="291"/>
      <c r="H71" s="291"/>
      <c r="I71" s="292"/>
      <c r="J71" s="292"/>
      <c r="K71" s="292"/>
      <c r="L71" s="292"/>
      <c r="M71" s="292"/>
      <c r="N71" s="292"/>
      <c r="O71" s="289"/>
      <c r="P71" s="289"/>
      <c r="Q71" s="289"/>
      <c r="R71" s="259"/>
      <c r="S71" s="259"/>
      <c r="T71" s="259"/>
      <c r="U71" s="259"/>
      <c r="V71" s="259"/>
      <c r="W71" s="259"/>
      <c r="X71" s="259"/>
      <c r="Y71" s="259"/>
    </row>
    <row r="72" spans="1:25" ht="15.75">
      <c r="A72" s="287"/>
      <c r="B72" s="291"/>
      <c r="C72" s="291"/>
      <c r="D72" s="291"/>
      <c r="E72" s="291"/>
      <c r="F72" s="291"/>
      <c r="G72" s="291"/>
      <c r="H72" s="291"/>
      <c r="I72" s="292"/>
      <c r="J72" s="292"/>
      <c r="K72" s="292"/>
      <c r="L72" s="292"/>
      <c r="M72" s="292"/>
      <c r="N72" s="292"/>
      <c r="O72" s="289"/>
      <c r="P72" s="289"/>
      <c r="Q72" s="289"/>
      <c r="R72" s="259"/>
      <c r="S72" s="259"/>
      <c r="T72" s="259"/>
      <c r="U72" s="259"/>
      <c r="V72" s="259"/>
      <c r="W72" s="259"/>
      <c r="X72" s="259"/>
      <c r="Y72" s="259"/>
    </row>
    <row r="73" spans="1:25" ht="15.75">
      <c r="A73" s="287"/>
      <c r="B73" s="291"/>
      <c r="C73" s="291"/>
      <c r="D73" s="291"/>
      <c r="E73" s="291"/>
      <c r="F73" s="291"/>
      <c r="G73" s="291"/>
      <c r="H73" s="291"/>
      <c r="I73" s="292"/>
      <c r="J73" s="292"/>
      <c r="K73" s="292"/>
      <c r="L73" s="292"/>
      <c r="M73" s="292"/>
      <c r="N73" s="292"/>
      <c r="O73" s="289"/>
      <c r="P73" s="289"/>
      <c r="Q73" s="289"/>
      <c r="R73" s="259"/>
      <c r="S73" s="259"/>
      <c r="T73" s="259"/>
      <c r="U73" s="259"/>
      <c r="V73" s="259"/>
      <c r="W73" s="259"/>
      <c r="X73" s="259"/>
      <c r="Y73" s="259"/>
    </row>
    <row r="74" spans="1:25" ht="15.75">
      <c r="A74" s="287"/>
      <c r="B74" s="291"/>
      <c r="C74" s="291"/>
      <c r="D74" s="291"/>
      <c r="E74" s="291"/>
      <c r="F74" s="291"/>
      <c r="G74" s="291"/>
      <c r="H74" s="291"/>
      <c r="I74" s="292"/>
      <c r="J74" s="292"/>
      <c r="K74" s="292"/>
      <c r="L74" s="292"/>
      <c r="M74" s="292"/>
      <c r="N74" s="292"/>
      <c r="O74" s="289"/>
      <c r="P74" s="289"/>
      <c r="Q74" s="289"/>
      <c r="R74" s="259"/>
      <c r="S74" s="259"/>
      <c r="T74" s="259"/>
      <c r="U74" s="259"/>
      <c r="V74" s="259"/>
      <c r="W74" s="259"/>
      <c r="X74" s="259"/>
      <c r="Y74" s="259"/>
    </row>
    <row r="75" spans="1:25" ht="15.75">
      <c r="A75" s="290"/>
      <c r="B75" s="293"/>
      <c r="C75" s="294"/>
      <c r="D75" s="294"/>
      <c r="E75" s="294"/>
      <c r="F75" s="294"/>
      <c r="G75" s="294"/>
      <c r="H75" s="293"/>
      <c r="I75" s="292"/>
      <c r="J75" s="292"/>
      <c r="K75" s="292"/>
      <c r="L75" s="292"/>
      <c r="M75" s="292"/>
      <c r="N75" s="292"/>
      <c r="O75" s="289"/>
      <c r="P75" s="289"/>
      <c r="Q75" s="289"/>
      <c r="R75" s="259"/>
      <c r="S75" s="259"/>
      <c r="T75" s="259"/>
      <c r="U75" s="259"/>
      <c r="V75" s="259"/>
      <c r="W75" s="259"/>
      <c r="X75" s="259"/>
      <c r="Y75" s="259"/>
    </row>
    <row r="76" spans="1:25" s="295" customFormat="1" ht="15.75">
      <c r="A76" s="296"/>
      <c r="B76" s="297"/>
      <c r="C76" s="297"/>
      <c r="D76" s="297"/>
      <c r="E76" s="297"/>
      <c r="F76" s="297"/>
      <c r="G76" s="297"/>
      <c r="H76" s="297"/>
      <c r="I76" s="292"/>
      <c r="J76" s="292"/>
      <c r="K76" s="292"/>
      <c r="L76" s="292"/>
      <c r="M76" s="292"/>
      <c r="N76" s="292"/>
      <c r="O76" s="298"/>
      <c r="P76" s="298"/>
      <c r="Q76" s="298"/>
      <c r="R76" s="299"/>
      <c r="S76" s="299"/>
      <c r="T76" s="299"/>
      <c r="U76" s="299"/>
      <c r="V76" s="299"/>
      <c r="W76" s="299"/>
      <c r="X76" s="299"/>
      <c r="Y76" s="299"/>
    </row>
    <row r="77" spans="1:25" s="295" customFormat="1" ht="15.75">
      <c r="A77" s="296"/>
      <c r="B77" s="297"/>
      <c r="C77" s="297"/>
      <c r="D77" s="297"/>
      <c r="E77" s="297"/>
      <c r="F77" s="297"/>
      <c r="G77" s="297"/>
      <c r="H77" s="297"/>
      <c r="I77" s="297"/>
      <c r="J77" s="297"/>
      <c r="K77" s="297"/>
      <c r="L77" s="297"/>
      <c r="M77" s="300"/>
      <c r="N77" s="301"/>
      <c r="O77" s="298"/>
      <c r="P77" s="298"/>
      <c r="Q77" s="298"/>
      <c r="R77" s="299"/>
      <c r="S77" s="299"/>
      <c r="T77" s="299"/>
      <c r="U77" s="299"/>
      <c r="V77" s="299"/>
      <c r="W77" s="299"/>
      <c r="X77" s="299"/>
      <c r="Y77" s="299"/>
    </row>
    <row r="78" spans="1:25" s="295" customFormat="1" ht="15.75">
      <c r="A78" s="296"/>
      <c r="B78" s="297"/>
      <c r="C78" s="297"/>
      <c r="D78" s="297"/>
      <c r="E78" s="297"/>
      <c r="F78" s="297"/>
      <c r="G78" s="297"/>
      <c r="H78" s="297"/>
      <c r="I78" s="297"/>
      <c r="J78" s="297"/>
      <c r="K78" s="297"/>
      <c r="L78" s="297"/>
      <c r="M78" s="300"/>
      <c r="N78" s="301"/>
      <c r="O78" s="298"/>
      <c r="P78" s="298"/>
      <c r="Q78" s="298"/>
      <c r="R78" s="299"/>
      <c r="S78" s="299"/>
      <c r="T78" s="299"/>
      <c r="U78" s="299"/>
      <c r="V78" s="299"/>
      <c r="W78" s="299"/>
      <c r="X78" s="299"/>
      <c r="Y78" s="299"/>
    </row>
    <row r="79" spans="1:25" s="295" customFormat="1" ht="15.75">
      <c r="A79" s="296"/>
      <c r="B79" s="297"/>
      <c r="C79" s="297"/>
      <c r="D79" s="297"/>
      <c r="E79" s="297"/>
      <c r="F79" s="297"/>
      <c r="G79" s="297"/>
      <c r="H79" s="297"/>
      <c r="I79" s="297"/>
      <c r="J79" s="297"/>
      <c r="K79" s="297"/>
      <c r="L79" s="297"/>
      <c r="M79" s="300"/>
      <c r="N79" s="301"/>
      <c r="O79" s="298"/>
      <c r="P79" s="298"/>
      <c r="Q79" s="298"/>
      <c r="R79" s="299"/>
      <c r="S79" s="299"/>
      <c r="T79" s="299"/>
      <c r="U79" s="299"/>
      <c r="V79" s="299"/>
      <c r="W79" s="299"/>
      <c r="X79" s="299"/>
      <c r="Y79" s="299"/>
    </row>
    <row r="80" spans="1:25" s="295" customFormat="1" ht="15.75">
      <c r="A80" s="296"/>
      <c r="B80" s="297"/>
      <c r="C80" s="297"/>
      <c r="D80" s="297"/>
      <c r="E80" s="297"/>
      <c r="F80" s="297"/>
      <c r="G80" s="297"/>
      <c r="H80" s="297"/>
      <c r="I80" s="297"/>
      <c r="J80" s="297"/>
      <c r="K80" s="297"/>
      <c r="L80" s="302"/>
      <c r="M80" s="300"/>
      <c r="N80" s="303"/>
      <c r="O80" s="298"/>
      <c r="P80" s="298"/>
      <c r="Q80" s="298"/>
      <c r="R80" s="299"/>
      <c r="S80" s="299"/>
      <c r="T80" s="299"/>
      <c r="U80" s="299"/>
      <c r="V80" s="299"/>
      <c r="W80" s="299"/>
      <c r="X80" s="299"/>
      <c r="Y80" s="299"/>
    </row>
    <row r="81" spans="1:25" ht="15.75">
      <c r="A81" s="304"/>
      <c r="B81" s="305"/>
      <c r="C81" s="305"/>
      <c r="D81" s="305"/>
      <c r="E81" s="305"/>
      <c r="F81" s="305"/>
      <c r="G81" s="305"/>
      <c r="H81" s="305"/>
      <c r="I81" s="305"/>
      <c r="J81" s="305"/>
      <c r="K81" s="305"/>
      <c r="L81" s="305"/>
      <c r="M81" s="306"/>
      <c r="N81" s="307"/>
      <c r="O81" s="283"/>
      <c r="P81" s="283"/>
      <c r="Q81" s="283"/>
      <c r="R81" s="259"/>
      <c r="S81" s="259"/>
      <c r="T81" s="259"/>
      <c r="U81" s="259"/>
      <c r="V81" s="259"/>
      <c r="W81" s="259"/>
      <c r="X81" s="259"/>
      <c r="Y81" s="259"/>
    </row>
    <row r="82" spans="1:25">
      <c r="A82" s="308"/>
      <c r="B82" s="309"/>
      <c r="C82" s="309"/>
      <c r="D82" s="309"/>
      <c r="E82" s="309"/>
      <c r="F82" s="309"/>
      <c r="G82" s="309"/>
      <c r="H82" s="309"/>
      <c r="I82" s="309"/>
      <c r="J82" s="309"/>
      <c r="K82" s="309"/>
      <c r="L82" s="309"/>
      <c r="M82" s="309"/>
      <c r="N82" s="309"/>
      <c r="O82" s="309"/>
      <c r="P82" s="309"/>
      <c r="Q82" s="309"/>
      <c r="R82" s="259"/>
      <c r="S82" s="259"/>
      <c r="T82" s="259"/>
      <c r="U82" s="259"/>
      <c r="V82" s="259"/>
      <c r="W82" s="259"/>
      <c r="X82" s="259"/>
      <c r="Y82" s="259"/>
    </row>
    <row r="83" spans="1:25">
      <c r="A83" s="308"/>
      <c r="B83" s="309"/>
      <c r="C83" s="309"/>
      <c r="D83" s="309"/>
      <c r="E83" s="309"/>
      <c r="F83" s="309"/>
      <c r="G83" s="309"/>
      <c r="H83" s="309"/>
      <c r="I83" s="309"/>
      <c r="J83" s="309"/>
      <c r="K83" s="309"/>
      <c r="L83" s="309"/>
      <c r="M83" s="309"/>
      <c r="N83" s="309"/>
      <c r="O83" s="309"/>
      <c r="P83" s="309"/>
      <c r="Q83" s="309"/>
      <c r="R83" s="259"/>
      <c r="S83" s="259"/>
      <c r="T83" s="259"/>
      <c r="U83" s="259"/>
      <c r="V83" s="259"/>
      <c r="W83" s="259"/>
      <c r="X83" s="259"/>
      <c r="Y83" s="259"/>
    </row>
    <row r="84" spans="1:25">
      <c r="A84" s="308"/>
      <c r="B84" s="309"/>
      <c r="C84" s="309"/>
      <c r="D84" s="309"/>
      <c r="E84" s="309"/>
      <c r="F84" s="309"/>
      <c r="G84" s="309"/>
      <c r="H84" s="309"/>
      <c r="I84" s="309"/>
      <c r="J84" s="309"/>
      <c r="K84" s="309"/>
      <c r="L84" s="309"/>
      <c r="M84" s="309"/>
      <c r="N84" s="309"/>
      <c r="O84" s="309"/>
      <c r="P84" s="309"/>
      <c r="Q84" s="309"/>
      <c r="R84" s="259"/>
      <c r="S84" s="259"/>
      <c r="T84" s="259"/>
      <c r="U84" s="259"/>
      <c r="V84" s="259"/>
      <c r="W84" s="259"/>
      <c r="X84" s="259"/>
      <c r="Y84" s="259"/>
    </row>
    <row r="85" spans="1:25">
      <c r="B85" s="259"/>
      <c r="C85" s="259"/>
      <c r="D85" s="259"/>
      <c r="E85" s="259"/>
      <c r="F85" s="259"/>
      <c r="G85" s="259"/>
      <c r="H85" s="259"/>
      <c r="I85" s="259"/>
      <c r="J85" s="259"/>
      <c r="K85" s="259"/>
      <c r="L85" s="259"/>
      <c r="M85" s="259"/>
      <c r="N85" s="259"/>
      <c r="O85" s="259"/>
      <c r="P85" s="259"/>
      <c r="Q85" s="259"/>
      <c r="R85" s="259"/>
      <c r="S85" s="259"/>
      <c r="T85" s="259"/>
      <c r="U85" s="259"/>
      <c r="V85" s="259"/>
      <c r="W85" s="259"/>
      <c r="X85" s="259"/>
      <c r="Y85" s="259"/>
    </row>
  </sheetData>
  <sheetProtection password="C1FB" sheet="1" objects="1" scenarios="1" formatCells="0" formatColumns="0" formatRows="0"/>
  <mergeCells count="124">
    <mergeCell ref="L65:O65"/>
    <mergeCell ref="B60:M60"/>
    <mergeCell ref="B40:M40"/>
    <mergeCell ref="B38:M38"/>
    <mergeCell ref="B36:M36"/>
    <mergeCell ref="B52:D52"/>
    <mergeCell ref="H61:I61"/>
    <mergeCell ref="J49:M49"/>
    <mergeCell ref="B42:M42"/>
    <mergeCell ref="B57:M57"/>
    <mergeCell ref="E62:G62"/>
    <mergeCell ref="B46:M46"/>
    <mergeCell ref="B43:M43"/>
    <mergeCell ref="B45:M45"/>
    <mergeCell ref="B34:M34"/>
    <mergeCell ref="B32:M32"/>
    <mergeCell ref="F12:H12"/>
    <mergeCell ref="B31:M31"/>
    <mergeCell ref="B18:O18"/>
    <mergeCell ref="B35:O35"/>
    <mergeCell ref="C27:E27"/>
    <mergeCell ref="D13:E13"/>
    <mergeCell ref="J15:M15"/>
    <mergeCell ref="K13:M13"/>
    <mergeCell ref="D12:E12"/>
    <mergeCell ref="F50:H50"/>
    <mergeCell ref="K61:L61"/>
    <mergeCell ref="B58:M58"/>
    <mergeCell ref="B41:M41"/>
    <mergeCell ref="B37:M37"/>
    <mergeCell ref="C29:E29"/>
    <mergeCell ref="B14:M14"/>
    <mergeCell ref="C28:E28"/>
    <mergeCell ref="K12:M12"/>
    <mergeCell ref="A7:A9"/>
    <mergeCell ref="I21:K21"/>
    <mergeCell ref="A18:A34"/>
    <mergeCell ref="K9:M9"/>
    <mergeCell ref="I29:K29"/>
    <mergeCell ref="A11:A13"/>
    <mergeCell ref="I13:J13"/>
    <mergeCell ref="C22:E22"/>
    <mergeCell ref="I25:K25"/>
    <mergeCell ref="I20:K20"/>
    <mergeCell ref="K7:M7"/>
    <mergeCell ref="K8:M8"/>
    <mergeCell ref="K11:M11"/>
    <mergeCell ref="B9:J9"/>
    <mergeCell ref="B8:J8"/>
    <mergeCell ref="F53:H53"/>
    <mergeCell ref="B53:D53"/>
    <mergeCell ref="B5:M5"/>
    <mergeCell ref="I23:K23"/>
    <mergeCell ref="B16:D16"/>
    <mergeCell ref="B15:D15"/>
    <mergeCell ref="E16:G16"/>
    <mergeCell ref="B17:M17"/>
    <mergeCell ref="C20:E20"/>
    <mergeCell ref="B44:M44"/>
    <mergeCell ref="B47:M47"/>
    <mergeCell ref="M62:N62"/>
    <mergeCell ref="B55:M55"/>
    <mergeCell ref="A35:A44"/>
    <mergeCell ref="N3:O3"/>
    <mergeCell ref="C23:E23"/>
    <mergeCell ref="K16:M16"/>
    <mergeCell ref="B30:K30"/>
    <mergeCell ref="L2:M2"/>
    <mergeCell ref="I22:K22"/>
    <mergeCell ref="I24:K24"/>
    <mergeCell ref="B54:M54"/>
    <mergeCell ref="B59:M59"/>
    <mergeCell ref="F49:I49"/>
    <mergeCell ref="B56:M56"/>
    <mergeCell ref="H62:I62"/>
    <mergeCell ref="E61:G61"/>
    <mergeCell ref="B51:D51"/>
    <mergeCell ref="F52:H52"/>
    <mergeCell ref="J52:L52"/>
    <mergeCell ref="M61:N61"/>
    <mergeCell ref="F51:H51"/>
    <mergeCell ref="J53:L53"/>
    <mergeCell ref="J51:L51"/>
    <mergeCell ref="J50:L50"/>
    <mergeCell ref="C2:F2"/>
    <mergeCell ref="N11:O13"/>
    <mergeCell ref="B7:J7"/>
    <mergeCell ref="B48:O48"/>
    <mergeCell ref="B49:E49"/>
    <mergeCell ref="B6:M6"/>
    <mergeCell ref="C26:E26"/>
    <mergeCell ref="I26:K26"/>
    <mergeCell ref="I12:J12"/>
    <mergeCell ref="B10:M10"/>
    <mergeCell ref="B12:C13"/>
    <mergeCell ref="I11:J11"/>
    <mergeCell ref="I2:K2"/>
    <mergeCell ref="C24:E24"/>
    <mergeCell ref="G2:H2"/>
    <mergeCell ref="N7:O8"/>
    <mergeCell ref="D3:H3"/>
    <mergeCell ref="R31:V36"/>
    <mergeCell ref="F13:H13"/>
    <mergeCell ref="C25:E25"/>
    <mergeCell ref="B39:M39"/>
    <mergeCell ref="E15:G15"/>
    <mergeCell ref="A48:A58"/>
    <mergeCell ref="A1:O1"/>
    <mergeCell ref="I28:K28"/>
    <mergeCell ref="A63:M63"/>
    <mergeCell ref="B50:D50"/>
    <mergeCell ref="J3:L3"/>
    <mergeCell ref="B33:M33"/>
    <mergeCell ref="N20:O30"/>
    <mergeCell ref="R4:V7"/>
    <mergeCell ref="C21:E21"/>
    <mergeCell ref="I27:K27"/>
    <mergeCell ref="B3:C3"/>
    <mergeCell ref="B4:M4"/>
    <mergeCell ref="B19:O19"/>
    <mergeCell ref="B11:H11"/>
    <mergeCell ref="B61:D62"/>
    <mergeCell ref="K62:L62"/>
    <mergeCell ref="A61:A62"/>
  </mergeCells>
  <conditionalFormatting sqref="B62:D62">
    <cfRule type="iconSet" priority="1">
      <iconSet iconSet="3TrafficLights2">
        <cfvo type="percent" val="0"/>
        <cfvo type="percent" val="&quot;Income Tax Payable&quot;"/>
        <cfvo type="formula" val="&quot;Income Tax Refundable&quot;"/>
      </iconSet>
    </cfRule>
    <cfRule type="iconSet" priority="2">
      <iconSet iconSet="3TrafficLights2">
        <cfvo type="percent" val="0"/>
        <cfvo type="percent" val="33"/>
        <cfvo type="percent" val="67"/>
      </iconSet>
    </cfRule>
    <cfRule type="iconSet" priority="5">
      <iconSet iconSet="3TrafficLights2">
        <cfvo type="percent" val="0"/>
        <cfvo type="percent" val="&quot;Income Tax Payable&quot;"/>
        <cfvo type="formula" val="&quot;Income Tax Refundable&quot;"/>
      </iconSet>
    </cfRule>
    <cfRule type="iconSet" priority="7">
      <iconSet iconSet="3TrafficLights2">
        <cfvo type="percent" val="0"/>
        <cfvo type="percent" val="33"/>
        <cfvo type="percent" val="67"/>
      </iconSet>
    </cfRule>
  </conditionalFormatting>
  <conditionalFormatting sqref="J66">
    <cfRule type="iconSet" priority="4">
      <iconSet iconSet="3TrafficLights2">
        <cfvo type="percent" val="0"/>
        <cfvo type="percent" val="33"/>
        <cfvo type="percent" val="67"/>
      </iconSet>
    </cfRule>
    <cfRule type="iconSet" priority="13">
      <iconSet iconSet="3TrafficLights2">
        <cfvo type="percent" val="0"/>
        <cfvo type="percent" val="33"/>
        <cfvo type="percent" val="67"/>
      </iconSet>
    </cfRule>
  </conditionalFormatting>
  <conditionalFormatting sqref="N67:R70">
    <cfRule type="iconSet" priority="3">
      <iconSet iconSet="3TrafficLights2">
        <cfvo type="percent" val="0"/>
        <cfvo type="percent" val="33"/>
        <cfvo type="percent" val="67"/>
      </iconSet>
    </cfRule>
    <cfRule type="iconSet" priority="9">
      <iconSet iconSet="3TrafficLights2">
        <cfvo type="percent" val="0"/>
        <cfvo type="percent" val="33"/>
        <cfvo type="percent" val="67"/>
      </iconSet>
    </cfRule>
  </conditionalFormatting>
  <pageMargins left="0.55000000000000004" right="0.3" top="0.25" bottom="0.25" header="0.3" footer="0.3"/>
  <pageSetup paperSize="9" scale="8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Master</vt:lpstr>
      <vt:lpstr>Bills</vt:lpstr>
      <vt:lpstr>Extra deduc</vt:lpstr>
      <vt:lpstr>GA55 Summry</vt:lpstr>
      <vt:lpstr>DV-IDENTITY-0</vt:lpstr>
      <vt:lpstr>COMPUTATION</vt:lpstr>
      <vt:lpstr>COMPUTATION!Print_Area</vt:lpstr>
      <vt:lpstr>'Extra deduc'!Print_Area</vt:lpstr>
      <vt:lpstr>'GA55 Summry'!Print_Area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M5_lite</dc:creator>
  <cp:lastModifiedBy>SHRI BAJARANG BALI</cp:lastModifiedBy>
  <dcterms:created xsi:type="dcterms:W3CDTF">2006-09-15T07:30:00Z</dcterms:created>
  <dcterms:modified xsi:type="dcterms:W3CDTF">2019-12-02T17:02:34Z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oogle.Documents.RevisionId">
    <vt:lpwstr>14744808532751259142</vt:lpwstr>
  </property>
  <property fmtid="{D5CDD505-2E9C-101B-9397-08002B2CF9AE}" pid="3" name="Google.Documents.Tracking">
    <vt:lpwstr>true</vt:lpwstr>
  </property>
  <property fmtid="{D5CDD505-2E9C-101B-9397-08002B2CF9AE}" pid="4" name="Google.Documents.MergeIncapabilityFlags">
    <vt:i4>0</vt:i4>
  </property>
  <property fmtid="{D5CDD505-2E9C-101B-9397-08002B2CF9AE}" pid="5" name="Google.Documents.PreviousRevisionId">
    <vt:lpwstr>15913184929773948758</vt:lpwstr>
  </property>
  <property fmtid="{D5CDD505-2E9C-101B-9397-08002B2CF9AE}" pid="6" name="Google.Documents.DocumentId">
    <vt:lpwstr>1wB7Hy-MbCPcTYcvRgaobW8UVMZShhPXKOON1rDU6_Uw</vt:lpwstr>
  </property>
  <property fmtid="{D5CDD505-2E9C-101B-9397-08002B2CF9AE}" pid="7" name="Google.Documents.PluginVersion">
    <vt:lpwstr>2.0.2662.553</vt:lpwstr>
  </property>
</Properties>
</file>